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xml" ContentType="application/vnd.openxmlformats-officedocument.spreadsheetml.comments+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Y:\Audit\Internal Audit KPMG 2022 and 2023\"/>
    </mc:Choice>
  </mc:AlternateContent>
  <bookViews>
    <workbookView xWindow="0" yWindow="0" windowWidth="19200" windowHeight="7050" tabRatio="861" activeTab="3"/>
  </bookViews>
  <sheets>
    <sheet name="2019 - 2025 PVT Budget Chp-1 " sheetId="36" r:id="rId1"/>
    <sheet name="Analysis Opex" sheetId="30" r:id="rId2"/>
    <sheet name="Analysis Capex" sheetId="35" r:id="rId3"/>
    <sheet name="2019 - 2025 DB Master" sheetId="10" r:id="rId4"/>
    <sheet name="XXPVT 2023" sheetId="37" state="hidden" r:id="rId5"/>
    <sheet name="2019 - 2025 PVT Budget Summary" sheetId="24" r:id="rId6"/>
    <sheet name="2019 - 2025 PVT Budget Master" sheetId="21" r:id="rId7"/>
    <sheet name="UG &amp; PG Summary Table" sheetId="19" r:id="rId8"/>
    <sheet name="2023 Iteamized Capex and Opex" sheetId="29" r:id="rId9"/>
    <sheet name="2023 Detail B-01" sheetId="1" r:id="rId10"/>
    <sheet name="PVT 2023 DB-1 " sheetId="4" r:id="rId11"/>
    <sheet name="PVT 2024 DB-1" sheetId="11" r:id="rId12"/>
    <sheet name="PVT 2025 DB-1 " sheetId="12" r:id="rId13"/>
    <sheet name="2024 Detail B-01" sheetId="2" r:id="rId14"/>
    <sheet name="2025 Detail B-01" sheetId="3" r:id="rId15"/>
    <sheet name="UG &amp; PG Projections" sheetId="20" r:id="rId16"/>
    <sheet name="UG Stipend" sheetId="18" r:id="rId17"/>
    <sheet name="PG 2023 " sheetId="15" r:id="rId18"/>
    <sheet name="PG 2024 " sheetId="16" r:id="rId19"/>
    <sheet name="PG 2025" sheetId="17" r:id="rId20"/>
    <sheet name="Manpower" sheetId="28"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3" hidden="1">'2019 - 2025 DB Master'!$A$1:$AB$743</definedName>
    <definedName name="_xlnm._FilterDatabase" localSheetId="9" hidden="1">'2023 Detail B-01'!$A$1:$AW$911</definedName>
    <definedName name="_xlnm._FilterDatabase" localSheetId="13" hidden="1">'2024 Detail B-01'!$A$1:$X$674</definedName>
    <definedName name="_xlnm._FilterDatabase" localSheetId="14" hidden="1">'2025 Detail B-01'!$A$1:$Y$637</definedName>
    <definedName name="_xlnm._FilterDatabase" localSheetId="2" hidden="1">'Analysis Capex'!$A$3:$M$14</definedName>
    <definedName name="_xlnm._FilterDatabase" localSheetId="1" hidden="1">'Analysis Opex'!$A$3:$J$92</definedName>
    <definedName name="_xlnm._FilterDatabase" localSheetId="11" hidden="1">'PVT 2024 DB-1'!$A$3:$B$489</definedName>
    <definedName name="_xlnm._FilterDatabase" localSheetId="12" hidden="1">'PVT 2025 DB-1 '!$A$3:$B$489</definedName>
    <definedName name="_xlnm.Print_Area" localSheetId="17">'PG 2023 '!$A$1:$S$130</definedName>
    <definedName name="_xlnm.Print_Area" localSheetId="18">'PG 2024 '!$A$1:$G$110</definedName>
    <definedName name="_xlnm.Print_Area" localSheetId="19">'PG 2025'!$A$1:$G$106</definedName>
    <definedName name="_xlnm.Print_Titles" localSheetId="17">'PG 2023 '!$A:$C,'PG 2023 '!$1:$1</definedName>
    <definedName name="_xlnm.Print_Titles" localSheetId="18">'PG 2024 '!$A:$C,'PG 2024 '!$1:$1</definedName>
    <definedName name="_xlnm.Print_Titles" localSheetId="19">'PG 2025'!$A:$C,'PG 2025'!$1:$1</definedName>
  </definedNames>
  <calcPr calcId="162913"/>
  <pivotCaches>
    <pivotCache cacheId="55" r:id="rId37"/>
    <pivotCache cacheId="56" r:id="rId38"/>
    <pivotCache cacheId="57" r:id="rId39"/>
    <pivotCache cacheId="58" r:id="rId40"/>
    <pivotCache cacheId="59" r:id="rId41"/>
    <pivotCache cacheId="60" r:id="rId42"/>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 i="35" l="1"/>
  <c r="I4" i="35" s="1"/>
  <c r="F2" i="35"/>
  <c r="E2" i="35"/>
  <c r="D2" i="35"/>
  <c r="G2" i="30"/>
  <c r="F2" i="30"/>
  <c r="E2" i="30"/>
  <c r="D2" i="30"/>
  <c r="AA180" i="10"/>
  <c r="Y180" i="10"/>
  <c r="AA311" i="10"/>
  <c r="AA178" i="10"/>
  <c r="F14" i="35" l="1"/>
  <c r="F93" i="30"/>
  <c r="R743" i="10"/>
  <c r="Q743" i="10"/>
  <c r="P743" i="10"/>
  <c r="R744" i="10" s="1"/>
  <c r="P742" i="10"/>
  <c r="D93" i="30"/>
  <c r="E93" i="30"/>
  <c r="D14" i="35"/>
  <c r="V533" i="10"/>
  <c r="U533" i="10"/>
  <c r="T533" i="10"/>
  <c r="N33" i="36"/>
  <c r="X703" i="10" l="1"/>
  <c r="X702" i="10"/>
  <c r="X613" i="10"/>
  <c r="W703" i="10"/>
  <c r="W702" i="10"/>
  <c r="W613" i="10"/>
  <c r="U729" i="10"/>
  <c r="S703" i="10"/>
  <c r="T703" i="10" s="1"/>
  <c r="V703" i="10" s="1"/>
  <c r="S702" i="10"/>
  <c r="U702" i="10" s="1"/>
  <c r="T614" i="10"/>
  <c r="V614" i="10" s="1"/>
  <c r="T613" i="10"/>
  <c r="V613" i="10" s="1"/>
  <c r="T612" i="10"/>
  <c r="V612" i="10" s="1"/>
  <c r="U611" i="10"/>
  <c r="T729" i="10" l="1"/>
  <c r="V729" i="10" s="1"/>
  <c r="U703" i="10"/>
  <c r="T702" i="10"/>
  <c r="V702" i="10" s="1"/>
  <c r="U614" i="10"/>
  <c r="U613" i="10"/>
  <c r="U612" i="10"/>
  <c r="T611" i="10"/>
  <c r="V611" i="10" s="1"/>
  <c r="R742" i="10" l="1"/>
  <c r="Q742" i="10"/>
  <c r="P798" i="10" l="1"/>
  <c r="Y53" i="10"/>
  <c r="E14" i="35" l="1"/>
  <c r="E16" i="35" s="1"/>
  <c r="B31" i="19" l="1"/>
  <c r="G17" i="19"/>
  <c r="G16" i="19"/>
  <c r="F17" i="19"/>
  <c r="F16" i="19"/>
  <c r="G15" i="19"/>
  <c r="O20" i="36"/>
  <c r="F15" i="19" l="1"/>
  <c r="M28" i="36"/>
  <c r="M23" i="36"/>
  <c r="J18" i="36" l="1"/>
  <c r="E20" i="36"/>
  <c r="H16" i="36" l="1"/>
  <c r="H29" i="36"/>
  <c r="C20" i="36" l="1"/>
  <c r="C16" i="36"/>
  <c r="G4" i="35" l="1"/>
  <c r="G13" i="35"/>
  <c r="H13" i="35" s="1"/>
  <c r="G12" i="35"/>
  <c r="H12" i="35" s="1"/>
  <c r="G11" i="35"/>
  <c r="H11" i="35" s="1"/>
  <c r="G10" i="35"/>
  <c r="G9" i="35"/>
  <c r="H9" i="35" s="1"/>
  <c r="G8" i="35"/>
  <c r="H8" i="35" s="1"/>
  <c r="G7" i="35"/>
  <c r="H7" i="35" s="1"/>
  <c r="G6" i="35"/>
  <c r="G5" i="35"/>
  <c r="H5" i="35" s="1"/>
  <c r="I9" i="35" l="1"/>
  <c r="I6" i="35"/>
  <c r="I7" i="35"/>
  <c r="I8" i="35"/>
  <c r="H4" i="35"/>
  <c r="G14" i="35"/>
  <c r="I13" i="35"/>
  <c r="I10" i="35"/>
  <c r="I5" i="35"/>
  <c r="H6" i="35"/>
  <c r="I12" i="35"/>
  <c r="I11" i="35"/>
  <c r="G4" i="30"/>
  <c r="Y4" i="10"/>
  <c r="Y5" i="10"/>
  <c r="Y6" i="10"/>
  <c r="Y7" i="10"/>
  <c r="Y8" i="10"/>
  <c r="Y9" i="10"/>
  <c r="Y10" i="10"/>
  <c r="Y11" i="10"/>
  <c r="Y12" i="10"/>
  <c r="Y13" i="10"/>
  <c r="Y14" i="10"/>
  <c r="Y15" i="10"/>
  <c r="Y16" i="10"/>
  <c r="Y17" i="10"/>
  <c r="Y18" i="10"/>
  <c r="Y19" i="10"/>
  <c r="Y20" i="10"/>
  <c r="Y21" i="10"/>
  <c r="Y22" i="10"/>
  <c r="Y23" i="10"/>
  <c r="Y24" i="10"/>
  <c r="Y25" i="10"/>
  <c r="Y26" i="10"/>
  <c r="Y27" i="10"/>
  <c r="Y28" i="10"/>
  <c r="Y29" i="10"/>
  <c r="Y30" i="10"/>
  <c r="Y31" i="10"/>
  <c r="Y32" i="10"/>
  <c r="Y33" i="10"/>
  <c r="Y34" i="10"/>
  <c r="Y35" i="10"/>
  <c r="Y36" i="10"/>
  <c r="Y37" i="10"/>
  <c r="Y38" i="10"/>
  <c r="Y39" i="10"/>
  <c r="Y40" i="10"/>
  <c r="Y41" i="10"/>
  <c r="Y42" i="10"/>
  <c r="Y43" i="10"/>
  <c r="Y44" i="10"/>
  <c r="Y45" i="10"/>
  <c r="Y46" i="10"/>
  <c r="Y47" i="10"/>
  <c r="Y48" i="10"/>
  <c r="Y49" i="10"/>
  <c r="Y50" i="10"/>
  <c r="Y51" i="10"/>
  <c r="Y52" i="10"/>
  <c r="Y54" i="10"/>
  <c r="Y55" i="10"/>
  <c r="Y56" i="10"/>
  <c r="Y57" i="10"/>
  <c r="Y58" i="10"/>
  <c r="Y59" i="10"/>
  <c r="Y60" i="10"/>
  <c r="Y61" i="10"/>
  <c r="Y62" i="10"/>
  <c r="Y63" i="10"/>
  <c r="Y64" i="10"/>
  <c r="Y65" i="10"/>
  <c r="Y66" i="10"/>
  <c r="Y67" i="10"/>
  <c r="Y68" i="10"/>
  <c r="Y69" i="10"/>
  <c r="Y70" i="10"/>
  <c r="Y71" i="10"/>
  <c r="Y72" i="10"/>
  <c r="Y73" i="10"/>
  <c r="Y74" i="10"/>
  <c r="Y75" i="10"/>
  <c r="Y76" i="10"/>
  <c r="Y77" i="10"/>
  <c r="Y78" i="10"/>
  <c r="Y79" i="10"/>
  <c r="Y80" i="10"/>
  <c r="Y81" i="10"/>
  <c r="Y82" i="10"/>
  <c r="Y83" i="10"/>
  <c r="Y84" i="10"/>
  <c r="Y85" i="10"/>
  <c r="Y86" i="10"/>
  <c r="Y87" i="10"/>
  <c r="Y88" i="10"/>
  <c r="Y89" i="10"/>
  <c r="Y90" i="10"/>
  <c r="Y91" i="10"/>
  <c r="Y92" i="10"/>
  <c r="Y93" i="10"/>
  <c r="Y94" i="10"/>
  <c r="Y95" i="10"/>
  <c r="Y96" i="10"/>
  <c r="Y97" i="10"/>
  <c r="Y98" i="10"/>
  <c r="Y99" i="10"/>
  <c r="Y100" i="10"/>
  <c r="Y101" i="10"/>
  <c r="Y102" i="10"/>
  <c r="Y103" i="10"/>
  <c r="Y104" i="10"/>
  <c r="Y105" i="10"/>
  <c r="Y106" i="10"/>
  <c r="Y107" i="10"/>
  <c r="Y108" i="10"/>
  <c r="Y109" i="10"/>
  <c r="Z109" i="10" s="1"/>
  <c r="Y110" i="10"/>
  <c r="Y111" i="10"/>
  <c r="Y112" i="10"/>
  <c r="Y113" i="10"/>
  <c r="Y114" i="10"/>
  <c r="Y115" i="10"/>
  <c r="Y116" i="10"/>
  <c r="Y117" i="10"/>
  <c r="Y118" i="10"/>
  <c r="Y119" i="10"/>
  <c r="Y120" i="10"/>
  <c r="Y121" i="10"/>
  <c r="Y122" i="10"/>
  <c r="Y123" i="10"/>
  <c r="Y124" i="10"/>
  <c r="Y125" i="10"/>
  <c r="Y126" i="10"/>
  <c r="Y127" i="10"/>
  <c r="Y128" i="10"/>
  <c r="Y129" i="10"/>
  <c r="Y130" i="10"/>
  <c r="Y131" i="10"/>
  <c r="Y132" i="10"/>
  <c r="Y133" i="10"/>
  <c r="Y134" i="10"/>
  <c r="Y135" i="10"/>
  <c r="Y136" i="10"/>
  <c r="Y137" i="10"/>
  <c r="Y138" i="10"/>
  <c r="Y139" i="10"/>
  <c r="Y140" i="10"/>
  <c r="Y141" i="10"/>
  <c r="Y142" i="10"/>
  <c r="Y143" i="10"/>
  <c r="Y144" i="10"/>
  <c r="Y145" i="10"/>
  <c r="Y146" i="10"/>
  <c r="Y147" i="10"/>
  <c r="Y148" i="10"/>
  <c r="Y149" i="10"/>
  <c r="Y150" i="10"/>
  <c r="Y151" i="10"/>
  <c r="Y152" i="10"/>
  <c r="Y153" i="10"/>
  <c r="Y154" i="10"/>
  <c r="Y155" i="10"/>
  <c r="Y156" i="10"/>
  <c r="Y157" i="10"/>
  <c r="Y158" i="10"/>
  <c r="Y159" i="10"/>
  <c r="Y160" i="10"/>
  <c r="Y161" i="10"/>
  <c r="Y162" i="10"/>
  <c r="Y163" i="10"/>
  <c r="Y164" i="10"/>
  <c r="Y165" i="10"/>
  <c r="Y166" i="10"/>
  <c r="Y167" i="10"/>
  <c r="Y168" i="10"/>
  <c r="Y169" i="10"/>
  <c r="Y170" i="10"/>
  <c r="Y171" i="10"/>
  <c r="Y172" i="10"/>
  <c r="Y173" i="10"/>
  <c r="Y174" i="10"/>
  <c r="Y175" i="10"/>
  <c r="Y176" i="10"/>
  <c r="Y177" i="10"/>
  <c r="Y178" i="10"/>
  <c r="Y179" i="10"/>
  <c r="Y181" i="10"/>
  <c r="Y182" i="10"/>
  <c r="Y183" i="10"/>
  <c r="Y184" i="10"/>
  <c r="Y185" i="10"/>
  <c r="Y186" i="10"/>
  <c r="Y187" i="10"/>
  <c r="Y188" i="10"/>
  <c r="Y189" i="10"/>
  <c r="Y190" i="10"/>
  <c r="Y191" i="10"/>
  <c r="Y192" i="10"/>
  <c r="Y193" i="10"/>
  <c r="Y194" i="10"/>
  <c r="Y195" i="10"/>
  <c r="Y196" i="10"/>
  <c r="Y197" i="10"/>
  <c r="Y198" i="10"/>
  <c r="Y199" i="10"/>
  <c r="Y200" i="10"/>
  <c r="Y201" i="10"/>
  <c r="Y202" i="10"/>
  <c r="Y203" i="10"/>
  <c r="Y204" i="10"/>
  <c r="Y205" i="10"/>
  <c r="Y206" i="10"/>
  <c r="Y207" i="10"/>
  <c r="Y208" i="10"/>
  <c r="Y209" i="10"/>
  <c r="Y210" i="10"/>
  <c r="Y211" i="10"/>
  <c r="Y212" i="10"/>
  <c r="Y213" i="10"/>
  <c r="Y214" i="10"/>
  <c r="Y215" i="10"/>
  <c r="Y216" i="10"/>
  <c r="Y217" i="10"/>
  <c r="Y218" i="10"/>
  <c r="Y219" i="10"/>
  <c r="Y220" i="10"/>
  <c r="Y221" i="10"/>
  <c r="Y222" i="10"/>
  <c r="Y223" i="10"/>
  <c r="Y224" i="10"/>
  <c r="Y225" i="10"/>
  <c r="Y226" i="10"/>
  <c r="Y227" i="10"/>
  <c r="Y228" i="10"/>
  <c r="Y229" i="10"/>
  <c r="Y230" i="10"/>
  <c r="Y231" i="10"/>
  <c r="Y232" i="10"/>
  <c r="Y233" i="10"/>
  <c r="Y234" i="10"/>
  <c r="Y235" i="10"/>
  <c r="Y236" i="10"/>
  <c r="Y237" i="10"/>
  <c r="Y238" i="10"/>
  <c r="Y239" i="10"/>
  <c r="Y240" i="10"/>
  <c r="Y241" i="10"/>
  <c r="Y242" i="10"/>
  <c r="Y243" i="10"/>
  <c r="Y244" i="10"/>
  <c r="Y245" i="10"/>
  <c r="Y246" i="10"/>
  <c r="Y247" i="10"/>
  <c r="Y248" i="10"/>
  <c r="Y249" i="10"/>
  <c r="Y250" i="10"/>
  <c r="Y251" i="10"/>
  <c r="Y252" i="10"/>
  <c r="Y253" i="10"/>
  <c r="Y254" i="10"/>
  <c r="Y255" i="10"/>
  <c r="Y256" i="10"/>
  <c r="Y257" i="10"/>
  <c r="Y258" i="10"/>
  <c r="Y259" i="10"/>
  <c r="Y260" i="10"/>
  <c r="Y261" i="10"/>
  <c r="Y262" i="10"/>
  <c r="Y263" i="10"/>
  <c r="Y264" i="10"/>
  <c r="Y265" i="10"/>
  <c r="Y266" i="10"/>
  <c r="Y267" i="10"/>
  <c r="Y268" i="10"/>
  <c r="Y269" i="10"/>
  <c r="Y270" i="10"/>
  <c r="Y271" i="10"/>
  <c r="Y272" i="10"/>
  <c r="Y273" i="10"/>
  <c r="Y274" i="10"/>
  <c r="Y275" i="10"/>
  <c r="Y276" i="10"/>
  <c r="Y277" i="10"/>
  <c r="Y278" i="10"/>
  <c r="Y279" i="10"/>
  <c r="Y280" i="10"/>
  <c r="Y281" i="10"/>
  <c r="Y282" i="10"/>
  <c r="Y283" i="10"/>
  <c r="Y284" i="10"/>
  <c r="Y285" i="10"/>
  <c r="Y286" i="10"/>
  <c r="Y287" i="10"/>
  <c r="Y288" i="10"/>
  <c r="Y289" i="10"/>
  <c r="Y290" i="10"/>
  <c r="Y291" i="10"/>
  <c r="Y292" i="10"/>
  <c r="Y293" i="10"/>
  <c r="Y294" i="10"/>
  <c r="Y295" i="10"/>
  <c r="Y296" i="10"/>
  <c r="Y297" i="10"/>
  <c r="Y298" i="10"/>
  <c r="Y299" i="10"/>
  <c r="Y300" i="10"/>
  <c r="Y301" i="10"/>
  <c r="Y302" i="10"/>
  <c r="Y303" i="10"/>
  <c r="Y304" i="10"/>
  <c r="Y305" i="10"/>
  <c r="Y306" i="10"/>
  <c r="Y307" i="10"/>
  <c r="Y308" i="10"/>
  <c r="Z308" i="10" s="1"/>
  <c r="Y309" i="10"/>
  <c r="Y310" i="10"/>
  <c r="Y311" i="10"/>
  <c r="Y312" i="10"/>
  <c r="Y313" i="10"/>
  <c r="Y314" i="10"/>
  <c r="Y315" i="10"/>
  <c r="Y316" i="10"/>
  <c r="Y317" i="10"/>
  <c r="Y318" i="10"/>
  <c r="Y319" i="10"/>
  <c r="Y320" i="10"/>
  <c r="Y321" i="10"/>
  <c r="Y322" i="10"/>
  <c r="Y323" i="10"/>
  <c r="Y324" i="10"/>
  <c r="Y325" i="10"/>
  <c r="Y326" i="10"/>
  <c r="Y327" i="10"/>
  <c r="Y328" i="10"/>
  <c r="Y329" i="10"/>
  <c r="Y330" i="10"/>
  <c r="Y331" i="10"/>
  <c r="Y332" i="10"/>
  <c r="Y333" i="10"/>
  <c r="Y334" i="10"/>
  <c r="Y335" i="10"/>
  <c r="Y336" i="10"/>
  <c r="Y337" i="10"/>
  <c r="Y338" i="10"/>
  <c r="Y339" i="10"/>
  <c r="Y340" i="10"/>
  <c r="Y341" i="10"/>
  <c r="Y342" i="10"/>
  <c r="Y343" i="10"/>
  <c r="Y344" i="10"/>
  <c r="Y345" i="10"/>
  <c r="Y346" i="10"/>
  <c r="Y347" i="10"/>
  <c r="AB347" i="10" s="1"/>
  <c r="Y348" i="10"/>
  <c r="Y349" i="10"/>
  <c r="Y350" i="10"/>
  <c r="Y351" i="10"/>
  <c r="AB351" i="10" s="1"/>
  <c r="Y352" i="10"/>
  <c r="Y353" i="10"/>
  <c r="Y354" i="10"/>
  <c r="Y355" i="10"/>
  <c r="Y356" i="10"/>
  <c r="Y357" i="10"/>
  <c r="Y358" i="10"/>
  <c r="Y359" i="10"/>
  <c r="Y360" i="10"/>
  <c r="Y361" i="10"/>
  <c r="Y362" i="10"/>
  <c r="Y363" i="10"/>
  <c r="Z363" i="10" s="1"/>
  <c r="Y364" i="10"/>
  <c r="Y365" i="10"/>
  <c r="Y366" i="10"/>
  <c r="Y367" i="10"/>
  <c r="Y368" i="10"/>
  <c r="Y369" i="10"/>
  <c r="Y370" i="10"/>
  <c r="Y371" i="10"/>
  <c r="Y372" i="10"/>
  <c r="Y373" i="10"/>
  <c r="Y374" i="10"/>
  <c r="Y375" i="10"/>
  <c r="Y376" i="10"/>
  <c r="Y377" i="10"/>
  <c r="Y378" i="10"/>
  <c r="Y379" i="10"/>
  <c r="Y380" i="10"/>
  <c r="Y381" i="10"/>
  <c r="Y382" i="10"/>
  <c r="Y383" i="10"/>
  <c r="Y384" i="10"/>
  <c r="Y385" i="10"/>
  <c r="Y386" i="10"/>
  <c r="Y387" i="10"/>
  <c r="Y388" i="10"/>
  <c r="Y389" i="10"/>
  <c r="Y390" i="10"/>
  <c r="Y391" i="10"/>
  <c r="Y392" i="10"/>
  <c r="Y393" i="10"/>
  <c r="Y394" i="10"/>
  <c r="Y395" i="10"/>
  <c r="Y396" i="10"/>
  <c r="Y397" i="10"/>
  <c r="Y398" i="10"/>
  <c r="Y399" i="10"/>
  <c r="Y400" i="10"/>
  <c r="Y401" i="10"/>
  <c r="Y402" i="10"/>
  <c r="Y403" i="10"/>
  <c r="Y404" i="10"/>
  <c r="Y405" i="10"/>
  <c r="Y406" i="10"/>
  <c r="Y407" i="10"/>
  <c r="Y408" i="10"/>
  <c r="Y409" i="10"/>
  <c r="Y410" i="10"/>
  <c r="Y411" i="10"/>
  <c r="Y412" i="10"/>
  <c r="Y413" i="10"/>
  <c r="Y414" i="10"/>
  <c r="Y415" i="10"/>
  <c r="Y416" i="10"/>
  <c r="Y417" i="10"/>
  <c r="Y418" i="10"/>
  <c r="Y419" i="10"/>
  <c r="Y420" i="10"/>
  <c r="Y421" i="10"/>
  <c r="Y422" i="10"/>
  <c r="Y423" i="10"/>
  <c r="Y424" i="10"/>
  <c r="Y425" i="10"/>
  <c r="Y426" i="10"/>
  <c r="Y427" i="10"/>
  <c r="Y428" i="10"/>
  <c r="Z428" i="10" s="1"/>
  <c r="Y429" i="10"/>
  <c r="Y430" i="10"/>
  <c r="Y431" i="10"/>
  <c r="Y432" i="10"/>
  <c r="Y433" i="10"/>
  <c r="Y434" i="10"/>
  <c r="Y435" i="10"/>
  <c r="Y436" i="10"/>
  <c r="Y437" i="10"/>
  <c r="Y438" i="10"/>
  <c r="Y439" i="10"/>
  <c r="Y440" i="10"/>
  <c r="Y441" i="10"/>
  <c r="Y442" i="10"/>
  <c r="Y443" i="10"/>
  <c r="Y444" i="10"/>
  <c r="Y445" i="10"/>
  <c r="Y446" i="10"/>
  <c r="Y447" i="10"/>
  <c r="Y448" i="10"/>
  <c r="Y449" i="10"/>
  <c r="Y450" i="10"/>
  <c r="Y451" i="10"/>
  <c r="Y452" i="10"/>
  <c r="Y453" i="10"/>
  <c r="Y454" i="10"/>
  <c r="Y455" i="10"/>
  <c r="Y456" i="10"/>
  <c r="Y457" i="10"/>
  <c r="Y458" i="10"/>
  <c r="Y459" i="10"/>
  <c r="Y460" i="10"/>
  <c r="Y461" i="10"/>
  <c r="Y462" i="10"/>
  <c r="Y463" i="10"/>
  <c r="Y464" i="10"/>
  <c r="Y465" i="10"/>
  <c r="Y466" i="10"/>
  <c r="Y467" i="10"/>
  <c r="Y468" i="10"/>
  <c r="Y469" i="10"/>
  <c r="Y470" i="10"/>
  <c r="Y471" i="10"/>
  <c r="Y472" i="10"/>
  <c r="Y473" i="10"/>
  <c r="Y474" i="10"/>
  <c r="Y475" i="10"/>
  <c r="Y476" i="10"/>
  <c r="Y477" i="10"/>
  <c r="Y478" i="10"/>
  <c r="Y479" i="10"/>
  <c r="Y480" i="10"/>
  <c r="Y481" i="10"/>
  <c r="Y482" i="10"/>
  <c r="Y483" i="10"/>
  <c r="Y484" i="10"/>
  <c r="Y485" i="10"/>
  <c r="Y486" i="10"/>
  <c r="Y487" i="10"/>
  <c r="Y488" i="10"/>
  <c r="Y489" i="10"/>
  <c r="Y490" i="10"/>
  <c r="Y491" i="10"/>
  <c r="Y492" i="10"/>
  <c r="Y493" i="10"/>
  <c r="Z493" i="10" s="1"/>
  <c r="Y494" i="10"/>
  <c r="Y495" i="10"/>
  <c r="Y496" i="10"/>
  <c r="Y497" i="10"/>
  <c r="Y498" i="10"/>
  <c r="Y499" i="10"/>
  <c r="Y500" i="10"/>
  <c r="Y501" i="10"/>
  <c r="Y502" i="10"/>
  <c r="Y503" i="10"/>
  <c r="Y504" i="10"/>
  <c r="Y505" i="10"/>
  <c r="Y506" i="10"/>
  <c r="Y507" i="10"/>
  <c r="Y508" i="10"/>
  <c r="Y509" i="10"/>
  <c r="Y510" i="10"/>
  <c r="Y511" i="10"/>
  <c r="Y512" i="10"/>
  <c r="Y513" i="10"/>
  <c r="Y514" i="10"/>
  <c r="Y515" i="10"/>
  <c r="Y516" i="10"/>
  <c r="Y517" i="10"/>
  <c r="Y518" i="10"/>
  <c r="Y519" i="10"/>
  <c r="Y520" i="10"/>
  <c r="Y521" i="10"/>
  <c r="Y522" i="10"/>
  <c r="Y523" i="10"/>
  <c r="Y524" i="10"/>
  <c r="Y525" i="10"/>
  <c r="Y526" i="10"/>
  <c r="Y527" i="10"/>
  <c r="Y528" i="10"/>
  <c r="Y529" i="10"/>
  <c r="Y530" i="10"/>
  <c r="Y531" i="10"/>
  <c r="Y532" i="10"/>
  <c r="Y533" i="10"/>
  <c r="Z533" i="10" s="1"/>
  <c r="Y534" i="10"/>
  <c r="Y535" i="10"/>
  <c r="Y536" i="10"/>
  <c r="Y537" i="10"/>
  <c r="Y538" i="10"/>
  <c r="Y539" i="10"/>
  <c r="Y540" i="10"/>
  <c r="Y541" i="10"/>
  <c r="Y542" i="10"/>
  <c r="Y543" i="10"/>
  <c r="Y544" i="10"/>
  <c r="Y545" i="10"/>
  <c r="Y546" i="10"/>
  <c r="Y547" i="10"/>
  <c r="Y548" i="10"/>
  <c r="Y549" i="10"/>
  <c r="Y550" i="10"/>
  <c r="Y551" i="10"/>
  <c r="Y552" i="10"/>
  <c r="Y553" i="10"/>
  <c r="Y554" i="10"/>
  <c r="Y555" i="10"/>
  <c r="Y556" i="10"/>
  <c r="Y557" i="10"/>
  <c r="Y558" i="10"/>
  <c r="Y559" i="10"/>
  <c r="Y560" i="10"/>
  <c r="Y561" i="10"/>
  <c r="Y562" i="10"/>
  <c r="Y563" i="10"/>
  <c r="Y564" i="10"/>
  <c r="Y565" i="10"/>
  <c r="Y566" i="10"/>
  <c r="Y567" i="10"/>
  <c r="Y568" i="10"/>
  <c r="Y569" i="10"/>
  <c r="Y570" i="10"/>
  <c r="Y571" i="10"/>
  <c r="Y572" i="10"/>
  <c r="Y573" i="10"/>
  <c r="Y574" i="10"/>
  <c r="Y575" i="10"/>
  <c r="Y576" i="10"/>
  <c r="Y577" i="10"/>
  <c r="Y578" i="10"/>
  <c r="Y579" i="10"/>
  <c r="Y580" i="10"/>
  <c r="Y581" i="10"/>
  <c r="Y582" i="10"/>
  <c r="Y583" i="10"/>
  <c r="Y584" i="10"/>
  <c r="Y585" i="10"/>
  <c r="Y586" i="10"/>
  <c r="Y587" i="10"/>
  <c r="Y588" i="10"/>
  <c r="Y589" i="10"/>
  <c r="Y590" i="10"/>
  <c r="Y591" i="10"/>
  <c r="Y592" i="10"/>
  <c r="Y593" i="10"/>
  <c r="Y594" i="10"/>
  <c r="Y595" i="10"/>
  <c r="Y596" i="10"/>
  <c r="Y597" i="10"/>
  <c r="Y598" i="10"/>
  <c r="Y599" i="10"/>
  <c r="Y600" i="10"/>
  <c r="Y601" i="10"/>
  <c r="Y602" i="10"/>
  <c r="Y603" i="10"/>
  <c r="Y604" i="10"/>
  <c r="Y605" i="10"/>
  <c r="Y606" i="10"/>
  <c r="Y607" i="10"/>
  <c r="Y608" i="10"/>
  <c r="Y609" i="10"/>
  <c r="Y611" i="10"/>
  <c r="Z611" i="10" s="1"/>
  <c r="Y612" i="10"/>
  <c r="AB612" i="10" s="1"/>
  <c r="Y613" i="10"/>
  <c r="Y614" i="10"/>
  <c r="Y615" i="10"/>
  <c r="Y616" i="10"/>
  <c r="Y617" i="10"/>
  <c r="Y618" i="10"/>
  <c r="Y619" i="10"/>
  <c r="Y620" i="10"/>
  <c r="Y621" i="10"/>
  <c r="Y622" i="10"/>
  <c r="Y623" i="10"/>
  <c r="Y624" i="10"/>
  <c r="Y625" i="10"/>
  <c r="Y626" i="10"/>
  <c r="Y627" i="10"/>
  <c r="Y628" i="10"/>
  <c r="Y629" i="10"/>
  <c r="Y630" i="10"/>
  <c r="Y631" i="10"/>
  <c r="Y632" i="10"/>
  <c r="Y633" i="10"/>
  <c r="Y634" i="10"/>
  <c r="Y635" i="10"/>
  <c r="Y636" i="10"/>
  <c r="Y637" i="10"/>
  <c r="Y638" i="10"/>
  <c r="Y639" i="10"/>
  <c r="Y640" i="10"/>
  <c r="Y641" i="10"/>
  <c r="Y642" i="10"/>
  <c r="Y643" i="10"/>
  <c r="Y644" i="10"/>
  <c r="Y645" i="10"/>
  <c r="Y646" i="10"/>
  <c r="Y647" i="10"/>
  <c r="Y648" i="10"/>
  <c r="Y649" i="10"/>
  <c r="Y650" i="10"/>
  <c r="Y651" i="10"/>
  <c r="Y652" i="10"/>
  <c r="Y653" i="10"/>
  <c r="Y654" i="10"/>
  <c r="Y655" i="10"/>
  <c r="Y656" i="10"/>
  <c r="Y657" i="10"/>
  <c r="Y658" i="10"/>
  <c r="Y659" i="10"/>
  <c r="Y660" i="10"/>
  <c r="Y661" i="10"/>
  <c r="Y662" i="10"/>
  <c r="Y663" i="10"/>
  <c r="Y664" i="10"/>
  <c r="Y665" i="10"/>
  <c r="Y666" i="10"/>
  <c r="Y667" i="10"/>
  <c r="Y668" i="10"/>
  <c r="Y669" i="10"/>
  <c r="Y670" i="10"/>
  <c r="Y671" i="10"/>
  <c r="Y672" i="10"/>
  <c r="Y673" i="10"/>
  <c r="Y674" i="10"/>
  <c r="Y675" i="10"/>
  <c r="Y676" i="10"/>
  <c r="Y677" i="10"/>
  <c r="Y678" i="10"/>
  <c r="Y679" i="10"/>
  <c r="Y680" i="10"/>
  <c r="Y681" i="10"/>
  <c r="Y682" i="10"/>
  <c r="Y683" i="10"/>
  <c r="Y684" i="10"/>
  <c r="Y685" i="10"/>
  <c r="Y686" i="10"/>
  <c r="Y687" i="10"/>
  <c r="Y688" i="10"/>
  <c r="Y689" i="10"/>
  <c r="Y690" i="10"/>
  <c r="Y691" i="10"/>
  <c r="Y692" i="10"/>
  <c r="Y693" i="10"/>
  <c r="Y694" i="10"/>
  <c r="Y695" i="10"/>
  <c r="Y696" i="10"/>
  <c r="Y697" i="10"/>
  <c r="Y698" i="10"/>
  <c r="Y699" i="10"/>
  <c r="Y700" i="10"/>
  <c r="Y701" i="10"/>
  <c r="Y702" i="10"/>
  <c r="Y703" i="10"/>
  <c r="Y704" i="10"/>
  <c r="Y705" i="10"/>
  <c r="Y706" i="10"/>
  <c r="Y707" i="10"/>
  <c r="Y708" i="10"/>
  <c r="Y709" i="10"/>
  <c r="Y710" i="10"/>
  <c r="Y711" i="10"/>
  <c r="Y712" i="10"/>
  <c r="Y713" i="10"/>
  <c r="Y714" i="10"/>
  <c r="Y715" i="10"/>
  <c r="Y716" i="10"/>
  <c r="Y717" i="10"/>
  <c r="Y718" i="10"/>
  <c r="Y719" i="10"/>
  <c r="Y720" i="10"/>
  <c r="Y721" i="10"/>
  <c r="Y722" i="10"/>
  <c r="Y723" i="10"/>
  <c r="Y724" i="10"/>
  <c r="Y725" i="10"/>
  <c r="Y726" i="10"/>
  <c r="Y727" i="10"/>
  <c r="Y728" i="10"/>
  <c r="Y729" i="10"/>
  <c r="Y730" i="10"/>
  <c r="Y731" i="10"/>
  <c r="Y732" i="10"/>
  <c r="Y733" i="10"/>
  <c r="Y734" i="10"/>
  <c r="Y735" i="10"/>
  <c r="Y736" i="10"/>
  <c r="Y737" i="10"/>
  <c r="Y738" i="10"/>
  <c r="Y739" i="10"/>
  <c r="Y740" i="10"/>
  <c r="Y741" i="10"/>
  <c r="Y3" i="10"/>
  <c r="S742" i="10"/>
  <c r="S798" i="10" s="1"/>
  <c r="N742" i="10"/>
  <c r="G5" i="30"/>
  <c r="G6" i="30"/>
  <c r="G7" i="30"/>
  <c r="G8" i="30"/>
  <c r="G9" i="30"/>
  <c r="H9" i="30" s="1"/>
  <c r="G10" i="30"/>
  <c r="G11" i="30"/>
  <c r="G12" i="30"/>
  <c r="G13" i="30"/>
  <c r="G14" i="30"/>
  <c r="G15" i="30"/>
  <c r="G16" i="30"/>
  <c r="G17" i="30"/>
  <c r="G18" i="30"/>
  <c r="G19" i="30"/>
  <c r="G20" i="30"/>
  <c r="G21" i="30"/>
  <c r="G22" i="30"/>
  <c r="G23" i="30"/>
  <c r="G24" i="30"/>
  <c r="G25" i="30"/>
  <c r="G26" i="30"/>
  <c r="G27" i="30"/>
  <c r="G28" i="30"/>
  <c r="G29" i="30"/>
  <c r="G30" i="30"/>
  <c r="G31" i="30"/>
  <c r="G32" i="30"/>
  <c r="G33" i="30"/>
  <c r="G34" i="30"/>
  <c r="G35" i="30"/>
  <c r="G36" i="30"/>
  <c r="G37" i="30"/>
  <c r="G38" i="30"/>
  <c r="G39" i="30"/>
  <c r="G40" i="30"/>
  <c r="G41" i="30"/>
  <c r="G42" i="30"/>
  <c r="G43" i="30"/>
  <c r="G44" i="30"/>
  <c r="G45" i="30"/>
  <c r="G46" i="30"/>
  <c r="G47" i="30"/>
  <c r="G48" i="30"/>
  <c r="G49" i="30"/>
  <c r="G50" i="30"/>
  <c r="G51" i="30"/>
  <c r="G52" i="30"/>
  <c r="G53" i="30"/>
  <c r="G54" i="30"/>
  <c r="G55" i="30"/>
  <c r="G56" i="30"/>
  <c r="G57" i="30"/>
  <c r="G58" i="30"/>
  <c r="G59" i="30"/>
  <c r="G60" i="30"/>
  <c r="G61" i="30"/>
  <c r="G62" i="30"/>
  <c r="G63" i="30"/>
  <c r="G64" i="30"/>
  <c r="G65" i="30"/>
  <c r="G66" i="30"/>
  <c r="G67" i="30"/>
  <c r="G68" i="30"/>
  <c r="G69" i="30"/>
  <c r="G70" i="30"/>
  <c r="G71" i="30"/>
  <c r="G72" i="30"/>
  <c r="G73" i="30"/>
  <c r="G74" i="30"/>
  <c r="G75" i="30"/>
  <c r="G76" i="30"/>
  <c r="G77" i="30"/>
  <c r="G78" i="30"/>
  <c r="G79" i="30"/>
  <c r="G80" i="30"/>
  <c r="G81" i="30"/>
  <c r="G82" i="30"/>
  <c r="G83" i="30"/>
  <c r="G84" i="30"/>
  <c r="G85" i="30"/>
  <c r="G86" i="30"/>
  <c r="G87" i="30"/>
  <c r="G88" i="30"/>
  <c r="G89" i="30"/>
  <c r="G90" i="30"/>
  <c r="G91" i="30"/>
  <c r="G92" i="30"/>
  <c r="Z614" i="10" l="1"/>
  <c r="AA614" i="10" s="1"/>
  <c r="AB614" i="10"/>
  <c r="Z314" i="10"/>
  <c r="AB314" i="10" s="1"/>
  <c r="Z180" i="10"/>
  <c r="AB180" i="10" s="1"/>
  <c r="Z178" i="10"/>
  <c r="Z311" i="10"/>
  <c r="AB311" i="10" s="1"/>
  <c r="G93" i="30"/>
  <c r="H89" i="30"/>
  <c r="H81" i="30"/>
  <c r="H47" i="30"/>
  <c r="H15" i="30"/>
  <c r="H86" i="30"/>
  <c r="H70" i="30"/>
  <c r="H62" i="30"/>
  <c r="H46" i="30"/>
  <c r="H30" i="30"/>
  <c r="H22" i="30"/>
  <c r="H14" i="30"/>
  <c r="H6" i="30"/>
  <c r="H85" i="30"/>
  <c r="H61" i="30"/>
  <c r="H53" i="30"/>
  <c r="H45" i="30"/>
  <c r="H37" i="30"/>
  <c r="H29" i="30"/>
  <c r="H21" i="30"/>
  <c r="H13" i="30"/>
  <c r="H5" i="30"/>
  <c r="H55" i="30"/>
  <c r="H39" i="30"/>
  <c r="H23" i="30"/>
  <c r="H78" i="30"/>
  <c r="H54" i="30"/>
  <c r="H38" i="30"/>
  <c r="H92" i="30"/>
  <c r="H84" i="30"/>
  <c r="H76" i="30"/>
  <c r="H68" i="30"/>
  <c r="H60" i="30"/>
  <c r="H52" i="30"/>
  <c r="H44" i="30"/>
  <c r="H36" i="30"/>
  <c r="H28" i="30"/>
  <c r="H20" i="30"/>
  <c r="H12" i="30"/>
  <c r="H71" i="30"/>
  <c r="H31" i="30"/>
  <c r="H91" i="30"/>
  <c r="H19" i="30"/>
  <c r="H87" i="30"/>
  <c r="H83" i="30"/>
  <c r="H67" i="30"/>
  <c r="H59" i="30"/>
  <c r="H51" i="30"/>
  <c r="H43" i="30"/>
  <c r="H35" i="30"/>
  <c r="H27" i="30"/>
  <c r="H11" i="30"/>
  <c r="H90" i="30"/>
  <c r="H82" i="30"/>
  <c r="H74" i="30"/>
  <c r="H58" i="30"/>
  <c r="H50" i="30"/>
  <c r="H42" i="30"/>
  <c r="H34" i="30"/>
  <c r="H26" i="30"/>
  <c r="H18" i="30"/>
  <c r="H10" i="30"/>
  <c r="H57" i="30"/>
  <c r="H49" i="30"/>
  <c r="H41" i="30"/>
  <c r="H33" i="30"/>
  <c r="H25" i="30"/>
  <c r="H17" i="30"/>
  <c r="H88" i="30"/>
  <c r="H80" i="30"/>
  <c r="H72" i="30"/>
  <c r="H64" i="30"/>
  <c r="H56" i="30"/>
  <c r="H48" i="30"/>
  <c r="H40" i="30"/>
  <c r="H32" i="30"/>
  <c r="H24" i="30"/>
  <c r="H16" i="30"/>
  <c r="H8" i="30"/>
  <c r="I86" i="30"/>
  <c r="H4" i="30"/>
  <c r="Y742" i="10"/>
  <c r="I57" i="30" l="1"/>
  <c r="I62" i="30"/>
  <c r="I25" i="30"/>
  <c r="I6" i="30"/>
  <c r="I60" i="30"/>
  <c r="I24" i="30"/>
  <c r="I66" i="30"/>
  <c r="I26" i="30"/>
  <c r="I20" i="30"/>
  <c r="I59" i="30"/>
  <c r="I55" i="30"/>
  <c r="I72" i="30"/>
  <c r="I4" i="30"/>
  <c r="I34" i="30"/>
  <c r="I74" i="30"/>
  <c r="I28" i="30"/>
  <c r="I78" i="30"/>
  <c r="I63" i="30"/>
  <c r="I14" i="30"/>
  <c r="I40" i="30"/>
  <c r="I33" i="30"/>
  <c r="I9" i="30"/>
  <c r="I75" i="30"/>
  <c r="I31" i="30"/>
  <c r="I53" i="30"/>
  <c r="I27" i="30"/>
  <c r="I8" i="30"/>
  <c r="I83" i="30"/>
  <c r="I84" i="30"/>
  <c r="I15" i="30"/>
  <c r="I41" i="30"/>
  <c r="I50" i="30"/>
  <c r="I90" i="30"/>
  <c r="I71" i="30"/>
  <c r="I21" i="30"/>
  <c r="I87" i="30"/>
  <c r="I52" i="30"/>
  <c r="I46" i="30"/>
  <c r="I47" i="30"/>
  <c r="I91" i="30"/>
  <c r="I89" i="30"/>
  <c r="I80" i="30"/>
  <c r="I43" i="30"/>
  <c r="I7" i="30"/>
  <c r="I48" i="30"/>
  <c r="I61" i="30"/>
  <c r="I16" i="30"/>
  <c r="I88" i="30"/>
  <c r="I18" i="30"/>
  <c r="I51" i="30"/>
  <c r="I92" i="30"/>
  <c r="I56" i="30"/>
  <c r="I58" i="30"/>
  <c r="I11" i="30"/>
  <c r="I29" i="30"/>
  <c r="I73" i="30"/>
  <c r="I36" i="30"/>
  <c r="I68" i="30"/>
  <c r="I23" i="30"/>
  <c r="I5" i="30"/>
  <c r="I37" i="30"/>
  <c r="I69" i="30"/>
  <c r="I22" i="30"/>
  <c r="I70" i="30"/>
  <c r="I79" i="30"/>
  <c r="I38" i="30"/>
  <c r="I10" i="30"/>
  <c r="I42" i="30"/>
  <c r="I19" i="30"/>
  <c r="I65" i="30"/>
  <c r="I77" i="30"/>
  <c r="I81" i="30"/>
  <c r="I32" i="30"/>
  <c r="I64" i="30"/>
  <c r="I17" i="30"/>
  <c r="I49" i="30"/>
  <c r="I82" i="30"/>
  <c r="I35" i="30"/>
  <c r="I67" i="30"/>
  <c r="I12" i="30"/>
  <c r="I44" i="30"/>
  <c r="I76" i="30"/>
  <c r="I54" i="30"/>
  <c r="I39" i="30"/>
  <c r="I13" i="30"/>
  <c r="I45" i="30"/>
  <c r="I85" i="30"/>
  <c r="I30" i="30"/>
  <c r="E101" i="15"/>
  <c r="E124" i="15"/>
  <c r="E72" i="15"/>
  <c r="AA316" i="10" l="1"/>
  <c r="Z351" i="10"/>
  <c r="AA351" i="10" s="1"/>
  <c r="AA378" i="10"/>
  <c r="AA399" i="10"/>
  <c r="Z410" i="10"/>
  <c r="S847" i="1"/>
  <c r="S784" i="1"/>
  <c r="S783" i="1"/>
  <c r="S782" i="1"/>
  <c r="S781" i="1"/>
  <c r="S780" i="1"/>
  <c r="S779" i="1"/>
  <c r="S778" i="1"/>
  <c r="S777" i="1"/>
  <c r="S776" i="1"/>
  <c r="S775" i="1"/>
  <c r="S759" i="1"/>
  <c r="S758" i="1"/>
  <c r="S753" i="1"/>
  <c r="S743" i="1"/>
  <c r="S725" i="1"/>
  <c r="S710" i="1"/>
  <c r="S709" i="1"/>
  <c r="S708" i="1"/>
  <c r="S707" i="1"/>
  <c r="Z432" i="10" l="1"/>
  <c r="AA314" i="10"/>
  <c r="AA432" i="10" l="1"/>
  <c r="AB432" i="10"/>
  <c r="F40" i="20"/>
  <c r="D40" i="20"/>
  <c r="C40" i="20"/>
  <c r="F39" i="20"/>
  <c r="D39" i="20"/>
  <c r="E34" i="20" s="1"/>
  <c r="C39" i="20"/>
  <c r="T38" i="20"/>
  <c r="S38" i="20"/>
  <c r="R38" i="20"/>
  <c r="Q38" i="20"/>
  <c r="P38" i="20"/>
  <c r="O38" i="20"/>
  <c r="N38" i="20"/>
  <c r="M38" i="20"/>
  <c r="L38" i="20"/>
  <c r="K38" i="20"/>
  <c r="J38" i="20"/>
  <c r="I38" i="20"/>
  <c r="H34" i="20"/>
  <c r="H39" i="20" s="1"/>
  <c r="J34" i="20" s="1"/>
  <c r="H31" i="20"/>
  <c r="G31" i="20"/>
  <c r="D31" i="20"/>
  <c r="C31" i="20"/>
  <c r="H30" i="20"/>
  <c r="I26" i="20" s="1"/>
  <c r="T29" i="20"/>
  <c r="S29" i="20"/>
  <c r="R29" i="20"/>
  <c r="Q29" i="20"/>
  <c r="P29" i="20"/>
  <c r="O29" i="20"/>
  <c r="N29" i="20"/>
  <c r="M29" i="20"/>
  <c r="L29" i="20"/>
  <c r="K29" i="20"/>
  <c r="J29" i="20"/>
  <c r="I29" i="20"/>
  <c r="H29" i="20"/>
  <c r="G29" i="20"/>
  <c r="F29" i="20"/>
  <c r="E29" i="20"/>
  <c r="D29" i="20"/>
  <c r="D30" i="20" s="1"/>
  <c r="E26" i="20" s="1"/>
  <c r="C29" i="20"/>
  <c r="C30" i="20" s="1"/>
  <c r="G27" i="20"/>
  <c r="G30" i="20" s="1"/>
  <c r="H22" i="20"/>
  <c r="G22" i="20"/>
  <c r="F22" i="20"/>
  <c r="E22" i="20"/>
  <c r="D22" i="20"/>
  <c r="D42" i="20" s="1"/>
  <c r="C22" i="20"/>
  <c r="C42" i="20" s="1"/>
  <c r="H21" i="20"/>
  <c r="G21" i="20"/>
  <c r="F21" i="20"/>
  <c r="E21" i="20"/>
  <c r="D21" i="20"/>
  <c r="C21" i="20"/>
  <c r="H20" i="20"/>
  <c r="G20" i="20"/>
  <c r="F20" i="20"/>
  <c r="E20" i="20"/>
  <c r="D20" i="20"/>
  <c r="C20" i="20"/>
  <c r="C19" i="20"/>
  <c r="J17" i="20"/>
  <c r="I17" i="20"/>
  <c r="L17" i="20" s="1"/>
  <c r="T14" i="20"/>
  <c r="S14" i="20"/>
  <c r="R14" i="20"/>
  <c r="Q14" i="20"/>
  <c r="P14" i="20"/>
  <c r="O14" i="20"/>
  <c r="N14" i="20"/>
  <c r="M14" i="20"/>
  <c r="L14" i="20"/>
  <c r="K14" i="20"/>
  <c r="J14" i="20"/>
  <c r="I14" i="20"/>
  <c r="H14" i="20"/>
  <c r="G14" i="20"/>
  <c r="F14" i="20"/>
  <c r="E14" i="20"/>
  <c r="D14" i="20"/>
  <c r="C14" i="20"/>
  <c r="H7" i="20"/>
  <c r="G7" i="20"/>
  <c r="F7" i="20"/>
  <c r="E7" i="20"/>
  <c r="D7" i="20"/>
  <c r="C7" i="20"/>
  <c r="I6" i="20"/>
  <c r="I5" i="20"/>
  <c r="I4" i="20"/>
  <c r="I3" i="20"/>
  <c r="I2" i="20"/>
  <c r="I7" i="20" s="1"/>
  <c r="B8" i="19"/>
  <c r="B7" i="19"/>
  <c r="H5" i="19"/>
  <c r="H3" i="19" s="1"/>
  <c r="G5" i="19"/>
  <c r="G3" i="19" s="1"/>
  <c r="F5" i="19"/>
  <c r="F3" i="19" s="1"/>
  <c r="E5" i="19"/>
  <c r="E3" i="19" s="1"/>
  <c r="H4" i="19"/>
  <c r="H8" i="19" s="1"/>
  <c r="G4" i="19"/>
  <c r="G8" i="19" s="1"/>
  <c r="F4" i="19"/>
  <c r="F8" i="19" s="1"/>
  <c r="E4" i="19"/>
  <c r="E8" i="19" s="1"/>
  <c r="E9" i="19" s="1"/>
  <c r="E10" i="19" s="1"/>
  <c r="D4" i="19"/>
  <c r="D8" i="19" s="1"/>
  <c r="C4" i="19"/>
  <c r="C8" i="19" s="1"/>
  <c r="D3" i="19"/>
  <c r="B9" i="19" l="1"/>
  <c r="B11" i="19" s="1"/>
  <c r="AA410" i="10"/>
  <c r="F9" i="19"/>
  <c r="F10" i="19" s="1"/>
  <c r="G9" i="19"/>
  <c r="G10" i="19" s="1"/>
  <c r="E31" i="20"/>
  <c r="E27" i="20"/>
  <c r="E30" i="20" s="1"/>
  <c r="F26" i="20" s="1"/>
  <c r="I27" i="20"/>
  <c r="I31" i="20"/>
  <c r="I30" i="20"/>
  <c r="J26" i="20" s="1"/>
  <c r="J16" i="20"/>
  <c r="I16" i="20"/>
  <c r="E40" i="20"/>
  <c r="E39" i="20"/>
  <c r="G34" i="20" s="1"/>
  <c r="J40" i="20"/>
  <c r="J39" i="20"/>
  <c r="L34" i="20" s="1"/>
  <c r="H40" i="20"/>
  <c r="H42" i="20" s="1"/>
  <c r="K17" i="20"/>
  <c r="H9" i="19"/>
  <c r="H10" i="19" s="1"/>
  <c r="D9" i="19"/>
  <c r="D10" i="19" s="1"/>
  <c r="C9" i="19"/>
  <c r="C10" i="19" s="1"/>
  <c r="E11" i="19"/>
  <c r="B10" i="19" l="1"/>
  <c r="D11" i="19"/>
  <c r="H11" i="19"/>
  <c r="G11" i="19"/>
  <c r="F11" i="19"/>
  <c r="F27" i="20"/>
  <c r="F30" i="20" s="1"/>
  <c r="F31" i="20"/>
  <c r="F42" i="20" s="1"/>
  <c r="G39" i="20"/>
  <c r="I34" i="20" s="1"/>
  <c r="G40" i="20"/>
  <c r="G42" i="20" s="1"/>
  <c r="L40" i="20"/>
  <c r="L39" i="20"/>
  <c r="N34" i="20" s="1"/>
  <c r="E42" i="20"/>
  <c r="J27" i="20"/>
  <c r="J30" i="20" s="1"/>
  <c r="K26" i="20" s="1"/>
  <c r="J31" i="20"/>
  <c r="N17" i="20"/>
  <c r="M17" i="20"/>
  <c r="I22" i="20"/>
  <c r="C11" i="19"/>
  <c r="K27" i="20" l="1"/>
  <c r="K30" i="20" s="1"/>
  <c r="L26" i="20" s="1"/>
  <c r="K31" i="20"/>
  <c r="P17" i="20"/>
  <c r="S17" i="20" s="1"/>
  <c r="O17" i="20"/>
  <c r="I40" i="20"/>
  <c r="I42" i="20" s="1"/>
  <c r="I39" i="20"/>
  <c r="K34" i="20" s="1"/>
  <c r="N40" i="20"/>
  <c r="N39" i="20"/>
  <c r="P34" i="20" s="1"/>
  <c r="I19" i="20"/>
  <c r="L31" i="20" l="1"/>
  <c r="L30" i="20"/>
  <c r="M26" i="20" s="1"/>
  <c r="L27" i="20"/>
  <c r="K40" i="20"/>
  <c r="K39" i="20"/>
  <c r="M34" i="20" s="1"/>
  <c r="Q17" i="20"/>
  <c r="T17" i="20" s="1"/>
  <c r="R17" i="20"/>
  <c r="I21" i="20"/>
  <c r="I20" i="20"/>
  <c r="P39" i="20"/>
  <c r="R34" i="20" s="1"/>
  <c r="P40" i="20"/>
  <c r="R40" i="20" l="1"/>
  <c r="R39" i="20"/>
  <c r="T34" i="20" s="1"/>
  <c r="J3" i="20"/>
  <c r="J4" i="20"/>
  <c r="J2" i="20"/>
  <c r="J6" i="20"/>
  <c r="J5" i="20"/>
  <c r="M40" i="20"/>
  <c r="M39" i="20"/>
  <c r="O34" i="20" s="1"/>
  <c r="M31" i="20"/>
  <c r="M27" i="20"/>
  <c r="M30" i="20" s="1"/>
  <c r="N26" i="20" s="1"/>
  <c r="N30" i="20" l="1"/>
  <c r="O26" i="20" s="1"/>
  <c r="N31" i="20"/>
  <c r="N27" i="20"/>
  <c r="J7" i="20"/>
  <c r="J22" i="20"/>
  <c r="T39" i="20"/>
  <c r="T40" i="20"/>
  <c r="O39" i="20"/>
  <c r="Q34" i="20" s="1"/>
  <c r="O40" i="20"/>
  <c r="Q39" i="20" l="1"/>
  <c r="S34" i="20" s="1"/>
  <c r="Q40" i="20"/>
  <c r="J42" i="20"/>
  <c r="J19" i="20"/>
  <c r="O27" i="20"/>
  <c r="O30" i="20" s="1"/>
  <c r="P26" i="20" s="1"/>
  <c r="O31" i="20"/>
  <c r="P27" i="20" l="1"/>
  <c r="P30" i="20" s="1"/>
  <c r="Q26" i="20" s="1"/>
  <c r="P31" i="20"/>
  <c r="J21" i="20"/>
  <c r="J20" i="20"/>
  <c r="S40" i="20"/>
  <c r="S39" i="20"/>
  <c r="Q31" i="20" l="1"/>
  <c r="Q27" i="20"/>
  <c r="Q30" i="20" s="1"/>
  <c r="R26" i="20" s="1"/>
  <c r="K2" i="20"/>
  <c r="K3" i="20"/>
  <c r="K4" i="20"/>
  <c r="K6" i="20"/>
  <c r="K5" i="20"/>
  <c r="R27" i="20" l="1"/>
  <c r="R31" i="20"/>
  <c r="R30" i="20"/>
  <c r="S26" i="20" s="1"/>
  <c r="K7" i="20"/>
  <c r="L16" i="20" l="1"/>
  <c r="K16" i="20"/>
  <c r="S27" i="20"/>
  <c r="S31" i="20"/>
  <c r="S30" i="20"/>
  <c r="T26" i="20" s="1"/>
  <c r="T31" i="20" l="1"/>
  <c r="T27" i="20"/>
  <c r="T30" i="20"/>
  <c r="K22" i="20"/>
  <c r="K42" i="20" s="1"/>
  <c r="K19" i="20" l="1"/>
  <c r="K21" i="20" l="1"/>
  <c r="K20" i="20"/>
  <c r="L4" i="20" l="1"/>
  <c r="L3" i="20"/>
  <c r="L5" i="20"/>
  <c r="L2" i="20"/>
  <c r="L6" i="20"/>
  <c r="L22" i="20" l="1"/>
  <c r="L7" i="20"/>
  <c r="L42" i="20" l="1"/>
  <c r="L19" i="20"/>
  <c r="L21" i="20" l="1"/>
  <c r="L20" i="20"/>
  <c r="M3" i="20" l="1"/>
  <c r="M5" i="20"/>
  <c r="M6" i="20"/>
  <c r="M4" i="20"/>
  <c r="M2" i="20"/>
  <c r="M7" i="20" l="1"/>
  <c r="N16" i="20" l="1"/>
  <c r="M16" i="20"/>
  <c r="M19" i="20" l="1"/>
  <c r="M21" i="20" s="1"/>
  <c r="M22" i="20"/>
  <c r="M42" i="20" s="1"/>
  <c r="M20" i="20" l="1"/>
  <c r="N3" i="20"/>
  <c r="N4" i="20"/>
  <c r="N5" i="20"/>
  <c r="N2" i="20"/>
  <c r="N6" i="20"/>
  <c r="N22" i="20" l="1"/>
  <c r="N7" i="20"/>
  <c r="N42" i="20" l="1"/>
  <c r="N19" i="20"/>
  <c r="N21" i="20" l="1"/>
  <c r="N20" i="20"/>
  <c r="O2" i="20" l="1"/>
  <c r="O4" i="20"/>
  <c r="O3" i="20"/>
  <c r="O5" i="20"/>
  <c r="O6" i="20"/>
  <c r="O7" i="20" l="1"/>
  <c r="P16" i="20" l="1"/>
  <c r="O16" i="20"/>
  <c r="O22" i="20" l="1"/>
  <c r="O42" i="20" s="1"/>
  <c r="O19" i="20" l="1"/>
  <c r="O21" i="20" l="1"/>
  <c r="O20" i="20"/>
  <c r="P2" i="20" l="1"/>
  <c r="P4" i="20"/>
  <c r="P6" i="20"/>
  <c r="P5" i="20"/>
  <c r="P3" i="20"/>
  <c r="P22" i="20" l="1"/>
  <c r="P7" i="20"/>
  <c r="P42" i="20" l="1"/>
  <c r="P19" i="20"/>
  <c r="P21" i="20" l="1"/>
  <c r="P20" i="20"/>
  <c r="Q2" i="20" l="1"/>
  <c r="Q4" i="20"/>
  <c r="Q6" i="20"/>
  <c r="Q5" i="20"/>
  <c r="Q3" i="20"/>
  <c r="Q7" i="20" l="1"/>
  <c r="R16" i="20" l="1"/>
  <c r="Q16" i="20"/>
  <c r="Q22" i="20" l="1"/>
  <c r="Q42" i="20" s="1"/>
  <c r="Q19" i="20" l="1"/>
  <c r="Q21" i="20" l="1"/>
  <c r="Q20" i="20"/>
  <c r="R2" i="20" l="1"/>
  <c r="R6" i="20"/>
  <c r="R5" i="20"/>
  <c r="R3" i="20"/>
  <c r="R4" i="20"/>
  <c r="R7" i="20" l="1"/>
  <c r="S16" i="20" s="1"/>
  <c r="R22" i="20"/>
  <c r="R42" i="20" l="1"/>
  <c r="R19" i="20"/>
  <c r="R21" i="20" s="1"/>
  <c r="S2" i="20" s="1"/>
  <c r="S6" i="20" l="1"/>
  <c r="S4" i="20"/>
  <c r="S3" i="20"/>
  <c r="S22" i="20" s="1"/>
  <c r="S5" i="20"/>
  <c r="S42" i="20" l="1"/>
  <c r="S19" i="20"/>
  <c r="S21" i="20" s="1"/>
  <c r="S7" i="20"/>
  <c r="T4" i="20" s="1"/>
  <c r="T16" i="20" l="1"/>
  <c r="T2" i="20"/>
  <c r="T6" i="20"/>
  <c r="T3" i="20"/>
  <c r="T5" i="20"/>
  <c r="T7" i="20" l="1"/>
  <c r="T22" i="20"/>
  <c r="T42" i="20" s="1"/>
  <c r="T19" i="20" l="1"/>
  <c r="T21" i="20" s="1"/>
  <c r="A8" i="18" l="1"/>
  <c r="D7" i="18"/>
  <c r="D6" i="18"/>
  <c r="D5" i="18"/>
  <c r="D4" i="18"/>
  <c r="D8" i="18" s="1"/>
  <c r="D3" i="18"/>
  <c r="D2" i="18"/>
  <c r="E105" i="17" l="1"/>
  <c r="G105" i="17" s="1"/>
  <c r="E104" i="17"/>
  <c r="G104" i="17" s="1"/>
  <c r="E103" i="17"/>
  <c r="G103" i="17" s="1"/>
  <c r="E102" i="17"/>
  <c r="G102" i="17" s="1"/>
  <c r="G106" i="17" s="1"/>
  <c r="G100" i="17"/>
  <c r="E100" i="17"/>
  <c r="E99" i="17"/>
  <c r="G99" i="17" s="1"/>
  <c r="G98" i="17"/>
  <c r="G101" i="17" s="1"/>
  <c r="E98" i="17"/>
  <c r="G96" i="17"/>
  <c r="E96" i="17"/>
  <c r="E95" i="17"/>
  <c r="G95" i="17" s="1"/>
  <c r="E94" i="17"/>
  <c r="G94" i="17" s="1"/>
  <c r="E93" i="17"/>
  <c r="G93" i="17" s="1"/>
  <c r="G92" i="17"/>
  <c r="E92" i="17"/>
  <c r="E91" i="17"/>
  <c r="G91" i="17" s="1"/>
  <c r="E90" i="17"/>
  <c r="G90" i="17" s="1"/>
  <c r="E89" i="17"/>
  <c r="G89" i="17" s="1"/>
  <c r="G88" i="17"/>
  <c r="E88" i="17"/>
  <c r="G87" i="17"/>
  <c r="G86" i="17"/>
  <c r="E85" i="17"/>
  <c r="G85" i="17" s="1"/>
  <c r="E84" i="17"/>
  <c r="G84" i="17" s="1"/>
  <c r="G83" i="17"/>
  <c r="E83" i="17"/>
  <c r="F81" i="17"/>
  <c r="E81" i="17"/>
  <c r="G81" i="17" s="1"/>
  <c r="F80" i="17"/>
  <c r="G80" i="17" s="1"/>
  <c r="G79" i="17"/>
  <c r="F79" i="17"/>
  <c r="G78" i="17"/>
  <c r="F78" i="17"/>
  <c r="F77" i="17"/>
  <c r="G77" i="17" s="1"/>
  <c r="F76" i="17"/>
  <c r="G76" i="17" s="1"/>
  <c r="G75" i="17"/>
  <c r="F75" i="17"/>
  <c r="G74" i="17"/>
  <c r="F74" i="17"/>
  <c r="F73" i="17"/>
  <c r="G73" i="17" s="1"/>
  <c r="F71" i="17"/>
  <c r="G71" i="17" s="1"/>
  <c r="E71" i="17"/>
  <c r="F70" i="17"/>
  <c r="G70" i="17" s="1"/>
  <c r="F69" i="17"/>
  <c r="G69" i="17" s="1"/>
  <c r="G68" i="17"/>
  <c r="F68" i="17"/>
  <c r="G67" i="17"/>
  <c r="F67" i="17"/>
  <c r="F66" i="17"/>
  <c r="G66" i="17" s="1"/>
  <c r="F65" i="17"/>
  <c r="G65" i="17" s="1"/>
  <c r="G64" i="17"/>
  <c r="F64" i="17"/>
  <c r="G62" i="17"/>
  <c r="F62" i="17"/>
  <c r="F61" i="17"/>
  <c r="E61" i="17"/>
  <c r="G61" i="17" s="1"/>
  <c r="F60" i="17"/>
  <c r="G60" i="17" s="1"/>
  <c r="F59" i="17"/>
  <c r="G59" i="17" s="1"/>
  <c r="G58" i="17"/>
  <c r="F58" i="17"/>
  <c r="F57" i="17"/>
  <c r="G57" i="17" s="1"/>
  <c r="F56" i="17"/>
  <c r="G56" i="17" s="1"/>
  <c r="F55" i="17"/>
  <c r="G55" i="17" s="1"/>
  <c r="G54" i="17"/>
  <c r="F54" i="17"/>
  <c r="F53" i="17"/>
  <c r="G53" i="17" s="1"/>
  <c r="F52" i="17"/>
  <c r="G52" i="17" s="1"/>
  <c r="F51" i="17"/>
  <c r="G51" i="17" s="1"/>
  <c r="G50" i="17"/>
  <c r="F50" i="17"/>
  <c r="F49" i="17"/>
  <c r="G49" i="17" s="1"/>
  <c r="F48" i="17"/>
  <c r="G48" i="17" s="1"/>
  <c r="F47" i="17"/>
  <c r="G47" i="17" s="1"/>
  <c r="G46" i="17"/>
  <c r="F46" i="17"/>
  <c r="F45" i="17"/>
  <c r="G45" i="17" s="1"/>
  <c r="F44" i="17"/>
  <c r="G44" i="17" s="1"/>
  <c r="F43" i="17"/>
  <c r="G43" i="17" s="1"/>
  <c r="G42" i="17"/>
  <c r="F42" i="17"/>
  <c r="F41" i="17"/>
  <c r="G41" i="17" s="1"/>
  <c r="F40" i="17"/>
  <c r="G40" i="17" s="1"/>
  <c r="F39" i="17"/>
  <c r="G39" i="17" s="1"/>
  <c r="G37" i="17"/>
  <c r="G36" i="17"/>
  <c r="G34" i="17"/>
  <c r="G35" i="17" s="1"/>
  <c r="G32" i="17"/>
  <c r="G31" i="17"/>
  <c r="G30" i="17"/>
  <c r="G33" i="17" s="1"/>
  <c r="G29" i="17"/>
  <c r="G28" i="17"/>
  <c r="G27" i="17"/>
  <c r="G25" i="17"/>
  <c r="G24" i="17"/>
  <c r="G23" i="17"/>
  <c r="G22" i="17"/>
  <c r="G26" i="17" s="1"/>
  <c r="G21" i="17"/>
  <c r="G20" i="17"/>
  <c r="G19" i="17"/>
  <c r="G17" i="17"/>
  <c r="G16" i="17"/>
  <c r="G15" i="17"/>
  <c r="G18" i="17" s="1"/>
  <c r="G14" i="17"/>
  <c r="G13" i="17"/>
  <c r="G11" i="17"/>
  <c r="G12" i="17" s="1"/>
  <c r="G9" i="17"/>
  <c r="G8" i="17"/>
  <c r="G7" i="17"/>
  <c r="G6" i="17"/>
  <c r="G5" i="17"/>
  <c r="G10" i="17" s="1"/>
  <c r="G3" i="17"/>
  <c r="G2" i="17"/>
  <c r="G4" i="17" s="1"/>
  <c r="E109" i="16"/>
  <c r="G109" i="16" s="1"/>
  <c r="E108" i="16"/>
  <c r="G108" i="16" s="1"/>
  <c r="E107" i="16"/>
  <c r="G107" i="16" s="1"/>
  <c r="G106" i="16"/>
  <c r="G110" i="16" s="1"/>
  <c r="E106" i="16"/>
  <c r="G104" i="16"/>
  <c r="E104" i="16"/>
  <c r="E103" i="16"/>
  <c r="G103" i="16" s="1"/>
  <c r="E102" i="16"/>
  <c r="G102" i="16" s="1"/>
  <c r="E100" i="16"/>
  <c r="G100" i="16" s="1"/>
  <c r="G99" i="16"/>
  <c r="E99" i="16"/>
  <c r="E98" i="16"/>
  <c r="G98" i="16" s="1"/>
  <c r="G97" i="16"/>
  <c r="E97" i="16"/>
  <c r="E96" i="16"/>
  <c r="G96" i="16" s="1"/>
  <c r="G95" i="16"/>
  <c r="E95" i="16"/>
  <c r="E94" i="16"/>
  <c r="G94" i="16" s="1"/>
  <c r="G93" i="16"/>
  <c r="E93" i="16"/>
  <c r="E92" i="16"/>
  <c r="G92" i="16" s="1"/>
  <c r="G91" i="16"/>
  <c r="G90" i="16"/>
  <c r="E89" i="16"/>
  <c r="G89" i="16" s="1"/>
  <c r="G88" i="16"/>
  <c r="E88" i="16"/>
  <c r="E87" i="16"/>
  <c r="G87" i="16" s="1"/>
  <c r="F85" i="16"/>
  <c r="E85" i="16"/>
  <c r="G85" i="16" s="1"/>
  <c r="G84" i="16"/>
  <c r="F84" i="16"/>
  <c r="F83" i="16"/>
  <c r="G83" i="16" s="1"/>
  <c r="G82" i="16"/>
  <c r="F82" i="16"/>
  <c r="F81" i="16"/>
  <c r="G81" i="16" s="1"/>
  <c r="G80" i="16"/>
  <c r="F80" i="16"/>
  <c r="F79" i="16"/>
  <c r="G79" i="16" s="1"/>
  <c r="G78" i="16"/>
  <c r="F78" i="16"/>
  <c r="F77" i="16"/>
  <c r="G77" i="16" s="1"/>
  <c r="G75" i="16"/>
  <c r="F75" i="16"/>
  <c r="E75" i="16"/>
  <c r="G74" i="16"/>
  <c r="F74" i="16"/>
  <c r="F73" i="16"/>
  <c r="G73" i="16" s="1"/>
  <c r="F72" i="16"/>
  <c r="G72" i="16" s="1"/>
  <c r="F71" i="16"/>
  <c r="G71" i="16" s="1"/>
  <c r="G70" i="16"/>
  <c r="F70" i="16"/>
  <c r="F69" i="16"/>
  <c r="G69" i="16" s="1"/>
  <c r="F68" i="16"/>
  <c r="G68" i="16" s="1"/>
  <c r="F66" i="16"/>
  <c r="G66" i="16" s="1"/>
  <c r="G65" i="16"/>
  <c r="F65" i="16"/>
  <c r="E65" i="16"/>
  <c r="F64" i="16"/>
  <c r="G64" i="16" s="1"/>
  <c r="G63" i="16"/>
  <c r="F63" i="16"/>
  <c r="F62" i="16"/>
  <c r="G62" i="16" s="1"/>
  <c r="G61" i="16"/>
  <c r="F61" i="16"/>
  <c r="F60" i="16"/>
  <c r="G60" i="16" s="1"/>
  <c r="G59" i="16"/>
  <c r="F59" i="16"/>
  <c r="F58" i="16"/>
  <c r="G58" i="16" s="1"/>
  <c r="G57" i="16"/>
  <c r="F57" i="16"/>
  <c r="F56" i="16"/>
  <c r="G56" i="16" s="1"/>
  <c r="G55" i="16"/>
  <c r="F55" i="16"/>
  <c r="F54" i="16"/>
  <c r="G54" i="16" s="1"/>
  <c r="G53" i="16"/>
  <c r="F53" i="16"/>
  <c r="F52" i="16"/>
  <c r="G52" i="16" s="1"/>
  <c r="G51" i="16"/>
  <c r="F51" i="16"/>
  <c r="F50" i="16"/>
  <c r="G50" i="16" s="1"/>
  <c r="G49" i="16"/>
  <c r="F49" i="16"/>
  <c r="F48" i="16"/>
  <c r="G48" i="16" s="1"/>
  <c r="G47" i="16"/>
  <c r="F47" i="16"/>
  <c r="F46" i="16"/>
  <c r="G46" i="16" s="1"/>
  <c r="G45" i="16"/>
  <c r="F45" i="16"/>
  <c r="F44" i="16"/>
  <c r="G44" i="16" s="1"/>
  <c r="G43" i="16"/>
  <c r="F43" i="16"/>
  <c r="F42" i="16"/>
  <c r="G42" i="16" s="1"/>
  <c r="G41" i="16"/>
  <c r="F41" i="16"/>
  <c r="F40" i="16"/>
  <c r="G40" i="16" s="1"/>
  <c r="G39" i="16"/>
  <c r="G86" i="16" s="1"/>
  <c r="F39" i="16"/>
  <c r="G36" i="16"/>
  <c r="G37" i="16" s="1"/>
  <c r="G35" i="16"/>
  <c r="G34" i="16"/>
  <c r="G32" i="16"/>
  <c r="G31" i="16"/>
  <c r="G33" i="16" s="1"/>
  <c r="G30" i="16"/>
  <c r="G28" i="16"/>
  <c r="G29" i="16" s="1"/>
  <c r="G27" i="16"/>
  <c r="G25" i="16"/>
  <c r="G24" i="16"/>
  <c r="G23" i="16"/>
  <c r="G26" i="16" s="1"/>
  <c r="G22" i="16"/>
  <c r="G20" i="16"/>
  <c r="G21" i="16" s="1"/>
  <c r="G19" i="16"/>
  <c r="G17" i="16"/>
  <c r="G16" i="16"/>
  <c r="G15" i="16"/>
  <c r="G18" i="16" s="1"/>
  <c r="G13" i="16"/>
  <c r="G14" i="16" s="1"/>
  <c r="G12" i="16"/>
  <c r="G11" i="16"/>
  <c r="G9" i="16"/>
  <c r="G8" i="16"/>
  <c r="G7" i="16"/>
  <c r="G6" i="16"/>
  <c r="G5" i="16"/>
  <c r="G10" i="16" s="1"/>
  <c r="G4" i="16"/>
  <c r="G3" i="16"/>
  <c r="G2" i="16"/>
  <c r="E129" i="15"/>
  <c r="G129" i="15" s="1"/>
  <c r="I129" i="15" s="1"/>
  <c r="E128" i="15"/>
  <c r="G128" i="15" s="1"/>
  <c r="I128" i="15" s="1"/>
  <c r="E127" i="15"/>
  <c r="G127" i="15" s="1"/>
  <c r="I127" i="15" s="1"/>
  <c r="G126" i="15"/>
  <c r="I126" i="15" s="1"/>
  <c r="E126" i="15"/>
  <c r="G125" i="15"/>
  <c r="I125" i="15" s="1"/>
  <c r="E125" i="15"/>
  <c r="G124" i="15"/>
  <c r="E122" i="15"/>
  <c r="G122" i="15" s="1"/>
  <c r="P122" i="15" s="1"/>
  <c r="E121" i="15"/>
  <c r="G121" i="15" s="1"/>
  <c r="I121" i="15" s="1"/>
  <c r="G120" i="15"/>
  <c r="H120" i="15" s="1"/>
  <c r="E120" i="15"/>
  <c r="G119" i="15"/>
  <c r="E119" i="15"/>
  <c r="G117" i="15"/>
  <c r="P117" i="15" s="1"/>
  <c r="E117" i="15"/>
  <c r="P116" i="15"/>
  <c r="O116" i="15"/>
  <c r="G116" i="15"/>
  <c r="E116" i="15"/>
  <c r="G115" i="15"/>
  <c r="P115" i="15" s="1"/>
  <c r="E115" i="15"/>
  <c r="P114" i="15"/>
  <c r="O114" i="15"/>
  <c r="G114" i="15"/>
  <c r="E114" i="15"/>
  <c r="E113" i="15"/>
  <c r="G113" i="15" s="1"/>
  <c r="H113" i="15" s="1"/>
  <c r="E112" i="15"/>
  <c r="G112" i="15" s="1"/>
  <c r="H112" i="15" s="1"/>
  <c r="G111" i="15"/>
  <c r="E111" i="15"/>
  <c r="E110" i="15"/>
  <c r="G110" i="15" s="1"/>
  <c r="H110" i="15" s="1"/>
  <c r="E109" i="15"/>
  <c r="G109" i="15" s="1"/>
  <c r="R109" i="15" s="1"/>
  <c r="K108" i="15"/>
  <c r="G108" i="15"/>
  <c r="E108" i="15"/>
  <c r="G107" i="15"/>
  <c r="N107" i="15" s="1"/>
  <c r="M106" i="15"/>
  <c r="L106" i="15"/>
  <c r="G106" i="15"/>
  <c r="S106" i="15" s="1"/>
  <c r="G105" i="15"/>
  <c r="R105" i="15" s="1"/>
  <c r="E105" i="15"/>
  <c r="E104" i="15"/>
  <c r="G104" i="15" s="1"/>
  <c r="S104" i="15" s="1"/>
  <c r="E103" i="15"/>
  <c r="G103" i="15" s="1"/>
  <c r="F101" i="15"/>
  <c r="S101" i="15"/>
  <c r="S100" i="15"/>
  <c r="R100" i="15"/>
  <c r="Q100" i="15"/>
  <c r="P100" i="15"/>
  <c r="O100" i="15"/>
  <c r="F100" i="15"/>
  <c r="G100" i="15" s="1"/>
  <c r="S99" i="15"/>
  <c r="R99" i="15"/>
  <c r="Q99" i="15"/>
  <c r="P99" i="15"/>
  <c r="O99" i="15"/>
  <c r="G99" i="15"/>
  <c r="F99" i="15"/>
  <c r="S98" i="15"/>
  <c r="R98" i="15"/>
  <c r="Q98" i="15"/>
  <c r="P98" i="15"/>
  <c r="O98" i="15"/>
  <c r="F98" i="15"/>
  <c r="G98" i="15" s="1"/>
  <c r="S97" i="15"/>
  <c r="R97" i="15"/>
  <c r="Q97" i="15"/>
  <c r="P97" i="15"/>
  <c r="O97" i="15"/>
  <c r="F97" i="15"/>
  <c r="G97" i="15" s="1"/>
  <c r="S96" i="15"/>
  <c r="R96" i="15"/>
  <c r="Q96" i="15"/>
  <c r="P96" i="15"/>
  <c r="O96" i="15"/>
  <c r="F96" i="15"/>
  <c r="G96" i="15" s="1"/>
  <c r="S95" i="15"/>
  <c r="R95" i="15"/>
  <c r="Q95" i="15"/>
  <c r="P95" i="15"/>
  <c r="O95" i="15"/>
  <c r="G95" i="15"/>
  <c r="F95" i="15"/>
  <c r="S94" i="15"/>
  <c r="R94" i="15"/>
  <c r="Q94" i="15"/>
  <c r="P94" i="15"/>
  <c r="O94" i="15"/>
  <c r="G94" i="15"/>
  <c r="F94" i="15"/>
  <c r="S93" i="15"/>
  <c r="R93" i="15"/>
  <c r="Q93" i="15"/>
  <c r="P93" i="15"/>
  <c r="O93" i="15"/>
  <c r="F93" i="15"/>
  <c r="G93" i="15" s="1"/>
  <c r="L91" i="15"/>
  <c r="F91" i="15"/>
  <c r="E91" i="15"/>
  <c r="S91" i="15" s="1"/>
  <c r="S90" i="15"/>
  <c r="R90" i="15"/>
  <c r="Q90" i="15"/>
  <c r="P90" i="15"/>
  <c r="O90" i="15"/>
  <c r="N90" i="15"/>
  <c r="M90" i="15"/>
  <c r="L90" i="15"/>
  <c r="K90" i="15"/>
  <c r="J90" i="15"/>
  <c r="I90" i="15"/>
  <c r="H90" i="15"/>
  <c r="F90" i="15"/>
  <c r="G90" i="15" s="1"/>
  <c r="S89" i="15"/>
  <c r="R89" i="15"/>
  <c r="Q89" i="15"/>
  <c r="P89" i="15"/>
  <c r="O89" i="15"/>
  <c r="N89" i="15"/>
  <c r="M89" i="15"/>
  <c r="L89" i="15"/>
  <c r="K89" i="15"/>
  <c r="J89" i="15"/>
  <c r="I89" i="15"/>
  <c r="H89" i="15"/>
  <c r="F89" i="15"/>
  <c r="G89" i="15" s="1"/>
  <c r="S88" i="15"/>
  <c r="R88" i="15"/>
  <c r="Q88" i="15"/>
  <c r="P88" i="15"/>
  <c r="O88" i="15"/>
  <c r="N88" i="15"/>
  <c r="M88" i="15"/>
  <c r="L88" i="15"/>
  <c r="K88" i="15"/>
  <c r="J88" i="15"/>
  <c r="I88" i="15"/>
  <c r="H88" i="15"/>
  <c r="G88" i="15"/>
  <c r="F88" i="15"/>
  <c r="S87" i="15"/>
  <c r="R87" i="15"/>
  <c r="Q87" i="15"/>
  <c r="P87" i="15"/>
  <c r="O87" i="15"/>
  <c r="N87" i="15"/>
  <c r="M87" i="15"/>
  <c r="L87" i="15"/>
  <c r="K87" i="15"/>
  <c r="J87" i="15"/>
  <c r="I87" i="15"/>
  <c r="H87" i="15"/>
  <c r="F87" i="15"/>
  <c r="G87" i="15" s="1"/>
  <c r="S86" i="15"/>
  <c r="R86" i="15"/>
  <c r="Q86" i="15"/>
  <c r="P86" i="15"/>
  <c r="O86" i="15"/>
  <c r="N86" i="15"/>
  <c r="M86" i="15"/>
  <c r="L86" i="15"/>
  <c r="K86" i="15"/>
  <c r="J86" i="15"/>
  <c r="I86" i="15"/>
  <c r="H86" i="15"/>
  <c r="F86" i="15"/>
  <c r="G86" i="15" s="1"/>
  <c r="S85" i="15"/>
  <c r="R85" i="15"/>
  <c r="Q85" i="15"/>
  <c r="P85" i="15"/>
  <c r="O85" i="15"/>
  <c r="N85" i="15"/>
  <c r="M85" i="15"/>
  <c r="L85" i="15"/>
  <c r="K85" i="15"/>
  <c r="J85" i="15"/>
  <c r="I85" i="15"/>
  <c r="H85" i="15"/>
  <c r="F85" i="15"/>
  <c r="G85" i="15" s="1"/>
  <c r="S84" i="15"/>
  <c r="R84" i="15"/>
  <c r="Q84" i="15"/>
  <c r="P84" i="15"/>
  <c r="O84" i="15"/>
  <c r="N84" i="15"/>
  <c r="M84" i="15"/>
  <c r="L84" i="15"/>
  <c r="K84" i="15"/>
  <c r="J84" i="15"/>
  <c r="I84" i="15"/>
  <c r="H84" i="15"/>
  <c r="G84" i="15"/>
  <c r="F84" i="15"/>
  <c r="F82" i="15"/>
  <c r="E82" i="15"/>
  <c r="L82" i="15" s="1"/>
  <c r="S81" i="15"/>
  <c r="R81" i="15"/>
  <c r="Q81" i="15"/>
  <c r="P81" i="15"/>
  <c r="O81" i="15"/>
  <c r="N81" i="15"/>
  <c r="M81" i="15"/>
  <c r="L81" i="15"/>
  <c r="K81" i="15"/>
  <c r="J81" i="15"/>
  <c r="I81" i="15"/>
  <c r="H81" i="15"/>
  <c r="G81" i="15"/>
  <c r="F81" i="15"/>
  <c r="S80" i="15"/>
  <c r="R80" i="15"/>
  <c r="Q80" i="15"/>
  <c r="P80" i="15"/>
  <c r="O80" i="15"/>
  <c r="N80" i="15"/>
  <c r="M80" i="15"/>
  <c r="L80" i="15"/>
  <c r="K80" i="15"/>
  <c r="J80" i="15"/>
  <c r="I80" i="15"/>
  <c r="H80" i="15"/>
  <c r="G80" i="15"/>
  <c r="F80" i="15"/>
  <c r="S79" i="15"/>
  <c r="R79" i="15"/>
  <c r="Q79" i="15"/>
  <c r="P79" i="15"/>
  <c r="O79" i="15"/>
  <c r="N79" i="15"/>
  <c r="M79" i="15"/>
  <c r="L79" i="15"/>
  <c r="K79" i="15"/>
  <c r="J79" i="15"/>
  <c r="I79" i="15"/>
  <c r="H79" i="15"/>
  <c r="F79" i="15"/>
  <c r="G79" i="15" s="1"/>
  <c r="S78" i="15"/>
  <c r="R78" i="15"/>
  <c r="Q78" i="15"/>
  <c r="P78" i="15"/>
  <c r="O78" i="15"/>
  <c r="N78" i="15"/>
  <c r="M78" i="15"/>
  <c r="L78" i="15"/>
  <c r="K78" i="15"/>
  <c r="J78" i="15"/>
  <c r="I78" i="15"/>
  <c r="H78" i="15"/>
  <c r="F78" i="15"/>
  <c r="G78" i="15" s="1"/>
  <c r="S77" i="15"/>
  <c r="R77" i="15"/>
  <c r="Q77" i="15"/>
  <c r="P77" i="15"/>
  <c r="O77" i="15"/>
  <c r="N77" i="15"/>
  <c r="M77" i="15"/>
  <c r="L77" i="15"/>
  <c r="K77" i="15"/>
  <c r="J77" i="15"/>
  <c r="I77" i="15"/>
  <c r="H77" i="15"/>
  <c r="G77" i="15"/>
  <c r="F77" i="15"/>
  <c r="S76" i="15"/>
  <c r="R76" i="15"/>
  <c r="Q76" i="15"/>
  <c r="P76" i="15"/>
  <c r="O76" i="15"/>
  <c r="N76" i="15"/>
  <c r="M76" i="15"/>
  <c r="L76" i="15"/>
  <c r="K76" i="15"/>
  <c r="J76" i="15"/>
  <c r="I76" i="15"/>
  <c r="H76" i="15"/>
  <c r="G76" i="15"/>
  <c r="F76" i="15"/>
  <c r="S75" i="15"/>
  <c r="R75" i="15"/>
  <c r="Q75" i="15"/>
  <c r="P75" i="15"/>
  <c r="O75" i="15"/>
  <c r="N75" i="15"/>
  <c r="M75" i="15"/>
  <c r="L75" i="15"/>
  <c r="K75" i="15"/>
  <c r="J75" i="15"/>
  <c r="I75" i="15"/>
  <c r="H75" i="15"/>
  <c r="F75" i="15"/>
  <c r="G75" i="15" s="1"/>
  <c r="S73" i="15"/>
  <c r="R73" i="15"/>
  <c r="Q73" i="15"/>
  <c r="P73" i="15"/>
  <c r="O73" i="15"/>
  <c r="G73" i="15"/>
  <c r="F73" i="15"/>
  <c r="F72" i="15"/>
  <c r="L72" i="15"/>
  <c r="F71" i="15"/>
  <c r="G71" i="15" s="1"/>
  <c r="S70" i="15"/>
  <c r="R70" i="15"/>
  <c r="Q70" i="15"/>
  <c r="P70" i="15"/>
  <c r="O70" i="15"/>
  <c r="N70" i="15"/>
  <c r="M70" i="15"/>
  <c r="L70" i="15"/>
  <c r="K70" i="15"/>
  <c r="J70" i="15"/>
  <c r="I70" i="15"/>
  <c r="H70" i="15"/>
  <c r="F70" i="15"/>
  <c r="G70" i="15" s="1"/>
  <c r="F69" i="15"/>
  <c r="G69" i="15" s="1"/>
  <c r="S68" i="15"/>
  <c r="R68" i="15"/>
  <c r="Q68" i="15"/>
  <c r="P68" i="15"/>
  <c r="O68" i="15"/>
  <c r="N68" i="15"/>
  <c r="M68" i="15"/>
  <c r="L68" i="15"/>
  <c r="K68" i="15"/>
  <c r="J68" i="15"/>
  <c r="I68" i="15"/>
  <c r="H68" i="15"/>
  <c r="F68" i="15"/>
  <c r="G68" i="15" s="1"/>
  <c r="S67" i="15"/>
  <c r="R67" i="15"/>
  <c r="Q67" i="15"/>
  <c r="P67" i="15"/>
  <c r="O67" i="15"/>
  <c r="N67" i="15"/>
  <c r="M67" i="15"/>
  <c r="L67" i="15"/>
  <c r="K67" i="15"/>
  <c r="J67" i="15"/>
  <c r="I67" i="15"/>
  <c r="H67" i="15"/>
  <c r="G67" i="15"/>
  <c r="F67" i="15"/>
  <c r="S66" i="15"/>
  <c r="R66" i="15"/>
  <c r="Q66" i="15"/>
  <c r="P66" i="15"/>
  <c r="O66" i="15"/>
  <c r="N66" i="15"/>
  <c r="M66" i="15"/>
  <c r="L66" i="15"/>
  <c r="K66" i="15"/>
  <c r="J66" i="15"/>
  <c r="I66" i="15"/>
  <c r="H66" i="15"/>
  <c r="G66" i="15"/>
  <c r="F66" i="15"/>
  <c r="G65" i="15"/>
  <c r="F65" i="15"/>
  <c r="F64" i="15"/>
  <c r="G64" i="15" s="1"/>
  <c r="S63" i="15"/>
  <c r="R63" i="15"/>
  <c r="Q63" i="15"/>
  <c r="P63" i="15"/>
  <c r="O63" i="15"/>
  <c r="N63" i="15"/>
  <c r="M63" i="15"/>
  <c r="L63" i="15"/>
  <c r="K63" i="15"/>
  <c r="J63" i="15"/>
  <c r="I63" i="15"/>
  <c r="H63" i="15"/>
  <c r="G63" i="15"/>
  <c r="F63" i="15"/>
  <c r="S62" i="15"/>
  <c r="R62" i="15"/>
  <c r="Q62" i="15"/>
  <c r="P62" i="15"/>
  <c r="O62" i="15"/>
  <c r="N62" i="15"/>
  <c r="M62" i="15"/>
  <c r="L62" i="15"/>
  <c r="K62" i="15"/>
  <c r="J62" i="15"/>
  <c r="I62" i="15"/>
  <c r="H62" i="15"/>
  <c r="G62" i="15"/>
  <c r="F62" i="15"/>
  <c r="S61" i="15"/>
  <c r="R61" i="15"/>
  <c r="Q61" i="15"/>
  <c r="P61" i="15"/>
  <c r="O61" i="15"/>
  <c r="N61" i="15"/>
  <c r="M61" i="15"/>
  <c r="L61" i="15"/>
  <c r="K61" i="15"/>
  <c r="J61" i="15"/>
  <c r="I61" i="15"/>
  <c r="H61" i="15"/>
  <c r="F61" i="15"/>
  <c r="G61" i="15" s="1"/>
  <c r="G60" i="15"/>
  <c r="F60" i="15"/>
  <c r="G59" i="15"/>
  <c r="F59" i="15"/>
  <c r="S58" i="15"/>
  <c r="R58" i="15"/>
  <c r="Q58" i="15"/>
  <c r="P58" i="15"/>
  <c r="O58" i="15"/>
  <c r="N58" i="15"/>
  <c r="M58" i="15"/>
  <c r="L58" i="15"/>
  <c r="K58" i="15"/>
  <c r="J58" i="15"/>
  <c r="I58" i="15"/>
  <c r="H58" i="15"/>
  <c r="F58" i="15"/>
  <c r="G58" i="15" s="1"/>
  <c r="S57" i="15"/>
  <c r="R57" i="15"/>
  <c r="Q57" i="15"/>
  <c r="P57" i="15"/>
  <c r="O57" i="15"/>
  <c r="N57" i="15"/>
  <c r="M57" i="15"/>
  <c r="L57" i="15"/>
  <c r="K57" i="15"/>
  <c r="J57" i="15"/>
  <c r="I57" i="15"/>
  <c r="H57" i="15"/>
  <c r="F57" i="15"/>
  <c r="G57" i="15" s="1"/>
  <c r="F56" i="15"/>
  <c r="G56" i="15" s="1"/>
  <c r="S55" i="15"/>
  <c r="R55" i="15"/>
  <c r="Q55" i="15"/>
  <c r="P55" i="15"/>
  <c r="O55" i="15"/>
  <c r="N55" i="15"/>
  <c r="M55" i="15"/>
  <c r="L55" i="15"/>
  <c r="K55" i="15"/>
  <c r="J55" i="15"/>
  <c r="I55" i="15"/>
  <c r="H55" i="15"/>
  <c r="F55" i="15"/>
  <c r="G55" i="15" s="1"/>
  <c r="S54" i="15"/>
  <c r="R54" i="15"/>
  <c r="Q54" i="15"/>
  <c r="P54" i="15"/>
  <c r="O54" i="15"/>
  <c r="N54" i="15"/>
  <c r="M54" i="15"/>
  <c r="L54" i="15"/>
  <c r="K54" i="15"/>
  <c r="J54" i="15"/>
  <c r="I54" i="15"/>
  <c r="H54" i="15"/>
  <c r="F54" i="15"/>
  <c r="G54" i="15" s="1"/>
  <c r="F53" i="15"/>
  <c r="G53" i="15" s="1"/>
  <c r="F52" i="15"/>
  <c r="G52" i="15" s="1"/>
  <c r="M51" i="15"/>
  <c r="L51" i="15"/>
  <c r="K51" i="15"/>
  <c r="J51" i="15"/>
  <c r="I51" i="15"/>
  <c r="H51" i="15"/>
  <c r="F51" i="15"/>
  <c r="G51" i="15" s="1"/>
  <c r="M50" i="15"/>
  <c r="L50" i="15"/>
  <c r="K50" i="15"/>
  <c r="J50" i="15"/>
  <c r="I50" i="15"/>
  <c r="H50" i="15"/>
  <c r="F50" i="15"/>
  <c r="G50" i="15" s="1"/>
  <c r="M49" i="15"/>
  <c r="L49" i="15"/>
  <c r="K49" i="15"/>
  <c r="J49" i="15"/>
  <c r="I49" i="15"/>
  <c r="H49" i="15"/>
  <c r="F49" i="15"/>
  <c r="G49" i="15" s="1"/>
  <c r="M48" i="15"/>
  <c r="L48" i="15"/>
  <c r="K48" i="15"/>
  <c r="J48" i="15"/>
  <c r="I48" i="15"/>
  <c r="H48" i="15"/>
  <c r="F48" i="15"/>
  <c r="G48" i="15" s="1"/>
  <c r="M47" i="15"/>
  <c r="L47" i="15"/>
  <c r="K47" i="15"/>
  <c r="J47" i="15"/>
  <c r="I47" i="15"/>
  <c r="H47" i="15"/>
  <c r="F47" i="15"/>
  <c r="G47" i="15" s="1"/>
  <c r="G46" i="15"/>
  <c r="F46" i="15"/>
  <c r="M45" i="15"/>
  <c r="L45" i="15"/>
  <c r="K45" i="15"/>
  <c r="J45" i="15"/>
  <c r="I45" i="15"/>
  <c r="H45" i="15"/>
  <c r="G45" i="15"/>
  <c r="F45" i="15"/>
  <c r="M44" i="15"/>
  <c r="L44" i="15"/>
  <c r="K44" i="15"/>
  <c r="J44" i="15"/>
  <c r="I44" i="15"/>
  <c r="H44" i="15"/>
  <c r="G44" i="15"/>
  <c r="F44" i="15"/>
  <c r="M43" i="15"/>
  <c r="L43" i="15"/>
  <c r="K43" i="15"/>
  <c r="J43" i="15"/>
  <c r="I43" i="15"/>
  <c r="H43" i="15"/>
  <c r="G43" i="15"/>
  <c r="F43" i="15"/>
  <c r="M42" i="15"/>
  <c r="L42" i="15"/>
  <c r="K42" i="15"/>
  <c r="J42" i="15"/>
  <c r="I42" i="15"/>
  <c r="H42" i="15"/>
  <c r="G42" i="15"/>
  <c r="F42" i="15"/>
  <c r="S41" i="15"/>
  <c r="R41" i="15"/>
  <c r="Q41" i="15"/>
  <c r="P41" i="15"/>
  <c r="O41" i="15"/>
  <c r="N41" i="15"/>
  <c r="M41" i="15"/>
  <c r="L41" i="15"/>
  <c r="K41" i="15"/>
  <c r="J41" i="15"/>
  <c r="I41" i="15"/>
  <c r="H41" i="15"/>
  <c r="F41" i="15"/>
  <c r="G41" i="15" s="1"/>
  <c r="S40" i="15"/>
  <c r="R40" i="15"/>
  <c r="Q40" i="15"/>
  <c r="P40" i="15"/>
  <c r="O40" i="15"/>
  <c r="N40" i="15"/>
  <c r="M40" i="15"/>
  <c r="L40" i="15"/>
  <c r="K40" i="15"/>
  <c r="J40" i="15"/>
  <c r="I40" i="15"/>
  <c r="H40" i="15"/>
  <c r="F40" i="15"/>
  <c r="G40" i="15" s="1"/>
  <c r="S39" i="15"/>
  <c r="R39" i="15"/>
  <c r="Q39" i="15"/>
  <c r="P39" i="15"/>
  <c r="O39" i="15"/>
  <c r="N39" i="15"/>
  <c r="M39" i="15"/>
  <c r="L39" i="15"/>
  <c r="K39" i="15"/>
  <c r="J39" i="15"/>
  <c r="I39" i="15"/>
  <c r="H39" i="15"/>
  <c r="F39" i="15"/>
  <c r="G39" i="15" s="1"/>
  <c r="N36" i="15"/>
  <c r="M36" i="15"/>
  <c r="G36" i="15"/>
  <c r="G37" i="15" s="1"/>
  <c r="G35" i="15"/>
  <c r="S34" i="15"/>
  <c r="P34" i="15"/>
  <c r="N34" i="15"/>
  <c r="L34" i="15"/>
  <c r="K34" i="15"/>
  <c r="J34" i="15"/>
  <c r="H34" i="15"/>
  <c r="G34" i="15"/>
  <c r="R34" i="15" s="1"/>
  <c r="R32" i="15"/>
  <c r="Q32" i="15"/>
  <c r="J32" i="15"/>
  <c r="I32" i="15"/>
  <c r="G32" i="15"/>
  <c r="P32" i="15" s="1"/>
  <c r="N31" i="15"/>
  <c r="M31" i="15"/>
  <c r="G31" i="15"/>
  <c r="L31" i="15" s="1"/>
  <c r="S30" i="15"/>
  <c r="R30" i="15"/>
  <c r="K30" i="15"/>
  <c r="J30" i="15"/>
  <c r="G30" i="15"/>
  <c r="Q30" i="15" s="1"/>
  <c r="Q28" i="15"/>
  <c r="P28" i="15"/>
  <c r="L28" i="15"/>
  <c r="I28" i="15"/>
  <c r="H28" i="15"/>
  <c r="G28" i="15"/>
  <c r="O28" i="15" s="1"/>
  <c r="Q27" i="15"/>
  <c r="N27" i="15"/>
  <c r="M27" i="15"/>
  <c r="I27" i="15"/>
  <c r="H27" i="15"/>
  <c r="G27" i="15"/>
  <c r="L27" i="15" s="1"/>
  <c r="P25" i="15"/>
  <c r="G25" i="15"/>
  <c r="K25" i="15" s="1"/>
  <c r="G24" i="15"/>
  <c r="P24" i="15" s="1"/>
  <c r="N23" i="15"/>
  <c r="G23" i="15"/>
  <c r="I23" i="15" s="1"/>
  <c r="G22" i="15"/>
  <c r="N22" i="15" s="1"/>
  <c r="G20" i="15"/>
  <c r="I20" i="15" s="1"/>
  <c r="G19" i="15"/>
  <c r="I19" i="15" s="1"/>
  <c r="G18" i="15"/>
  <c r="G17" i="15"/>
  <c r="R16" i="15"/>
  <c r="G16" i="15"/>
  <c r="O15" i="15"/>
  <c r="H15" i="15"/>
  <c r="G15" i="15"/>
  <c r="N13" i="15"/>
  <c r="G13" i="15"/>
  <c r="M13" i="15" s="1"/>
  <c r="G12" i="15"/>
  <c r="M11" i="15"/>
  <c r="L11" i="15"/>
  <c r="I11" i="15"/>
  <c r="G11" i="15"/>
  <c r="S11" i="15" s="1"/>
  <c r="O9" i="15"/>
  <c r="J9" i="15"/>
  <c r="G9" i="15"/>
  <c r="G8" i="15"/>
  <c r="O8" i="15" s="1"/>
  <c r="G7" i="15"/>
  <c r="O7" i="15" s="1"/>
  <c r="O6" i="15"/>
  <c r="G6" i="15"/>
  <c r="N6" i="15" s="1"/>
  <c r="G5" i="15"/>
  <c r="G10" i="15" s="1"/>
  <c r="G3" i="15"/>
  <c r="G2" i="15"/>
  <c r="G4" i="15" s="1"/>
  <c r="G82" i="17" l="1"/>
  <c r="G108" i="17" s="1"/>
  <c r="G97" i="17"/>
  <c r="G101" i="16"/>
  <c r="G112" i="16"/>
  <c r="G105" i="16"/>
  <c r="G123" i="15"/>
  <c r="G118" i="15"/>
  <c r="L103" i="15"/>
  <c r="G130" i="15"/>
  <c r="O13" i="15"/>
  <c r="G26" i="15"/>
  <c r="N72" i="15"/>
  <c r="N82" i="15"/>
  <c r="M91" i="15"/>
  <c r="K105" i="15"/>
  <c r="H107" i="15"/>
  <c r="P107" i="15"/>
  <c r="H119" i="15"/>
  <c r="J7" i="15"/>
  <c r="N11" i="15"/>
  <c r="H13" i="15"/>
  <c r="P13" i="15"/>
  <c r="G21" i="15"/>
  <c r="J24" i="15"/>
  <c r="O27" i="15"/>
  <c r="J28" i="15"/>
  <c r="R28" i="15"/>
  <c r="L30" i="15"/>
  <c r="O31" i="15"/>
  <c r="K32" i="15"/>
  <c r="S32" i="15"/>
  <c r="M34" i="15"/>
  <c r="O36" i="15"/>
  <c r="G72" i="15"/>
  <c r="G102" i="15" s="1"/>
  <c r="O72" i="15"/>
  <c r="G82" i="15"/>
  <c r="O82" i="15"/>
  <c r="N91" i="15"/>
  <c r="G101" i="15"/>
  <c r="N106" i="15"/>
  <c r="I107" i="15"/>
  <c r="Q107" i="15"/>
  <c r="M72" i="15"/>
  <c r="M82" i="15"/>
  <c r="O107" i="15"/>
  <c r="O11" i="15"/>
  <c r="I13" i="15"/>
  <c r="Q13" i="15"/>
  <c r="K24" i="15"/>
  <c r="P27" i="15"/>
  <c r="K28" i="15"/>
  <c r="S28" i="15"/>
  <c r="M30" i="15"/>
  <c r="H31" i="15"/>
  <c r="P31" i="15"/>
  <c r="L32" i="15"/>
  <c r="G33" i="15"/>
  <c r="H36" i="15"/>
  <c r="P36" i="15"/>
  <c r="H72" i="15"/>
  <c r="P72" i="15"/>
  <c r="H82" i="15"/>
  <c r="P82" i="15"/>
  <c r="G91" i="15"/>
  <c r="O91" i="15"/>
  <c r="O101" i="15"/>
  <c r="O106" i="15"/>
  <c r="J107" i="15"/>
  <c r="R107" i="15"/>
  <c r="H11" i="15"/>
  <c r="P11" i="15"/>
  <c r="J13" i="15"/>
  <c r="R13" i="15"/>
  <c r="I22" i="15"/>
  <c r="G29" i="15"/>
  <c r="N30" i="15"/>
  <c r="I31" i="15"/>
  <c r="Q31" i="15"/>
  <c r="M32" i="15"/>
  <c r="O34" i="15"/>
  <c r="I36" i="15"/>
  <c r="Q36" i="15"/>
  <c r="I72" i="15"/>
  <c r="Q72" i="15"/>
  <c r="I82" i="15"/>
  <c r="Q82" i="15"/>
  <c r="H91" i="15"/>
  <c r="P91" i="15"/>
  <c r="P101" i="15"/>
  <c r="H106" i="15"/>
  <c r="P106" i="15"/>
  <c r="K107" i="15"/>
  <c r="S107" i="15"/>
  <c r="O115" i="15"/>
  <c r="O117" i="15"/>
  <c r="J8" i="15"/>
  <c r="Q11" i="15"/>
  <c r="K13" i="15"/>
  <c r="S13" i="15"/>
  <c r="J27" i="15"/>
  <c r="R27" i="15"/>
  <c r="M28" i="15"/>
  <c r="O30" i="15"/>
  <c r="J31" i="15"/>
  <c r="R31" i="15"/>
  <c r="N32" i="15"/>
  <c r="J36" i="15"/>
  <c r="R36" i="15"/>
  <c r="J72" i="15"/>
  <c r="R72" i="15"/>
  <c r="J82" i="15"/>
  <c r="R82" i="15"/>
  <c r="I91" i="15"/>
  <c r="Q91" i="15"/>
  <c r="Q101" i="15"/>
  <c r="I106" i="15"/>
  <c r="Q106" i="15"/>
  <c r="L107" i="15"/>
  <c r="J11" i="15"/>
  <c r="R11" i="15"/>
  <c r="L13" i="15"/>
  <c r="G14" i="15"/>
  <c r="G132" i="15" s="1"/>
  <c r="J25" i="15"/>
  <c r="K27" i="15"/>
  <c r="S27" i="15"/>
  <c r="N28" i="15"/>
  <c r="H30" i="15"/>
  <c r="P30" i="15"/>
  <c r="K31" i="15"/>
  <c r="S31" i="15"/>
  <c r="O32" i="15"/>
  <c r="I34" i="15"/>
  <c r="Q34" i="15"/>
  <c r="K36" i="15"/>
  <c r="S36" i="15"/>
  <c r="K72" i="15"/>
  <c r="S72" i="15"/>
  <c r="K82" i="15"/>
  <c r="S82" i="15"/>
  <c r="J91" i="15"/>
  <c r="R91" i="15"/>
  <c r="R101" i="15"/>
  <c r="J106" i="15"/>
  <c r="R106" i="15"/>
  <c r="M107" i="15"/>
  <c r="I124" i="15"/>
  <c r="K11" i="15"/>
  <c r="I30" i="15"/>
  <c r="L36" i="15"/>
  <c r="K91" i="15"/>
  <c r="K106" i="15"/>
  <c r="M742" i="10" l="1"/>
  <c r="O742" i="10"/>
  <c r="T742" i="10"/>
  <c r="U742" i="10"/>
  <c r="V742" i="10"/>
  <c r="W742" i="10"/>
  <c r="X742" i="10"/>
  <c r="K742" i="10"/>
  <c r="AC3" i="1" l="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4" i="1"/>
  <c r="AC175" i="1"/>
  <c r="AC176" i="1"/>
  <c r="AC178" i="1"/>
  <c r="AC179" i="1"/>
  <c r="AC180" i="1"/>
  <c r="AC181" i="1"/>
  <c r="AC183" i="1"/>
  <c r="AC184"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4" i="1"/>
  <c r="AB175" i="1"/>
  <c r="AB176" i="1"/>
  <c r="AB178" i="1"/>
  <c r="AB179" i="1"/>
  <c r="AB180" i="1"/>
  <c r="AB181" i="1"/>
  <c r="AB183" i="1"/>
  <c r="AB184"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4" i="1"/>
  <c r="AA175" i="1"/>
  <c r="AA176" i="1"/>
  <c r="AA178" i="1"/>
  <c r="AA179" i="1"/>
  <c r="AA180" i="1"/>
  <c r="AA181" i="1"/>
  <c r="AA183" i="1"/>
  <c r="AA184"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2" i="2"/>
  <c r="A693" i="2" l="1"/>
  <c r="A917" i="1"/>
  <c r="A655" i="3"/>
  <c r="B684" i="2" l="1"/>
  <c r="B909" i="1"/>
  <c r="B647" i="3"/>
  <c r="AS581" i="1" l="1"/>
  <c r="AS580" i="1"/>
  <c r="AS579" i="1"/>
  <c r="AS578" i="1"/>
  <c r="C688" i="2" l="1"/>
  <c r="E678" i="2" l="1"/>
  <c r="Y3" i="2" l="1"/>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658" i="2"/>
  <c r="Y2" i="2"/>
  <c r="D684" i="2"/>
  <c r="C684" i="2"/>
  <c r="O2" i="3" l="1"/>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B682" i="2"/>
  <c r="B685" i="2" s="1"/>
  <c r="B645" i="3" l="1"/>
  <c r="B910" i="1" l="1"/>
  <c r="B648" i="3" l="1"/>
  <c r="U301" i="2" l="1"/>
  <c r="Y301" i="2" s="1"/>
  <c r="X276" i="1" l="1"/>
  <c r="AC276" i="1" l="1"/>
  <c r="AA276" i="1"/>
  <c r="AB276" i="1"/>
  <c r="AS359" i="1" l="1"/>
  <c r="AS358" i="1"/>
  <c r="AS357" i="1"/>
  <c r="AS356" i="1"/>
  <c r="AS355" i="1"/>
  <c r="AS354" i="1"/>
  <c r="AS353" i="1"/>
  <c r="AS352" i="1"/>
  <c r="AS351" i="1"/>
  <c r="AS350" i="1"/>
  <c r="AS349" i="1"/>
  <c r="AS348" i="1"/>
  <c r="AS347" i="1"/>
  <c r="AS346" i="1"/>
  <c r="AS345" i="1"/>
  <c r="AS344" i="1"/>
  <c r="AS343" i="1"/>
  <c r="AS342" i="1"/>
  <c r="AS341" i="1"/>
  <c r="AS340" i="1"/>
  <c r="AS339" i="1"/>
  <c r="AS338" i="1"/>
  <c r="AS337" i="1"/>
  <c r="AS336" i="1"/>
  <c r="AS335" i="1"/>
  <c r="AS334" i="1"/>
  <c r="AS333" i="1"/>
  <c r="AS332" i="1"/>
  <c r="AS331" i="1"/>
  <c r="AS330" i="1"/>
  <c r="AS329" i="1"/>
  <c r="AS328" i="1"/>
  <c r="AS327" i="1"/>
  <c r="AS326" i="1"/>
  <c r="AS325" i="1"/>
  <c r="AS324" i="1"/>
  <c r="AS323" i="1"/>
  <c r="AS322" i="1"/>
  <c r="AS321" i="1"/>
  <c r="AS320" i="1"/>
  <c r="AS319" i="1"/>
  <c r="AS318" i="1"/>
  <c r="AS317" i="1"/>
  <c r="AS316" i="1"/>
  <c r="AS315" i="1"/>
  <c r="AS314" i="1"/>
  <c r="AS313" i="1"/>
  <c r="AS312" i="1"/>
  <c r="AS311" i="1"/>
  <c r="AS310" i="1"/>
  <c r="AS309" i="1"/>
  <c r="AS308" i="1"/>
  <c r="AS307" i="1"/>
  <c r="AS306" i="1"/>
  <c r="AS305" i="1"/>
  <c r="AS304" i="1"/>
  <c r="AS303" i="1"/>
  <c r="AS302" i="1"/>
  <c r="AS301" i="1"/>
  <c r="AS300" i="1"/>
  <c r="AS299" i="1"/>
  <c r="AS298" i="1"/>
  <c r="AS297" i="1"/>
  <c r="AS296" i="1"/>
  <c r="AS295" i="1"/>
  <c r="AS294" i="1"/>
  <c r="AS293" i="1"/>
  <c r="AS292" i="1"/>
  <c r="AS291" i="1"/>
  <c r="AS290" i="1"/>
  <c r="AS289" i="1"/>
  <c r="AS288" i="1"/>
  <c r="AS287" i="1"/>
  <c r="AS286" i="1"/>
  <c r="AS285" i="1"/>
  <c r="AS284" i="1"/>
  <c r="AS283" i="1"/>
  <c r="AS282" i="1"/>
  <c r="AS281" i="1"/>
  <c r="AS280" i="1"/>
  <c r="AS279" i="1"/>
  <c r="AS278" i="1"/>
  <c r="AS277" i="1"/>
  <c r="AS276" i="1"/>
  <c r="AS275" i="1"/>
  <c r="U186" i="3" l="1"/>
  <c r="U185" i="3"/>
  <c r="U184" i="3"/>
  <c r="U183" i="3"/>
  <c r="U182" i="3"/>
  <c r="U181" i="3"/>
  <c r="U180" i="3"/>
  <c r="U179" i="3"/>
  <c r="U178" i="3"/>
  <c r="U177" i="3"/>
  <c r="U176" i="3"/>
  <c r="U175" i="3"/>
  <c r="U174" i="3"/>
  <c r="U173" i="3"/>
  <c r="U172" i="3"/>
  <c r="U171" i="3"/>
  <c r="U170" i="3"/>
  <c r="U169" i="3"/>
  <c r="U168" i="3"/>
  <c r="U167" i="3"/>
  <c r="U166" i="3"/>
  <c r="U165" i="3"/>
  <c r="U164" i="3"/>
  <c r="U163" i="3"/>
  <c r="U162" i="3"/>
  <c r="U161" i="3"/>
  <c r="U160" i="3"/>
  <c r="U159" i="3"/>
  <c r="U158" i="3"/>
  <c r="U157" i="3"/>
  <c r="U156" i="3"/>
  <c r="U155" i="3"/>
  <c r="U154" i="3"/>
  <c r="U153" i="3"/>
  <c r="U152" i="3"/>
  <c r="U151" i="3"/>
  <c r="U150" i="3"/>
  <c r="U149" i="3"/>
  <c r="U148" i="3"/>
  <c r="U147" i="3"/>
  <c r="U146" i="3"/>
  <c r="U145" i="3"/>
  <c r="U144" i="3"/>
  <c r="U143" i="3"/>
  <c r="U142" i="3"/>
  <c r="U141" i="3"/>
  <c r="U140" i="3"/>
  <c r="U139" i="3"/>
  <c r="U138" i="3"/>
  <c r="U137" i="3"/>
  <c r="U136" i="3"/>
  <c r="U135" i="3"/>
  <c r="U134" i="3"/>
  <c r="U133" i="3"/>
  <c r="U132" i="3"/>
  <c r="U131" i="3"/>
  <c r="U130" i="3"/>
  <c r="U129" i="3"/>
  <c r="U128" i="3"/>
  <c r="U127" i="3"/>
  <c r="U126" i="3"/>
  <c r="U125" i="3"/>
  <c r="U124" i="3"/>
  <c r="U123" i="3"/>
  <c r="U122" i="3"/>
  <c r="U121" i="3"/>
  <c r="U120" i="3"/>
  <c r="U119" i="3"/>
  <c r="U118" i="3"/>
  <c r="U117" i="3"/>
  <c r="U116" i="3"/>
  <c r="U115" i="3"/>
  <c r="U114" i="3"/>
  <c r="U113" i="3"/>
  <c r="U112" i="3"/>
  <c r="U111" i="3"/>
  <c r="U110" i="3"/>
  <c r="U109" i="3"/>
  <c r="U108" i="3"/>
  <c r="U107" i="3"/>
  <c r="U106" i="3"/>
  <c r="U105" i="3"/>
  <c r="U104" i="3"/>
  <c r="U103" i="3"/>
  <c r="U102" i="3"/>
  <c r="U101" i="3"/>
  <c r="U100" i="3"/>
  <c r="U99" i="3"/>
  <c r="U98" i="3"/>
  <c r="U97" i="3"/>
  <c r="U96" i="3"/>
  <c r="U95" i="3"/>
  <c r="U94" i="3"/>
  <c r="U93" i="3"/>
  <c r="U92" i="3"/>
  <c r="U91" i="3"/>
  <c r="U90" i="3"/>
  <c r="U89" i="3"/>
  <c r="U88" i="3"/>
  <c r="U87" i="3"/>
  <c r="U86" i="3"/>
  <c r="U85" i="3"/>
  <c r="U84" i="3"/>
  <c r="U83" i="3"/>
  <c r="U82" i="3"/>
  <c r="U81" i="3"/>
  <c r="U80" i="3"/>
  <c r="U79" i="3"/>
  <c r="U78" i="3"/>
  <c r="U77" i="3"/>
  <c r="U76" i="3"/>
  <c r="U75" i="3"/>
  <c r="U74" i="3"/>
  <c r="U73" i="3"/>
  <c r="U72" i="3"/>
  <c r="U71" i="3"/>
  <c r="U70" i="3"/>
  <c r="U69" i="3"/>
  <c r="U68" i="3"/>
  <c r="U67" i="3"/>
  <c r="U66" i="3"/>
  <c r="U65" i="3"/>
  <c r="U64" i="3"/>
  <c r="U63" i="3"/>
  <c r="U62" i="3"/>
  <c r="U61" i="3"/>
  <c r="U60" i="3"/>
  <c r="U59" i="3"/>
  <c r="U58" i="3"/>
  <c r="U57" i="3"/>
  <c r="U56" i="3"/>
  <c r="U55" i="3"/>
  <c r="U54" i="3"/>
  <c r="U53" i="3"/>
  <c r="U52" i="3"/>
  <c r="U51" i="3"/>
  <c r="U50" i="3"/>
  <c r="U49" i="3"/>
  <c r="U48" i="3"/>
  <c r="U47" i="3"/>
  <c r="U46" i="3"/>
  <c r="U45" i="3"/>
  <c r="U44" i="3"/>
  <c r="U43" i="3"/>
  <c r="U42" i="3"/>
  <c r="U41" i="3"/>
  <c r="U40" i="3"/>
  <c r="U39" i="3"/>
  <c r="U38" i="3"/>
  <c r="U37" i="3"/>
  <c r="U36" i="3"/>
  <c r="U35" i="3"/>
  <c r="U34" i="3"/>
  <c r="U33" i="3"/>
  <c r="U32" i="3"/>
  <c r="U31" i="3"/>
  <c r="U30" i="3"/>
  <c r="U29" i="3"/>
  <c r="U28" i="3"/>
  <c r="U637" i="3" s="1"/>
  <c r="B649" i="3" s="1"/>
  <c r="V190" i="2"/>
  <c r="W190" i="2" s="1"/>
  <c r="V189" i="2"/>
  <c r="W189" i="2" s="1"/>
  <c r="V188" i="2"/>
  <c r="W188" i="2" s="1"/>
  <c r="V187" i="2"/>
  <c r="W187" i="2" s="1"/>
  <c r="V186" i="2"/>
  <c r="W186" i="2" s="1"/>
  <c r="V185" i="2"/>
  <c r="W185" i="2" s="1"/>
  <c r="V184" i="2"/>
  <c r="W184" i="2" s="1"/>
  <c r="V183" i="2"/>
  <c r="W183" i="2" s="1"/>
  <c r="V182" i="2"/>
  <c r="W182" i="2" s="1"/>
  <c r="V181" i="2"/>
  <c r="W181" i="2" s="1"/>
  <c r="V180" i="2"/>
  <c r="W180" i="2" s="1"/>
  <c r="V179" i="2"/>
  <c r="W179" i="2" s="1"/>
  <c r="V178" i="2"/>
  <c r="W178" i="2" s="1"/>
  <c r="V177" i="2"/>
  <c r="W177" i="2" s="1"/>
  <c r="V176" i="2"/>
  <c r="W176" i="2" s="1"/>
  <c r="V175" i="2"/>
  <c r="W175" i="2" s="1"/>
  <c r="V174" i="2"/>
  <c r="W174" i="2" s="1"/>
  <c r="V173" i="2"/>
  <c r="W173" i="2" s="1"/>
  <c r="V172" i="2"/>
  <c r="W172" i="2" s="1"/>
  <c r="V171" i="2"/>
  <c r="W171" i="2" s="1"/>
  <c r="V170" i="2"/>
  <c r="W170" i="2" s="1"/>
  <c r="V169" i="2"/>
  <c r="W169" i="2" s="1"/>
  <c r="V168" i="2"/>
  <c r="W168" i="2" s="1"/>
  <c r="V167" i="2"/>
  <c r="W167" i="2" s="1"/>
  <c r="V166" i="2"/>
  <c r="W166" i="2" s="1"/>
  <c r="V165" i="2"/>
  <c r="W165" i="2" s="1"/>
  <c r="V164" i="2"/>
  <c r="W164" i="2" s="1"/>
  <c r="V163" i="2"/>
  <c r="U163" i="2"/>
  <c r="B687" i="2" s="1"/>
  <c r="V162" i="2"/>
  <c r="W162" i="2" s="1"/>
  <c r="V161" i="2"/>
  <c r="W161" i="2" s="1"/>
  <c r="V160" i="2"/>
  <c r="W160" i="2" s="1"/>
  <c r="V159" i="2"/>
  <c r="W159" i="2" s="1"/>
  <c r="V158" i="2"/>
  <c r="W158" i="2" s="1"/>
  <c r="V157" i="2"/>
  <c r="W157" i="2" s="1"/>
  <c r="V156" i="2"/>
  <c r="W156" i="2" s="1"/>
  <c r="V155" i="2"/>
  <c r="W155" i="2" s="1"/>
  <c r="V154" i="2"/>
  <c r="W154" i="2" s="1"/>
  <c r="V153" i="2"/>
  <c r="W153" i="2" s="1"/>
  <c r="V152" i="2"/>
  <c r="W152" i="2" s="1"/>
  <c r="V151" i="2"/>
  <c r="W151" i="2" s="1"/>
  <c r="V150" i="2"/>
  <c r="W150" i="2" s="1"/>
  <c r="V149" i="2"/>
  <c r="W149" i="2" s="1"/>
  <c r="V148" i="2"/>
  <c r="W148" i="2" s="1"/>
  <c r="V147" i="2"/>
  <c r="W147" i="2" s="1"/>
  <c r="V146" i="2"/>
  <c r="W146" i="2" s="1"/>
  <c r="V145" i="2"/>
  <c r="W145" i="2" s="1"/>
  <c r="V144" i="2"/>
  <c r="W144" i="2" s="1"/>
  <c r="V143" i="2"/>
  <c r="W143" i="2" s="1"/>
  <c r="V142" i="2"/>
  <c r="W142" i="2" s="1"/>
  <c r="V141" i="2"/>
  <c r="W141" i="2" s="1"/>
  <c r="V140" i="2"/>
  <c r="W140" i="2" s="1"/>
  <c r="V139" i="2"/>
  <c r="W139" i="2" s="1"/>
  <c r="V138" i="2"/>
  <c r="W138" i="2" s="1"/>
  <c r="V137" i="2"/>
  <c r="W137" i="2" s="1"/>
  <c r="V136" i="2"/>
  <c r="W136" i="2" s="1"/>
  <c r="V135" i="2"/>
  <c r="W135" i="2" s="1"/>
  <c r="V134" i="2"/>
  <c r="W134" i="2" s="1"/>
  <c r="V133" i="2"/>
  <c r="W133" i="2" s="1"/>
  <c r="V132" i="2"/>
  <c r="W132" i="2" s="1"/>
  <c r="V131" i="2"/>
  <c r="W131" i="2" s="1"/>
  <c r="V130" i="2"/>
  <c r="W130" i="2" s="1"/>
  <c r="V129" i="2"/>
  <c r="W129" i="2" s="1"/>
  <c r="V128" i="2"/>
  <c r="W128" i="2" s="1"/>
  <c r="V127" i="2"/>
  <c r="W127" i="2" s="1"/>
  <c r="V126" i="2"/>
  <c r="W126" i="2" s="1"/>
  <c r="V125" i="2"/>
  <c r="W125" i="2" s="1"/>
  <c r="V124" i="2"/>
  <c r="W124" i="2" s="1"/>
  <c r="V123" i="2"/>
  <c r="W123" i="2" s="1"/>
  <c r="V122" i="2"/>
  <c r="W122" i="2" s="1"/>
  <c r="V121" i="2"/>
  <c r="W121" i="2" s="1"/>
  <c r="V120" i="2"/>
  <c r="W120" i="2" s="1"/>
  <c r="V119" i="2"/>
  <c r="W119" i="2" s="1"/>
  <c r="V118" i="2"/>
  <c r="W118" i="2" s="1"/>
  <c r="V117" i="2"/>
  <c r="W117" i="2" s="1"/>
  <c r="V116" i="2"/>
  <c r="W116" i="2" s="1"/>
  <c r="V115" i="2"/>
  <c r="W115" i="2" s="1"/>
  <c r="V114" i="2"/>
  <c r="W114" i="2" s="1"/>
  <c r="V113" i="2"/>
  <c r="W113" i="2" s="1"/>
  <c r="V112" i="2"/>
  <c r="W112" i="2" s="1"/>
  <c r="V111" i="2"/>
  <c r="W111" i="2" s="1"/>
  <c r="V110" i="2"/>
  <c r="W110" i="2" s="1"/>
  <c r="V109" i="2"/>
  <c r="W109" i="2" s="1"/>
  <c r="V108" i="2"/>
  <c r="W108" i="2" s="1"/>
  <c r="V107" i="2"/>
  <c r="W107" i="2" s="1"/>
  <c r="V106" i="2"/>
  <c r="W106" i="2" s="1"/>
  <c r="V105" i="2"/>
  <c r="W105" i="2" s="1"/>
  <c r="V104" i="2"/>
  <c r="W104" i="2" s="1"/>
  <c r="V103" i="2"/>
  <c r="W103" i="2" s="1"/>
  <c r="V102" i="2"/>
  <c r="W102" i="2" s="1"/>
  <c r="V101" i="2"/>
  <c r="W101" i="2" s="1"/>
  <c r="V100" i="2"/>
  <c r="W100" i="2" s="1"/>
  <c r="V99" i="2"/>
  <c r="W99" i="2" s="1"/>
  <c r="V98" i="2"/>
  <c r="W98" i="2" s="1"/>
  <c r="V97" i="2"/>
  <c r="W97" i="2" s="1"/>
  <c r="V96" i="2"/>
  <c r="W96" i="2" s="1"/>
  <c r="V95" i="2"/>
  <c r="W95" i="2" s="1"/>
  <c r="V94" i="2"/>
  <c r="W94" i="2" s="1"/>
  <c r="V93" i="2"/>
  <c r="W93" i="2" s="1"/>
  <c r="V92" i="2"/>
  <c r="W92" i="2" s="1"/>
  <c r="V91" i="2"/>
  <c r="W91" i="2" s="1"/>
  <c r="V90" i="2"/>
  <c r="W90" i="2" s="1"/>
  <c r="V89" i="2"/>
  <c r="W89" i="2" s="1"/>
  <c r="V88" i="2"/>
  <c r="W88" i="2" s="1"/>
  <c r="V87" i="2"/>
  <c r="W87" i="2" s="1"/>
  <c r="V86" i="2"/>
  <c r="W86" i="2" s="1"/>
  <c r="V85" i="2"/>
  <c r="W85" i="2" s="1"/>
  <c r="V84" i="2"/>
  <c r="W84" i="2" s="1"/>
  <c r="V83" i="2"/>
  <c r="W83" i="2" s="1"/>
  <c r="V82" i="2"/>
  <c r="W82" i="2" s="1"/>
  <c r="V81" i="2"/>
  <c r="W81" i="2" s="1"/>
  <c r="V80" i="2"/>
  <c r="W80" i="2" s="1"/>
  <c r="V79" i="2"/>
  <c r="W79" i="2" s="1"/>
  <c r="V78" i="2"/>
  <c r="W78" i="2" s="1"/>
  <c r="V77" i="2"/>
  <c r="W77" i="2" s="1"/>
  <c r="V76" i="2"/>
  <c r="W76" i="2" s="1"/>
  <c r="V75" i="2"/>
  <c r="W75" i="2" s="1"/>
  <c r="V74" i="2"/>
  <c r="W74" i="2" s="1"/>
  <c r="V73" i="2"/>
  <c r="W73" i="2" s="1"/>
  <c r="V72" i="2"/>
  <c r="W72" i="2" s="1"/>
  <c r="V71" i="2"/>
  <c r="W71" i="2" s="1"/>
  <c r="V70" i="2"/>
  <c r="W70" i="2" s="1"/>
  <c r="V69" i="2"/>
  <c r="W69" i="2" s="1"/>
  <c r="V68" i="2"/>
  <c r="W68" i="2" s="1"/>
  <c r="V67" i="2"/>
  <c r="W67" i="2" s="1"/>
  <c r="V66" i="2"/>
  <c r="W66" i="2" s="1"/>
  <c r="V65" i="2"/>
  <c r="W65" i="2" s="1"/>
  <c r="V64" i="2"/>
  <c r="W64" i="2" s="1"/>
  <c r="V63" i="2"/>
  <c r="W63" i="2" s="1"/>
  <c r="V62" i="2"/>
  <c r="W62" i="2" s="1"/>
  <c r="V61" i="2"/>
  <c r="W61" i="2" s="1"/>
  <c r="V60" i="2"/>
  <c r="W60" i="2" s="1"/>
  <c r="V59" i="2"/>
  <c r="W59" i="2" s="1"/>
  <c r="V58" i="2"/>
  <c r="W58" i="2" s="1"/>
  <c r="V57" i="2"/>
  <c r="W57" i="2" s="1"/>
  <c r="V56" i="2"/>
  <c r="W56" i="2" s="1"/>
  <c r="V55" i="2"/>
  <c r="W55" i="2" s="1"/>
  <c r="V54" i="2"/>
  <c r="W54" i="2" s="1"/>
  <c r="V53" i="2"/>
  <c r="W53" i="2" s="1"/>
  <c r="V52" i="2"/>
  <c r="W52" i="2" s="1"/>
  <c r="V51" i="2"/>
  <c r="W51" i="2" s="1"/>
  <c r="V50" i="2"/>
  <c r="W50" i="2" s="1"/>
  <c r="V49" i="2"/>
  <c r="W49" i="2" s="1"/>
  <c r="V48" i="2"/>
  <c r="W48" i="2" s="1"/>
  <c r="V47" i="2"/>
  <c r="W47" i="2" s="1"/>
  <c r="V46" i="2"/>
  <c r="W46" i="2" s="1"/>
  <c r="V45" i="2"/>
  <c r="W45" i="2" s="1"/>
  <c r="V44" i="2"/>
  <c r="W44" i="2" s="1"/>
  <c r="V43" i="2"/>
  <c r="W43" i="2" s="1"/>
  <c r="V42" i="2"/>
  <c r="W42" i="2" s="1"/>
  <c r="V41" i="2"/>
  <c r="W41" i="2" s="1"/>
  <c r="V40" i="2"/>
  <c r="W40" i="2" s="1"/>
  <c r="V39" i="2"/>
  <c r="W39" i="2" s="1"/>
  <c r="V38" i="2"/>
  <c r="W38" i="2" s="1"/>
  <c r="V37" i="2"/>
  <c r="W37" i="2" s="1"/>
  <c r="V36" i="2"/>
  <c r="W36" i="2" s="1"/>
  <c r="V35" i="2"/>
  <c r="W35" i="2" s="1"/>
  <c r="V34" i="2"/>
  <c r="W34" i="2" s="1"/>
  <c r="V33" i="2"/>
  <c r="W33" i="2" s="1"/>
  <c r="V32" i="2"/>
  <c r="W32" i="2" s="1"/>
  <c r="V31" i="2"/>
  <c r="W31" i="2" s="1"/>
  <c r="V30" i="2"/>
  <c r="W30" i="2" s="1"/>
  <c r="V29" i="2"/>
  <c r="W29" i="2" s="1"/>
  <c r="X239" i="1"/>
  <c r="X238" i="1"/>
  <c r="X185" i="1"/>
  <c r="X182" i="1"/>
  <c r="X177" i="1"/>
  <c r="X173" i="1"/>
  <c r="X906" i="1" s="1"/>
  <c r="B911" i="1" l="1"/>
  <c r="AA177" i="1"/>
  <c r="AB177" i="1"/>
  <c r="AC177" i="1"/>
  <c r="AA185" i="1"/>
  <c r="AB185" i="1"/>
  <c r="AC185" i="1"/>
  <c r="AB238" i="1"/>
  <c r="AC238" i="1"/>
  <c r="AA238" i="1"/>
  <c r="AC173" i="1"/>
  <c r="AA173" i="1"/>
  <c r="AB173" i="1"/>
  <c r="AB182" i="1"/>
  <c r="AC182" i="1"/>
  <c r="AA182" i="1"/>
  <c r="AA239" i="1"/>
  <c r="AB239" i="1"/>
  <c r="AC239" i="1"/>
  <c r="Y163" i="2"/>
  <c r="Y674" i="2" s="1"/>
  <c r="W163" i="2"/>
  <c r="AC2" i="1" l="1"/>
  <c r="AB2" i="1"/>
  <c r="AA2" i="1"/>
</calcChain>
</file>

<file path=xl/comments1.xml><?xml version="1.0" encoding="utf-8"?>
<comments xmlns="http://schemas.openxmlformats.org/spreadsheetml/2006/main">
  <authors>
    <author>Mushtaq Mohammed Sheriff</author>
  </authors>
  <commentList>
    <comment ref="U77" authorId="0" shapeId="0">
      <text>
        <r>
          <rPr>
            <b/>
            <sz val="9"/>
            <color indexed="81"/>
            <rFont val="Tahoma"/>
            <family val="2"/>
          </rPr>
          <t>Mushtaq Mohammed Sheriff:</t>
        </r>
        <r>
          <rPr>
            <sz val="9"/>
            <color indexed="81"/>
            <rFont val="Tahoma"/>
            <family val="2"/>
          </rPr>
          <t xml:space="preserve">
As per provot office instruction has redcued to 28 to 23 accerdication</t>
        </r>
      </text>
    </comment>
    <comment ref="U173" authorId="0" shapeId="0">
      <text>
        <r>
          <rPr>
            <b/>
            <sz val="9"/>
            <color indexed="81"/>
            <rFont val="Tahoma"/>
            <family val="2"/>
          </rPr>
          <t>Mushtaq Mohammed Sheriff:</t>
        </r>
        <r>
          <rPr>
            <sz val="9"/>
            <color indexed="81"/>
            <rFont val="Tahoma"/>
            <family val="2"/>
          </rPr>
          <t xml:space="preserve">
As per provost instruction it has been chnaged to 2 accerdiation since already provost office item include same</t>
        </r>
      </text>
    </comment>
    <comment ref="U177" authorId="0" shapeId="0">
      <text>
        <r>
          <rPr>
            <b/>
            <sz val="9"/>
            <color indexed="81"/>
            <rFont val="Tahoma"/>
            <family val="2"/>
          </rPr>
          <t>Mushtaq Mohammed Sheriff:</t>
        </r>
        <r>
          <rPr>
            <sz val="9"/>
            <color indexed="81"/>
            <rFont val="Tahoma"/>
            <family val="2"/>
          </rPr>
          <t xml:space="preserve">
As per CoE Dean instruction it has been reduced 55 to 50</t>
        </r>
      </text>
    </comment>
    <comment ref="U182" authorId="0" shapeId="0">
      <text>
        <r>
          <rPr>
            <b/>
            <sz val="9"/>
            <color indexed="81"/>
            <rFont val="Tahoma"/>
            <family val="2"/>
          </rPr>
          <t>Mushtaq Mohammed Sheriff:</t>
        </r>
        <r>
          <rPr>
            <sz val="9"/>
            <color indexed="81"/>
            <rFont val="Tahoma"/>
            <family val="2"/>
          </rPr>
          <t xml:space="preserve">
As per CoE Dean instruction to reduced 54 to 40</t>
        </r>
      </text>
    </comment>
    <comment ref="U185" authorId="0" shapeId="0">
      <text>
        <r>
          <rPr>
            <b/>
            <sz val="9"/>
            <color indexed="81"/>
            <rFont val="Tahoma"/>
            <family val="2"/>
          </rPr>
          <t>Mushtaq Mohammed Sheriff:</t>
        </r>
        <r>
          <rPr>
            <sz val="9"/>
            <color indexed="81"/>
            <rFont val="Tahoma"/>
            <family val="2"/>
          </rPr>
          <t xml:space="preserve">
As per CoE Dean instrction it has been reduced 70 60 units</t>
        </r>
      </text>
    </comment>
  </commentList>
</comments>
</file>

<file path=xl/sharedStrings.xml><?xml version="1.0" encoding="utf-8"?>
<sst xmlns="http://schemas.openxmlformats.org/spreadsheetml/2006/main" count="41927" uniqueCount="3455">
  <si>
    <t>Account Group</t>
  </si>
  <si>
    <t>Content Expert</t>
  </si>
  <si>
    <t>Cost Center Code - Group</t>
  </si>
  <si>
    <t>Entity</t>
  </si>
  <si>
    <t>Cost Center Code</t>
  </si>
  <si>
    <t>Cost Center Description</t>
  </si>
  <si>
    <t>BG</t>
  </si>
  <si>
    <t>Account Code</t>
  </si>
  <si>
    <t>Account Code and Description</t>
  </si>
  <si>
    <t>Activity</t>
  </si>
  <si>
    <t>Future-1 Description</t>
  </si>
  <si>
    <t>Future-1</t>
  </si>
  <si>
    <t>Future-2 Description</t>
  </si>
  <si>
    <t>Future-2</t>
  </si>
  <si>
    <t>GL Account Combination</t>
  </si>
  <si>
    <t>2021Actual</t>
  </si>
  <si>
    <t>2022 Budget</t>
  </si>
  <si>
    <t>2022 Estimates Full Year Actual</t>
  </si>
  <si>
    <t xml:space="preserve">Budget Driver </t>
  </si>
  <si>
    <t>Measruing unit</t>
  </si>
  <si>
    <t>Quantity of measruing units</t>
  </si>
  <si>
    <t>Rate (expected)</t>
  </si>
  <si>
    <t>Itemised  Details/Calculation method</t>
  </si>
  <si>
    <t xml:space="preserve">2023 Budget </t>
  </si>
  <si>
    <t>Budget Activity Type</t>
  </si>
  <si>
    <t>Expenditure Frequency</t>
  </si>
  <si>
    <t>2023 Budget Scenario 90%</t>
  </si>
  <si>
    <t>2023 Budget Scenario 80%</t>
  </si>
  <si>
    <t>2023 Budget Scenario 70%</t>
  </si>
  <si>
    <t>90% Budget Scenario Impact</t>
  </si>
  <si>
    <t xml:space="preserve">80% Budget Impact </t>
  </si>
  <si>
    <t xml:space="preserve">70% Budget Impact </t>
  </si>
  <si>
    <t>Jan-23</t>
  </si>
  <si>
    <t>Feb-23</t>
  </si>
  <si>
    <t>Mar-23</t>
  </si>
  <si>
    <t>Apr-23</t>
  </si>
  <si>
    <t>May-23</t>
  </si>
  <si>
    <t>Jun-23</t>
  </si>
  <si>
    <t>Jul-23</t>
  </si>
  <si>
    <t>Aug-23</t>
  </si>
  <si>
    <t>Sep-23</t>
  </si>
  <si>
    <t>Oct-23</t>
  </si>
  <si>
    <t>Nov-23</t>
  </si>
  <si>
    <t>Dec-23</t>
  </si>
  <si>
    <t>Total</t>
  </si>
  <si>
    <t>KU Strategy</t>
  </si>
  <si>
    <t>-</t>
  </si>
  <si>
    <t>SVP/ Support Services Office</t>
  </si>
  <si>
    <t>KUST - Ankabut office</t>
  </si>
  <si>
    <t>413328 - IT Manpower supply-IT Support resources</t>
  </si>
  <si>
    <t>KUST - General</t>
  </si>
  <si>
    <t>847001</t>
  </si>
  <si>
    <t>Manpower Resources as per DGS Contract</t>
  </si>
  <si>
    <t>Months</t>
  </si>
  <si>
    <t>Manpower Outsourcing as per DGS contract for 2023 - List Attached</t>
  </si>
  <si>
    <t>KU Regular operations</t>
  </si>
  <si>
    <t>Recurring</t>
  </si>
  <si>
    <t>Affects KU Core Operations and Non Compliance with contract terms</t>
  </si>
  <si>
    <t>No Applicable</t>
  </si>
  <si>
    <t>420810-IT Systems &amp; Support expenses</t>
  </si>
  <si>
    <t>000000</t>
  </si>
  <si>
    <t>FA179-Opex Expense</t>
  </si>
  <si>
    <t>-_</t>
  </si>
  <si>
    <t>IT</t>
  </si>
  <si>
    <t>Director, Technology Development</t>
  </si>
  <si>
    <t>420811-IT Systems &amp; Support expenses-Application/Systems Operation</t>
  </si>
  <si>
    <t>847.8470810.1.420811.000000.847001.200179</t>
  </si>
  <si>
    <t>420811.IT Systems &amp; Support expenses-Application/Systems Operation-professional services scope/deliverables-Month</t>
  </si>
  <si>
    <t>Month</t>
  </si>
  <si>
    <t>Managed IT Services Contract between KU and Ankabut</t>
  </si>
  <si>
    <t>Utilize state-of-the-art technologies and facilities in an optimal and efficient manner</t>
  </si>
  <si>
    <t>HR</t>
  </si>
  <si>
    <t>421100-Manpower supply</t>
  </si>
  <si>
    <t>847.8470810.1.421100.000000.847001.200179</t>
  </si>
  <si>
    <t>426610-Computer software licenses</t>
  </si>
  <si>
    <t>426610.Computer software licenses-Software License Renewal-service level agreement-Service</t>
  </si>
  <si>
    <t>Service</t>
  </si>
  <si>
    <t>Microsoft Licensing Agreement Renewal (EES - 3 Years) - Licenses for multiple products</t>
  </si>
  <si>
    <t>Learning Management System Blackboard LMS License Renewal and Annual Support (License based on storage and number of users - rate based on 8000 slab limit)</t>
  </si>
  <si>
    <t>Manage Engine subscriptions for ServideskPlus, Desktop Central, OpManager, AD Manager, Exchange Reporter, App Manager and other Infrastructure Monitoring Tools.</t>
  </si>
  <si>
    <t>Affects KU Core IT Operations and Non Compliance with contract terms</t>
  </si>
  <si>
    <t>Student Admissions Slate License and Support Renewal (5Y Service Order)- License based on number of applicants for UG/PG</t>
  </si>
  <si>
    <t>Student Information System (SIS) License Renewal and Support from  Elucian Banner</t>
  </si>
  <si>
    <t>License cannot be reduced. Affects KU Core Operations and Non Compliance with contract terms</t>
  </si>
  <si>
    <t>Fortinet Systems Subscription Renewals for FortiClient EMS
FortiEDR, FortiAnalyzer, FortiGate 101F
FortiGate 40F-3G4G, FortiGate 601E
FortiGate 61E, FortiManager, FortiSOAR
and Incident Response Services Subscription</t>
  </si>
  <si>
    <t>Oracle Support Renewal</t>
  </si>
  <si>
    <t>Aruba Wireless Infrastructure Software Subscriptions renewals</t>
  </si>
  <si>
    <t>Affects KU Core Operations</t>
  </si>
  <si>
    <t xml:space="preserve">Vmware Virtualization Infrastructure Software License </t>
  </si>
  <si>
    <t>Affects partially KU applications</t>
  </si>
  <si>
    <t>ElasticSearch Security Operations Analysis Software Subscription Renewal</t>
  </si>
  <si>
    <t>License cannot be reduced. Affects Information Security Operations for analysing security incidents and logs</t>
  </si>
  <si>
    <t>Allienvault SIEM Subscription Renewal</t>
  </si>
  <si>
    <t>Site License cannot be reduced. Affects Information Security Operations for analysing security incidents and logs</t>
  </si>
  <si>
    <t>Application Virtualization - Software2 AppsAnyWhere</t>
  </si>
  <si>
    <t>License cannot be reduced. Affects access to academic software</t>
  </si>
  <si>
    <t>Email Archiving solution (Commvault)</t>
  </si>
  <si>
    <t>Access to email archive not available</t>
  </si>
  <si>
    <t>Symplicity CSM Enterprise yearly license for Student Internship, Career, Alumni, Job portal, Events/Activities and Contract Management Services</t>
  </si>
  <si>
    <t>Site License cannot be reduced. Affects access to Application</t>
  </si>
  <si>
    <t>Gartner Technologies subscription renewal</t>
  </si>
  <si>
    <t>Affect Access to IT advisory services</t>
  </si>
  <si>
    <t>Plagiarism Proofing License renewal - TurnitIn, iThenticate</t>
  </si>
  <si>
    <t>Video Communication Platform License Renewal and Support from Sonifoundry Mediasite</t>
  </si>
  <si>
    <t>Site License cannot be reduced. Affects access to lecture recording content</t>
  </si>
  <si>
    <t>Ascertia SigningHub AATL Signing Certificate and Signature Pack Renewal</t>
  </si>
  <si>
    <t>Site License cannot be reduced. Affects access to application</t>
  </si>
  <si>
    <t>Business Process Management System (BPMS):  Nintex Workflow anf Forms - Enterprise Edition Annual Software Assurance</t>
  </si>
  <si>
    <t>Site License cannot be reduced. Affects KU Operations using KU Portal eServices</t>
  </si>
  <si>
    <t>Security Awareness subscription with KnowBe4</t>
  </si>
  <si>
    <t xml:space="preserve">Qualys Vulnerability Management </t>
  </si>
  <si>
    <t>KU DRIVE File Sharing and Synchronization 1000 concurrent users + Collabora 500 licenses using OwnCloud Ent.</t>
  </si>
  <si>
    <t>Affects access to application</t>
  </si>
  <si>
    <t>Virtual Desktop Infrastructure Support with Citrix VDI</t>
  </si>
  <si>
    <t>Pulse secure access - KU VPN tool (Pulse Secure) support renewal</t>
  </si>
  <si>
    <t>Time Attendance Software renewal that includes feaures for remote workers</t>
  </si>
  <si>
    <t>Honeypot Security Service with Canary devices &amp; hosted console</t>
  </si>
  <si>
    <t>Affects cybersecurity monitoring operations</t>
  </si>
  <si>
    <t xml:space="preserve">RedHat Linux Subscription Renewal </t>
  </si>
  <si>
    <t>Affects Support for core IT infrastructure</t>
  </si>
  <si>
    <t xml:space="preserve">Blockchain solution for issuing digital records (Student Tarnscripts) for KU Registrar's Office </t>
  </si>
  <si>
    <t>Subscription to Apple Store, Windows App Store, Google Store and App Development program</t>
  </si>
  <si>
    <t>Affects IT Software Development process</t>
  </si>
  <si>
    <t>Threat Intelligence Subscription/Domain Monitoring</t>
  </si>
  <si>
    <t xml:space="preserve">Server Certificate SSL </t>
  </si>
  <si>
    <t>Affects access to KU applications</t>
  </si>
  <si>
    <t>CIS (Center for Internet Security) Security Baseline Scripts</t>
  </si>
  <si>
    <t>NetCobol</t>
  </si>
  <si>
    <t>CreativeCloud for Communications Team</t>
  </si>
  <si>
    <t>TOAD For Oracle Professional Edition Per Seat Maintenance Renewal</t>
  </si>
  <si>
    <t>Interactive Voice Response - Vocalcom IVR Support</t>
  </si>
  <si>
    <t>Educause subscription</t>
  </si>
  <si>
    <t xml:space="preserve">Academic Software License Management using OpenLM </t>
  </si>
  <si>
    <t>Code Two Auto Email Signature software license maintenance</t>
  </si>
  <si>
    <t>Affects KU email auto-signature</t>
  </si>
  <si>
    <t>SMS Credits for KU</t>
  </si>
  <si>
    <t>Affects KU SMS communication</t>
  </si>
  <si>
    <t>Anydesk software subscription for 1 year for IT support remotely</t>
  </si>
  <si>
    <t xml:space="preserve">Library Information Access with Ezproxy </t>
  </si>
  <si>
    <t xml:space="preserve">Digital Signage Support </t>
  </si>
  <si>
    <t>Autodesk AutoCad for Facilities Management - Space Planning Users</t>
  </si>
  <si>
    <t>427810-Telephone and telefax charges</t>
  </si>
  <si>
    <t>847.8470810.1.427810.000000.847001.200179</t>
  </si>
  <si>
    <t>427810.Telephone and telefax charges-Telecommunication, Satellite services-number of telephone lines-Month</t>
  </si>
  <si>
    <t xml:space="preserve">Telephoone Line usage and DID extensions  rental </t>
  </si>
  <si>
    <t>Affects KU communications</t>
  </si>
  <si>
    <t>427810.Telephone and telefax charges-Telecommunication, Satellite services-number of mobile numbers-Month</t>
  </si>
  <si>
    <t>Mobile Services for KU eligible</t>
  </si>
  <si>
    <t>427850-Data Transmission charges</t>
  </si>
  <si>
    <t>847.8470810.1.427850.000000.847001.200179</t>
  </si>
  <si>
    <t>427850.Data Transmission charges-Data Transmission charges-number of connection (ADSL/Broadband, etc) lines-Month</t>
  </si>
  <si>
    <t>Internet Leased Line (1Gbps) and DSL lines for KU Main campus, SAN campus and Student Dorms (12)</t>
  </si>
  <si>
    <t>Internet Slowness affecting KU operations</t>
  </si>
  <si>
    <t xml:space="preserve">Academic </t>
  </si>
  <si>
    <t>428090-Business Travel - Combined expenses</t>
  </si>
  <si>
    <t>847.8470810.1.428090.000000.847001.200179</t>
  </si>
  <si>
    <t>428090.Business Travel - Combined expenses-Number of Staff-Number</t>
  </si>
  <si>
    <t>Number</t>
  </si>
  <si>
    <t>Travel to DR Site at Al Ain and to IT Conferences outside of Abu Dhabi</t>
  </si>
  <si>
    <t>Limited Impact</t>
  </si>
  <si>
    <t>430230-Rental - Equipment</t>
  </si>
  <si>
    <t xml:space="preserve">Facilities </t>
  </si>
  <si>
    <t>430250-Rental - Computer hardware-Rental/Subscription - Computer hardware</t>
  </si>
  <si>
    <t>847.8470810.1.430250.000000.847001.200179</t>
  </si>
  <si>
    <t>430250.Rental - Computer hardware-Rental/Subscription - Computer hardware-Number of Laptop-Number</t>
  </si>
  <si>
    <t>End User Computing Refresh Laptops - Renewal for remaining years of lease for existing computers and additional lease for refresh program and new joiners (Researchers)</t>
  </si>
  <si>
    <t>laptops not refreshed as per KU policies and End-User Computing standard</t>
  </si>
  <si>
    <t>432205-Computers and peripherals</t>
  </si>
  <si>
    <t>847.8470810.1.432205.000000.847001.200179</t>
  </si>
  <si>
    <t>432205.Computers and peripherals-End user and Infrastructure components maintenance and support-number of hardware devices-Month</t>
  </si>
  <si>
    <t>Computer Accessories and hardware spare parts and maintenance for computers, audio visual components out of warranty/support</t>
  </si>
  <si>
    <t>Limited impact.</t>
  </si>
  <si>
    <t xml:space="preserve">Limited impact. Some hardware failure will not be repaired. </t>
  </si>
  <si>
    <t>432205.Computers and peripherals-End user and Infrastructure components maintenance and support-service level agreement-Service</t>
  </si>
  <si>
    <t xml:space="preserve">Network Cabling and Connectivity Services based on Rate Agreement for network passive components (Agreement attached) </t>
  </si>
  <si>
    <t>Limited impact</t>
  </si>
  <si>
    <t>Limited impact. Some areas will not be having proper networkble</t>
  </si>
  <si>
    <t>Classoom Audio Visual Renovations for merged classrooms in Main and SAN Campuses. 
Part 1: AV Accessories</t>
  </si>
  <si>
    <t>Academic Operatiosn Affected due to classroom projection issues</t>
  </si>
  <si>
    <t>Wireless Access Points Maintenance and Unification for KU Main Campus to be based on Aruba Access Points</t>
  </si>
  <si>
    <t>Limited wireless coverage</t>
  </si>
  <si>
    <t>Network Maintenance for Huawei Equipment out of support (Campus Core/Distribution Switches)</t>
  </si>
  <si>
    <t>Limited Network support from Vendor</t>
  </si>
  <si>
    <t>Telephony UCS License renewal</t>
  </si>
  <si>
    <t xml:space="preserve">432226-Computers and peripherals-Printers maintenance and support </t>
  </si>
  <si>
    <t>847.8470810.1.432226.000000.847001.200179</t>
  </si>
  <si>
    <t>432226.Computers and peripherals-Printers maintenance and support-Number of paper printing-Month</t>
  </si>
  <si>
    <t>Printing Charges based on current SLA for Leasing Printers and Maintenance Agreement. (Reference Invoice March 2022 ~40K)</t>
  </si>
  <si>
    <t>Reduced Quota for printing</t>
  </si>
  <si>
    <t>Other support</t>
  </si>
  <si>
    <t>436110-Printing supplies</t>
  </si>
  <si>
    <t>492310-Hardware &amp; peripherals</t>
  </si>
  <si>
    <t>FA180-Capex Expense</t>
  </si>
  <si>
    <t>847.8470810.1.492310.000000.847001.300180</t>
  </si>
  <si>
    <t>492310.Hardware &amp; peripherals-warranty period-Warranty</t>
  </si>
  <si>
    <t>Warranty</t>
  </si>
  <si>
    <t>Computer Refresh program for Mac/Special Computers for existing users and new Macs for new faculty joiners - Total 30 users @AED8.5K</t>
  </si>
  <si>
    <t>Non-recurring</t>
  </si>
  <si>
    <t>492352-Hardware &amp; peripherals-Network Devices</t>
  </si>
  <si>
    <t>847.8470810.1.492352.000000.847001.300180</t>
  </si>
  <si>
    <t>492352.Hardware &amp; peripherals-Network Devices-TBD-TBD</t>
  </si>
  <si>
    <t>TBD</t>
  </si>
  <si>
    <t>Campus Network Equipment Refresh Program for: 
Distribution Switches in Student Dorms (4 Units)
Access Network Layer (Out of support lifecycle) 
- Phase 2 (2023): SAN Campus + New Campus (130 switches)
- Phase 3 (2024): KU Main Campus - New Buildings (120 Switches)</t>
  </si>
  <si>
    <t>Limited replacement for old and Obsolete equipment without support</t>
  </si>
  <si>
    <t xml:space="preserve">492354-Hardware &amp; peripherals-Peripherals &amp; Infrastructure  Components </t>
  </si>
  <si>
    <t>492354.Hardware &amp; peripherals-Peripherals &amp; Infrastructure Components-TBD-TBD</t>
  </si>
  <si>
    <t>492356-Hardware &amp; peripherals-Conferencing &amp; AV</t>
  </si>
  <si>
    <t>847.8470810.1.492356.000000.847001.300180</t>
  </si>
  <si>
    <t>492356.Hardware &amp; peripherals-Conferencing &amp; AV-TBD-TBD</t>
  </si>
  <si>
    <t>Major Classroom Renovations to adopt hybrid learning in classrooms, lecture recording and replace old projectors in SAN and Main campuses. 
Scope for Phase 1 in 2023 and Phase 2 in 2024 is described in attached sheet (Classroom.xls)</t>
  </si>
  <si>
    <t>KU Strategic New Initiative</t>
  </si>
  <si>
    <t>Limited upgrade of KU Classroom to address teaching requirements</t>
  </si>
  <si>
    <t>AV equipment for Merged Classrooms in SAN Campus and Main Campus - Part 2: AV Equipment</t>
  </si>
  <si>
    <t>495110-Computer software</t>
  </si>
  <si>
    <t xml:space="preserve">495113-Computer software-Application, Platform </t>
  </si>
  <si>
    <t>495113.Computer software-Application, Platform -number of licenses-Number</t>
  </si>
  <si>
    <t>Mobile App Development Platform Solution for Unified KU Mobile App (e.g Modolabs)</t>
  </si>
  <si>
    <t>Limited licenses for the application</t>
  </si>
  <si>
    <t>Application Integration Platform (API Gateway) for process automations</t>
  </si>
  <si>
    <t>Call Management - Imagicle Applications integrated with KU Telephony System - Quote for USD 124,548 for 3Y</t>
  </si>
  <si>
    <t>Director, Research Laboratories</t>
  </si>
  <si>
    <t>492316-Laboratory equipment</t>
  </si>
  <si>
    <t>Academic</t>
  </si>
  <si>
    <t>Provost</t>
  </si>
  <si>
    <t>KUST - Office of the Provost</t>
  </si>
  <si>
    <t>420550-Academic Advisory Service</t>
  </si>
  <si>
    <t>847.8470220.1.420550.000000.847001.200179</t>
  </si>
  <si>
    <t>420550.Academic Advisory Service-Number of Services-Number</t>
  </si>
  <si>
    <t>External Consultants for 5x  new Programs @ 40000 Each
External Evaluators for Faculty Promotions (35 faculty x 4 evaluators @ $400 (1600AED) each</t>
  </si>
  <si>
    <t>If we are unable to pay the evaluators and contractors agreed price it will cause reputational damage</t>
  </si>
  <si>
    <t>Align academic programs with the local and global labor market needs</t>
  </si>
  <si>
    <t>420570-Academic Collaborative Partnership Services</t>
  </si>
  <si>
    <t>847.8470220.1.420570.000000.847001.200179</t>
  </si>
  <si>
    <t>420570.Academic Collaborative Partnership Services-Partnership Agreement or Academic Collaboration -No of Partneship/collaboration Agreement</t>
  </si>
  <si>
    <t>No of Partneship/collaboration Agreement</t>
  </si>
  <si>
    <t>Twinning &amp; other partnership initiatives</t>
  </si>
  <si>
    <t>Less budget will impact the amount of activities and associated output/benefits</t>
  </si>
  <si>
    <t>Build partnerships with local and international universities</t>
  </si>
  <si>
    <t>Director, Institutional Research and Planning</t>
  </si>
  <si>
    <t>421700-Standards certification (e.g. ISO)</t>
  </si>
  <si>
    <t>847.8470220.1.421700.000000.847001.200179</t>
  </si>
  <si>
    <t>421700.Standards Certification Services (e.g. ISO)-Number of Academic programs-Number</t>
  </si>
  <si>
    <t>23 x CAA reaccrediation of programs @ 150K each + 5 x new Programs @ 150K each</t>
  </si>
  <si>
    <t>This is a fee to the CAA, UAE Government entity, this amount must be paid, without reaccrediation it would be hugely damaging</t>
  </si>
  <si>
    <t>Develop a multidimensional program to attract and retain diverse outstanding students</t>
  </si>
  <si>
    <t>Communiction &amp; Marketing</t>
  </si>
  <si>
    <t>Director, Marketing and Communication</t>
  </si>
  <si>
    <t>425510-Conferences, seminars and exhibitions and other events: - Local Events</t>
  </si>
  <si>
    <t>847.8470220.1.425510.000000.847001.200179</t>
  </si>
  <si>
    <t>425510.Conferences, seminars and exhibitions and other events: - Local Events-Seminars-Number of Seminars</t>
  </si>
  <si>
    <t>Number of Seminars</t>
  </si>
  <si>
    <t>Local events/conferences/seminars etc
Hosting well known faculty researchers/faculty for seminars etc 5 @ 20000 each</t>
  </si>
  <si>
    <t>Recruit and retain high caliber faculty, researchers and staff</t>
  </si>
  <si>
    <t>425550-Conferences, seminars and exhibitions and other events: - Overseas event</t>
  </si>
  <si>
    <t>847.8470220.1.425550.000000.847001.200179</t>
  </si>
  <si>
    <t>425550.Conferences, seminars and exhibitions and other events: - Overseas event-Conferences-Number of Conferences</t>
  </si>
  <si>
    <t>Number of Conferences</t>
  </si>
  <si>
    <t>Provost &amp; 4 Assoc. Provost @ 1 conference each @ 20K</t>
  </si>
  <si>
    <t>Student</t>
  </si>
  <si>
    <t>425740-Scholarships &amp; other financial aid</t>
  </si>
  <si>
    <t>847.8470220.1.425740.000000.847001.200179</t>
  </si>
  <si>
    <t>425740.Scholarships &amp; other financial aid-Students-No of Students</t>
  </si>
  <si>
    <t>No of Students</t>
  </si>
  <si>
    <t>6 post docs @ 500K National Post Doc Scheme +
20 faculty @ 30K for Faculty Development Scheme</t>
  </si>
  <si>
    <t>Design and implement professional development programs for researchers, faculty, and  staff to contribute to the university strategic plan</t>
  </si>
  <si>
    <t>Director, Human Resources</t>
  </si>
  <si>
    <t>425900-Entertainment and hospitality</t>
  </si>
  <si>
    <t>847.8470220.1.425900.000000.847001.200179</t>
  </si>
  <si>
    <t>425900.Entertainment and hospitality-1. No of events/workshops planned-count</t>
  </si>
  <si>
    <t>count</t>
  </si>
  <si>
    <t>12 x 1000 per month provost office catering
2 x Faculty Townhalls @ 20K E
2 x Faculty Council @ 3K E
FAC x 2 @ 3000</t>
  </si>
  <si>
    <t>Less budget will impact the amount of activities and associated feel good factor amoung the community</t>
  </si>
  <si>
    <t>Promote a working culture of excellence and accountability</t>
  </si>
  <si>
    <t>847.8470220.1.426610.000000.847001.200179</t>
  </si>
  <si>
    <t>426610.Computer software licenses-Software License Renewal-number of licenses-Number</t>
  </si>
  <si>
    <t>MS Teams Licences for generic accounts, for events etc, Provost office</t>
  </si>
  <si>
    <t>Less licences to purchase</t>
  </si>
  <si>
    <t>847.8470220.1.428090.000000.847001.200179</t>
  </si>
  <si>
    <t>4 business trips for Provost+ 
1 x Biz Travel each per Assoc. Provost , all at 40K each</t>
  </si>
  <si>
    <t>428640-Events - Awards, prizes &amp; gifts</t>
  </si>
  <si>
    <t>847.8470220.1.428640.000000.847001.200179</t>
  </si>
  <si>
    <t>428640.Events - Awards, prizes &amp; gifts-Number of Events-count</t>
  </si>
  <si>
    <t xml:space="preserve">Excellence Awards, Prizes &amp; Plaques </t>
  </si>
  <si>
    <t xml:space="preserve">Excellence Awards encourages excellent productivity and performance, less budget diminishes these results </t>
  </si>
  <si>
    <t>847.8470220.1.432205.000000.847001.200179</t>
  </si>
  <si>
    <t>Computer Equipment/PCs etc for Provost Office Staff</t>
  </si>
  <si>
    <t>Staff need the correct computer equipment to work efficiently</t>
  </si>
  <si>
    <t>847.8470220.1.492316.000000.847001.300180</t>
  </si>
  <si>
    <t>432209.Laboratory equipment-Number of Faculty-Number</t>
  </si>
  <si>
    <t>Lab Equipment</t>
  </si>
  <si>
    <t xml:space="preserve">Less budget will impact operations, teaching and research </t>
  </si>
  <si>
    <t>436120-Stationery</t>
  </si>
  <si>
    <t>436120.Stationery-Number of Staff-Number</t>
  </si>
  <si>
    <t>Office Stationery</t>
  </si>
  <si>
    <t>basic operational requirement</t>
  </si>
  <si>
    <t>Provide reliable, accurate and timely reports to different stakeholders</t>
  </si>
  <si>
    <t xml:space="preserve">2024 Budget </t>
  </si>
  <si>
    <t>Estimated \Cost AV Equipment (CAPEX) AED</t>
  </si>
  <si>
    <t>847.8470810.1.426610.000000.847001.200179</t>
  </si>
  <si>
    <t>Business Applications and Infrastructure Software Renewals</t>
  </si>
  <si>
    <t>Telphone Lines and mobile servcies</t>
  </si>
  <si>
    <t>Travel expenses for Conferences and within UAE</t>
  </si>
  <si>
    <t>Maintenance for hardware, spare parts, network infrastructure, wireless infrastructure, cabling and passive components and Telephony UCS licenses subscription</t>
  </si>
  <si>
    <t>Computer Refresh program for Mac/Special Computers for existing users and new Macs for new faculty joiners - Total 40 users @AED8.5K</t>
  </si>
  <si>
    <t>Campus Network Equipment Refresh Program for: 
Access Network Layer (Out of support lifecycle) 
- Phase 3 (2024): KU Main Campus - New Buildings (120 Switches)</t>
  </si>
  <si>
    <t>847.8470810.1.495113.000000.847001.300180</t>
  </si>
  <si>
    <t xml:space="preserve">New Business Applications and related IT tools to meet KU requirements </t>
  </si>
  <si>
    <t>External Consultants for 5x  new Programs @ 47710 Each
External Evaluators for Faculty Promotions (35 faculty x 4 evaluators @ $400 (1600AED) each</t>
  </si>
  <si>
    <t>CAA reaccrediation of programs @ 150K each</t>
  </si>
  <si>
    <t>Local events/conferences/seminars etc
Hosting well known faculty researchers/faculty for seminars etc 5 @ 22000 each</t>
  </si>
  <si>
    <t>Provost &amp; 4 Assoc. Provost @ 1 conference each @ 22K</t>
  </si>
  <si>
    <t>6 post docs @ 550K National Post Doc Scheme +
20 faculty @ 33K for Faculty Development Scheme</t>
  </si>
  <si>
    <t>12 x 1100 per month provost office catering
2 x Retreat 
2 x Faculty Townhalls @ 22K E
2 x Faculty Council @ 3.3K E
FAC x 2 @ 3300</t>
  </si>
  <si>
    <t xml:space="preserve">2025 Budget </t>
  </si>
  <si>
    <t xml:space="preserve">Campus Network Equipment Refresh Program for: 
Access Network Layer (Out of support lifecycle) </t>
  </si>
  <si>
    <t xml:space="preserve">Classroom Renovations to adopt hybrid learning in classrooms, lecture recording and replace old projectors in SAN and Main campuses. </t>
  </si>
  <si>
    <t>External Consultants for 5x  new Programs @ 44000 Each
External Evaluators for Faculty Promotions (35 faculty x 4 evaluators @ $400 (1600AED) each</t>
  </si>
  <si>
    <t>NA</t>
  </si>
  <si>
    <t>Local events/conferences/seminars etc
Hosting well known faculty researchers/faculty for seminars etc 5 @ 24000 each</t>
  </si>
  <si>
    <t>6 post docs @ 600K National Post Doc Scheme +
20 faculty @ 36K for Faculty Development Scheme</t>
  </si>
  <si>
    <t>Software</t>
  </si>
  <si>
    <t>4 business trips for Provost+ 
1 x Biz Travel each per Assoc. Provost , all at 48K each</t>
  </si>
  <si>
    <t>FA178-Manpower Expense</t>
  </si>
  <si>
    <t>847.8470810.1.413328.000000.847001.100178</t>
  </si>
  <si>
    <t>847.8470810.1.420810.000000.847001.200179</t>
  </si>
  <si>
    <t>847.8470810.1.430230.000000.847001.200179</t>
  </si>
  <si>
    <t>847.8470810.1.436110.000000.847001.200179</t>
  </si>
  <si>
    <t>847.8470810.1.492354.000000.847001.300180</t>
  </si>
  <si>
    <t>847.8470810.1.495110.000000.847001.300180</t>
  </si>
  <si>
    <t>847.8470810.1.492316.000000.847001.300180</t>
  </si>
  <si>
    <t>Comments</t>
  </si>
  <si>
    <t>IT manpower should be moved to Chp-01</t>
  </si>
  <si>
    <t xml:space="preserve">  </t>
  </si>
  <si>
    <t>Ankoubt Service agreement including Chp-01 manapower and other IT services</t>
  </si>
  <si>
    <t>College of Engineering</t>
  </si>
  <si>
    <t>KUST - Aerospace Engineering</t>
  </si>
  <si>
    <t>420550</t>
  </si>
  <si>
    <t>847.8470310.1.420550.000000.847001.200179</t>
  </si>
  <si>
    <t>420550.Academic Advisory Service-Number of Students-Number</t>
  </si>
  <si>
    <t>2 Board meetings of about 10 members. AED 10k per meeting.</t>
  </si>
  <si>
    <t>may happen at reduced budget</t>
  </si>
  <si>
    <t>event may not happen</t>
  </si>
  <si>
    <t>425510</t>
  </si>
  <si>
    <t>847.8470310.1.425510.000000.847001.200179</t>
  </si>
  <si>
    <t>425510.Conferences, seminars and exhibitions and other events: - Local Events-Conferences-Number of Conferences</t>
  </si>
  <si>
    <t>Conferences / Events that KU Aero Department will host</t>
  </si>
  <si>
    <t>event may happen at reduced budget</t>
  </si>
  <si>
    <t>some events may not be possible</t>
  </si>
  <si>
    <t>Establish a mobility program for students, faculty, researchers and staff</t>
  </si>
  <si>
    <t>There was one event in FY22 in FY23 two events</t>
  </si>
  <si>
    <t>Director, Student Services</t>
  </si>
  <si>
    <t>425760</t>
  </si>
  <si>
    <t>425760-Student activities &amp; field trip expenses</t>
  </si>
  <si>
    <t>847.8470310.1.425760.000000.847001.200179</t>
  </si>
  <si>
    <t>425760.Student activities &amp; field trip expenses-Students-No of Students</t>
  </si>
  <si>
    <t>Students travel to the US for Design Build Fly competetion</t>
  </si>
  <si>
    <t>number of students will need to be reduced</t>
  </si>
  <si>
    <t>trip may not be possible</t>
  </si>
  <si>
    <t>425763</t>
  </si>
  <si>
    <t>425763-Student Project Expenses</t>
  </si>
  <si>
    <t>847.8470310.1.425763.000000.847001.200179</t>
  </si>
  <si>
    <t>425763.Student Project Expenses-Number of Students UG-Month</t>
  </si>
  <si>
    <t>Assuming 72 SDP students, with AED 5,000 allocated per student</t>
  </si>
  <si>
    <t>project budget need to be cut</t>
  </si>
  <si>
    <t>some projects may not run</t>
  </si>
  <si>
    <t>Develop the university innovation and entrepreneurship system</t>
  </si>
  <si>
    <t>425770</t>
  </si>
  <si>
    <t>425770-Academic Missions - Combined expenses</t>
  </si>
  <si>
    <t>847.8470310.1.425770.000000.847001.200179</t>
  </si>
  <si>
    <t>425770.Academic Missions - Combined expenses-Number of Conference-Number</t>
  </si>
  <si>
    <t>International conference travel and registration fee. 1 Conference per faculty.</t>
  </si>
  <si>
    <t>1-2 faculty may not travel</t>
  </si>
  <si>
    <t>few faculty may not travel</t>
  </si>
  <si>
    <t>many faculty may not travel</t>
  </si>
  <si>
    <t>Compared to FY22, the Academic mission expense increased by 32%, and especially the Dean of Engineering and Electrical &amp; computer Engg department increased their statements by 39% to 48%. The rest of the departments in CoE increased by 25% to 33%.</t>
  </si>
  <si>
    <t>425900</t>
  </si>
  <si>
    <t>847.8470310.1.425900.000000.847001.200179</t>
  </si>
  <si>
    <t>12 Faculty Meetings (one per month) + 5 visits by professional organizations to the department.</t>
  </si>
  <si>
    <t>run on reduced budget</t>
  </si>
  <si>
    <t>Enhance the communication plan and outreach activities</t>
  </si>
  <si>
    <t>426610</t>
  </si>
  <si>
    <t>847.8470310.1.426610.000000.847001.200179</t>
  </si>
  <si>
    <t>Software renewal as per the CoE list</t>
  </si>
  <si>
    <t>software renewal not possible</t>
  </si>
  <si>
    <t>Widen access to students with outstanding academic potential</t>
  </si>
  <si>
    <t>428090</t>
  </si>
  <si>
    <t>847.8470310.1.428090.000000.847001.200179</t>
  </si>
  <si>
    <t>428090.Business Travel - Combined expenses-Number of Faculty-Number</t>
  </si>
  <si>
    <t>2 business trips by the Chair or a faculty to international universities or organizations to promote the department and KU.</t>
  </si>
  <si>
    <t>trip may happen at lower cost</t>
  </si>
  <si>
    <t>trip maybe cancelled</t>
  </si>
  <si>
    <t>Diversify and increase external research funds</t>
  </si>
  <si>
    <t>432209</t>
  </si>
  <si>
    <t>432209-Laboratory equipment</t>
  </si>
  <si>
    <t>847.8470310.1.432209.000000.847001.200179</t>
  </si>
  <si>
    <t>Aerospace Lab Maintenance</t>
  </si>
  <si>
    <t>may impact operations</t>
  </si>
  <si>
    <t>Compared to FY22, Laboratory equipment increased 51%, dean of engineering increased by 79%, Petroleum by 69%, and Biomedical 55% increased</t>
  </si>
  <si>
    <t>435350</t>
  </si>
  <si>
    <t>435350-Academic Publications</t>
  </si>
  <si>
    <t>847.8470310.1.435350.000000.847001.200179</t>
  </si>
  <si>
    <t>435350.Academic Publications-Number of Publications-Number</t>
  </si>
  <si>
    <t>Publications in open access Q1 journals $3500 per paper</t>
  </si>
  <si>
    <t>reduce publications and will impact university ranking</t>
  </si>
  <si>
    <t>435508</t>
  </si>
  <si>
    <t>435508-Laboratory - Scientific</t>
  </si>
  <si>
    <t>847.8470310.1.435508.000000.847001.200179</t>
  </si>
  <si>
    <t>435508.Laboratory - Scientific-Number of Faculty-Number</t>
  </si>
  <si>
    <t>Aero Lab consumables (OPEX)</t>
  </si>
  <si>
    <t>436110</t>
  </si>
  <si>
    <t>847.8470310.1.436110.000000.847001.200179</t>
  </si>
  <si>
    <t>436110.Printing supplies-Number of Faculty-Number</t>
  </si>
  <si>
    <t>Printing services to the department (brochures, posters, handouts, etc)</t>
  </si>
  <si>
    <t>not much impact</t>
  </si>
  <si>
    <t xml:space="preserve">Develop a life-long culture of community service beyond the classroom </t>
  </si>
  <si>
    <t>436600</t>
  </si>
  <si>
    <t>436600-Training/Teaching equipment and other educational aid</t>
  </si>
  <si>
    <t>847.8470310.1.436600.000000.847001.200179</t>
  </si>
  <si>
    <t>436600.Training/Teaching equipment and other educational aid-Number of Faculty-Number</t>
  </si>
  <si>
    <t>Training/Teaching equipment and other educational aid</t>
  </si>
  <si>
    <t>492316</t>
  </si>
  <si>
    <t>847.8470310.1.492316.000000.847001.300180</t>
  </si>
  <si>
    <t>492316.Laboratory equipment-Number of Faculty-Number</t>
  </si>
  <si>
    <t xml:space="preserve">Lab equipments and IT iteams, </t>
  </si>
  <si>
    <t>purchase not possible</t>
  </si>
  <si>
    <t>Compared to FY22 budget has significantly increased by 42% for CoE; most of CoE increased their funding in the range of 40%-74%, except for ME and CE.</t>
  </si>
  <si>
    <t>KUST - Biomedical Engineering</t>
  </si>
  <si>
    <t>847.8470315.1.420550.000000.847001.200179</t>
  </si>
  <si>
    <t>Advisory board meeting expenses (2 hours per meeting, 1meeting per year); invitations from abroad, e.g., Cambridge University.</t>
  </si>
  <si>
    <t xml:space="preserve">Minimal Impact </t>
  </si>
  <si>
    <t>The 20% cut will reduce the flexibility in supporting the advisory board meetings.</t>
  </si>
  <si>
    <t>The 30% cut will clearly impact the suppor of the advisory board meetings.</t>
  </si>
  <si>
    <t>847.8470315.1.425510.000000.847001.200179</t>
  </si>
  <si>
    <t>425510.Conferences, seminars and exhibitions and other events: - Local Events-Events-Number of Events</t>
  </si>
  <si>
    <t>Number of Events</t>
  </si>
  <si>
    <t>INTERACTION series: 7 seminars per year; Students' exhibitions (3 per year)</t>
  </si>
  <si>
    <t>The 10% cut will reduce the number of seminars by one.</t>
  </si>
  <si>
    <t>The 20% cut will reduce the number of seminars by two.</t>
  </si>
  <si>
    <t>The 30% cut will reduce the number of seminars by three and the students' exhibitions by one.</t>
  </si>
  <si>
    <t>847.8470315.1.425760.000000.847001.200179</t>
  </si>
  <si>
    <t>425760.Student activities &amp; field trip expenses-Events-No of Events</t>
  </si>
  <si>
    <t>No of Events</t>
  </si>
  <si>
    <t>Support for IEEE EMBS Chapter (AED10000)+Field trips to hospital labs; students' support in competitions (the total cost is split in five parts).</t>
  </si>
  <si>
    <t>Minimal impact.</t>
  </si>
  <si>
    <t>The 20% cut will reduce the field trip students' capacity, membership in IEEE EMBS, and competition participation support.</t>
  </si>
  <si>
    <t>The 30% cut will greately  reduce the field trip students' capacity, membership in IEEE EMBS, and competition participation support.</t>
  </si>
  <si>
    <t>847.8470315.1.425763.000000.847001.200179</t>
  </si>
  <si>
    <t>SDP I and SDP II needs, participation in international competitions (the number of undergraduate Senior students are used for the calculation with a cost of AED3000 per Senior student).</t>
  </si>
  <si>
    <t>The 10% cut will negatively affect the smooth realization of the BMED curriculum and would not allow the full implementation of the SDPs, in terms of providing the adequate means for their success.</t>
  </si>
  <si>
    <t>The 20% cut will greatly affect the smooth realization of the BMED curriculum and would not allow the full implementation of the SDPs, in terms of providing the adequate means for their success.</t>
  </si>
  <si>
    <t>Thε 30% cut  will severely affect the smooth realization of the BMED curriculum and would not allow the full implementation of the SDPs, in terms of providing the adequate means for their success.</t>
  </si>
  <si>
    <t>847.8470315.1.425770.000000.847001.200179</t>
  </si>
  <si>
    <t>Faculty conferences and meetings</t>
  </si>
  <si>
    <t>The 10% cut will reduce the support to one faculty to participate in an interantional conference.</t>
  </si>
  <si>
    <t>The 20% cut will reduce the support to three faculty to participate in an interantional conference.</t>
  </si>
  <si>
    <t>The 30% cut will reduce the support to four faculty to participate in an interantional conference.</t>
  </si>
  <si>
    <t>847.8470315.1.425900.000000.847001.200179</t>
  </si>
  <si>
    <t>Retreats, faculty meetings (10 per year) and Invited speakers expenses for seminars caterings</t>
  </si>
  <si>
    <t>The 20% cut will reduce the flexibility in speakers' invitations.</t>
  </si>
  <si>
    <t>The 30% cut will greatly reduce the flexibility in speakers' invitations.</t>
  </si>
  <si>
    <t>847.8470315.1.426610.000000.847001.200179</t>
  </si>
  <si>
    <t>Software licences for eduactional software: AnyBody Modeling System; SPSS</t>
  </si>
  <si>
    <t>The 10% cut will create obstacles in the renewal of the software needed in courses affecting the smooth realization of the BMED curriculum and related research.</t>
  </si>
  <si>
    <t>The 20% cut will create severe obstacles in the renewal of the software needed in courses affecting the smooth realization of the BMED curriculum and related research.</t>
  </si>
  <si>
    <t>The 30% cut will block the renewal of at least one category of the software needed in courses affecting the smooth realization of the BMED curriculum and related research.</t>
  </si>
  <si>
    <t>847.8470315.1.428090.000000.847001.200179</t>
  </si>
  <si>
    <t>Addition to department specific development trips</t>
  </si>
  <si>
    <t>The 20% cut will reduce by one the number of outreaching trips.</t>
  </si>
  <si>
    <t>The 30% cut will reduce by three the number of outreaching trips.</t>
  </si>
  <si>
    <t>847.8470315.1.432209.000000.847001.200179</t>
  </si>
  <si>
    <t>432209.Laboratory equipment-Number of Students-Number</t>
  </si>
  <si>
    <t xml:space="preserve">Annual Service Contracts for BME Labs Major Units; re-installation to new location B building second floor. </t>
  </si>
  <si>
    <t>The 10% cut will affect the acquisition of the item from the provider.</t>
  </si>
  <si>
    <t>The 20% cut will severely affect the acquisition of the item from the provider. Most probably we could not purchase the item.</t>
  </si>
  <si>
    <t>The 30% cut will block the acquisition of the item from the provider.</t>
  </si>
  <si>
    <t>847.8470315.1.435350.000000.847001.200179</t>
  </si>
  <si>
    <t>Open access publications (one per faculty)</t>
  </si>
  <si>
    <t>The 10% cut will reduce the support to one faculty to publish in an interantional journal.</t>
  </si>
  <si>
    <t>The 20% cut will reduce the support to three faculty to publish in an interantional journal.</t>
  </si>
  <si>
    <t>The 30% cut will reduce the support to four faculty to publish in an interantional journal.</t>
  </si>
  <si>
    <t>Increase publications in journals with high impact factor</t>
  </si>
  <si>
    <t>847.8470315.1.435508.000000.847001.200179</t>
  </si>
  <si>
    <t>435508.Laboratory - Scientific-Number of Students-Number</t>
  </si>
  <si>
    <t>Chemicals and biologocal reagents for teaching; LN2 and CO2 gases; Consumables; Cloud based remote Biosignal recording consumables; NI myDAQ systems; Electrophoresis and visualization system</t>
  </si>
  <si>
    <t>The 10% cut will affect the acquisition of the items from the providers.</t>
  </si>
  <si>
    <t>The 20% cut will severely affect the acquisition of the items from the providers. Most probably we could not purchase the items.</t>
  </si>
  <si>
    <t>The 30% cut will block the acquisition of the items from the providers.</t>
  </si>
  <si>
    <t>847.8470315.1.436110.000000.847001.200179</t>
  </si>
  <si>
    <t>436110.Printing supplies-Number of Employees-Number</t>
  </si>
  <si>
    <t>Toners/Paper</t>
  </si>
  <si>
    <t>Medium impact.</t>
  </si>
  <si>
    <t>847.8470315.1.436600.000000.847001.200179</t>
  </si>
  <si>
    <t>436600.Training/Teaching equipment and other educational aid-Number of Staff-Number</t>
  </si>
  <si>
    <t xml:space="preserve">Educational aid for online/blended teaching-learning , tablets </t>
  </si>
  <si>
    <t>847.8470315.1.492316.000000.847001.300180</t>
  </si>
  <si>
    <t>492316.Laboratory equipment-Number of Students-Number</t>
  </si>
  <si>
    <t xml:space="preserve">Spin Coater </t>
  </si>
  <si>
    <t>DEPtech 3DEP</t>
  </si>
  <si>
    <t>fNIRS</t>
  </si>
  <si>
    <t>Keithley (for electrical measurements)</t>
  </si>
  <si>
    <t>Neurofield X3000</t>
  </si>
  <si>
    <t>Nexus Add on Evoked Potentials</t>
  </si>
  <si>
    <t>5-Tile Standard Resolution Strideway System</t>
  </si>
  <si>
    <t>Somatic Vision and accessories</t>
  </si>
  <si>
    <t xml:space="preserve">High power Computers </t>
  </si>
  <si>
    <t>The PowerLab 26T data acquisition unit</t>
  </si>
  <si>
    <t>Finapres Nova NC System for blood pressure monitor</t>
  </si>
  <si>
    <t>KUST - Chemical Engineering</t>
  </si>
  <si>
    <t>847.8470320.1.420550.000000.847001.200179</t>
  </si>
  <si>
    <t xml:space="preserve">Annual board meeting and advising service </t>
  </si>
  <si>
    <t xml:space="preserve">it will have low to mild impact on scope of work </t>
  </si>
  <si>
    <t>Scope of work will be highly impacted</t>
  </si>
  <si>
    <t>Critical impact on scope of work and delivery</t>
  </si>
  <si>
    <t>847.8470320.1.425510.000000.847001.200179</t>
  </si>
  <si>
    <t>425510.Conferences, seminars and exhibitions and other events: - Local Events-The area of rented halls for events, seminars, and exhibition.-2m</t>
  </si>
  <si>
    <t>2m</t>
  </si>
  <si>
    <t>Each event coverage is maximum 6000 for student / staff / faculty</t>
  </si>
  <si>
    <t>847.8470320.1.425760.000000.847001.200179</t>
  </si>
  <si>
    <t>AED 2500 per trip towards CESPA and security clearnce</t>
  </si>
  <si>
    <t xml:space="preserve">it will have mild impact on scope of work </t>
  </si>
  <si>
    <t>847.8470320.1.425763.000000.847001.200179</t>
  </si>
  <si>
    <t>Per group per smester at 5000</t>
  </si>
  <si>
    <t>847.8470320.1.425770.000000.847001.200179</t>
  </si>
  <si>
    <t xml:space="preserve">Per faculty conference at AED 15000 </t>
  </si>
  <si>
    <t>847.8470320.1.425900.000000.847001.200179</t>
  </si>
  <si>
    <t>Towards staff meeeting and depatmnet related events</t>
  </si>
  <si>
    <t>847.8470320.1.426610.000000.847001.200179</t>
  </si>
  <si>
    <t xml:space="preserve">Renewal of existing softwares  and acquisition of COSMOS - RS </t>
  </si>
  <si>
    <t>847.8470320.1.428090.000000.847001.200179</t>
  </si>
  <si>
    <t>AED35000 for a maximum of one bussiness trip</t>
  </si>
  <si>
    <t>847.8470320.1.435350.000000.847001.200179</t>
  </si>
  <si>
    <t>Publication cost for faculty</t>
  </si>
  <si>
    <t>847.8470320.1.435508.000000.847001.200179</t>
  </si>
  <si>
    <t xml:space="preserve">For consumables and spares, small instrument and maintennace </t>
  </si>
  <si>
    <t>847.8470320.1.436110.000000.847001.200179</t>
  </si>
  <si>
    <t>AED 600 per semster for fcaulty and AED 300 for staff</t>
  </si>
  <si>
    <t>847.8470320.1.436600.000000.847001.200179</t>
  </si>
  <si>
    <t>AED 10,000 per staff per activity</t>
  </si>
  <si>
    <t>847.8470320.1.492316.000000.847001.300180</t>
  </si>
  <si>
    <t>CAPEX 1 of 14</t>
  </si>
  <si>
    <t>495140</t>
  </si>
  <si>
    <t>495140-Copyrights, patents and licenses</t>
  </si>
  <si>
    <t>847.8470320.1.495140.000000.847001.300180</t>
  </si>
  <si>
    <t>495140.Copyrights, patents and licenses-Number of Patents-Number</t>
  </si>
  <si>
    <t xml:space="preserve">Expense per copyright / patent </t>
  </si>
  <si>
    <t>Increase filed and issued patents in USPTO and PCT</t>
  </si>
  <si>
    <t>Lab Equipment capex has been reduced comapare to FY22 by 400k</t>
  </si>
  <si>
    <t>CAPEx 2 of 14</t>
  </si>
  <si>
    <t>CAPEx 3 of 14</t>
  </si>
  <si>
    <t>CAPEx 4 of 14</t>
  </si>
  <si>
    <t>CAPEx 5 of 14</t>
  </si>
  <si>
    <t>CAPEx 6 of 14</t>
  </si>
  <si>
    <t>CAPEx 7 of 14</t>
  </si>
  <si>
    <t>CAPEx 8 of 14</t>
  </si>
  <si>
    <t>CAPEX 9 of 14</t>
  </si>
  <si>
    <t>CAPEx 10 of 14</t>
  </si>
  <si>
    <t>CAPEx 11 of 14</t>
  </si>
  <si>
    <t>CAPEX 12 of 14</t>
  </si>
  <si>
    <t>CAPEX 13 of 14</t>
  </si>
  <si>
    <t>CAPEx 14 of 14</t>
  </si>
  <si>
    <t>KUST - Civil Engineering</t>
  </si>
  <si>
    <t>847.8470325.1.420550.000000.847001.200179</t>
  </si>
  <si>
    <t>Catering costs for 2 CIVE Dept. Advisory Board meetings at KU campus /  10 attendees at AED 200 per attendee</t>
  </si>
  <si>
    <t>Doable</t>
  </si>
  <si>
    <t>847.8470325.1.425510.000000.847001.200179</t>
  </si>
  <si>
    <t>425510.Conferences, seminars and exhibitions and other events: - Local Events-Number of Event-Number</t>
  </si>
  <si>
    <t xml:space="preserve">KU Policy for Academic Travel within UAE /  Academics who will need to attend events within UAE </t>
  </si>
  <si>
    <t>Not possible</t>
  </si>
  <si>
    <t>847.8470325.1.425760.000000.847001.200179</t>
  </si>
  <si>
    <t>Class field trips to construction sites. 1 trip for the course CIVE 338 and 1 trip for CIVE 442</t>
  </si>
  <si>
    <t>847.8470325.1.425763.000000.847001.200179</t>
  </si>
  <si>
    <t>Expenses to purchase materials &amp; services for the construction of SDP students' designs / AED 3000 per student</t>
  </si>
  <si>
    <t>425762</t>
  </si>
  <si>
    <t>425762-Student Internship</t>
  </si>
  <si>
    <t>847.8470325.1.425762.000000.847001.200179</t>
  </si>
  <si>
    <t>425762.Student Internship-Number Student Phd-Number</t>
  </si>
  <si>
    <t>Expenses to cover the airticket costs of a PhD student's internship at international Universities</t>
  </si>
  <si>
    <t xml:space="preserve">Develop holistic internship programs </t>
  </si>
  <si>
    <t>847.8470325.1.425770.000000.847001.200179</t>
  </si>
  <si>
    <t>AED 20000 per Faculty to address the registration, travel &amp; living costs of 1 international Conference per year</t>
  </si>
  <si>
    <t>847.8470325.1.426610.000000.847001.200179</t>
  </si>
  <si>
    <t xml:space="preserve">Renewal of software: Plaxis 3D
ETABS, Plaxis 2D
SimaPro </t>
  </si>
  <si>
    <t>847.8470325.1.428090.000000.847001.200179</t>
  </si>
  <si>
    <t>Senior Faculty participation in Board &amp; Executive Council meetings of International Organizations and Q1  Journals</t>
  </si>
  <si>
    <t>847.8470325.1.432209.000000.847001.200179</t>
  </si>
  <si>
    <t>Expenses for the yearly maintenance of CIVE labs equipment utilized for teaching purposes. Quotes from individual suppliers are included in the folder Maintenance Quotations</t>
  </si>
  <si>
    <t>847.8470325.1.435350.000000.847001.200179</t>
  </si>
  <si>
    <t>Open Access Q1 Journal submissions</t>
  </si>
  <si>
    <t>847.8470325.1.435508.000000.847001.200179</t>
  </si>
  <si>
    <t>Consumables for the operation of the CIVE instructional labs.  Quotes from individual suppliers are listed per item in the Excel sheet "CIVE OPEX Lab Scientific list" in the folder "CIVE OPEX Quotations"</t>
  </si>
  <si>
    <t>847.8470325.1.492316.000000.847001.300180</t>
  </si>
  <si>
    <t>Data Logger for MTS</t>
  </si>
  <si>
    <t xml:space="preserve">Pavemix, Automatic Asphalt Mixer, 32 liters </t>
  </si>
  <si>
    <t xml:space="preserve">ELE Compression Machine Missing Loading Parts </t>
  </si>
  <si>
    <t>Sieves Set of 8" and 12" diameter</t>
  </si>
  <si>
    <t xml:space="preserve"> Benchtop Hyperspectral System</t>
  </si>
  <si>
    <t>Free and Forced Vortex</t>
  </si>
  <si>
    <t>Dynamic Mechanical Analyzer</t>
  </si>
  <si>
    <t>KUST - Dean Of Engineering</t>
  </si>
  <si>
    <t>847.8470305.1.420550.000000.847001.200179</t>
  </si>
  <si>
    <t>Academic and Industry advisory board meetings and review</t>
  </si>
  <si>
    <t>no significant impact</t>
  </si>
  <si>
    <t>minimum impact</t>
  </si>
  <si>
    <t>reduce support</t>
  </si>
  <si>
    <t>420570</t>
  </si>
  <si>
    <t>847.8470305.1.420570.000000.847001.200179</t>
  </si>
  <si>
    <t>420570.Academic Collaborative Partnership Services- Research Projects Agreements-No of Research Projects Agreement</t>
  </si>
  <si>
    <t>No of Research Projects Agreement</t>
  </si>
  <si>
    <t>membership agreements in Intl Org or consortia</t>
  </si>
  <si>
    <t>No significant impact</t>
  </si>
  <si>
    <t>421700</t>
  </si>
  <si>
    <t>847.8470305.1.421700.000000.847001.200179</t>
  </si>
  <si>
    <t>CAA 25 programs cluster accreditation</t>
  </si>
  <si>
    <t>Full amount required. May need to transfer remaining amount from other expenses</t>
  </si>
  <si>
    <t>847.8470305.1.425510.000000.847001.200179</t>
  </si>
  <si>
    <t>425500.Conferences, seminars and exhibitions and other events:-Number of events &amp; attendees-Number of Number of events &amp; attendees</t>
  </si>
  <si>
    <t>Number of Number of events &amp; attendees</t>
  </si>
  <si>
    <t>Support local and KU events and conferences hosting</t>
  </si>
  <si>
    <t>Attract and organize international conferences and summits</t>
  </si>
  <si>
    <t>425720</t>
  </si>
  <si>
    <t>425720-Education-Outsourced training service</t>
  </si>
  <si>
    <t>847.8470305.1.425720.000000.847001.200179</t>
  </si>
  <si>
    <t>425720.Education-Outsourced training service-Activities-No of Activities</t>
  </si>
  <si>
    <t>No of Activities</t>
  </si>
  <si>
    <t>training of DH, faculty and staff</t>
  </si>
  <si>
    <t>reduce support per projects</t>
  </si>
  <si>
    <t>reduce supported projects</t>
  </si>
  <si>
    <t>847.8470305.1.425763.000000.847001.200179</t>
  </si>
  <si>
    <t>UG student projects and competitions</t>
  </si>
  <si>
    <t>reduce number of supported faculty</t>
  </si>
  <si>
    <t>847.8470305.1.425770.000000.847001.200179</t>
  </si>
  <si>
    <t>Conference travel, 25% of CoE, 1 conference per faculty</t>
  </si>
  <si>
    <t>retreat on campus</t>
  </si>
  <si>
    <t>847.8470305.1.425900.000000.847001.200179</t>
  </si>
  <si>
    <t>Retreats</t>
  </si>
  <si>
    <t>whole amount required for cost of Labview</t>
  </si>
  <si>
    <t>Develop a new learning outcomes assessment framework at the course, programs, and institutional levels</t>
  </si>
  <si>
    <t>847.8470305.1.426610.000000.847001.200179</t>
  </si>
  <si>
    <t xml:space="preserve">software for college requirements to support multi-department shared software </t>
  </si>
  <si>
    <t>change of trip may be required</t>
  </si>
  <si>
    <t>847.8470305.1.428090.000000.847001.200179</t>
  </si>
  <si>
    <t>Dean/Assoc Dean travel on KU missions</t>
  </si>
  <si>
    <t>reduce awards</t>
  </si>
  <si>
    <t>428640</t>
  </si>
  <si>
    <t>847.8470305.1.428640.000000.847001.200179</t>
  </si>
  <si>
    <t>428640.Events - Awards, prizes &amp; gifts-Number of awards-count</t>
  </si>
  <si>
    <t>Awards for students and faculty</t>
  </si>
  <si>
    <t>significant impact</t>
  </si>
  <si>
    <t>847.8470305.1.432209.000000.847001.200179</t>
  </si>
  <si>
    <t>equipment support for multi department usage teaching labs</t>
  </si>
  <si>
    <t>reduce publications</t>
  </si>
  <si>
    <t>432690-Plant, machinery and heavy equipment, not mentioned elsewhere</t>
  </si>
  <si>
    <t>847.8470305.1.432690.000000.847001.200179</t>
  </si>
  <si>
    <t>reduced functionality</t>
  </si>
  <si>
    <t>435340</t>
  </si>
  <si>
    <t>435340-Text books and library books</t>
  </si>
  <si>
    <t>847.8470305.1.435340.000000.847001.200179</t>
  </si>
  <si>
    <t>reduced support</t>
  </si>
  <si>
    <t>847.8470305.1.435350.000000.847001.200179</t>
  </si>
  <si>
    <t>Publications in Open access Q1 texts</t>
  </si>
  <si>
    <t>reduce support for faculty</t>
  </si>
  <si>
    <t>only support IEEE subscription</t>
  </si>
  <si>
    <t>847.8470305.1.435508.000000.847001.200179</t>
  </si>
  <si>
    <t>Upgrade and maintenance for CoE shared facilities</t>
  </si>
  <si>
    <t>847.8470305.1.436600.000000.847001.200179</t>
  </si>
  <si>
    <t>Hybrid learning technologies</t>
  </si>
  <si>
    <t>KUST - Electrical &amp; Computer Engineering</t>
  </si>
  <si>
    <t>847.8470330.1.420550.000000.847001.200179</t>
  </si>
  <si>
    <t>One meeting of the DAB of the deprtment.  Hospitality for 7 members and 5 KU faculty.</t>
  </si>
  <si>
    <t>Negligible</t>
  </si>
  <si>
    <t>May not be considered as good</t>
  </si>
  <si>
    <t>847.8470330.1.425510.000000.847001.200179</t>
  </si>
  <si>
    <t>425510.Conferences, seminars and exhibitions and other events: - Local Events-Exhibitions-Number of Exhibitions</t>
  </si>
  <si>
    <t>Number of Exhibitions</t>
  </si>
  <si>
    <t>Workshop on High Voltage: AED 10000.  Organizers: Drs. Noureddine and Balanthi Beig . Cost calculation details: International expert travel, Food and Accommodation: AED 1000/person. Participants: 10.</t>
  </si>
  <si>
    <t>not a good impresion to delegates</t>
  </si>
  <si>
    <t>Cacnellation</t>
  </si>
  <si>
    <t>847.8470330.1.425760.000000.847001.200179</t>
  </si>
  <si>
    <t>10 field trips trips @ AED 2000/trip . Also IEEE KU students activities (AED 10000) include common design project, engineering design project, industrial project, and community service project plus the IEEE KU student chapter running costs, including inviting speakers and organizing workshops. Also Competitions, like KPC (AED 5000), GPC (AED 15000), and International overseas ones (AED 25000)</t>
  </si>
  <si>
    <t>reduced number of students or field trips</t>
  </si>
  <si>
    <t>847.8470330.1.425763.000000.847001.200179</t>
  </si>
  <si>
    <t>Number of students x AED 3000 /student</t>
  </si>
  <si>
    <t>reduced quality experience</t>
  </si>
  <si>
    <t>reduced flexibility in SDP materials</t>
  </si>
  <si>
    <t>847.8470330.1.425770.000000.847001.200179</t>
  </si>
  <si>
    <t>20K/Faculty FTE</t>
  </si>
  <si>
    <t>reduced KU presence in international forums</t>
  </si>
  <si>
    <t>will need to prioritize</t>
  </si>
  <si>
    <t>dissappoint researchers</t>
  </si>
  <si>
    <t>Strengthen research ethical culture framework across the university</t>
  </si>
  <si>
    <t>847.8470330.1.425900.000000.847001.200179</t>
  </si>
  <si>
    <t xml:space="preserve"> 6 Department meetings' hospitality. average # of department participants (45) @ AED 100/faculty/meeting. Also for one speaker from local industry per sementer @ 1000 /speaker.</t>
  </si>
  <si>
    <t>OK</t>
  </si>
  <si>
    <t>Ok</t>
  </si>
  <si>
    <t>426610-Computer software licenses-Software License Renewal</t>
  </si>
  <si>
    <t>847.8470330.1.426610.000000.847001.200179</t>
  </si>
  <si>
    <t xml:space="preserve">TOTAL  710.625 (approx, with an expected 25% increase in price in 2023). 
Altium Designer -  2.312K
PLECS Combo Academic Concurrent License - 2.812K
LogixPro 500 - 3.5K                                                                                                                                                                                                                                                           
Rockwell Automation Toolkit - Studio 5000  23.125K
ETAP - Educational Licenses -18.125K
Cadence - 265.75K                                                                                                                                                                                                                                                                       
GAMS (General Algebraic Modeling System)  76.875K
Synopsys - 188.375K                                                                                                                                                                                                                                                    LabView Academic Site License Teaching  129.75K 
</t>
  </si>
  <si>
    <t>Inability to operate SW</t>
  </si>
  <si>
    <t>inability to operate SW</t>
  </si>
  <si>
    <t>847.8470330.1.428640.000000.847001.200179</t>
  </si>
  <si>
    <t xml:space="preserve">Honored faculty * gift cost
Also (Dr Arif's project: Smart Mobile Application Annual Contest 2022/2023/2024: Total Cost: ~300K 
Awards: 3 teams to win 75K, 50K, 25K (Total 150K) Travel support can be given AED 1.5K-3K per person (depending on region) to shortlisted teams based on receipt of tickets and accommodation (twin or triple rooms) up to 15 shortlisted teams can be supported 1-2 from each country (total cost of ~115K). 
Accommodation: twin-triple room (1 night per team) Max of AED 1K per team. Total Cost: 15 K. Cost of publications and event preparation: AED 10K. Catering 150 attendees: 10K </t>
  </si>
  <si>
    <t>Events pursued by the leadership will be affected</t>
  </si>
  <si>
    <t>Important events may be cancelled</t>
  </si>
  <si>
    <t>847.8470330.1.432209.000000.847001.200179</t>
  </si>
  <si>
    <t>Lab Maintenance/Callibration of equipment -  Number of Lab x AED 5000/Lab</t>
  </si>
  <si>
    <t>May be able to negotiate</t>
  </si>
  <si>
    <t>will impact maintenance</t>
  </si>
  <si>
    <t>will impact operations</t>
  </si>
  <si>
    <t>847.8470330.1.435350.000000.847001.200179</t>
  </si>
  <si>
    <t>one paper or page charges / faculty</t>
  </si>
  <si>
    <t>Reduce our exposure and citations</t>
  </si>
  <si>
    <t xml:space="preserve">Detrimental </t>
  </si>
  <si>
    <t>847.8470330.1.435508.000000.847001.200179</t>
  </si>
  <si>
    <t>Lab materials, Course project materials and other Consumables  - Number of Labs x AED 10000/Lab</t>
  </si>
  <si>
    <t>May impact our equipment</t>
  </si>
  <si>
    <t>will impact our equipment</t>
  </si>
  <si>
    <t>847.8470330.1.436600.000000.847001.200179</t>
  </si>
  <si>
    <t xml:space="preserve">2 servers  @ 8000 each,  =16000.  </t>
  </si>
  <si>
    <t>Inability to access Server</t>
  </si>
  <si>
    <t>847.8470330.1.492316.000000.847001.300180</t>
  </si>
  <si>
    <t xml:space="preserve">CAPEX equipment. An average price of AED 81.1K for 9 items and a total of AED 1041.55K (Refer attached quotations) 
Dr. Naoufel - Tensorbook ( 160K), 
Dr. Ahmed - Rotary servo station for feedback lab (260K), 
Dr. Beig - Equipment for SDP lab (205K), 
Dr. Jorge - FPGA development board (15K), 
Nishar - All-in-PCs for Automation Lab (85K) ,
Dr. Beig - Teledyne LeCroy WAVEPRO 254HD  with accessories 316.55K                                                                                                                                                                                </t>
  </si>
  <si>
    <t>KUST - Industrial &amp; Systems Engineering</t>
  </si>
  <si>
    <t>847.8470335.1.420550.000000.847001.200179</t>
  </si>
  <si>
    <t>Two advisory board meetings</t>
  </si>
  <si>
    <t>847.8470335.1.425510.000000.847001.200179</t>
  </si>
  <si>
    <t>ten Students to regiser into local conferences and intl competitions</t>
  </si>
  <si>
    <t>847.8470335.1.425760.000000.847001.200179</t>
  </si>
  <si>
    <t>425761.Student Field trips-Number of Students UG-Month</t>
  </si>
  <si>
    <t>4 student site visits to industry</t>
  </si>
  <si>
    <t>reduce student support</t>
  </si>
  <si>
    <t>847.8470335.1.425763.000000.847001.200179</t>
  </si>
  <si>
    <t>2000 DH per Senior student</t>
  </si>
  <si>
    <t>847.8470335.1.425770.000000.847001.200179</t>
  </si>
  <si>
    <t>20K DHs per faculty trip, one trip per faculty</t>
  </si>
  <si>
    <t>reduce faculty publication and researcj support</t>
  </si>
  <si>
    <t>847.8470335.1.425900.000000.847001.200179</t>
  </si>
  <si>
    <t>4 scoial departmental meetings and events, and 2 retreats</t>
  </si>
  <si>
    <t>847.8470335.1.426610.000000.847001.200179</t>
  </si>
  <si>
    <t>28 software license to renew on avergae 6000/ license; detailed with IT</t>
  </si>
  <si>
    <t>847.8470335.1.428090.000000.847001.200179</t>
  </si>
  <si>
    <t>1 business travel mission for DH</t>
  </si>
  <si>
    <t>reduce travel days</t>
  </si>
  <si>
    <t>847.8470335.1.435350.000000.847001.200179</t>
  </si>
  <si>
    <t>10 publications in open access Q1 to highlight impact</t>
  </si>
  <si>
    <t>reduce number of publications</t>
  </si>
  <si>
    <t>847.8470335.1.435508.000000.847001.200179</t>
  </si>
  <si>
    <t xml:space="preserve">A-NDT equipment upgrade for ISYE 275, B- BioPac for Human Factors lab, C- Synertial motion capture suit for visualization lab, </t>
  </si>
  <si>
    <t>847.8470335.1.436110.000000.847001.200179</t>
  </si>
  <si>
    <t>427200.Printing and publishing-The printing cost of the department's publications-count</t>
  </si>
  <si>
    <t>printing supplies to teaching labs and department office</t>
  </si>
  <si>
    <t xml:space="preserve">no significant </t>
  </si>
  <si>
    <t>847.8470335.1.436600.000000.847001.200179</t>
  </si>
  <si>
    <t>training and teaching aids misc.</t>
  </si>
  <si>
    <t>reduce support for teaching aids</t>
  </si>
  <si>
    <t>847.8470335.1.492316.000000.847001.300180</t>
  </si>
  <si>
    <t>A- Augmented reality welding with robotics for the manufacturing lab, B- Human Factors lab rehabilitation driving simulator</t>
  </si>
  <si>
    <t>reduce functionality of infrastructure</t>
  </si>
  <si>
    <t xml:space="preserve">reduce lab functionalities for teaching </t>
  </si>
  <si>
    <t>KUST - Mechanical Engineering</t>
  </si>
  <si>
    <t>847.8470340.1.420550.000000.847001.200179</t>
  </si>
  <si>
    <t>One meeting of the industrial advisory group of the deprtment.  Hospitality for 10 individuals and 6 KU faculty.</t>
  </si>
  <si>
    <t>minimal</t>
  </si>
  <si>
    <t>847.8470340.1.425510.000000.847001.200179</t>
  </si>
  <si>
    <t>Support for conferences organized locally by faculty.  Costs of visas for invited speakers.  KU appearing as a co-sponsor of the events</t>
  </si>
  <si>
    <t>847.8470340.1.425720.000000.847001.200179</t>
  </si>
  <si>
    <t>One training even for each of our two remaining machinists</t>
  </si>
  <si>
    <t>modest</t>
  </si>
  <si>
    <t>847.8470340.1.425760.000000.847001.200179</t>
  </si>
  <si>
    <t>Field trips to ADNOC, Emirates Global Aluminum, Strata (Mubadala), and Shams power station as part of the courses on Turbomachinery, Materials/Metallurgy, and Applied Thermodynamics/Renewable Energy Systems. Additional support for two activities of the ASME student chapter.</t>
  </si>
  <si>
    <t>847.8470340.1.425763.000000.847001.200179</t>
  </si>
  <si>
    <t xml:space="preserve">Support for undergraduate students' senior design projects. 100 students per year x 5000 AED per student.  The amoounts will be released early in the semesters and settled at the end against receipts collected from student reimbursements. </t>
  </si>
  <si>
    <t>serious</t>
  </si>
  <si>
    <t>very serious</t>
  </si>
  <si>
    <t>847.8470340.1.425770.000000.847001.200179</t>
  </si>
  <si>
    <t>One trip per year to a top-quality conference for  each of 35 faculty members x 20,000 AED per trip</t>
  </si>
  <si>
    <t>847.8470340.1.425900.000000.847001.200179</t>
  </si>
  <si>
    <t>Two deprtmental retreats a year</t>
  </si>
  <si>
    <t>847.8470340.1.426610.000000.847001.200179</t>
  </si>
  <si>
    <t>Please, see itemized list of software that is used for educational purposes in the deprtment.  Annual renewal of software, split in two semesters.</t>
  </si>
  <si>
    <t>847.8470340.1.432209.000000.847001.200179</t>
  </si>
  <si>
    <t>Please, see attached detailed quote. One maintenance contract for the instructional equipment of the department</t>
  </si>
  <si>
    <t>very serious- crucial maintenance may not be possible.</t>
  </si>
  <si>
    <t>847.8470340.1.435350.000000.847001.200179</t>
  </si>
  <si>
    <t>One open-access publication for each faculty member in a Q1 journal. 35 faculty members x 10000 AED per publication.</t>
  </si>
  <si>
    <t>847.8470340.1.435508.000000.847001.200179</t>
  </si>
  <si>
    <t>Raw materials for machining, electric and electronic hardware, chemicals, gases, as well as tools and hardware.  Itemized estmates per month:  Workshop (Main and SAN): 6000 AED, Solids, Heat Transfer and Fluids labs: 1000 AED, Material Testing lab: 4000 AED, 3D Printing labs: 5000 AED, 
Mechatronics lab:	2000 AED, Spare Parts for all labs: 2000 AED</t>
  </si>
  <si>
    <t>847.8470340.1.492316.000000.847001.300180</t>
  </si>
  <si>
    <t>CAPEX:  Please, see attached detailed quote. SLS 3D Printer. This printer would replace existing and aging Polyjet, multi-material, OBJECT 260 Connex 3D Printer for which very expensive-to-fix breakdowns are frequently encountered. AMCs are not useful for this current printer as they exclude very expensive spares. Throughput is not efficient and 3d print raw materials are exhorbitantly priced with short expiry dates for this existing resource.</t>
  </si>
  <si>
    <t>very serious -the acquisition will most probably not be possible</t>
  </si>
  <si>
    <t>CAPEX: Please, see attached detailed quote. Conductivity of liquids and gases and natural convection experiments to be incorporated in the heat transfer lab.</t>
  </si>
  <si>
    <t>CAPEX: Please, see attached detailed quote. MATLAB/SIMULINK-based feedback control techniques and equipment to be incorporated to the Mechatronis lab</t>
  </si>
  <si>
    <t>KUST - Nuclear Engineering</t>
  </si>
  <si>
    <t>847.8470345.1.420550.000000.847001.200179</t>
  </si>
  <si>
    <t xml:space="preserve">2 academic advisor services per year </t>
  </si>
  <si>
    <t>90% - Will reduce the number/scope of advisory service</t>
  </si>
  <si>
    <t>80% - Will reduce the number/scope of advisory service</t>
  </si>
  <si>
    <t>70% - Will reduce the number/scope of advisory service</t>
  </si>
  <si>
    <t>847.8470345.1.425510.000000.847001.200179</t>
  </si>
  <si>
    <t>2 workshops organised per year</t>
  </si>
  <si>
    <t>Vital - Nedeed to maintain/promote KU not to negatively impact KU ranking</t>
  </si>
  <si>
    <t>847.8470345.1.425760.000000.847001.200179</t>
  </si>
  <si>
    <t>1 field trip per year for 8 students 20k per student</t>
  </si>
  <si>
    <t>90% - Will reduce ability to provide student with important practical experience</t>
  </si>
  <si>
    <t>80% - Will reduce ability to provide student with important practical experience</t>
  </si>
  <si>
    <t>70% - Will reduce ability to provide student with important practical experience</t>
  </si>
  <si>
    <t>847.8470345.1.425770.000000.847001.200179</t>
  </si>
  <si>
    <t>1 mission per faculty per year, 20 k per mission</t>
  </si>
  <si>
    <t>Vital, needed to maintain KU visibility and Faculty connection/expertise</t>
  </si>
  <si>
    <t>847.8470345.1.425900.000000.847001.200179</t>
  </si>
  <si>
    <t>6 hospitality per year, expansion internaltional cooperation</t>
  </si>
  <si>
    <t>90% - Will reduce ability to promote/develop KU partenership</t>
  </si>
  <si>
    <t>80% - Will reduce ability to promote/develop KU partenership</t>
  </si>
  <si>
    <t>70% - Will reduce ability to promote/develop KU partenership</t>
  </si>
  <si>
    <t>847.8470345.1.426610.000000.847001.200179</t>
  </si>
  <si>
    <t>Yearly subscriptions / Quotations in OPEX RDA Lab</t>
  </si>
  <si>
    <t>Mandatory, cannot be reduced for normal operation</t>
  </si>
  <si>
    <t xml:space="preserve">Ensure the university sustainability </t>
  </si>
  <si>
    <t>847.8470345.1.428090.000000.847001.200179</t>
  </si>
  <si>
    <t>2 buisness travel per year</t>
  </si>
  <si>
    <t>90%  - Reduce capability for KU promotioon/cooperation - impact on ranking</t>
  </si>
  <si>
    <t>80%  - Reduce capability for KU promotioon/cooperation - impact on ranking</t>
  </si>
  <si>
    <t>70%  - Reduce capability for KU promotioon/cooperation - impact on ranking</t>
  </si>
  <si>
    <t>847.8470345.1.435350.000000.847001.200179</t>
  </si>
  <si>
    <t xml:space="preserve"> 2 open access Q1 publications per faculty per year</t>
  </si>
  <si>
    <t>Vital, it is a priority of KU to publish in Q1 journal - high impact on KU ranking</t>
  </si>
  <si>
    <t>847.8470345.1.435508.000000.847001.200179</t>
  </si>
  <si>
    <t>According to detailed OPEX documents</t>
  </si>
  <si>
    <t xml:space="preserve">Vital, needed for everyday operation and delivery of academic program, including students' projects provide NUCE with minimum video conferencing capabilities </t>
  </si>
  <si>
    <t>847.8470345.1.436110.000000.847001.200179</t>
  </si>
  <si>
    <t>436110.Printing supplies-Number of Student-Number</t>
  </si>
  <si>
    <t xml:space="preserve">6 doc print per year </t>
  </si>
  <si>
    <t>90 % - Will reduce ability to promote educational program : diminution of number of students</t>
  </si>
  <si>
    <t>80% - Will reduce ability to promote educational program : diminution of number of students</t>
  </si>
  <si>
    <t>70% - Will reduce ability to promote educational program : diminution of number of students</t>
  </si>
  <si>
    <t>Increase number of postgraduate students</t>
  </si>
  <si>
    <t>847.8470345.1.436600.000000.847001.200179</t>
  </si>
  <si>
    <t>436600.Training/Teaching equipment and other educational aid-Number of Student-Number</t>
  </si>
  <si>
    <t>Videoconferencing system (quotation)</t>
  </si>
  <si>
    <t xml:space="preserve">Vital, needed to provide NUCE with minimum video conferencing capabilities </t>
  </si>
  <si>
    <t>847.8470345.1.492316.000000.847001.300180</t>
  </si>
  <si>
    <t>According to detailed CAPEX documents</t>
  </si>
  <si>
    <t>Impact KU ability to maintain state-of-the-art capabilities, prioritization to be made</t>
  </si>
  <si>
    <t>Cannot be reduced : will not allow KU maintaining state-of-the-art capabilities</t>
  </si>
  <si>
    <t>KUST - Petroleum Engineering</t>
  </si>
  <si>
    <t>847.8470350.1.425510.000000.847001.200179</t>
  </si>
  <si>
    <t>Department seminars and exhibitions, etc.</t>
  </si>
  <si>
    <t>Reduced quality of activity</t>
  </si>
  <si>
    <t>Less quality of activity</t>
  </si>
  <si>
    <t>Mimnimum quality activity</t>
  </si>
  <si>
    <t>847.8470350.1.425760.000000.847001.200179</t>
  </si>
  <si>
    <t>SPE Student Chapter Activities</t>
  </si>
  <si>
    <t>847.8470350.1.425763.000000.847001.200179</t>
  </si>
  <si>
    <t>Satudent senior design projects</t>
  </si>
  <si>
    <t>847.8470350.1.425770.000000.847001.200179</t>
  </si>
  <si>
    <t>Academic mission for international and regional 
conferences for 12 faculty members</t>
  </si>
  <si>
    <t>Reduced academic missions</t>
  </si>
  <si>
    <t>Less academic missions</t>
  </si>
  <si>
    <t>minimum academic missions</t>
  </si>
  <si>
    <t>847.8470350.1.425900.000000.847001.200179</t>
  </si>
  <si>
    <t>Biweekly department meetings, Seminars,
Open &amp; Major days and SPE  Student chapter activities.</t>
  </si>
  <si>
    <t>Reduced quality of activities</t>
  </si>
  <si>
    <t>Less quality of activities</t>
  </si>
  <si>
    <t>minimum quality of activities</t>
  </si>
  <si>
    <t>847.8470350.1.426610.000000.847001.200179</t>
  </si>
  <si>
    <t>OriginPro Software maintenance</t>
  </si>
  <si>
    <t>We won't be able to renew it. Fixed maintenance pricing.</t>
  </si>
  <si>
    <t>Kappa Software Renewal</t>
  </si>
  <si>
    <t>BIOVIA Materials Studio Software Maintenance</t>
  </si>
  <si>
    <t>Thermo Scientific™ PerGeos Software Upgrade</t>
  </si>
  <si>
    <t>QRI Speedwise Software</t>
  </si>
  <si>
    <t>847.8470350.1.432209.000000.847001.200179</t>
  </si>
  <si>
    <t>4 Gasometers, 4 Flash separators, 2 Rolling ball viscometers</t>
  </si>
  <si>
    <t>No maintenance fixed price</t>
  </si>
  <si>
    <t>Drilling Simulator  Service Maintenance</t>
  </si>
  <si>
    <t>Vinci He Porosimeter and Gas Permeameaters Service, Maintenance and Spare Parts</t>
  </si>
  <si>
    <t>Reduced Operations and Experiments</t>
  </si>
  <si>
    <t>Less Operations and Experiments</t>
  </si>
  <si>
    <t>Minimum Operations and Experiments</t>
  </si>
  <si>
    <t>NER Systems Maintenance and Training</t>
  </si>
  <si>
    <t>Grace Core Flood System Service, Maintenance and Spare Parts</t>
  </si>
  <si>
    <t>Align the postgraduates programs with the research strategy</t>
  </si>
  <si>
    <t>847.8470350.1.435340.000000.847001.200179</t>
  </si>
  <si>
    <t>435340.Text books and library books-Faculty-Number oF Faculty</t>
  </si>
  <si>
    <t>Number oF Faculty</t>
  </si>
  <si>
    <t>Rreference library books for graduate students research</t>
  </si>
  <si>
    <t>Reduced reference books</t>
  </si>
  <si>
    <t>Less reference books</t>
  </si>
  <si>
    <t>Minimum reference books</t>
  </si>
  <si>
    <t>847.8470350.1.435350.000000.847001.200179</t>
  </si>
  <si>
    <t>Q1 open journal publications for 10 faculty members</t>
  </si>
  <si>
    <t>Reduced open source publications resulting in reduced citations.</t>
  </si>
  <si>
    <t>Less open source publications resulting in reduced citations.</t>
  </si>
  <si>
    <t>847.8470350.1.435508.000000.847001.200179</t>
  </si>
  <si>
    <t>Helium, Nitrogen, etc Gas Cylinders</t>
  </si>
  <si>
    <t>Salts, Chemicals and Solvents</t>
  </si>
  <si>
    <t xml:space="preserve">Miscellaneous (Tool boxes, timers, calipers, PPE, workstations hardwares, etc.) </t>
  </si>
  <si>
    <t>847.8470350.1.436110.000000.847001.200179</t>
  </si>
  <si>
    <t>847.8470350.1.436600.000000.847001.200179</t>
  </si>
  <si>
    <t>PE Staff Training and Development</t>
  </si>
  <si>
    <t>847.8470350.1.492316.000000.847001.300180</t>
  </si>
  <si>
    <t>Lab 3135 Workstations</t>
  </si>
  <si>
    <t>Reduced workstations specs.</t>
  </si>
  <si>
    <t>Less quality and  workstations specs.</t>
  </si>
  <si>
    <t>Minimum  workstations specs.</t>
  </si>
  <si>
    <t>Lab 3137 Workstations</t>
  </si>
  <si>
    <t>495110</t>
  </si>
  <si>
    <t>847.8470350.1.495110.000000.847001.300180</t>
  </si>
  <si>
    <t>495110.Computer software-TBD-TBD</t>
  </si>
  <si>
    <t>ITASCA SOFTWARE</t>
  </si>
  <si>
    <t>We won't be able to renew it. Fixed software pricing.</t>
  </si>
  <si>
    <t>High Ram Deep Learning Workstations</t>
  </si>
  <si>
    <t>Resistivity Core Holders</t>
  </si>
  <si>
    <t>Less number of core holders.</t>
  </si>
  <si>
    <t>Dual Acting Syringe Pump with logging software and connection cable to PC</t>
  </si>
  <si>
    <t>reduced options for the equipment to be purchased</t>
  </si>
  <si>
    <t>less options for the equipment to be purchased</t>
  </si>
  <si>
    <t>Will not be purchased</t>
  </si>
  <si>
    <t>Individual Core holder - Hydrostatic
- Capable of accommodating 1.5” diameter and 3” length samples</t>
  </si>
  <si>
    <t>Individual Core holder - Hydrostatic
- Capable of accommodating 1.5” diameter and 6” length samples</t>
  </si>
  <si>
    <t>Flow through cleaning unit</t>
  </si>
  <si>
    <t>Dean Stark-6 units</t>
  </si>
  <si>
    <t>Vacuum Pumps</t>
  </si>
  <si>
    <t>iDrillSim Cloudbased Software</t>
  </si>
  <si>
    <t>HT Flow Loop System</t>
  </si>
  <si>
    <t>ABET 9 UG programs Accreditation</t>
  </si>
  <si>
    <t>Total CAPEX budget</t>
  </si>
  <si>
    <t>425770.Academic Missions - Combined expenses-Number of Meeting-Number</t>
  </si>
  <si>
    <t>Annual Service Contracts for BME Labs Major Units</t>
  </si>
  <si>
    <t xml:space="preserve">Chemicals and biologocal reagents for teaching; LN2 and CO2 gases; Consumables; Cloud based remote Biosignal recording consumables </t>
  </si>
  <si>
    <t xml:space="preserve">Educational aid for online/blended teaching-learning </t>
  </si>
  <si>
    <t xml:space="preserve">Biological Safety cabinets </t>
  </si>
  <si>
    <t>Wearable Equivital system for vital physiological signal monitoring and recording</t>
  </si>
  <si>
    <t>Desktop Computers</t>
  </si>
  <si>
    <t xml:space="preserve">Freeze dryer (for drug delivery and tissue engineering) </t>
  </si>
  <si>
    <t>Ultracentrifuge</t>
  </si>
  <si>
    <t>NEON System Starter PACK Transfection System</t>
  </si>
  <si>
    <t xml:space="preserve">Confocal Microscope upgrade </t>
  </si>
  <si>
    <t>EVOS XL Core Imaging System</t>
  </si>
  <si>
    <t xml:space="preserve">Flow Cytometer </t>
  </si>
  <si>
    <t>CAPEX 1 of 5</t>
  </si>
  <si>
    <t>CAPEX 2 of 5</t>
  </si>
  <si>
    <t>CAPEX 3 of 5</t>
  </si>
  <si>
    <t>CAPEX 4 of 5</t>
  </si>
  <si>
    <t>CAPEX 5 of 5</t>
  </si>
  <si>
    <t xml:space="preserve"> Hollow Cylinder Apparatus - 2Hz/10kN/100Nm 60-100mm diameter</t>
  </si>
  <si>
    <t>Coredry Machine</t>
  </si>
  <si>
    <t>465000</t>
  </si>
  <si>
    <t>3Flex Physisorption Chemisorption Analyzer</t>
  </si>
  <si>
    <t xml:space="preserve">average cost of SW licenses* # of licenses (expected 25% increase in price in 2023)
Altium Designer -  2.312K
PLECS Combo Academic Concurrent License - 2.812K
LogixPro 500 - 3.5K                                                                                                                                                                                                                                                           Rockwell Automation Toolkit - Studio 5000  23.125K
ETAP - Educational Licenses -18.125K
Cadence - 265.75K                                                                                                                                                                                                                                                                       
GAMS (General Algebraic Modeling System)  76.875K
Synopsys - 188.375K                                                                                                                                                                                                                                                    LabView Academic Site License Teaching  129.75K 
TOTAL  710.625
</t>
  </si>
  <si>
    <t xml:space="preserve">CAPEX equipment. Average of CAPEX expenses for the last 3 years (500K/year) - to upgrade the lab facilities/Adding new equipment.                                                                                                           </t>
  </si>
  <si>
    <t>upgrade to the Igloo cave system, upgrade the VR welding machine, metaverse education</t>
  </si>
  <si>
    <t>A- Hexapod dynamic system for Design and motion simulation</t>
  </si>
  <si>
    <t xml:space="preserve">Support for undergraduate students' senior design projects. 110 students per year x 5000 AED per student.  The amoounts will be released early in the semesters and settled at the end against receipts collected from student reimbursements. </t>
  </si>
  <si>
    <t>One trip per year to a top-quality conference for  each of 37 faculty members x 20,000 AED per trip</t>
  </si>
  <si>
    <t>One open-access publication for each faculty member in a Q1 journal. 37 faculty members x 11000 AED per publication.</t>
  </si>
  <si>
    <t>Please, see attached detailed quote. 3D-scanner and software in order to be used for reverse engineering in the Machine Element Design and Senior Design project classes.</t>
  </si>
  <si>
    <t>Please, see attached detailed quote. ANSYS GRANTA EduPack.  An educational materials data-base that wills trengthen our labs in Materials and Machine Element Design</t>
  </si>
  <si>
    <t>Time spent</t>
  </si>
  <si>
    <t>425763.Student Project Expenses-Number of Students Master-Month</t>
  </si>
  <si>
    <t>Academic mission for international and regional conferences for 12 faculty members</t>
  </si>
  <si>
    <t>426610.Computer software licenses-Software License Renewal-duration of license maintenance/support period-Month</t>
  </si>
  <si>
    <t>(2024-2027) CMG Software Renewal</t>
  </si>
  <si>
    <t>iDrillSim Cloud-base Software</t>
  </si>
  <si>
    <t>QRI Speedwise software</t>
  </si>
  <si>
    <t>Drilling Simulator Service Maintenance</t>
  </si>
  <si>
    <t>Isco Pumps Maintenance</t>
  </si>
  <si>
    <t>Printing and supplies</t>
  </si>
  <si>
    <t>Staff training and development</t>
  </si>
  <si>
    <t>Ultra Centrifuge</t>
  </si>
  <si>
    <t>492316.Laboratory equipment-Number of Research-Number</t>
  </si>
  <si>
    <t>Analytical Balance</t>
  </si>
  <si>
    <t>Ph.D. students softwares</t>
  </si>
  <si>
    <t>FA180-Manpower</t>
  </si>
  <si>
    <t>CAA NEW MSc Progs</t>
  </si>
  <si>
    <t>Hollow cylinder apparatus</t>
  </si>
  <si>
    <t xml:space="preserve">average cost of SW licenses* # of licenses (expected 25% increase in price in 2023)
Multisim (3 year license) - 160K, Altium Designer -  2.312K
PLECS Combo Academic Concurrent License - 2.812K
LogixPro 500 - 3.5K                                                                                                                                                                                                                                                           Rockwell Automation Toolkit - Studio 5000  23.125K
ETAP - Educational Licenses -18.125K
Cadence - 265.75K                                                                                                                                                                                                                                                                       
GAMS (General Algebraic Modeling System)  76.875K
Synopsys - 188.375K                                                                                                                                                                                                                                                    LabView Academic Site License Teaching  129.75K 
TOTAL  870622
</t>
  </si>
  <si>
    <t>A- One more BioPac kit, B- iMotion headset and ECG</t>
  </si>
  <si>
    <t xml:space="preserve">Support for undergraduate students' senior design projects. 120 students per year x 5000 AED per student.  The amoounts will be released early in the semesters and settled at the end against receipts collected from student reimbursements. </t>
  </si>
  <si>
    <t>One trip per year to a top-quality conference for  each of 40 faculty members x 22,000 AED per trip</t>
  </si>
  <si>
    <t>One open-access publication for each faculty member in a Q1 journal. 40 faculty members x 12000 AED per publication.</t>
  </si>
  <si>
    <t>Please, see attached detailed quote. Additive Manufacturing - Metal 3D - Printer. It will strengthen both the mandatory manufacturing course and a recently developed technical elective on additive manufacturing, as well as graduate courses.   It will strongly boos or capabilities to do prototyping and produce functional parts for teaching, graduate research, SDPs,  and design competitions.</t>
  </si>
  <si>
    <t>HPHT Core Flooding System</t>
  </si>
  <si>
    <t>Ph.D. students software</t>
  </si>
  <si>
    <t>INTERACTION series: 10 seminars per year; Students' exhibitions (3 per year)</t>
  </si>
  <si>
    <t>Chemicals and biologocal reagents for teaching; LN2 and CO2 gases; Consumables; Cloud based remote Biosignal recording consumables ; Electrophoresis and visualization system</t>
  </si>
  <si>
    <t xml:space="preserve">Western Blot Imaging system </t>
  </si>
  <si>
    <t>qPCR</t>
  </si>
  <si>
    <t>Fridges 4-8 C</t>
  </si>
  <si>
    <t>Freezers -20C</t>
  </si>
  <si>
    <t xml:space="preserve">CO2 incubator </t>
  </si>
  <si>
    <t>Power Blotter System PB0012</t>
  </si>
  <si>
    <t xml:space="preserve">Nanodrop Spectrophotometer </t>
  </si>
  <si>
    <t>Nexus System 32</t>
  </si>
  <si>
    <t>Nexus System 10</t>
  </si>
  <si>
    <t>Vienna Test battery</t>
  </si>
  <si>
    <t>Live cell plate reader with real time image cytometery</t>
  </si>
  <si>
    <t>Automated vibrating blade microtome</t>
  </si>
  <si>
    <t xml:space="preserve">micro Doppler radar </t>
  </si>
  <si>
    <t>NI ELVIS III system</t>
  </si>
  <si>
    <t>CELLINK Bioprinter</t>
  </si>
  <si>
    <t>College of Medicine &amp; Health Sciences</t>
  </si>
  <si>
    <t>KUST - Dean Of Medicine</t>
  </si>
  <si>
    <t>847.8471305.1.420570.000000.847001.200179</t>
  </si>
  <si>
    <t>As per the Signed Agreement for Clinical training for MD students between SSMC-SEHA and KU</t>
  </si>
  <si>
    <t>SHEA contract for the full year</t>
  </si>
  <si>
    <t xml:space="preserve">Fixed contract. Change not an option.  Fifty Six (56 ) students will attend for clinical skill and direct patient care learning. </t>
  </si>
  <si>
    <t>847.8471305.1.420811.000000.847001.200179</t>
  </si>
  <si>
    <t>420811.IT Systems &amp; Support expenses-Application/Systems Operation-Number of Students-Number</t>
  </si>
  <si>
    <r>
      <t>supplemental learning tool in preparation for the basic science exams from P1 - P4 first year of medical school. This</t>
    </r>
    <r>
      <rPr>
        <b/>
        <sz val="11"/>
        <color rgb="FF202124"/>
        <rFont val="Arial"/>
        <family val="2"/>
      </rPr>
      <t xml:space="preserve"> resource</t>
    </r>
    <r>
      <rPr>
        <sz val="11"/>
        <color rgb="FF202124"/>
        <rFont val="Arial"/>
        <family val="2"/>
      </rPr>
      <t xml:space="preserve"> focus students on material that will be tested on the USMLE for higher success and increases abilitly for international match in the USA or Canada.  </t>
    </r>
  </si>
  <si>
    <t xml:space="preserve">required for ongoing IT operations to include license, upgrades, repairs etc. </t>
  </si>
  <si>
    <t>Manager, Business Development</t>
  </si>
  <si>
    <t>421000-Management consultancy</t>
  </si>
  <si>
    <t>847.8471305.1.421000.000000.847001.200179</t>
  </si>
  <si>
    <t>421000.Management consultancy-Number of contracted consultations -count</t>
  </si>
  <si>
    <t xml:space="preserve">High level consultants to review and evaluate or teach faculty and staff what is required to set plans, evaluation and success of students.  USMLE, CAA, Student Health, coaching, external speakers etc. advisory for curriculumn </t>
  </si>
  <si>
    <t xml:space="preserve">High level consultants to review and evaluate or teach faculty and staff what is required to set plans, evaluation and success of students.  USMLE, CAA, Student Health, coaching, external speakers etc. Accreditation, advisory for curriculumn </t>
  </si>
  <si>
    <t>847.8471305.1.421700.000000.847001.200179</t>
  </si>
  <si>
    <t>421700.Standards Certification Services (e.g. ISO)-professional services scope/deliverables-Number</t>
  </si>
  <si>
    <t>BLS Certification: for P1/P2 students + staff, ACLC Certification</t>
  </si>
  <si>
    <t>required for accreditation and maintenance equipments</t>
  </si>
  <si>
    <t>Develop and implement of performance management system across the university</t>
  </si>
  <si>
    <t>422100-Waste management service</t>
  </si>
  <si>
    <t>847.8471305.1.422100.000000.847001.200179</t>
  </si>
  <si>
    <t>422100.Waste management service-Number of Services-Number</t>
  </si>
  <si>
    <t>to ensure that contaminated waste removal to include blood products, tissue &amp; science matter as properly removed and destroyed.</t>
  </si>
  <si>
    <t>Realize a sustainable , healthy and safe campus environment for all community members</t>
  </si>
  <si>
    <t>847.8471305.1.425510.000000.847001.200179</t>
  </si>
  <si>
    <t>1- hosting, presenting and attending at local conferences, networking and learning to increase the KU CMHS visibilty and ranking. 50/6000AED
2- Department cermonial expenses 4/10000 AED</t>
  </si>
  <si>
    <t>Incresed number of events since no limitation and restricitios due to COVID</t>
  </si>
  <si>
    <t xml:space="preserve">hosting, presenting and attending at local conferences, networking and learning to increase the KU CMHS visibilty and ranking. </t>
  </si>
  <si>
    <t>847.8471305.1.425550.000000.847001.200179</t>
  </si>
  <si>
    <t>presenting at international conferences, networking and recruitment. Exposure to move to top 100 universities  24/30000AED</t>
  </si>
  <si>
    <t xml:space="preserve">presenting at international conferences, networking and recruitment. Exposure to move to top 100 universities </t>
  </si>
  <si>
    <t>847.8471305.1.425720.000000.847001.200179</t>
  </si>
  <si>
    <t>KAPLAN,MCAT standardized exams, predicting students success and progession academically and benchmark. Standardized patient exams</t>
  </si>
  <si>
    <t>standardized exams, predicting students success and progession academically and benchmark. Standardized patient exams</t>
  </si>
  <si>
    <t>425742-Enrollment expenses</t>
  </si>
  <si>
    <t>847.8471305.1.425742.000000.847001.200179</t>
  </si>
  <si>
    <t>425742.Enrollment expenses-Number of Students-Number</t>
  </si>
  <si>
    <t xml:space="preserve">Added 50 new P1 students to have a total of 145 returning for courses this 2023 -2024 academic year. 
Visa processing and health insurance requirments for students
</t>
  </si>
  <si>
    <t xml:space="preserve">Added 50 new P1 students to have a total of 145 returning for courses this 2023 -2024 academic year. </t>
  </si>
  <si>
    <t>425745-Student relocation &amp; travel exps</t>
  </si>
  <si>
    <t>847.8471305.1.425745.000000.847001.200179</t>
  </si>
  <si>
    <t>425745.Student relocation &amp; travel exps-Number of Students UG-Month</t>
  </si>
  <si>
    <t>Travel for student abroad coming to KU for academic studies.</t>
  </si>
  <si>
    <t>new students enrollment</t>
  </si>
  <si>
    <t>relocation overseas incoming expenses for onboarding students if reduced would be self paid</t>
  </si>
  <si>
    <t>425746-Student Transport</t>
  </si>
  <si>
    <t>847.8471305.1.425746.000000.847001.200179</t>
  </si>
  <si>
    <t xml:space="preserve">425746.Student Transport-Students
-No of Students </t>
  </si>
  <si>
    <t xml:space="preserve">No of Students </t>
  </si>
  <si>
    <t>transport students to and from accommodation and other activities provided by KU</t>
  </si>
  <si>
    <t>425749-Postgraduate Student Salaries</t>
  </si>
  <si>
    <t>847.8471305.1.425749.000000.847001.200179</t>
  </si>
  <si>
    <t>425749.Postgraduate Student Salaries-Post Graduate students-No of Post Graduate Students</t>
  </si>
  <si>
    <t>No of Post Graduate Students</t>
  </si>
  <si>
    <t>Salaries paid to Emirati and expat students for financial support and the ability to focus on academic  studies in medicine to meet standards at the international level.  To reduce this salary puts the students at a disadvantage for cover of living expenses</t>
  </si>
  <si>
    <t>425750-Skill assessment service</t>
  </si>
  <si>
    <t>847.8471305.1.425750.000000.847001.200179</t>
  </si>
  <si>
    <t>425750.Skill assessment service-Events-No of Events</t>
  </si>
  <si>
    <t xml:space="preserve">Required standardized exams NBME exam, IFOM, MCAT, USMLE STEP 1 AND STEP 2, Peer tutor for success for international internships. </t>
  </si>
  <si>
    <t>847.8471305.1.425762.000000.847001.200179</t>
  </si>
  <si>
    <t>425762.Student Internship-Number of Students UG-Month</t>
  </si>
  <si>
    <t>P4 Student internships for 29 students. internships increase knowledge, skill and competencies required to function as an independent medical (general) practitioner and to facilitate entry into postgraduate medical education. Abillity to enter top academic postgrad sites abroad.</t>
  </si>
  <si>
    <t>Student internships to increase knowledge, skill and competencies required to function as an independent medical (general) practitioner and to facilitate entry into postgraduate medical education. Abillity to enter top academic postgrad sites abroad.</t>
  </si>
  <si>
    <t>847.8471305.1.425763.000000.847001.200179</t>
  </si>
  <si>
    <t>Ongoing research per individual students and with faculty for a total of 145 students who can utilize this as required.</t>
  </si>
  <si>
    <t>Ongoing research per individual students and with faculty for 145 students who can utilize this as required.</t>
  </si>
  <si>
    <t>847.8471305.1.425900.000000.847001.200179</t>
  </si>
  <si>
    <t>12 events during the year to support faculty, staff and students related to recognition, visitors, awards, interal workgroups</t>
  </si>
  <si>
    <t>entertainment and hospitality for relaxation and disctruction for student well-being</t>
  </si>
  <si>
    <t>426100-Freight and shipping costs, not included elsewhere under purchase costs</t>
  </si>
  <si>
    <t>847.8471305.1.426100.000000.847001.200179</t>
  </si>
  <si>
    <t>426100.Freight and shipping costs, Numbert included elsewhere under purchase costs-Number of items-Number</t>
  </si>
  <si>
    <t>2500 DHS per academic - shipping samples to collaborators nationally and internationally 
samples collection and shipping cost- others</t>
  </si>
  <si>
    <t>items required for overseas presentation or general conferene meetings that would not be carried per individual  as per request when attending a local, regional or international event presenting and/or representing KU CHMS</t>
  </si>
  <si>
    <t>tems required for overseas presentation or general conferene meetings that would not be carried per individual  as per request when attending a local, regional or international event presenting and/or representing KU CHMS</t>
  </si>
  <si>
    <t>847.8471305.1.426610.000000.847001.200179</t>
  </si>
  <si>
    <t xml:space="preserve"> strategically aligned with the Top Ten university goal, this budget meets student academic excellence.  This applies to academic sequel updates to versions for current practice.  Uworld, Lecturio, and others. </t>
  </si>
  <si>
    <t>strategically aligned with the Top Ten university goal, this budget meets student academic excellence.  This applies to academic sequel updates to versions for current practice.  Uworld, Lecturio, and others.</t>
  </si>
  <si>
    <t>426900-Postal, courier and other document delivery expenses</t>
  </si>
  <si>
    <t>847.8471305.1.426900.000000.847001.200179</t>
  </si>
  <si>
    <t>426900.Postal, courier and other document delivery expenses-Number of Faculty-Number</t>
  </si>
  <si>
    <t xml:space="preserve">1750 DHS per academic - shipping samples or documents to collaborators nationally and internationally </t>
  </si>
  <si>
    <t xml:space="preserve">important documents and communication that require tracking </t>
  </si>
  <si>
    <t>427200-Printing and publishing</t>
  </si>
  <si>
    <t>847.8471305.1.427200.000000.847001.200179</t>
  </si>
  <si>
    <t>427200.Printing and publishing-The cost of design for the entity's publications to reflect the entity's identity-count</t>
  </si>
  <si>
    <t xml:space="preserve">publishing in Top Quarter Rated Journals to increase visibility of KU and CMHS, top 100 university goal
Free standing posters, badges, certificates, embriodery, logo pins
</t>
  </si>
  <si>
    <t>publishing in Top Quarter Rated Journals to increase visibility of KU and CMHS, top 100 university goal</t>
  </si>
  <si>
    <t>427710-Subscriptions and membership fees: Trade organisations</t>
  </si>
  <si>
    <t>847.8471305.1.427710.000000.847001.200179</t>
  </si>
  <si>
    <t>427710.Subscriptions and membership fees: Trade organisations-Number  of Memberships-Number</t>
  </si>
  <si>
    <t>5520 DHS per academic (membership to professional societies e.g. FENS, IBRO, AAMC, AMEE physiological society, pharmacological society, Alzheimer society, American Neuroscience, ASPET etc…)</t>
  </si>
  <si>
    <t xml:space="preserve">for TOP 100 recognition progressprofessional memberships and organization at international level, organizing onsite or regional symposiums, publications in the journals </t>
  </si>
  <si>
    <t>847.8471305.1.428090.000000.847001.200179</t>
  </si>
  <si>
    <t xml:space="preserve">professional travel for Assoc/Asst Deans, faculty or staff as assigned based on international invitations and meetings with academic sites for potential partnerships. </t>
  </si>
  <si>
    <t>847.8471305.1.428640.000000.847001.200179</t>
  </si>
  <si>
    <t>3500/Event for students that engage fellowship, appreciation, extra-academic activities, other reward based on the compititon between studnets</t>
  </si>
  <si>
    <t>Events for students that engage fellowship, appreciation, extra-academic activities</t>
  </si>
  <si>
    <t>847.8471305.1.432205.000000.847001.200179</t>
  </si>
  <si>
    <t>to protect our high level investment maintenance and support-is required for the number of hardware devices or warrenty may expire for laboratory and advanced learning systems.  This relates to high level competency of students, staff and external clients.  also expansions, new facluty and staff , Wet/Dry labs, renewal for smart collaborative classrooms., neting rooms and other connections for faculty.</t>
  </si>
  <si>
    <t xml:space="preserve">to protect our high level investment maintenance and support-is required for the number of hardware devices or warrenty may expire for laboratory and advanced learning systems.  This relates to high level competency of students, staff and external clients.  </t>
  </si>
  <si>
    <t xml:space="preserve">to protect our high level investment maintenance and support-is required for the number of hardware devices or warrenty may expire for laboratory and advanced learning systems.  This relates to high level competency of students, staff and external clients. </t>
  </si>
  <si>
    <t>847.8471305.1.432209.000000.847001.200179</t>
  </si>
  <si>
    <t xml:space="preserve">Maintenance of projectors,interactive screens, cameras at each station and main camera. Similator maintenance and warranty renewals
Care and function of science and technology for major advances in health and medicine, to reach a Top 100 distinction, to have a significant societal and economic impact and increase recognition in publications. 
</t>
  </si>
  <si>
    <t xml:space="preserve">care and function of science and technology for major advances in health and medicine, to reach a Top 100 distinction, to have a significant societal and economic impact and increase recognition in publications. </t>
  </si>
  <si>
    <t>432210-Medical equipment</t>
  </si>
  <si>
    <t>847.8471305.1.432210.000000.847001.200179</t>
  </si>
  <si>
    <t>number</t>
  </si>
  <si>
    <t xml:space="preserve">development of science and technology for major advances in health and medicine, to reach a Top 100 distinction, to have a significant societal and economic impact and increase recognition in publications. </t>
  </si>
  <si>
    <t>435330-Library books</t>
  </si>
  <si>
    <t>847.8471305.1.435330.000000.847001.200179</t>
  </si>
  <si>
    <t>435330.Library books-Number of Students-Number</t>
  </si>
  <si>
    <t xml:space="preserve">These are electronic platform best practice RESOUCES FOR STUDENTS.resources in library for student use to ensure academic success and improve CMHS and KU rankings. </t>
  </si>
  <si>
    <t>847.8471305.1.435340.000000.847001.200179</t>
  </si>
  <si>
    <t>435340.Text books and library books-The cost of printing a book-Number of pages</t>
  </si>
  <si>
    <t>Number of pages</t>
  </si>
  <si>
    <t xml:space="preserve">medical reference and medical references, books. Purchase of subject specific books required by the departments as they are essintial resources for lecture preparation, resources in library for student use to ensure academic success and improve CMHS and KU rankings. </t>
  </si>
  <si>
    <t xml:space="preserve">resources in library for student  and faculty use to ensure academic success and improve CMHS and KU rankings. </t>
  </si>
  <si>
    <t xml:space="preserve">resources in library for student use to ensure academic success and improve CMHS and KU rankings. </t>
  </si>
  <si>
    <t>847.8471305.1.435350.000000.847001.200179</t>
  </si>
  <si>
    <t>Required to increase h-ndex by publications in Q1 journals and move the Top 100 goal closer to its goal.  Increase visibility and reputation of KU and CMHS by pulications.</t>
  </si>
  <si>
    <t>Top 100 goal Required to increase h-ndex by publications in Q1 journals and move the Top 100 goal closer to its goal.  Increase visibility and reputation of KU and CMHS by pulications.</t>
  </si>
  <si>
    <t>op 100 goal Required to increase h-ndex by publications in Q1 journals and move the Top 100 goal closer to its goal.  Increase visibility and reputation of KU and CMHS by pulications.</t>
  </si>
  <si>
    <t>847.8471305.1.435508.000000.847001.200179</t>
  </si>
  <si>
    <t>Laundry service, moulage &amp; props, medical disposables, new laundry, medical gas
small equipments/consumabales for different lab requirements</t>
  </si>
  <si>
    <t>435530-School consumables, not specifically mentioned elsewhere</t>
  </si>
  <si>
    <t>847.8471305.1.435530.000000.847001.200179</t>
  </si>
  <si>
    <t>435530.School consumables, Numbert specifically mentioned elsewhere-Number of Students-Number</t>
  </si>
  <si>
    <t>Student supplies, posters, post it, paper, carboard, creative presentation needs, research items</t>
  </si>
  <si>
    <t>847.8471305.1.436120.000000.847001.200179</t>
  </si>
  <si>
    <t>436120.Stationery-Number of Faculty-Number</t>
  </si>
  <si>
    <t>Business cards, research promotion, office based stationary, needs for faculty, staff, postdocs, informtionals at conferences etc..</t>
  </si>
  <si>
    <t>Communication and other research networking business cards, research promotion, office based stationary, needs for faculty, staff, postdocs, informtionals at conferences etc..</t>
  </si>
  <si>
    <t xml:space="preserve">Newley requested software to support new facility areas and are required to ensure area is properly equiped. </t>
  </si>
  <si>
    <t xml:space="preserve">support the Top Ten Goal for KU for the student learning medical education is essential to access resources such as drug information and clinical scoring systems etc for best practice knowledge, USMLE link to success in exams.  Mandotory of CAA accreditation </t>
  </si>
  <si>
    <t>847.8471305.1.492316.000000.847001.300180</t>
  </si>
  <si>
    <t>Simulation requirements to simulate real-life scenarios for student education and also external physicians from SKMC per contract. Allows access to practical “hands-on” applications of their theoretical and pratical care in the coummunity for pateints.</t>
  </si>
  <si>
    <t>422900-Other specialised professional services, not mentioned elsewhere</t>
  </si>
  <si>
    <t>847.8471305.1.422900.000000.847001.200179</t>
  </si>
  <si>
    <t>422900.Other specialised professional services, not mentioned elsewhere-Assets Verification-Number of assets</t>
  </si>
  <si>
    <t>Number of assets</t>
  </si>
  <si>
    <t xml:space="preserve">Teaching and Learning needs for students and faculty </t>
  </si>
  <si>
    <t>847.8471305.1.436110.000000.847001.200179</t>
  </si>
  <si>
    <t>Business cards, Research fylers, informtionals, use in conferences or local worships, meetings or networking at formal events to promote KU</t>
  </si>
  <si>
    <t>425100.Advertising Services (General</t>
  </si>
  <si>
    <t>847.8471305.1.425100.000000.847001.200179</t>
  </si>
  <si>
    <t>425100.Advertising Services (General)-Advertising through newspapers and other print media-cm2 - Word</t>
  </si>
  <si>
    <t xml:space="preserve">Top 100 Recognition Media, paper, web, search engine, video, hoto shoots, international media digital/other to promote kU CMHS regionally, and internationally. </t>
  </si>
  <si>
    <t>KUST - Finance Operations</t>
  </si>
  <si>
    <t>420130-External Audit service</t>
  </si>
  <si>
    <t>847.8470620.1.420130.000000.847001.200179</t>
  </si>
  <si>
    <t>420130.External Audit service-Number of reports to be audited-Number of reports to be audited</t>
  </si>
  <si>
    <t>Number of reports to be audited</t>
  </si>
  <si>
    <t>* yearend AED 90,900 + 50,000 addition 
* midyear AED 35,350
*internal control (ICFR) AED 60,600</t>
  </si>
  <si>
    <t>there is no way to reduce the budget as we are committed with the agreement &amp; we have to follow the full external audit requirement for ICFR, mid year &amp; yearend audit as per the approval from ARCC &amp; BOT</t>
  </si>
  <si>
    <t>422900-Other specialized professional services, not mentioned elsewhere</t>
  </si>
  <si>
    <t>847.8470620.1.422900.000000.847001.200179</t>
  </si>
  <si>
    <t>422900.Other specialized professional services, not mentioned elsewhere-Miscellaneous consultants not mentioned above-Count</t>
  </si>
  <si>
    <t>Gap assessment for the internal control over financial reporting - COSO framework 1*210000</t>
  </si>
  <si>
    <t>the scope of work will be changed if the budget reduced.</t>
  </si>
  <si>
    <t>Impairment loss implementation for fixed assets</t>
  </si>
  <si>
    <t>Finance</t>
  </si>
  <si>
    <t>425300-Banking service charges / Fees</t>
  </si>
  <si>
    <t>847.8470620.1.425300.000000.847001.200179</t>
  </si>
  <si>
    <t>425300.Banking service charges / Fees-Number of Transactions-Number</t>
  </si>
  <si>
    <t>Average AED 200/month</t>
  </si>
  <si>
    <t>these fees are mandated per transaction to clear the transaction in ADERP</t>
  </si>
  <si>
    <t>425350-Fees for processing e-payments</t>
  </si>
  <si>
    <t>847.8470620.1.425350.000000.847001.200179</t>
  </si>
  <si>
    <t>425350.Fees for processing e-payments-e-Payment operation-Number of Bank Transfers-Number</t>
  </si>
  <si>
    <t>as of April (39000/4)*12=117000</t>
  </si>
  <si>
    <t>mandated fees charged by the bank for the exchange rate.</t>
  </si>
  <si>
    <t>847.8470620.1.426610.000000.847001.200179</t>
  </si>
  <si>
    <t>11 license for Fixed asset SYSTEM * AED 2880</t>
  </si>
  <si>
    <t>can't be reduced since it is charged based on number of license &amp; users.</t>
  </si>
  <si>
    <t>847.8470620.1.436110.000000.847001.200179</t>
  </si>
  <si>
    <t>printing bank transfer letter</t>
  </si>
  <si>
    <t>we might end up with less bank transfer letter</t>
  </si>
  <si>
    <t>847.8470620.1.425900.000000.847001.200179</t>
  </si>
  <si>
    <t>finance retreat meeting
17 staff * AED 400</t>
  </si>
  <si>
    <t>we can reduce the number of staff attending the retreat.</t>
  </si>
  <si>
    <t>KUST- Business Development</t>
  </si>
  <si>
    <t>425100-Advertising Services (General)</t>
  </si>
  <si>
    <t>425100.Advertising Services (General)-International Publicity-count</t>
  </si>
  <si>
    <t>Ads to promote Ku AND ATTRACT MORE STUDENTS</t>
  </si>
  <si>
    <t>less effective to promote KU</t>
  </si>
  <si>
    <t>to run number of events</t>
  </si>
  <si>
    <t>print ads and event details</t>
  </si>
  <si>
    <t>KUST - Human Resources</t>
  </si>
  <si>
    <t>Solution delivered</t>
  </si>
  <si>
    <t>New implementation of system for Competency Framework</t>
  </si>
  <si>
    <t>new initiative</t>
  </si>
  <si>
    <t>847.8470730.1.426610.000000.847001.200179</t>
  </si>
  <si>
    <t>Subscription</t>
  </si>
  <si>
    <t>Taleo Subscription</t>
  </si>
  <si>
    <t>ERP Solution</t>
  </si>
  <si>
    <t>New implementation of system for Appraisal System</t>
  </si>
  <si>
    <t>New implementation of system for Archiving Solution</t>
  </si>
  <si>
    <t>Attendance system enhancment</t>
  </si>
  <si>
    <t>847.8470730.1.428640.000000.847001.200179</t>
  </si>
  <si>
    <t xml:space="preserve">Engagement  programs  </t>
  </si>
  <si>
    <t>847.8470730.1.436110.000000.847001.200179</t>
  </si>
  <si>
    <t>Employee Folders</t>
  </si>
  <si>
    <t>427900-Translation and interpretation service</t>
  </si>
  <si>
    <t>847.8470730.1.427900.000000.847001.200179</t>
  </si>
  <si>
    <t>427900.Translation and interpretation service-Number of Employees-Number</t>
  </si>
  <si>
    <t>Document Translation</t>
  </si>
  <si>
    <t>Senior Vice President, Research Office</t>
  </si>
  <si>
    <t>KUST - SVP/ Research &amp; Development Office</t>
  </si>
  <si>
    <t>847.8471110.1.425900.000000.847001.200179</t>
  </si>
  <si>
    <t>Inviting candidates for campus visit, Hosting of events eg IAEE, Invited lectures, Workshops, Conferences etc</t>
  </si>
  <si>
    <t>There will be an impact on the SVP Office events, conferences.</t>
  </si>
  <si>
    <t xml:space="preserve">The reduction of 30% will affect the office operation </t>
  </si>
  <si>
    <t>847.8471110.1.427710.000000.847001.200179</t>
  </si>
  <si>
    <t xml:space="preserve">MEED,Frost &amp; Sullivan,MEES, IAEE,Lux Research </t>
  </si>
  <si>
    <t>Subscriptions and memberships are very important to the SVP research office, and any budget cut will have negatice affects.</t>
  </si>
  <si>
    <t>20 % deduction is quite high and there will be a shortage to cover Subscriptions and membershipsthat  are very important to the SVP RnD office.</t>
  </si>
  <si>
    <t>with the 30 % deduction there  will be a shortage to cover Subscriptions and important  memberships for the SVP RnD office.</t>
  </si>
  <si>
    <t>847.8471110.1.428090.000000.847001.200179</t>
  </si>
  <si>
    <t>Collaboration Trips and other Missions</t>
  </si>
  <si>
    <t>Collaboration Trips and other Missions are very important to the RnD office and this amount is alreadt deducted comapring to previous years.</t>
  </si>
  <si>
    <t>Collaboration Trips and other Missions are very important to the RnD office and this amount is already deducted comapring to previous years.</t>
  </si>
  <si>
    <t>Collaboration Trips and other Missions are very important to the RnD office and this amount is already deducted comparing to previous years.</t>
  </si>
  <si>
    <t>KUST - Research Service</t>
  </si>
  <si>
    <t>847.8471130.1.420811.000000.847001.200179</t>
  </si>
  <si>
    <t>IRB Module</t>
  </si>
  <si>
    <t>Delay in system</t>
  </si>
  <si>
    <t>can't build system</t>
  </si>
  <si>
    <t>847.8471130.1.428090.000000.847001.200179</t>
  </si>
  <si>
    <t>Per conference</t>
  </si>
  <si>
    <t>5 conferences</t>
  </si>
  <si>
    <t>less outreach</t>
  </si>
  <si>
    <t>847.8471130.1.426610.000000.847001.200179</t>
  </si>
  <si>
    <t>495112.Computer software-Database-number of licenses-Number</t>
  </si>
  <si>
    <t>Annual License Fee</t>
  </si>
  <si>
    <t>we can't license the sofware required to operate the research enterprise</t>
  </si>
  <si>
    <t>Create diversified financial resources for self sustaining university</t>
  </si>
  <si>
    <t>847.8471130.1.427900.000000.847001.200179</t>
  </si>
  <si>
    <t>Per Translation</t>
  </si>
  <si>
    <t>may not be able to complete all required translations</t>
  </si>
  <si>
    <t>Research</t>
  </si>
  <si>
    <t>435523-Scientific</t>
  </si>
  <si>
    <t>847.8471130.1.435523.000000.847001.200179</t>
  </si>
  <si>
    <t>435523.Scientific-Number of Research-Number</t>
  </si>
  <si>
    <t>Total Cost</t>
  </si>
  <si>
    <t>Cut scientific research</t>
  </si>
  <si>
    <t xml:space="preserve">Cut scientific research </t>
  </si>
  <si>
    <t>KUST - University Sponsored Research</t>
  </si>
  <si>
    <t>847.8471140.1.420570.000000.847001.200179</t>
  </si>
  <si>
    <t>Estimated 140 proposals x 3 reviewers each @ $150 per review.   Plus 20 Center proposals x 4 reviewers each @ $250k per review</t>
  </si>
  <si>
    <t>The number of proposals eligible for shortlisting to full proposal stage will be reduced by 10%.  Additonal reviews to make this decision will need to be implemented.</t>
  </si>
  <si>
    <t>The number of proposals eligible for shortlisting to full proposal stage will be reduced by 20%.  Additonal reviews to make this decision will need to be implemented.</t>
  </si>
  <si>
    <t>The number of proposals eligible for shortlisting to full proposal stage will be reduced by 30%.  Additonal reviews to make this decision will need to be implemented.</t>
  </si>
  <si>
    <t>Develop a comprehensive competitive internal research funding program</t>
  </si>
  <si>
    <t>AED 20k per FTE for Training/Conference</t>
  </si>
  <si>
    <t>Number of trips or value per trip will be reduced accordingly</t>
  </si>
  <si>
    <t>847.8471140.1.435523.000000.847001.200179</t>
  </si>
  <si>
    <t>Each project has a defined budget (split by expense type) which is managed at sub-GL level within the ORACLE Projects Module.  Awards have been made through specific funding call cycles.</t>
  </si>
  <si>
    <t>Quote and supporting docs provided</t>
  </si>
  <si>
    <t>The budget reflects active awards.  Any reductions in value will require assessment to either reduce specific award amounts or close projects (implications on project manpower and graudate students).  With 134 awards this will require significant review.</t>
  </si>
  <si>
    <t>These are projects to be awarded in 2023 via a variety of research funding calls (KURIA/FSU/Centers/International Partnerships/Other).  Award value differs depending on the program type.</t>
  </si>
  <si>
    <t xml:space="preserve">The requested budget is based on new awards to be made.  If the budget is reduced the number of awards will need to be reduced accordinlgly.  This will impact our average research spend per faculty which is a university world ranking metric contributor. </t>
  </si>
  <si>
    <t>General Counsel</t>
  </si>
  <si>
    <t>KUST - Technology Management &amp; Innovation</t>
  </si>
  <si>
    <t>420900-Legal services</t>
  </si>
  <si>
    <t>847.8471150.1.420900.000000.847001.200179</t>
  </si>
  <si>
    <t>420900.Legal services-Patent-Number of Patents</t>
  </si>
  <si>
    <t>Account Code 420900 – Legal Services - Total is  AED 4,978,500  - Priority Filings :YR 2022, to date, there has been 10 Priority filings (5 add’l authorized) and 29 other filings.  (Year End filing cannot be predicted as filings is fueled by Invention Disclosures received/Research Projects). 25-30 fully filed applications are anticipated 44 x AED@ AED 55,500.00/each) = AED 2,442,000
Coversheet Provisionals: 20 coversheet Provisionals as priority date space holders for immediate public disclosures @$750/each + fees  (AED 3,000) = AED 60,000.
Additional Cost not anticipated, - Filing first applications in Greece due to Greek Law. Anticipated 5 @$1,200 each (AED 4,416) = AED 22,100
PCT  and X-US Applications: 
10 PCT Filings @ AED 20,000/each {AED 200,000}; 10 Filings in the EP @ AED 15,350 {AED 153,500}; 10 filings in SA (Saudi Arabia) @AED 25,000/each {AED 250,000} and 25 UAE filings @AED 25,000/each {500,000} AED 1,103,500**
**(This does not include other countries were filings may be necessary due to commercialization strategy) 
Ongoing Prosecution costs
Responses to examiners actions is various jurisdictions (US and foreign to include translations costs also). 
KU’s patent portfolio is maturing and as the application ages, there is the likelihood for the application to be examined. Last year there were over 25-30 actions due and is steadily increasing and in complexity – to also include foreign filed applications that are being examined..  This also includes the payment of issued fee for allowed cases
We anticipate 50 actions @$3000 each (AED 11,010) = AED 550,500
Anticipated costs for ETO and Official Fees AED 90,000
 AED 640,900
Reimbursement to co-owners for filed applications and responses filed, such as UMN (University of Minnesota (YTD anticipated $50K)), UAEU and Emirates Steel AED 25,000 =  AED 210,000
Annuities
Maintenance and annuities are due for several applications and patents.  Using this service is at a signification cost reduction to the university. WE anticipate annuities and related costs for All foreign and issued US Patents to be ~$60K (AED 220,000)
Assessments 
Assessment are done by 3rd party vendor TremMonti
Cost is dependent on type of service requested 
Commercial Assessment/Development of Marketing materials/Technology marketing and Development of Licensing Comparable
For each Invention Disclosure received – as assessment is requested. 
34 requests @ AED 5,505 /10 requests @ AED 9,175 = AED 280,000</t>
  </si>
  <si>
    <t>Some impact to the IP filing and strategy but will not affect increasing the IP Portfolio</t>
  </si>
  <si>
    <t>Invention Disclosure received may not be assessed and filing may not occur if funds are not available for paying the costs associated with filing</t>
  </si>
  <si>
    <t xml:space="preserve">May be devastating to KU as many inventions with commercial value may not be filed or jurisdictions were IP protection is necessary may be let unprotected.  This  will affect the value of the University's Portfolio which creates lost licensing opportunities and possible revenues. </t>
  </si>
  <si>
    <t>847.8471150.1.425510.000000.847001.200179</t>
  </si>
  <si>
    <t>Local outreach to other UAE Universities and institutions - open house and TMI Outreach/ Participation in ADNEC Exhibitions</t>
  </si>
  <si>
    <t>847.8471150.1.425550.000000.847001.200179</t>
  </si>
  <si>
    <t>Active participation in AUTM, ATSP, and other Technology Innovation Conferences worldwide</t>
  </si>
  <si>
    <t>847.8471150.1.426610.000000.847001.200179</t>
  </si>
  <si>
    <t>Account Code 426610 – Computer Software Licenses - Total is  AED 165,000
(Increase of 5% yearly to 2024 would be in order but not factored in)
Wellsprings Worldwide
License Agreement with Wellsprings for use of the Sophia Database for Intellectual Property Database Management.  This is a specialized Cloud-based Data Management System used for managing research and technology commercialization.  This database is used to track Invention Disclosures, The cycle of patent process from cradle to grave; Research Agreements with an Intellectual Property component, such as Licenses, NDAs, MTAs.  All of KU IP Related matters reside in this database.  We currently have Software for License and Service Agreement where an Annual Fee is required
Fees for each year is below (AED 75,000)
KtMine: 
Data Analysis and Business Intelligence (Intellectual Property Data &amp; Analytics Platform) and is used to provide Technology Valuation and IP License Benchmarks - AED 15,000.00/yr
Frost and Sullivan
Access to their platform provides us with market intelligence to providing insight in our Invention Assessment and IP Filing Strategy (renewable every 12 months @USD$20,000/yr)– AED 74,600.00/yr</t>
  </si>
  <si>
    <t>Minimal impact on meeting our obligations with software provider</t>
  </si>
  <si>
    <t xml:space="preserve">We may have to cancel the use of one of the subscription, which may impact our ability to conduct proper assessments of our technologies, especially assessment on prior art and technology landscape. </t>
  </si>
  <si>
    <t xml:space="preserve">This may cover the License associated with our database, however, the department's ability to keep up with trends in the industry will be greatly impacted.  Technology Transfer is a specialized area of Economic Innovation and staying ahead of the curve places us and the University in a an excellent position in regards to instruct trends and competiveness. </t>
  </si>
  <si>
    <t>847.8471150.1.428090.000000.847001.200179</t>
  </si>
  <si>
    <t>435310-Newspapers, magazines, journals, etc.</t>
  </si>
  <si>
    <t>427710.Subscriptions and membership fees: Trade organizations-Number  of Memberships-Number</t>
  </si>
  <si>
    <t xml:space="preserve">Tech Transfer Central 
Business &amp; Operation Development – world leading content provider in Tech Transfer and Research Commercialization. It offers a unique, practical, and advanced strategies, case studies, best practices, and expert guidance on a broad range of challenges and opportunities for technology transfer offices and professionals. 
Tech Transfer Central’s Distance Learning Module – where KU has access, produces 2-3 live webinars each month and has compiled an archive that includes hundreds of recorded programs. The webinars are expert-led, detailed explorations of topics that are relevant to the tech transfer and related communities. - AED 12,000.00/yr
</t>
  </si>
  <si>
    <t>KUST - Research Computing</t>
  </si>
  <si>
    <t>847.8471170.1.420811.000000.847001.200179</t>
  </si>
  <si>
    <t>Please see attached proposal from Ankabut. Includes hosting charges, backup services, hardware support &amp; maintenance, and IaaS management services</t>
  </si>
  <si>
    <t>This is to host hardware for HPC and IaaS in the Ankabut datacentre, and purchase services required by Reseach Computing. The charges are for actual hardware in the datacentre,  and critical services and systemsl. It will not be possible to give partial payment,as this is should be part of an overall contract</t>
  </si>
  <si>
    <t xml:space="preserve">Support for HPC management software, workload management software, and parallel filesystem software </t>
  </si>
  <si>
    <t>This is to support KU's investment in HPC. Lack of support will compromise how effciently this critical infrastructure can be used.This will be a support contract, so must be paid in full</t>
  </si>
  <si>
    <t>847.8471170.1.425900.000000.847001.200179</t>
  </si>
  <si>
    <t>Estimate of cost of event</t>
  </si>
  <si>
    <t>Will organise smaller events</t>
  </si>
  <si>
    <t>Will organise a single event</t>
  </si>
  <si>
    <t>847.8471170.1.426610.000000.847001.200179</t>
  </si>
  <si>
    <t>See attached excel sheet for details all software to be renewed</t>
  </si>
  <si>
    <t>Research projects dependent on this software may be halted or delayed due to unavaiblity of software. Software licnese comes in a bundle and it may not be possible to purchase part of the license. For full list of software see attached excel sheets.</t>
  </si>
  <si>
    <t>847.8471170.1.428090.000000.847001.200179</t>
  </si>
  <si>
    <t>Attendance of 2 major domain specific international conferences, and one regional conference.</t>
  </si>
  <si>
    <t>Will attend fewer conferences. Attend international conferences and skip regional one.  Will affect networking, and keeping up to date with advancements in HPC/tech field</t>
  </si>
  <si>
    <t>Will attend fewer conferences. Attend one international conference. Will affect networking, and keeping up to date with advancements in HPC/tech field</t>
  </si>
  <si>
    <t>847.8471170.1.492316.000000.847001.300180</t>
  </si>
  <si>
    <t>Computation growth rate</t>
  </si>
  <si>
    <t>Need to expand HPC resouces by a factor of 4. Estimate based on 4 times cost of HPC purchased in 2020. This is to account for new strategic projects</t>
  </si>
  <si>
    <t xml:space="preserve">This may hinder the research output of KU, as the majority of computation based research is carried out on the HPC. Will purchase a smaller number of compute nodes and storage. </t>
  </si>
  <si>
    <t>847.8471170.1.495113.000000.847001.300180</t>
  </si>
  <si>
    <t>Estimated cost of new software licneses that may be needed</t>
  </si>
  <si>
    <t>Funds requested are in case new software is required by research projects or staff. We do not always know in advance what may be required</t>
  </si>
  <si>
    <t>Will may be able to purchase fewer new pieces of software</t>
  </si>
  <si>
    <t xml:space="preserve">Learning platforms to support new P1  class of 50 students plus  P 2,3, and 4 matriculation students for learning platform resouces, required to be successful on international exam performance. </t>
  </si>
  <si>
    <t xml:space="preserve"> strategically aligned with student academic excellence.  This applies to academic sequel updates to versions for current practice.  One45, Lecturio, and others to underpin USMLE scores and content knowledge.  Top 10 recognition. </t>
  </si>
  <si>
    <t>5796 DHS per academic (membership to professional societies e.g. FENS, IBRO, AAMC, AMEE physiological society, pharmacological society, Alzheimer society, American Neuroscience, ASPET etc…)</t>
  </si>
  <si>
    <t>3500/Events for students that engage fellowship, appreciation, extra-academic activities</t>
  </si>
  <si>
    <t xml:space="preserve">Maintenance of Similation laboratory equiement  and warranty renewals
Care and function of science and technology for major advances in health and medicine, to reach a Top 100 distinction, to have a significant societal and economic impact and increase recognition in publications. 
</t>
  </si>
  <si>
    <t>* yearend AED 90,900+50,000 addition
* midyear AED 35,350
*internal control (ICFR) AED 60,600</t>
  </si>
  <si>
    <t>Monthly average AED 250</t>
  </si>
  <si>
    <t>monthly average AED 10,000</t>
  </si>
  <si>
    <t>11 license *AED 2880</t>
  </si>
  <si>
    <t>5000 asset tag * AED 1</t>
  </si>
  <si>
    <t>finance retreat meeting
20 staff * AED 400</t>
  </si>
  <si>
    <t>847.8470630.1.425100.000000.847001.200179</t>
  </si>
  <si>
    <t>847.8470630.1.425550.000000.847001.200179</t>
  </si>
  <si>
    <t>847.8470630.1.427200.000000.847001.200179</t>
  </si>
  <si>
    <t>847.8470630.1.436600.000000.847001.200179</t>
  </si>
  <si>
    <t>Monthly</t>
  </si>
  <si>
    <t>each</t>
  </si>
  <si>
    <t xml:space="preserve">Estimated 140 proposals x 3 reviewers each @ $150 per review. </t>
  </si>
  <si>
    <t>847.8471140.1.428090.000000.847001.200179</t>
  </si>
  <si>
    <t>These are projects to be awarded in 2024 via a variety of research funding calls (KURIA/FSU/International Partnerships/Other).  Award value differs depending on the program type.</t>
  </si>
  <si>
    <t>Number of Patents</t>
  </si>
  <si>
    <t>Increased Patent Application filings, Increased Provisional Filings, Increased responses filed, increased assessments</t>
  </si>
  <si>
    <t>Review and revise as needed the research strategic plan</t>
  </si>
  <si>
    <t>495113.Computer software-Application, Platform -duration of license maintenance/support period-Month</t>
  </si>
  <si>
    <t xml:space="preserve">Computer Software needed for Dept. operations and possible moving to another functional platform/.  Moving to Inteum which is similar to Weelssprings but provides better and updated features than  the current system in use. </t>
  </si>
  <si>
    <t>435310-Newspapers, magazines, journals, etc</t>
  </si>
  <si>
    <t>435310.Newspapers, magazines, journals, etc-Number of Employees-Number</t>
  </si>
  <si>
    <t>usiness &amp; Operation Development – world leading content provider in Tech Transfer and Research Commercialization. It offers a unique, practical, and advanced strategies, case studies, best practices, and expert guidance on a broad range of challenges and opportunities for technology transfer offices and professionals</t>
  </si>
  <si>
    <t>Estimate a 7% increase on 2023 to account for expansion, and renewal of hardware support from vendor</t>
  </si>
  <si>
    <t>427810.Telephone and telefax charges-Telecommunication, Satellite services-number of connection lines-Month</t>
  </si>
  <si>
    <t>telephonic and telefax services as required per assign faculty</t>
  </si>
  <si>
    <t>* yearend AED 90,900+50000
* midyear AED 35,350
*internal control (ICFR) AED 60,600</t>
  </si>
  <si>
    <t>422900.Other specialized professional services, not mentioned elsewhere-Assets Verification-Number of assets</t>
  </si>
  <si>
    <t>120,000 assets * AED 4</t>
  </si>
  <si>
    <t>11 license * AED 2880</t>
  </si>
  <si>
    <t>Computer Software needed for Dept. operations and possible moving to another functional platform</t>
  </si>
  <si>
    <t>435310.Newspapers, magazines, journals, etc-Number of Staff-Number</t>
  </si>
  <si>
    <t>estimate of cost of event</t>
  </si>
  <si>
    <t>Estimate for new software still to be decided\</t>
  </si>
  <si>
    <t>Academic and Student Services Office</t>
  </si>
  <si>
    <t>KUST - SVP/ Academic &amp; Student Services Office</t>
  </si>
  <si>
    <t xml:space="preserve">Catering for VIP meetings
Catering for the professional training events - Retreat
Catering for the inhouse workshops
- retreat invoices "Work Confirmation 156340" were paid from this account  </t>
  </si>
  <si>
    <t xml:space="preserve">Will affect the VIP visits arrangements. </t>
  </si>
  <si>
    <t>Business Travel for SVP
To identify detailed frameworks for cooperation and partnership with foreign intuitions to exchange experiences and develop joint programs for student exchange and research project of comment interest. DTR12/15/2021-522 and BMPA12/7/2021-65</t>
  </si>
  <si>
    <t xml:space="preserve">Will limit possibility to attend regional conferences related to Student Life. </t>
  </si>
  <si>
    <t>Will constrain ability to participate in international student recruitment exhibitions and fairs.</t>
  </si>
  <si>
    <t>Will negatively impact our representation in international meetings with partner universities</t>
  </si>
  <si>
    <t>Prizes and awards for winners or programs , to support in providing awards and prizes for students winning competitions</t>
  </si>
  <si>
    <t xml:space="preserve">Will effect the ability to motivate the students by incentives.  </t>
  </si>
  <si>
    <t xml:space="preserve">Will limit ability to motivate the students by incentives.  </t>
  </si>
  <si>
    <t xml:space="preserve">Will limit the ability to motivate the students by incentives.  </t>
  </si>
  <si>
    <t>Office supplies</t>
  </si>
  <si>
    <t>Will limit ability to provide all the required supplies and materials needed for the office</t>
  </si>
  <si>
    <t>KUST - Student Success</t>
  </si>
  <si>
    <t>Counseling Day</t>
  </si>
  <si>
    <t>Downsize event, catering, and marketing collateral</t>
  </si>
  <si>
    <t>Develop a career guidance system</t>
  </si>
  <si>
    <t>vFairs</t>
  </si>
  <si>
    <t>new requests</t>
  </si>
  <si>
    <t>Student Success Open Day</t>
  </si>
  <si>
    <t>Honors Day</t>
  </si>
  <si>
    <t>Community Service Awareness Day</t>
  </si>
  <si>
    <t>UN-SDG Program</t>
  </si>
  <si>
    <t>Entrepreneurship Bootcamp</t>
  </si>
  <si>
    <t>Golden Key International Honour Society</t>
  </si>
  <si>
    <t>Membership rate is fixed by the vendor</t>
  </si>
  <si>
    <t>Invite professionals to arrange training sessions related to counseling topics</t>
  </si>
  <si>
    <t>Organize workshops related to students personal needs</t>
  </si>
  <si>
    <t>425750.Skill assessment service-Participating Students-No of Participating Students</t>
  </si>
  <si>
    <t>No of Participating Students</t>
  </si>
  <si>
    <t>Personality and educational assessment for ex: learning difficulties, dyslexia</t>
  </si>
  <si>
    <t>Material to deliver one day workshop</t>
  </si>
  <si>
    <t>425761-Student Field trips</t>
  </si>
  <si>
    <t>Student Success External Activities</t>
  </si>
  <si>
    <t>Downsize student exchange and studying abroad educational experience</t>
  </si>
  <si>
    <t>Catering for Student Success events</t>
  </si>
  <si>
    <t>Catering for the professional training events</t>
  </si>
  <si>
    <t>Catering for the inhouse workshops</t>
  </si>
  <si>
    <t>Student Success Management System (EAB Navigate)</t>
  </si>
  <si>
    <t>Rate is fixed per the contract</t>
  </si>
  <si>
    <t>Business Travel for Manager and Heads</t>
  </si>
  <si>
    <t>Reduce travel expenses</t>
  </si>
  <si>
    <t>Awards, prizes &amp; gifts for events competitions</t>
  </si>
  <si>
    <t>Downsize event and marketing collateral</t>
  </si>
  <si>
    <t>428640.Events - Awards, prizes &amp; gifts-Number of Prizes-count</t>
  </si>
  <si>
    <t>Gifts &amp; awards for the guests who are delivering training sessions for the students</t>
  </si>
  <si>
    <t>Gift items, branded KU merchandise for external partners</t>
  </si>
  <si>
    <t>Books related to counseling topics and issues to be available for the students for, for ex: time management, self esteem,..</t>
  </si>
  <si>
    <t>Printing of Booklets, Guides, Brochures, Flyers, etc.</t>
  </si>
  <si>
    <t>Advertising and marketing for student success services, events, and workshops</t>
  </si>
  <si>
    <t>Certificates for the students who attended the workshops</t>
  </si>
  <si>
    <t>Materials &amp; consumables items</t>
  </si>
  <si>
    <t>Folders, pens, papers</t>
  </si>
  <si>
    <t>KUST - Student Life</t>
  </si>
  <si>
    <t>425510.Conferences, seminars and exhibitions and other events: - Local Events-Number of attendees-count</t>
  </si>
  <si>
    <t>UG &amp; PG Student Orientation Program</t>
  </si>
  <si>
    <t>Moderate Impact - we will have to reduce the number of activities</t>
  </si>
  <si>
    <t>We will have to reduce the number of activities. This may negatively impact the overall experience of the new students</t>
  </si>
  <si>
    <t xml:space="preserve">National Day Celebrations </t>
  </si>
  <si>
    <t xml:space="preserve">We will have to reduce the number of activities. This may negatively impact the student's level of satisfaction with KU National Celebrations and festivities </t>
  </si>
  <si>
    <t xml:space="preserve">KU Sport Day </t>
  </si>
  <si>
    <t>We will have to reduce the number of activities. This may negatively impact the student's level of satisfaction with Sports activities</t>
  </si>
  <si>
    <t xml:space="preserve">Iftar Gathering in Ramadan _ KU Residences (Male &amp; Female) </t>
  </si>
  <si>
    <t>We will have to reduce the number of activities. This may negatively impact the student's level of satisfaction with KU events &amp; activities</t>
  </si>
  <si>
    <t xml:space="preserve">Social Gathering &amp; BBQ Night in KU Residences </t>
  </si>
  <si>
    <t>Low Impact - we will have to reduce the number of activities</t>
  </si>
  <si>
    <t xml:space="preserve">We will have to reduce the number of activities. This may negatively impact the student's level of satisfaction with KU's engagements in events and activities </t>
  </si>
  <si>
    <t>Number of TBD</t>
  </si>
  <si>
    <t>Daily Shuttle Services - Bus - 34 seaters</t>
  </si>
  <si>
    <t>Student Transportation Services is a critical services, any budget reduction will have significant impact in the service provided which will negatively impact the logistics and affect the mobility of students</t>
  </si>
  <si>
    <t>Weekly Transportation Services - 37 seaters</t>
  </si>
  <si>
    <t>Weekly Transportation Services - 50 seaters</t>
  </si>
  <si>
    <t>Number of Number of employees and type of service provided</t>
  </si>
  <si>
    <t>Personnel - Heavy Drivers and Lady Attendant</t>
  </si>
  <si>
    <t>Fuel Cost</t>
  </si>
  <si>
    <t xml:space="preserve">Salik </t>
  </si>
  <si>
    <t xml:space="preserve">Adhoc Trips - Buses - Recreational and Fields Trips </t>
  </si>
  <si>
    <t xml:space="preserve">Limousine Services </t>
  </si>
  <si>
    <t xml:space="preserve">Club Day _ Club Fair _ 25 Student Clubs/Chapters </t>
  </si>
  <si>
    <t>Low Impact - we will have to reduce the number of participating groups.</t>
  </si>
  <si>
    <t>Moderate Impact - we will have to reduce the number of participating groups.</t>
  </si>
  <si>
    <t xml:space="preserve">We will have to reduce the number of participating groups. This may negatively impact the student's level of satisfaction on KU's engagements in events and activities </t>
  </si>
  <si>
    <t>Global Day 2023</t>
  </si>
  <si>
    <t xml:space="preserve">We will have to reduce the number of participating groups. This may negatively impact the student's level of satisfaction with KU's engagements in events and activities </t>
  </si>
  <si>
    <t xml:space="preserve">KU Film Festival </t>
  </si>
  <si>
    <t xml:space="preserve">KU Bazaar 2023 and Entrepreneurship Talks </t>
  </si>
  <si>
    <t xml:space="preserve">Recreational/Sports/ Local Trips </t>
  </si>
  <si>
    <t>Low Impact - we will have to reduce the number of trips.</t>
  </si>
  <si>
    <t>Moderate Impact - we will have to reduce the number of trips</t>
  </si>
  <si>
    <t>We will have to reduce the number of trips. This may negatively impact the student's level of satisfaction with KU's engagements in recreational trips</t>
  </si>
  <si>
    <t xml:space="preserve">Clubs/Chapters Events and Activities </t>
  </si>
  <si>
    <t xml:space="preserve">International Trips </t>
  </si>
  <si>
    <t>We will have to reduce the number of trips. This may negatively impact the student's level of satisfaction on KU's support in international trips</t>
  </si>
  <si>
    <t xml:space="preserve">Catering for UG &amp; PG Student Orientation Program Fall &amp; Spring </t>
  </si>
  <si>
    <t>Low Impact - we will have to reduce the quantity in the menu</t>
  </si>
  <si>
    <t>Moderate Impact -  we will have to further reduce the quantity in the menu</t>
  </si>
  <si>
    <t xml:space="preserve">We will have to reduce the quantity in the menu. This may negatively impact the student's level of satisfaction with KU's Major  events and activities </t>
  </si>
  <si>
    <t>Catering/ selected Emirati food items for National Day Event</t>
  </si>
  <si>
    <t xml:space="preserve">Catering /selected food items from international cuisine For Global Day Event </t>
  </si>
  <si>
    <t xml:space="preserve">Social Gathering &amp; BBQ Night in KU Residences (Male &amp; Female Residences)  </t>
  </si>
  <si>
    <t xml:space="preserve">Snacks/light food for events, activities, workshops, seminars..etc. </t>
  </si>
  <si>
    <t>428640.Events - Awards, prizes &amp; gifts-Number of gifts-count</t>
  </si>
  <si>
    <t xml:space="preserve">Gift cards &amp; vouchers for winners in different competitions </t>
  </si>
  <si>
    <t xml:space="preserve">Low Impact </t>
  </si>
  <si>
    <t xml:space="preserve">Moderate Impact </t>
  </si>
  <si>
    <t xml:space="preserve">Significant Impact </t>
  </si>
  <si>
    <t>Trophies for winners &amp; participants in sports competitions and other competitions</t>
  </si>
  <si>
    <t xml:space="preserve">Customized gifts for participants in competitions </t>
  </si>
  <si>
    <t>Tools, Materials &amp; Equipment for Sports Activities (Balls for table tennis, volleyball, basketball..etc)</t>
  </si>
  <si>
    <t>Low Impact - we will have to reduce the number of items.</t>
  </si>
  <si>
    <t>Moderate Impact - we will have to reduce the number of items</t>
  </si>
  <si>
    <t>We will have to reduce the number of items per team member. This may impact the student's participation in sports tournaments and competitions happening on and off campus</t>
  </si>
  <si>
    <t>PPE and personal tools for sports teams (racket, knee pads, goalkeeper gloves, drawstring bags..etc)</t>
  </si>
  <si>
    <t>Moderate Impact - we will have to reduce the number of items.</t>
  </si>
  <si>
    <t>Sports uniforms/jersey/training suits for Sports Teams and Coordinators.</t>
  </si>
  <si>
    <t>Low Impact - we will have to reduce the number of uniforms per player.</t>
  </si>
  <si>
    <t>Moderate Impact - we will have to reduce the number of uniform per player.</t>
  </si>
  <si>
    <t>We will have to reduce the number of uniforms per team member. This may impact the student's participation in sports tournaments and competitions happening on and off campus</t>
  </si>
  <si>
    <t>Certificates of Appreciations/Participations With Solid Cover</t>
  </si>
  <si>
    <t xml:space="preserve">low impact </t>
  </si>
  <si>
    <t>moderate impact</t>
  </si>
  <si>
    <t xml:space="preserve">moderate impact </t>
  </si>
  <si>
    <t xml:space="preserve">Rollups/Banners for campaigns and events </t>
  </si>
  <si>
    <t>420310-Cleaning: Business premises</t>
  </si>
  <si>
    <t>421600-Security service</t>
  </si>
  <si>
    <t>422400--</t>
  </si>
  <si>
    <t>426220-Insurance - Fire and allied perils</t>
  </si>
  <si>
    <t>428111-Electricity consumption charges</t>
  </si>
  <si>
    <t>428112-Water consumption charges</t>
  </si>
  <si>
    <t>432120-Bldg maintenance-Business premises</t>
  </si>
  <si>
    <t>KUST - Registrar</t>
  </si>
  <si>
    <t>Registration Office team functional expertise development.</t>
  </si>
  <si>
    <t>Regular operations</t>
  </si>
  <si>
    <t>Affect student education progression</t>
  </si>
  <si>
    <t>425741-Student stipend</t>
  </si>
  <si>
    <t>425741.Student stipend-Students-No of Students</t>
  </si>
  <si>
    <t xml:space="preserve">Student Stipend. Rate is not fixed. Please refer to the atatched calculations. </t>
  </si>
  <si>
    <t>increase number of students? Is it the same as planned?</t>
  </si>
  <si>
    <t>426900.Postal, courier and other document delivery expenses-Number of Staff-Number</t>
  </si>
  <si>
    <t>Postal to use for document delivery. And cost of graduation folder</t>
  </si>
  <si>
    <t>435340.Text books and library books-Students-Number of students</t>
  </si>
  <si>
    <t>Number of students</t>
  </si>
  <si>
    <t>Textbooks for students. Essential for education progression</t>
  </si>
  <si>
    <t>this is increased with the increase number of students</t>
  </si>
  <si>
    <t xml:space="preserve">Needed supplies to serve the registration office operations. </t>
  </si>
  <si>
    <t>Needed stationary to serve the registration office operations.</t>
  </si>
  <si>
    <t>KUST - Libraries</t>
  </si>
  <si>
    <t>1. RefWorks 2. How to publish a research paper 3. Petent seminar 4. Author workshops 5. OrCid Seminar 6. E-resources workshop 7. EMBASE 8. Web of Science webnar</t>
  </si>
  <si>
    <t xml:space="preserve">It would reduce the awarenewss, library instuction, visibility and marketing of library services among the KU community </t>
  </si>
  <si>
    <t>It would reduce the awarenewss of library services among the KU community</t>
  </si>
  <si>
    <t>1 SLA conference Sharjah 2. SLA conference UAS 3. IFLA conference , Dublin 4. Harvard Business school leadersip courses 5. E&amp;RL conference U.S.A, AATUL Zayed university</t>
  </si>
  <si>
    <t>Less participation in professional development programes will effect the chance for improving library staff skills and career path.</t>
  </si>
  <si>
    <t>Lesser participation in professional development programes will effect the chance for improving library staff skills and career path.</t>
  </si>
  <si>
    <t>Severly reduced participation in professional development programes will effect the chance for improving library staff skills and career path.</t>
  </si>
  <si>
    <t>These resources are vital for the faculty, researchers and students to accomplish their accademic and research goals. Cutting the budget for these resources would require the library to cancel database subscriptions. This would impact research output, University's academic  ranking and accreditaion for academic programs</t>
  </si>
  <si>
    <t xml:space="preserve">It would affect studets to relay on the library printers for their academic work </t>
  </si>
  <si>
    <t>KUST - Student Enrollment</t>
  </si>
  <si>
    <t>Local exhibitions such as Najah Exhibition, Sharjah International Show, KU Open Day, Education Interface, AETEX, GETEX, TVET Week, NAPO Tour..etc</t>
  </si>
  <si>
    <t xml:space="preserve"> Reducing number of leads. ( Prospective Students)</t>
  </si>
  <si>
    <t>International Recruitment Trips for UG and PG</t>
  </si>
  <si>
    <t xml:space="preserve"> Reducing number of leads. ( Prospective Interntional Students) </t>
  </si>
  <si>
    <t xml:space="preserve">Givaways and gifts </t>
  </si>
  <si>
    <t>Low Impact</t>
  </si>
  <si>
    <t>Moderate Impact</t>
  </si>
  <si>
    <t>Number of Projects: Al Nokhba Program, Scholarship Digital Campigan, Abu Dhabi Science Festival, Think Science ….etc</t>
  </si>
  <si>
    <t>High Impact</t>
  </si>
  <si>
    <t xml:space="preserve">Webinars and Placement Tests. </t>
  </si>
  <si>
    <t>High Impact toward quality of students</t>
  </si>
  <si>
    <t>High Impact toward qualified students</t>
  </si>
  <si>
    <t>KUST - Center for Teaching &amp; Learning</t>
  </si>
  <si>
    <t>425100-Advertising</t>
  </si>
  <si>
    <t>425100.Advertising Services (General)-Branding -count</t>
  </si>
  <si>
    <t>200 brochures for AED 2.50</t>
  </si>
  <si>
    <t>20-30 workshops and webinars</t>
  </si>
  <si>
    <t>4 conferences for AED 15,000 each</t>
  </si>
  <si>
    <t>425710-Higher education and specialisation incentives</t>
  </si>
  <si>
    <t>425710.Higher education and specialisation incentives-number of faculty-number</t>
  </si>
  <si>
    <t>10 Faculty Mini-Grants, and Accreditation &amp; Faculty Fellowship</t>
  </si>
  <si>
    <t>workshop and training for AED 15,000  / symposium for AED 15,000</t>
  </si>
  <si>
    <t>guest speakers, honorarium and  blended courses</t>
  </si>
  <si>
    <t>tools/software for exam, collaborative, survey, assessment, project management, authoring, polling, learners reporting, statistics, awards and management</t>
  </si>
  <si>
    <t>tools and software requested from IT</t>
  </si>
  <si>
    <t>428640.Events - Awards, prizes &amp; gifts-Number of prizes-count</t>
  </si>
  <si>
    <t>faculty and student competition, activities, and services</t>
  </si>
  <si>
    <t>Facilities</t>
  </si>
  <si>
    <t>432170-Bldg decoration &amp; minor improvements</t>
  </si>
  <si>
    <t>432170.Bldg decoration &amp; miNumberr improvements-Number of Buildings-Number</t>
  </si>
  <si>
    <t xml:space="preserve">Upgrade and fix the learning spaces and workshop areas into quiet and individualized environment that meet the minimum standards. </t>
  </si>
  <si>
    <t>435340.Text books and library books-Design cost of the book-Number of pages</t>
  </si>
  <si>
    <t xml:space="preserve">Teaching and learning resources including access to as e-books  </t>
  </si>
  <si>
    <t>435530.School consumables, Numbert specifically mentioned elsewhere-Number of Faculty-Number</t>
  </si>
  <si>
    <t>Stationery supplies and resources not in the store</t>
  </si>
  <si>
    <t>Converting face to face courses to hybrid format (SME, ID, IT) and developing blended online courses (SME, ID, IT)</t>
  </si>
  <si>
    <t>overseas conferences for staff</t>
  </si>
  <si>
    <t>KUST - Career Services</t>
  </si>
  <si>
    <t>Career Fair, Alumni Reunion, Majors Day and Employer Recognition -  event organization/ venue setup</t>
  </si>
  <si>
    <t>Venue setup and planning will be affected- might not be able to meet all KU, employer, alumni and students Expectations and requirements</t>
  </si>
  <si>
    <t>Will not meet our target of 65 employers, so number of employers participating will decrease</t>
  </si>
  <si>
    <t>new events ( alumni reunion 300 k in hotel)  waiting for supporting document</t>
  </si>
  <si>
    <t>Outsourced: Career Development Course Content</t>
  </si>
  <si>
    <t>Quality of courses content and development will be affected</t>
  </si>
  <si>
    <t xml:space="preserve">Might not be able to meet the expectation of the courses </t>
  </si>
  <si>
    <t>International placements: to cover accomodation, travel expenses, air tickets and per diem</t>
  </si>
  <si>
    <t>Number of students on international internship will be impacted</t>
  </si>
  <si>
    <t>international internship and exchange program related to strategic project</t>
  </si>
  <si>
    <t>To cover the various events held during the academic year</t>
  </si>
  <si>
    <t>Lower the standard of catering provided</t>
  </si>
  <si>
    <t>Will affect number of invited guests - selected menu will be affected</t>
  </si>
  <si>
    <t>Systems renewal cost</t>
  </si>
  <si>
    <t>Systems cost should be paid in full</t>
  </si>
  <si>
    <t xml:space="preserve">ADDA IT </t>
  </si>
  <si>
    <t xml:space="preserve">Trophies for participants in major events as an appreciation for their contribution to further students career development </t>
  </si>
  <si>
    <t>Quality of the gifts will be impacted</t>
  </si>
  <si>
    <t>Quality of the gifts will be impacted - not all events/employers will be covered</t>
  </si>
  <si>
    <t>Quality and quantity will be impacted</t>
  </si>
  <si>
    <t>quality of gifts</t>
  </si>
  <si>
    <t xml:space="preserve">branding and collaterals, flyers and handbooks to be printed for events </t>
  </si>
  <si>
    <t>Number/quality of printed material will be impacted</t>
  </si>
  <si>
    <t>Continuing Education</t>
  </si>
  <si>
    <t>KUST - Continuing Education Office</t>
  </si>
  <si>
    <t>Conference/ seminars for the Manager and to participate in local exhibit to promote the KU Continuing Education activities.</t>
  </si>
  <si>
    <t>Reduce the the number of activities  by 10%</t>
  </si>
  <si>
    <t>Reduce the the number of activities  by 20%</t>
  </si>
  <si>
    <t>Reduce the the number of activities  by 30%</t>
  </si>
  <si>
    <t>Outsourced Fee for  57 days @ AED 1384/daily</t>
  </si>
  <si>
    <t xml:space="preserve">This will affect the regular operation </t>
  </si>
  <si>
    <t>Catering services Expected 20 training &amp; worshop F2F with 20 participants each workshop</t>
  </si>
  <si>
    <t>Printing supplies for students at AED 2000 per training session for 10  trainings/worshop that required printing training materials</t>
  </si>
  <si>
    <t>436120.Stationery-Number of Employees-Number</t>
  </si>
  <si>
    <t>Training supplies for students attending the 12 trainings/ workshops ( Pens, pencil, note pads, flip chart paper, white board markers and etc.</t>
  </si>
  <si>
    <t>425100.Advertising Services (General)-Digital Marketing Campaigns-count</t>
  </si>
  <si>
    <t>Yearly marketing campaign to promote KU-CE to increase visibilty through a digital platform  between  20-25 courses yearly.</t>
  </si>
  <si>
    <t>KUST - Graduate Studies</t>
  </si>
  <si>
    <t>Number of PhD students graduating - Refer to attached Itemised Details</t>
  </si>
  <si>
    <t>Every PhD student's final defense committee requires an independent external examiner, as per KU policy. It will be diffcult to find external examiners who are willing to serve for free.</t>
  </si>
  <si>
    <t>Refer to attached Itemised Details</t>
  </si>
  <si>
    <t>Advertising campaign for KU graduate programs will be shorter.</t>
  </si>
  <si>
    <t>Number of students expected to apply for conference funding - Refer to attached Itemised Details</t>
  </si>
  <si>
    <t>The University makes a pledge to support students attending research/study events. Reduction in funds means that GSO can support fewer students and this will have a negative impact on reputation, research.</t>
  </si>
  <si>
    <t>425743-Graduation rewards</t>
  </si>
  <si>
    <t>Not required - zero MI legacy students eligible for graduation rewards after 2022.</t>
  </si>
  <si>
    <t>425744-Student medical insurance</t>
  </si>
  <si>
    <t>425744.Student medical insurance-Number Student Phd-Number</t>
  </si>
  <si>
    <t>Number of eligible expat students - Refer to attached Itemised Details</t>
  </si>
  <si>
    <t>The medical insurance package for expat students will have to be reduced to ensure all eligible students have some medical insurance coverage.</t>
  </si>
  <si>
    <t>425745.Student relocation &amp; travel exps-Number of Students Phd-Month</t>
  </si>
  <si>
    <t>Fewer graduate students will receive funding to travel from overseas to study at KU - mobilisation flights, visa application, visa medical test, annual airfare allowance.</t>
  </si>
  <si>
    <t xml:space="preserve">Fewer students will be admitted to KU with gradaute scholarships and/or student's stipend rates will have to be reduced. Negative impact on attracting top studnets to KU graduate programs. </t>
  </si>
  <si>
    <t>student number increase?</t>
  </si>
  <si>
    <t>425761.Student Field trips-Number Student Phd-Number</t>
  </si>
  <si>
    <t>Number of students expected to apply for field trip - Refer to attached Itemised Details</t>
  </si>
  <si>
    <t>Fewer graduate students supported to participate in field trips, resulting in negative impact on research activities.</t>
  </si>
  <si>
    <t>Number of students expected to apply for internship - Refer to attached Itemised Details</t>
  </si>
  <si>
    <t>Fewer graduate students supported to participate in internships, resulting in negative impact on research activities.</t>
  </si>
  <si>
    <t>Catering for graduate student orientation, external examiner visits and events for graduate studnets will be reduced.</t>
  </si>
  <si>
    <t>Fewer GSO staff will have access to licensed software.</t>
  </si>
  <si>
    <t>Number of trips per year - Refer to attached Itemised Details</t>
  </si>
  <si>
    <t>Fewer GSO staff will be able to attend recruitment / networking / professional development / promotional events to represent KU and promote graduate programs. Number of trips reduced from 5 to 4 (including AVP travel).</t>
  </si>
  <si>
    <t>Fewer GSO staff will be able to attend recruitment / networking / professional development / promotional events to represent KU and promote graduate programs. Number of trips reduced from 4 to 3 (including AVP travel).</t>
  </si>
  <si>
    <t>Fewer GSO staff will be able to attend recruitment / networking / professional development / promotional events to represent KU and promote graduate programs. Number of trips reduced from 3 to 2 (including AVP travel).</t>
  </si>
  <si>
    <t>Number of gifts and prizes reduced.</t>
  </si>
  <si>
    <t>General cost for the office - Refer to attached Itemised Details</t>
  </si>
  <si>
    <t>GSO staff will be unable to print documents to support office operations.</t>
  </si>
  <si>
    <t>492310.Hardware &amp; peripherals-number of hardware devices-Month</t>
  </si>
  <si>
    <t>Number of PhD students - Refer to attached Itemised Details</t>
  </si>
  <si>
    <t>Not all PhD students will be able to request a laptop for use during their studies.</t>
  </si>
  <si>
    <t xml:space="preserve">Catering for VIP meetings
Catering for the professional training events - Retreat
Catering for the inhouse workshops </t>
  </si>
  <si>
    <t>to support the various events through the year</t>
  </si>
  <si>
    <t>Business Travel for SVP</t>
  </si>
  <si>
    <t>To identify detailed frameworks for cooperation and partnership with foreign intuitions to exchange experiences and develop joint programs for student exchange and research project of comment interest</t>
  </si>
  <si>
    <t>providing awards and prizes for students winning competitions</t>
  </si>
  <si>
    <t>To support in providing awards and prizes for students winning competitions</t>
  </si>
  <si>
    <t>Support office tools</t>
  </si>
  <si>
    <t>421100.Manpower supply-Number of employees and type of service provided-Number of Number of employees and type of service provided</t>
  </si>
  <si>
    <t>Outsource staff to support Resident Life Office _ (Resident Assistants)</t>
  </si>
  <si>
    <t>Sport Coaches for Football, Basketball, Volleyball, Badminton, Martial Art</t>
  </si>
  <si>
    <t xml:space="preserve">20% increase from last year </t>
  </si>
  <si>
    <t>20% increase from last year considering the fluctuation in market price and increase in number of students each year. Especially CMHS adding periods in each year</t>
  </si>
  <si>
    <t>Digital/hardcopy publication banner/poster/brochures</t>
  </si>
  <si>
    <t>20-30 workshops and seminars</t>
  </si>
  <si>
    <t>Upgrade and fix the learning spaces and workshop areas into quiet and individualized environment that meet the minimum standards.</t>
  </si>
  <si>
    <t>Digital Marketing campaign to increase visibility and to 
promote the KU-CE trainings and other related activities.</t>
  </si>
  <si>
    <t>To participate in the local / regional seminars, conferences &amp; exhibits to expand the network.</t>
  </si>
  <si>
    <t>Payment for the outsourced logistics as per the signed agreement.</t>
  </si>
  <si>
    <t>Catering services for the students/ participants of the face to face trainings and other related activities.</t>
  </si>
  <si>
    <t xml:space="preserve">Printing training
materials (Students' training manual).
</t>
  </si>
  <si>
    <t>Students' training supplies/ stationeries  pens, note pads and etc.
Faculty training supplies, whiteboard markers, flip charts paper and etc.</t>
  </si>
  <si>
    <t>Develop competitive fellowship programs for students</t>
  </si>
  <si>
    <t>425100.Advertising Services (General)-Digital advertizing (Radio, TV, Social Media)  -count</t>
  </si>
  <si>
    <t>To participate in the local / 
regional seminars, conferences &amp; exhibits to expand the network.</t>
  </si>
  <si>
    <t>Catering services for the 
students/ participants of the face to face trainings and other related activities.</t>
  </si>
  <si>
    <t xml:space="preserve">Students' training supplies/ stationeries pens, note pads and etc.
Faculty training supplies, whiteboard markers, flip charts paper  and etc.
 </t>
  </si>
  <si>
    <t>847.8470220.1.436120.000000.847001.200179</t>
  </si>
  <si>
    <t>847.8471305.1.492310.000000.847001.300180</t>
  </si>
  <si>
    <t>847.8471210.1.425900.000000.847001.200179</t>
  </si>
  <si>
    <t>847.8471210.1.428090.000000.847001.200179</t>
  </si>
  <si>
    <t>847.8471210.1.428640.000000.847001.200179</t>
  </si>
  <si>
    <t>847.8471210.1.435530.000000.847001.200179</t>
  </si>
  <si>
    <t>847.8471240.1.425510.000000.847001.200179</t>
  </si>
  <si>
    <t>847.8471240.1.425720.000000.847001.200179</t>
  </si>
  <si>
    <t>847.8471240.1.425750.000000.847001.200179</t>
  </si>
  <si>
    <t>847.8471240.1.425761.000000.847001.200179</t>
  </si>
  <si>
    <t>847.8471240.1.425900.000000.847001.200179</t>
  </si>
  <si>
    <t>847.8471240.1.426610.000000.847001.200179</t>
  </si>
  <si>
    <t>847.8471240.1.428090.000000.847001.200179</t>
  </si>
  <si>
    <t>847.8471240.1.428640.000000.847001.200179</t>
  </si>
  <si>
    <t>847.8471240.1.435330.000000.847001.200179</t>
  </si>
  <si>
    <t>847.8471240.1.436110.000000.847001.200179</t>
  </si>
  <si>
    <t>847.8471240.1.436120.000000.847001.200179</t>
  </si>
  <si>
    <t>847.8471260.1.425510.000000.847001.200179</t>
  </si>
  <si>
    <t>847.8471260.1.425746.000000.847001.200179</t>
  </si>
  <si>
    <t>847.8471260.1.425760.000000.847001.200179</t>
  </si>
  <si>
    <t>847.8471260.1.425900.000000.847001.200179</t>
  </si>
  <si>
    <t>847.8471260.1.428640.000000.847001.200179</t>
  </si>
  <si>
    <t>847.8471260.1.435530.000000.847001.200179</t>
  </si>
  <si>
    <t>847.8471260.1.436110.000000.847001.200179</t>
  </si>
  <si>
    <t>847.8471260.1.420310.000000.847001.200179</t>
  </si>
  <si>
    <t>847.8471260.1.421600.000000.847001.200179</t>
  </si>
  <si>
    <t>847.8471260.1.422400.000000.847001.200179</t>
  </si>
  <si>
    <t>847.8471260.1.425750.000000.847001.200179</t>
  </si>
  <si>
    <t>847.8471260.1.426220.000000.847001.200179</t>
  </si>
  <si>
    <t>847.8471260.1.428111.000000.847001.200179</t>
  </si>
  <si>
    <t>847.8471260.1.428112.000000.847001.200179</t>
  </si>
  <si>
    <t>847.8471260.1.430230.000000.847001.200179</t>
  </si>
  <si>
    <t>847.8471260.1.432120.000000.847001.200179</t>
  </si>
  <si>
    <t>847.8471220.1.425510.000000.847001.200179</t>
  </si>
  <si>
    <t>847.8471220.1.425741.000000.847001.200179</t>
  </si>
  <si>
    <t>847.8471220.1.426900.000000.847001.200179</t>
  </si>
  <si>
    <t>847.8471220.1.435340.000000.847001.200179</t>
  </si>
  <si>
    <t>847.8471220.1.436110.000000.847001.200179</t>
  </si>
  <si>
    <t>847.8471220.1.436120.000000.847001.200179</t>
  </si>
  <si>
    <t>847.8471270.1.425900.000000.847001.200179</t>
  </si>
  <si>
    <t>847.8471270.1.428090.000000.847001.200179</t>
  </si>
  <si>
    <t>847.8471270.1.435330.000000.847001.200179</t>
  </si>
  <si>
    <t>847.8471270.1.436110.000000.847001.200179</t>
  </si>
  <si>
    <t>847.8471230.1.425742.000000.847001.200179</t>
  </si>
  <si>
    <t>847.8471230.1.426610.000000.847001.200179</t>
  </si>
  <si>
    <t>847.8471280.1.425100.000000.847001.200179</t>
  </si>
  <si>
    <t>847.8471280.1.425510.000000.847001.200179</t>
  </si>
  <si>
    <t>847.8471280.1.425550.000000.847001.200179</t>
  </si>
  <si>
    <t>847.8471280.1.425710.000000.847001.200179</t>
  </si>
  <si>
    <t>847.8471280.1.425760.000000.847001.200179</t>
  </si>
  <si>
    <t>847.8471280.1.425770.000000.847001.200179</t>
  </si>
  <si>
    <t>847.8471280.1.426610.000000.847001.200179</t>
  </si>
  <si>
    <t>847.8471280.1.428640.000000.847001.200179</t>
  </si>
  <si>
    <t>847.8471280.1.432170.000000.847001.200179</t>
  </si>
  <si>
    <t>847.8471280.1.435340.000000.847001.200179</t>
  </si>
  <si>
    <t>847.8471280.1.435530.000000.847001.200179</t>
  </si>
  <si>
    <t>847.8471280.1.492316.000000.847001.300180</t>
  </si>
  <si>
    <t>847.8471280.1.428090.000000.847001.200179</t>
  </si>
  <si>
    <t>847.8471250.1.425510.000000.847001.200179</t>
  </si>
  <si>
    <t>847.8471250.1.425720.000000.847001.200179</t>
  </si>
  <si>
    <t>847.8471250.1.425762.000000.847001.200179</t>
  </si>
  <si>
    <t>847.8471250.1.425900.000000.847001.200179</t>
  </si>
  <si>
    <t>847.8471250.1.426610.000000.847001.200179</t>
  </si>
  <si>
    <t>847.8471250.1.428090.000000.847001.200179</t>
  </si>
  <si>
    <t>847.8471250.1.428640.000000.847001.200179</t>
  </si>
  <si>
    <t>847.8471250.1.436110.000000.847001.200179</t>
  </si>
  <si>
    <t>847.8471010.1.425510.000000.847001.200179</t>
  </si>
  <si>
    <t>847.8471010.1.425720.000000.847001.200179</t>
  </si>
  <si>
    <t>847.8471010.1.425900.000000.847001.200179</t>
  </si>
  <si>
    <t>847.8471010.1.436110.000000.847001.200179</t>
  </si>
  <si>
    <t>847.8471010.1.436120.000000.847001.200179</t>
  </si>
  <si>
    <t>847.8471010.1.425100.000000.847001.200179</t>
  </si>
  <si>
    <t>847.8470230.1.420550.000000.847001.200179</t>
  </si>
  <si>
    <t>847.8470230.1.425100.000000.847001.200179</t>
  </si>
  <si>
    <t>847.8470230.1.425510.000000.847001.200179</t>
  </si>
  <si>
    <t>847.8470230.1.425550.000000.847001.200179</t>
  </si>
  <si>
    <t>847.8470230.1.425743.000000.847001.200179</t>
  </si>
  <si>
    <t>847.8470230.1.425744.000000.847001.200179</t>
  </si>
  <si>
    <t>847.8470230.1.425745.000000.847001.200179</t>
  </si>
  <si>
    <t>847.8470230.1.425749.000000.847001.200179</t>
  </si>
  <si>
    <t>847.8470230.1.425761.000000.847001.200179</t>
  </si>
  <si>
    <t>847.8470230.1.425762.000000.847001.200179</t>
  </si>
  <si>
    <t>847.8470230.1.425900.000000.847001.200179</t>
  </si>
  <si>
    <t>847.8470230.1.426610.000000.847001.200179</t>
  </si>
  <si>
    <t>847.8470230.1.428090.000000.847001.200179</t>
  </si>
  <si>
    <t>847.8470230.1.428640.000000.847001.200179</t>
  </si>
  <si>
    <t>847.8470230.1.436110.000000.847001.200179</t>
  </si>
  <si>
    <t>847.8470230.1.492310.000000.847001.300180</t>
  </si>
  <si>
    <t>Eiman</t>
  </si>
  <si>
    <t>MS</t>
  </si>
  <si>
    <t>Al Anood</t>
  </si>
  <si>
    <t>Fatema</t>
  </si>
  <si>
    <t>CoE</t>
  </si>
  <si>
    <t>IT+provost</t>
  </si>
  <si>
    <t>IT+Provost</t>
  </si>
  <si>
    <t>XX</t>
  </si>
  <si>
    <t>847.8470810.1.413328.000000.847001.100180</t>
  </si>
  <si>
    <t>413328</t>
  </si>
  <si>
    <t>420811</t>
  </si>
  <si>
    <t>427810</t>
  </si>
  <si>
    <t>427850</t>
  </si>
  <si>
    <t>430250</t>
  </si>
  <si>
    <t>432205</t>
  </si>
  <si>
    <t>432226</t>
  </si>
  <si>
    <t>492310</t>
  </si>
  <si>
    <t>492352</t>
  </si>
  <si>
    <t>492356</t>
  </si>
  <si>
    <t>495113</t>
  </si>
  <si>
    <t>425550</t>
  </si>
  <si>
    <t>425740</t>
  </si>
  <si>
    <t>436120</t>
  </si>
  <si>
    <t>435530</t>
  </si>
  <si>
    <t>425750</t>
  </si>
  <si>
    <t>425761</t>
  </si>
  <si>
    <t>435330</t>
  </si>
  <si>
    <t>421100</t>
  </si>
  <si>
    <t>425746</t>
  </si>
  <si>
    <t>425741</t>
  </si>
  <si>
    <t>426900</t>
  </si>
  <si>
    <t>435310</t>
  </si>
  <si>
    <t>425742</t>
  </si>
  <si>
    <t>425100</t>
  </si>
  <si>
    <t>425710</t>
  </si>
  <si>
    <t>432170</t>
  </si>
  <si>
    <t>425743</t>
  </si>
  <si>
    <t>425744</t>
  </si>
  <si>
    <t>425745</t>
  </si>
  <si>
    <t>425749</t>
  </si>
  <si>
    <t>421000</t>
  </si>
  <si>
    <t>422100</t>
  </si>
  <si>
    <t>426100</t>
  </si>
  <si>
    <t>427200</t>
  </si>
  <si>
    <t>427710</t>
  </si>
  <si>
    <t>432210</t>
  </si>
  <si>
    <t>422900</t>
  </si>
  <si>
    <t>420130</t>
  </si>
  <si>
    <t>425300</t>
  </si>
  <si>
    <t>425350</t>
  </si>
  <si>
    <t>427900</t>
  </si>
  <si>
    <t>435523</t>
  </si>
  <si>
    <t>420900</t>
  </si>
  <si>
    <t>College of Arts &amp; Science</t>
  </si>
  <si>
    <t>KUST - Dean Of Arts &amp; Science</t>
  </si>
  <si>
    <t>847.8470405.1.420550.000000.847001.200179</t>
  </si>
  <si>
    <t>Standard Cost according to policy</t>
  </si>
  <si>
    <t>reduced number of evaluators</t>
  </si>
  <si>
    <t>847.8470405.1.421700.000000.847001.200179</t>
  </si>
  <si>
    <t>Standard Rate for CAA visit.  Required for accreditation of new program</t>
  </si>
  <si>
    <t>Failed accreditation of program</t>
  </si>
  <si>
    <t>847.8470405.1.425510.000000.847001.200179</t>
  </si>
  <si>
    <t>Less representation and university exposure in local venues</t>
  </si>
  <si>
    <t>847.8470405.1.425550.000000.847001.200179</t>
  </si>
  <si>
    <t>Less representation and university exposure at international conferences and other venues</t>
  </si>
  <si>
    <t>Impact on global rankings</t>
  </si>
  <si>
    <t>847.8470405.1.425770.000000.847001.200179</t>
  </si>
  <si>
    <t>Academic/missionContinue to build collaborations through networking with world class entities.</t>
  </si>
  <si>
    <t>847.8470405.1.427710.000000.847001.200179</t>
  </si>
  <si>
    <t>Subscription/MembershipKeep faculty and staff informed of new information and methods</t>
  </si>
  <si>
    <t>Reduced entrance fees to events and subscriptions</t>
  </si>
  <si>
    <t>Inadequate  representation in organizations</t>
  </si>
  <si>
    <t>847.8470405.1.435508.000000.847001.200179</t>
  </si>
  <si>
    <t>Materials/ConsumablesDevelope high quality labs for top teaching</t>
  </si>
  <si>
    <t>Diminished student resources</t>
  </si>
  <si>
    <t>Inadequate lab resources</t>
  </si>
  <si>
    <t>847.8470405.1.435350.000000.847001.200179</t>
  </si>
  <si>
    <t>Keep faculty and staff informed of new information and methods</t>
  </si>
  <si>
    <t>Reduced access to academic journals</t>
  </si>
  <si>
    <t>Reduced publications and impact on academic ranking</t>
  </si>
  <si>
    <t>847.8470405.1.425720.000000.847001.200179</t>
  </si>
  <si>
    <t>425720.Education-Outsourced training service-Students-No of Students</t>
  </si>
  <si>
    <t>MCAT registration and travel expenses - estimated at 7000 AED per student</t>
  </si>
  <si>
    <t>Mandatory requirement and the budget cannot be reduced as it is a pre- quisite to join the medical college</t>
  </si>
  <si>
    <t>PMB teaching resources for instructors</t>
  </si>
  <si>
    <t>Reduced number of resources</t>
  </si>
  <si>
    <t>847.8470405.1.425763.000000.847001.200179</t>
  </si>
  <si>
    <t>Teaching costs for PMB  students</t>
  </si>
  <si>
    <t>Reduced number of PMB students Research</t>
  </si>
  <si>
    <t>Kaplan Contract renewal for PMB preparation courses and resources (Based on signed statement of work) - to be renewed in May 2023</t>
  </si>
  <si>
    <t>Required amount for one year renewal as of May 2023</t>
  </si>
  <si>
    <t>KUST - Institute of International &amp; Civil Security</t>
  </si>
  <si>
    <t>847.8470410.1.425761.000000.847001.200179</t>
  </si>
  <si>
    <t>one bus</t>
  </si>
  <si>
    <t>we hire taxis</t>
  </si>
  <si>
    <t>847.8470410.1.425770.000000.847001.200179</t>
  </si>
  <si>
    <t>each conference</t>
  </si>
  <si>
    <t>11 conferences attended</t>
  </si>
  <si>
    <t>10 conferences attended</t>
  </si>
  <si>
    <t>9 conferences attended</t>
  </si>
  <si>
    <t>847.8470410.1.426610.000000.847001.200179</t>
  </si>
  <si>
    <t>one software</t>
  </si>
  <si>
    <t>software cant be bought</t>
  </si>
  <si>
    <t>847.8470410.1.435310.000000.847001.200179</t>
  </si>
  <si>
    <t>4 journal subscriptions</t>
  </si>
  <si>
    <t>3 journal subscriptions</t>
  </si>
  <si>
    <t>847.8470410.1.435350.000000.847001.200179</t>
  </si>
  <si>
    <t>open source publication costs</t>
  </si>
  <si>
    <t>9 publications</t>
  </si>
  <si>
    <t>8 publiations</t>
  </si>
  <si>
    <t>7 publications</t>
  </si>
  <si>
    <t>KUST - Chemistry</t>
  </si>
  <si>
    <t>847.8470415.1.421700.000000.847001.200179</t>
  </si>
  <si>
    <t>420130.External Audit service-Audit type-Number of Audit type</t>
  </si>
  <si>
    <t>Standard rate provided. We expect to submit to CAA an updated Masters programme.</t>
  </si>
  <si>
    <t>New programme not accredited</t>
  </si>
  <si>
    <t>847.8470415.1.425510.000000.847001.200179</t>
  </si>
  <si>
    <t>We expect to run two 1 day events. One will be around materials chemistry, one around forensics</t>
  </si>
  <si>
    <t>Scvope of conference (e.g. invited speaker(s) may be limited</t>
  </si>
  <si>
    <t>Scvope of conference (e.g. invited speaker(s) may be severly limited</t>
  </si>
  <si>
    <t>847.8470415.1.425100.000000.847001.200179</t>
  </si>
  <si>
    <t>Advertising new MSc and strengthening PhD knowledge in the market</t>
  </si>
  <si>
    <t>Less effective advertisment = fewer applications</t>
  </si>
  <si>
    <t>847.8470415.1.428090.000000.847001.200179</t>
  </si>
  <si>
    <t>428000.Travel expenses - business-related-Number of eligible employees: (tickets, hotels, per diem, visa fees)-count</t>
  </si>
  <si>
    <t>10 visits to schools and related venues for outreach activity.</t>
  </si>
  <si>
    <t>Impact Dept. run operation</t>
  </si>
  <si>
    <t>847.8470415.1.427200.000000.847001.200179</t>
  </si>
  <si>
    <t>Printing of posters for conferences, laboratories, schools' outreach and related activities</t>
  </si>
  <si>
    <t>847.8470415.1.425760.000000.847001.200179</t>
  </si>
  <si>
    <t>Strengthen relation of BSc tracks with industrial / professional organisations. 2 trips for each of our four BSc final tracks</t>
  </si>
  <si>
    <t>Fewer trips, lower level of activity</t>
  </si>
  <si>
    <t>847.8470415.1.425763.000000.847001.200179</t>
  </si>
  <si>
    <t>425763.Student Project Expenses-Number Student Phd-Number</t>
  </si>
  <si>
    <t>To support exploratory research for 2 PhD students in the department. Other students will be funded by grants.</t>
  </si>
  <si>
    <t>Less funding available or only one project funded</t>
  </si>
  <si>
    <t>To support exploratory research for 2 MSc students in the department working for 10 months. Other students will be funded by grants.</t>
  </si>
  <si>
    <t>Less funding for projects - limits the work to be done.</t>
  </si>
  <si>
    <t>Severly limits the qunatity and quality of work to be done.</t>
  </si>
  <si>
    <t>12 senior BSc students each working for 5 months</t>
  </si>
  <si>
    <t>Less innovative projects to be conducted</t>
  </si>
  <si>
    <t>847.8470415.1.425770.000000.847001.200179</t>
  </si>
  <si>
    <t>24 faculty at 15000 per conference (NB: increase in number of faculty from 2022)</t>
  </si>
  <si>
    <t>Fewer or less prestigious conferences attended - limits high quality research dissemination and reputation building. Less impact</t>
  </si>
  <si>
    <t>Fewer or less prestigious conferences attended - limits high quality research dissemination and reputation building. Less impact.</t>
  </si>
  <si>
    <t>Fewer or less prestigious conferences attended - limits high quality research dissemination and reputation building. Much less impact.</t>
  </si>
  <si>
    <t>Visits for Chair and/or senior staff to potential collaborating institutions to set up research collaborations.</t>
  </si>
  <si>
    <t>Fewer visits - limits work on building collaborations</t>
  </si>
  <si>
    <t>847.8470415.1.425900.000000.847001.200179</t>
  </si>
  <si>
    <t>Chemistry seminar series inviting distinguisjed speakers/visitors to give research lectures.</t>
  </si>
  <si>
    <t>Fewer seminars/less distinguished speakers</t>
  </si>
  <si>
    <t>Meeting of advisory board for BSc / MSc programmes - rate as circulated</t>
  </si>
  <si>
    <t>Limit on board activity</t>
  </si>
  <si>
    <t>Meeting of advisory board for Materials Chemistry Research Centre expected to be established in July 2022</t>
  </si>
  <si>
    <t>847.8470415.1.426610.000000.847001.200179</t>
  </si>
  <si>
    <t>Spartan molecular modelling for undergraduate students. Budget taken from CoAS Academic Software list.</t>
  </si>
  <si>
    <t>Negotiations needed with vendor. May not be posssible to purchase so will have to be removed from teaching. Teaching will be less effective</t>
  </si>
  <si>
    <t>Will probably not be posssible to purchase so will have to be removed from teaching. Teaching will be less effective.</t>
  </si>
  <si>
    <t xml:space="preserve"> </t>
  </si>
  <si>
    <t>Subscription to Cambridge Crystallographic Data Centre. Important resource of researchers and also used in Sophomore and Senior teaching. Cost GBP6305.80.  Quotation Chem1</t>
  </si>
  <si>
    <t>Negotiations needed with vendor. May not be posssible to purchase so will have to limit some research and publications as well as activities of Chemical Crystallography laboratory.</t>
  </si>
  <si>
    <t>Negotiations needed with vendor. May not be posssible to purchase so will have to limit or restrict some research and publications as well as activities of Chemical crystallography laboratory.</t>
  </si>
  <si>
    <t>Chemdraw programme used for all chemistry students (UG &amp; PG)  and faculty. Rising numbers in Chemistry mean an upgrade to Medium licence - up to 300 users. Cost US$8500.  Quotation Chem2.</t>
  </si>
  <si>
    <t>Negotiations needed with vendor. May not be posssible to purchase so will have to be removed from teaching. Teaching will be less effective, publication of high quality research papers will be compromised.</t>
  </si>
  <si>
    <t>Gaussian16 molecular modelling .  New faculty joining ned tis for their work - can also be used in teaching. Cost US$6900.  Quotation Chem 3</t>
  </si>
  <si>
    <t>Molpro molecular modelling .  New faculty joining need this for their work - can also be used in teaching. Cost US$2950 for 3 yr licence.  Quotation Chem 4</t>
  </si>
  <si>
    <t>847.8470415.1.428640.000000.847001.200179</t>
  </si>
  <si>
    <t>Gifts etc. for outreach / open day work with prospective students. Based on 2018 (last year pre-covid) expenditure</t>
  </si>
  <si>
    <t>Fewer available - limit on publicity etc.</t>
  </si>
  <si>
    <t>847.8470415.1.432209.000000.847001.200179</t>
  </si>
  <si>
    <t>In 2022 chemistry ran 16 courses with laboratories. For 2023, five additional laboratory courses are running due to (a) introduction of more PhD courses, (b) new MSc courses and (c) introduction of two new tracks into the fourth year of the BSc. Undergrad. student numbers will increase from 11 in year 3 to 24.  This budget covers maintenance (only) of instruments, replacement of small items e.g. stirrers, hotplates, thermometers, pH meters). Also, cost inflation for lab. type apparatus is ruinning at around 10%.  So, 2022 budget +10% and multiplied by (16 + 5) /16 to account for new courses.</t>
  </si>
  <si>
    <t>Broken instruments may not be replaced. Quality of student education will be compromised somewhat.</t>
  </si>
  <si>
    <t>Broken instruments may not be replaced. Quality of student education will be compromised.</t>
  </si>
  <si>
    <t>Broken instruments may not be replaced. Quality of student education will be seriously compromised.</t>
  </si>
  <si>
    <t>There are 6 new faculty members joining chemistry and some modest support will be needed to enable them to get research off the ground.</t>
  </si>
  <si>
    <t>Progress and start-up will be slower.</t>
  </si>
  <si>
    <t>Chemistry department is responsible for managing the new Chemical Crystallography Laboratory in Arzanah. There are three high value instruments and a mantenance contract is needed to cover their repair etc in the case of breakdown.</t>
  </si>
  <si>
    <t>May only be able to keep two instruments in operation</t>
  </si>
  <si>
    <t>May only be able to keep one or two instruments in operation</t>
  </si>
  <si>
    <t>847.8470415.1.435350.000000.847001.200179</t>
  </si>
  <si>
    <t>Publication or open access charges for high quality (Q1, IF&gt;6, top 10%) journals. Average cost is $/€ 3-4000, we aim for 15 papers.</t>
  </si>
  <si>
    <t>Fewer high quality papers published or publication delayed/in lower ranked journals</t>
  </si>
  <si>
    <t>847.8470415.1.435508.000000.847001.200179</t>
  </si>
  <si>
    <t>In 2022 chemistry ran 16 courses with laboratories. For 2023, five additional laboratory courses are running due to (a) introduction of more PhD courses, (b) new MSc courses and (c) introduction of two new tracks into the fourth year of the BSc. Undergrad. student numbers will increase from 11 in year 2 and 3 to 24.  This budget covers consumable chemicals, classware, small items of laboratory use - bottles, sample tubes etc.  Also, cost inflation for lab. type apparatus is ruinning at around 10%.  So, 2022 budget +10% and multiplied by (16 + 5) /16 to account for new courses.</t>
  </si>
  <si>
    <t>Quality of student education will be compromised somewhat.</t>
  </si>
  <si>
    <t>Quality of student education will be compromised.</t>
  </si>
  <si>
    <t xml:space="preserve"> Quality of student education will be seriously compromised.</t>
  </si>
  <si>
    <t>We moved from the main campus (laboratory capacity 18) to SAN where labs have a higheer capacity - 36. Thus, to maintain the industry standard of education, we need to add workstations (glassware, small items) to accommodate these additional students. The number of freshman course sections is increasing from 10 - 15. Thus a one-off injection of funds to equip the laboratories is needed.</t>
  </si>
  <si>
    <t>Some students will work in larger groups - not industry standard education.</t>
  </si>
  <si>
    <t>Students will work in larger groups - not industry standard education.</t>
  </si>
  <si>
    <t>Chemistry department is responsible for managing the new Chemical Crystallography Laboratory in Arzanah. There is a need for small items of consumable glassware and chemicals to operate the laboratory.</t>
  </si>
  <si>
    <t>Less will be available. May not be able to service all demands.</t>
  </si>
  <si>
    <t>May not be able to service all demands so customer service is threatened and the KPIs of CCL may not be delivered.</t>
  </si>
  <si>
    <t>847.8470415.1.492316.000000.847001.300180</t>
  </si>
  <si>
    <t>Small microwave reactor. We are introducing a new course in medicinal chemistry and students need to be able to synthesise compounds. Because of short class times, an accelerated method is needed. These units are widely used for similar purposes in other universities and are also becomomg industrially accepted as good modern practice. Not funded in 2022. Quotation Chem6</t>
  </si>
  <si>
    <t>Negotiations needed with vendor. May be posssible to reduce cost.</t>
  </si>
  <si>
    <t>Unlikely to purchase - opportunity lost and research and teaching will be restricted, slowed and adversely affected.</t>
  </si>
  <si>
    <t>No purchase - opportunity lost and research and teaching will be restricted, slowed and adversely affected.</t>
  </si>
  <si>
    <t>Photocatalytic reactor set up. This is a major research effort of the department and will support research of several faculty, RAs and research students. It can also be used in teaching an undergraduate experiment and for senior projects.. This model is particularly suited to our needs. Quotation Chem7.</t>
  </si>
  <si>
    <t>Not funded in 2022. Multiport Physisorption/Micropore Analyzer. This is needed to support the work of 5-6 faculty as well as newly apointed faculty. Currently, samples have to be sent to other universities for analysis. Also, used in two undergraduate classes. Updated Quotation Chem8</t>
  </si>
  <si>
    <t>Originally scheduled for 2024 but needs to be brought forward due to the state of the current instrument. Chromatography-mass spectrometry system. This is to replace a currently 20+ year old machine which the service engineers say is past its useful lifetime. The quotation is old but advances in technology mean the prices will be similar. Used in undergrad teaching as well as environmental research and projects. Quotation Chem9.</t>
  </si>
  <si>
    <t>Semi-preparative HPLC. Used for prepation and purification of biological samples - in research and senior projects. Existing instruments are unsuitable due to the pump requirements. Quotation Chem10</t>
  </si>
  <si>
    <t>Triple block reactor system. Allows acceleration of synthesis by running in triplicate. For teaching and senior projects. Quotation Chem11</t>
  </si>
  <si>
    <t>Benchtop NMR spectrometer.  The main instrument is in BuHasa but researchers need a small instrument to rapidly check their samples in the research building. This is an economical alternative to a second instrument. Quotation Chem12</t>
  </si>
  <si>
    <t>Potentiostat system. Used to investigate electrochemical reactions. Needed for teaching, student projectrs and research - cannor easily be moved between buildiigs, hence the duplicate. Quotation Chem13</t>
  </si>
  <si>
    <t>Electrochemistry workstation (US$11220). Will enhance undergraduate teaching (1 unit) but also support research of new faculty (1 unit) joining Aug. 2022. Quotations Chem14</t>
  </si>
  <si>
    <t>Conducting polymer testing set-up. Will support projects and rsearch of several members of faculty, including new faculty joining Aug. 2022. Quotation Chem15.</t>
  </si>
  <si>
    <t>Microscope for traininig students on Forensic science track.  Cost €34700. Quotation Chem16.</t>
  </si>
  <si>
    <t>Fluorescence attachment to enhance capabilities of one microscope. Cost €36250. Quotation Chem17.</t>
  </si>
  <si>
    <t>Apparatus: As a result of the move to Arzanah, some equipm,ent needs to be duplicated as it can't be used in a different building. Combined Quotation Chem18.</t>
  </si>
  <si>
    <t>Photoelectric cell.  Will support research (several faculty) in univesity priority area of photcatalysis. Quotation Chem19.</t>
  </si>
  <si>
    <t>Gas chromatograph.  Needed to interface to a research kit. Existing units cannor be used for this purpose as it needs to be set up permanently attached to irradiation systems. Quotation Chem20.</t>
  </si>
  <si>
    <t>KUST - Physics</t>
  </si>
  <si>
    <t>847.8470425.1.425510.000000.847001.200179</t>
  </si>
  <si>
    <t>Faculty participation in local event</t>
  </si>
  <si>
    <t>bring an iternational workshop to our department</t>
  </si>
  <si>
    <t>847.8470425.1.425550.000000.847001.200179</t>
  </si>
  <si>
    <t>International conference presentation by faculty</t>
  </si>
  <si>
    <t>847.8470425.1.425770.000000.847001.200179</t>
  </si>
  <si>
    <t>Academic mission visit</t>
  </si>
  <si>
    <t>847.8470425.1.425900.000000.847001.200179</t>
  </si>
  <si>
    <t xml:space="preserve">1 visit a year for a high profiles talk+ 4 regional talks </t>
  </si>
  <si>
    <t>Department Retreat</t>
  </si>
  <si>
    <t>847.8470425.1.426610.000000.847001.200179</t>
  </si>
  <si>
    <t>Software for teaching MS/PhD optical physics and Advaced computational courses</t>
  </si>
  <si>
    <t>847.8470425.1.428090.000000.847001.200179</t>
  </si>
  <si>
    <t xml:space="preserve">Business travel </t>
  </si>
  <si>
    <t>847.8470425.1.435350.000000.847001.200179</t>
  </si>
  <si>
    <t>Research Publication</t>
  </si>
  <si>
    <t>847.8470425.1.435508.000000.847001.200179</t>
  </si>
  <si>
    <t>spectroscopy technique for phys 703</t>
  </si>
  <si>
    <t>metal grids type 1 for teaching students phy 705</t>
  </si>
  <si>
    <t>metal grids type 1 and type 2 for teaching students phy 705</t>
  </si>
  <si>
    <t>ACR MRI Phantom, CTDI CTwater Phantom, and Water Equivalent slab phantom , and Ultrasound test phantom     Medical Physics Program</t>
  </si>
  <si>
    <t>Roos Chamber, 2 Semiflex two chambers, and Oley Double sided apron   for Medical Physics Program</t>
  </si>
  <si>
    <t>Equipment for Teaching lab</t>
  </si>
  <si>
    <t>847.8470425.1.492310.000000.847001.300180</t>
  </si>
  <si>
    <t>Hardware and computer for teaching students Phys-701 Advanced Computational Physics Course</t>
  </si>
  <si>
    <t>847.8470425.1.492316.000000.847001.300180</t>
  </si>
  <si>
    <t>Pump-probe THz set up for MS/PhD optical physics courses</t>
  </si>
  <si>
    <t>portable ultrasound   for Medical Physics Program</t>
  </si>
  <si>
    <t>10-mJ class femtosecond pump laser and the THz setup with supply units (data acquisition and control devices, cryocoolers for THz sources and sample, vacuum pumps for teaching MS/PhD students optical physics courses</t>
  </si>
  <si>
    <t>Radioisotopes Cabinet  for Medical Physics Program</t>
  </si>
  <si>
    <t>KUST - Preparatory Program</t>
  </si>
  <si>
    <t>847.8470430.1.425761.000000.847001.200179</t>
  </si>
  <si>
    <t>Student Field Trips/historical calculations</t>
  </si>
  <si>
    <t>reduced quality of trip</t>
  </si>
  <si>
    <t>847.8470430.1.425770.000000.847001.200179</t>
  </si>
  <si>
    <t>Academic Mission/KU formula</t>
  </si>
  <si>
    <t>fewer staff presenting at conferences</t>
  </si>
  <si>
    <t>847.8470430.1.425900.000000.847001.200179</t>
  </si>
  <si>
    <t xml:space="preserve">estimate - 25 people - </t>
  </si>
  <si>
    <t>less food</t>
  </si>
  <si>
    <t>847.8470430.1.426610.000000.847001.200179</t>
  </si>
  <si>
    <t>existing licenses</t>
  </si>
  <si>
    <t>not able to support students adequately</t>
  </si>
  <si>
    <t>847.8470430.1.432209.000000.847001.200179</t>
  </si>
  <si>
    <t>expenses from 2022</t>
  </si>
  <si>
    <t>unable to maintain/install equipment</t>
  </si>
  <si>
    <t>847.8470430.1.435508.000000.847001.200179</t>
  </si>
  <si>
    <t>Materials consumables/historical calculations</t>
  </si>
  <si>
    <t>Less equipment support</t>
  </si>
  <si>
    <t>KUST - Department of English</t>
  </si>
  <si>
    <t>847.8470435.1.425900.000000.847001.200179</t>
  </si>
  <si>
    <t>847.8470435.1.427710.000000.847001.200179</t>
  </si>
  <si>
    <t>427710.Subscriptions and membership fees: Trade organisations</t>
  </si>
  <si>
    <t>436600-Training/Teaching Equipments and Other</t>
  </si>
  <si>
    <t>847.8470435.1.436600.000000.847001.200179</t>
  </si>
  <si>
    <t>436600.Training/Teaching Equipments and Other</t>
  </si>
  <si>
    <t>847.8470435.1.435508.000000.847001.200179</t>
  </si>
  <si>
    <t>KUST - Humanities &amp; Social Sciences</t>
  </si>
  <si>
    <t>847.8470440.1.420550.000000.847001.200179</t>
  </si>
  <si>
    <t>Meeting of MSc Advisory Boards 2 per year.  Calculated at Standard Rate</t>
  </si>
  <si>
    <t>Result in reduced meetings</t>
  </si>
  <si>
    <t>Negative Impact on program</t>
  </si>
  <si>
    <t>847.8470440.1.420570.000000.847001.200179</t>
  </si>
  <si>
    <t>Encourage faculty participation in major research organizations</t>
  </si>
  <si>
    <t>Reduced student opportunities</t>
  </si>
  <si>
    <t>847.8470440.1.421700.000000.847001.200179</t>
  </si>
  <si>
    <t>CAA Accreditation Visit for MSc I&amp;E; MSc Computational Finance; 3 additional CoAS degree programs.  Calculated at Standard Rate.</t>
  </si>
  <si>
    <t>Reduced CAA Accreditation visits</t>
  </si>
  <si>
    <t>Unaccredited programs</t>
  </si>
  <si>
    <t>847.8470440.1.425100.000000.847001.200179</t>
  </si>
  <si>
    <t>Advertising to UAE and International community the business programs available at the university.</t>
  </si>
  <si>
    <t>Less advertising</t>
  </si>
  <si>
    <t>Reduced enrollment</t>
  </si>
  <si>
    <t>847.8470440.1.425510.000000.847001.200179</t>
  </si>
  <si>
    <t>Represent university at various local conferences such as NAJAH; FINTECH; Host several local conferences to publicize university achievements and opportunities.  Calculated at standard rate.</t>
  </si>
  <si>
    <t>losing impotant knowledge</t>
  </si>
  <si>
    <t>Failed networking opportunities, community interaction, positive exposure from branding opportunities</t>
  </si>
  <si>
    <t>847.8470440.1.425550.000000.847001.200179</t>
  </si>
  <si>
    <t>425550.Conferences, seminars and exhibitions and other events: - Overseas event-Seminars-Number of Seminars</t>
  </si>
  <si>
    <t>Represent university at various internationall conferences such as PRME; AACSB; Host several international conferences to publicize university achievements and opportunities.  Calculated at standard rate.</t>
  </si>
  <si>
    <t>Failed networking opportunities and internatinal  interaction and recognition from branding opportunities</t>
  </si>
  <si>
    <t>847.8470440.1.425761.000000.847001.200179</t>
  </si>
  <si>
    <t>Trip to Bloomberg Facility in Dubai. Expand use of local sites as part of diversification of electives and innovations in teaching.  Calculated at standard rate.</t>
  </si>
  <si>
    <t>Strategic New Initiative</t>
  </si>
  <si>
    <t>847.8470440.1.425770.000000.847001.200179</t>
  </si>
  <si>
    <t>Encourage faculty participation in major research organizations.</t>
  </si>
  <si>
    <t>Losing major knowledge</t>
  </si>
  <si>
    <t>Reduced opportunities for university</t>
  </si>
  <si>
    <t>847.8470440.1.425900.000000.847001.200179</t>
  </si>
  <si>
    <t>Staff and faculty recognition</t>
  </si>
  <si>
    <t>Less interaction and display of appreciation.</t>
  </si>
  <si>
    <t>847.8470440.1.426610.000000.847001.200179</t>
  </si>
  <si>
    <t>IBM SPSS Statistical /Modeler Software License</t>
  </si>
  <si>
    <t>Less ability to perform statistical analysis and modeling</t>
  </si>
  <si>
    <t>Less publications due to longer timeframe to provide needed statistical analysis and modeling.</t>
  </si>
  <si>
    <t>847.8470440.1.427710.000000.847001.200179</t>
  </si>
  <si>
    <t>Membership subscriptions in professional organizations such as Academy of Management; AACSB; PRME; and others</t>
  </si>
  <si>
    <t>847.8470440.1.428090.000000.847001.200179</t>
  </si>
  <si>
    <t>Travel to international institutions to conduct university busienss such as recruitment, collaborations, professional exchange programs.  Calculated at standard rate</t>
  </si>
  <si>
    <t>Less networking and opportunities for faculty and staff.</t>
  </si>
  <si>
    <t>Diminished opportunties for exchange of ideas and recruiting top performers</t>
  </si>
  <si>
    <t>847.8470440.1.428640.000000.847001.200179</t>
  </si>
  <si>
    <t>Support student and faculty excellence.  Provide team building and improve productivity and trust.</t>
  </si>
  <si>
    <t>Diminished Moral</t>
  </si>
  <si>
    <t>Less interaction and team building among staff.</t>
  </si>
  <si>
    <t>847.8470440.1.435340.000000.847001.200179</t>
  </si>
  <si>
    <t>Support faculty and staff</t>
  </si>
  <si>
    <t>Less Resources</t>
  </si>
  <si>
    <t>847.8470440.1.435350.000000.847001.200179</t>
  </si>
  <si>
    <t>Academic Publications such as The Economist; Journal OF Finance; Journal of Leadership</t>
  </si>
  <si>
    <t>847.8470440.1.436600.000000.847001.200179</t>
  </si>
  <si>
    <t>Provide training and development to faculty to improve skills.  With such courses as Evelyn Wood Reading Dynamics; Microsoft Office Skills; Computer User Skills.</t>
  </si>
  <si>
    <t>KUST - Mathematics</t>
  </si>
  <si>
    <t>847.8470445.1.425100.000000.847001.200179</t>
  </si>
  <si>
    <t>Advertising Services/Multiplication</t>
  </si>
  <si>
    <t>10% less impact</t>
  </si>
  <si>
    <t xml:space="preserve">20% less impact </t>
  </si>
  <si>
    <t>30% less impact</t>
  </si>
  <si>
    <t>847.8470445.1.425720.000000.847001.200179</t>
  </si>
  <si>
    <t>Education outsource/Multiplication</t>
  </si>
  <si>
    <t>Not possible, will take this out from other items</t>
  </si>
  <si>
    <t>847.8470445.1.425760.000000.847001.200179</t>
  </si>
  <si>
    <t>Student Activity/Multiplication</t>
  </si>
  <si>
    <t>impact dept. Running Operation</t>
  </si>
  <si>
    <t>847.8470445.1.425763.000000.847001.200179</t>
  </si>
  <si>
    <t>Student Projects/Multiplication</t>
  </si>
  <si>
    <t>847.8470445.1.425770.000000.847001.200179</t>
  </si>
  <si>
    <t>Multiplication of number of academic missions by the estimated average</t>
  </si>
  <si>
    <t>10% Less academic missions</t>
  </si>
  <si>
    <t>20% less  academic missions</t>
  </si>
  <si>
    <t>30% less academic missions</t>
  </si>
  <si>
    <t>847.8470445.1.426610.000000.847001.200179</t>
  </si>
  <si>
    <t>Department License of Mathematica</t>
  </si>
  <si>
    <t>Reduction of licenses</t>
  </si>
  <si>
    <t>847.8470445.1.435350.000000.847001.200179</t>
  </si>
  <si>
    <t>expected number of Q1 departmental publications times unit rate of 15000 AED</t>
  </si>
  <si>
    <t>Reduction of open access</t>
  </si>
  <si>
    <t>847.8470445.1.427710.000000.847001.200179</t>
  </si>
  <si>
    <t>Membership/SubscriptionsFixed part plus a rate for each deparrment faculty 1282 + 42*51 = 3424 USD (for 2023)</t>
  </si>
  <si>
    <t>less subscriptions</t>
  </si>
  <si>
    <t>847.8470445.1.425900.000000.847001.200179</t>
  </si>
  <si>
    <t>Monthly seminar and guest</t>
  </si>
  <si>
    <t>less attendance or events</t>
  </si>
  <si>
    <t>847.8470445.1.420550.000000.847001.200179</t>
  </si>
  <si>
    <t xml:space="preserve"> return trips and local expenses for each of the advisory board members (40000AED each)</t>
  </si>
  <si>
    <t>reduction of visit time</t>
  </si>
  <si>
    <t>847.8470445.1.425510.000000.847001.200179</t>
  </si>
  <si>
    <t>150000 AED are estimated per event, covering organization costs per unit participant of about 15000AED</t>
  </si>
  <si>
    <t>reduction of participants</t>
  </si>
  <si>
    <t>KUST- Sas Al Nakhl Campus</t>
  </si>
  <si>
    <t>847.8470445.1.492354.000000.847001.300180</t>
  </si>
  <si>
    <t>Hardware &amp; peripherals-Peripherals &amp; Infrastructure Components</t>
  </si>
  <si>
    <t>PhD 1, or 2 students will not have workstations</t>
  </si>
  <si>
    <t>PhD 2, or 3 students will not have workstations</t>
  </si>
  <si>
    <t>PhD 3 or 4 students will not have workstations</t>
  </si>
  <si>
    <t>1 faculty will not be able to have a workstation, or Lower specs that affects the research productivity and teaching homogeneity between workstation</t>
  </si>
  <si>
    <t>KUST - Earth Science</t>
  </si>
  <si>
    <t>847.8470450.1.425761.000000.847001.200179</t>
  </si>
  <si>
    <t>Variable according to the nature of the field trip. Local overnigth (2500 AED per student); international (25000 per student); daily (1000 AED for transportation). Calculated taking into account the number of UG, MS, and PhD students.</t>
  </si>
  <si>
    <t>Local and international field trips can be affected with impact on eduactional objectives of courses and requirements for accreditation.</t>
  </si>
  <si>
    <t>847.8470450.1.425770.000000.847001.200179</t>
  </si>
  <si>
    <t>Based on projected number of faculty in 2023; one conference per faculty at 15000 AED</t>
  </si>
  <si>
    <t>Impact on faculty scholarship and KU visibility and reputation</t>
  </si>
  <si>
    <t>847.8470450.1.426610.000000.847001.200179</t>
  </si>
  <si>
    <t>Total cost of licences renewal for various software</t>
  </si>
  <si>
    <t>Impact on student teaching</t>
  </si>
  <si>
    <t>847.8470450.1.428090.000000.847001.200179</t>
  </si>
  <si>
    <t>847.8470450.1.432209.000000.847001.200179</t>
  </si>
  <si>
    <t>847.8470450.1.435350.000000.847001.200179</t>
  </si>
  <si>
    <t>Cost of publication in Q1 journals (c. 10000 per faculty)</t>
  </si>
  <si>
    <t>847.8470450.1.435508.000000.847001.200179</t>
  </si>
  <si>
    <t xml:space="preserve">Maintenance and Consumables for department equipment and teaching labs needed for UG and PG courses, and undergraduate research </t>
  </si>
  <si>
    <t>Impact on laboratory functioning</t>
  </si>
  <si>
    <t>847.8470450.1.492310.000000.847001.300180</t>
  </si>
  <si>
    <t>New Computers for Earth Sciences lab</t>
  </si>
  <si>
    <t>847.8470450.1.492316.000000.847001.300180</t>
  </si>
  <si>
    <t xml:space="preserve">Fumehood to replace old fumehood in 3236 (back corner) - over ten years old, is not actually suitable for any of the chemical work it is used for - acid prep for courses, sample staining etc </t>
  </si>
  <si>
    <t>Impact on laboratory functioning and teachng activity</t>
  </si>
  <si>
    <t xml:space="preserve">Isoprime IRMS + acessories and maintenance </t>
  </si>
  <si>
    <t>Impact on faculty research</t>
  </si>
  <si>
    <t>Elemental Analyser</t>
  </si>
  <si>
    <t>Thin section equipments</t>
  </si>
  <si>
    <t>Impact on faculty research and students teaching</t>
  </si>
  <si>
    <t>Terrain Scanner - Leica</t>
  </si>
  <si>
    <t>Centrifuge</t>
  </si>
  <si>
    <t xml:space="preserve">Replacement for loss of any minor equipments i.e. balance, microbalance, gold coater, heating plates, pH meter, temperture probe etc </t>
  </si>
  <si>
    <t>Impact on faculty research, departmental operation, and students teaching</t>
  </si>
  <si>
    <t>Deionized water system (Millipore)</t>
  </si>
  <si>
    <t>KUST – Biology</t>
  </si>
  <si>
    <t>847.8470455.1.425760.000000.847001.200179</t>
  </si>
  <si>
    <t>Student activities &amp; field trip expenses/cost per student</t>
  </si>
  <si>
    <t>Slightly fewer student activities</t>
  </si>
  <si>
    <t>Moderately fewer student activities</t>
  </si>
  <si>
    <t>Significantly fewer student activities</t>
  </si>
  <si>
    <t>847.8470455.1.425770.000000.847001.200179</t>
  </si>
  <si>
    <t>Conference Participation/Cost per faculty</t>
  </si>
  <si>
    <t>Slightly fewer conference attendance by faculty members</t>
  </si>
  <si>
    <t>Moderately fewer conference attendance by faculty members</t>
  </si>
  <si>
    <t>Significantly fewer conference attendance by faculty members</t>
  </si>
  <si>
    <t>847.8470455.1.425900.000000.847001.200179</t>
  </si>
  <si>
    <t>Departmental &amp; Advisory Board meetings</t>
  </si>
  <si>
    <t>The quality of the board meetings will be slightly affected</t>
  </si>
  <si>
    <t>The quality of the board meetings will be signficantly affected</t>
  </si>
  <si>
    <t>It will be very difficult to hold the board meeting</t>
  </si>
  <si>
    <t>847.8470455.1.426610.000000.847001.200179</t>
  </si>
  <si>
    <t>ChemDraw &amp; Prism GraphPad</t>
  </si>
  <si>
    <t>Minor difficulty in drawing graphs for publications</t>
  </si>
  <si>
    <t>Significant difficulty in drawing graphs for publications</t>
  </si>
  <si>
    <t>Major difficulty in drawing graphs for publications</t>
  </si>
  <si>
    <t>847.8470455.1.428090.000000.847001.200179</t>
  </si>
  <si>
    <t>Advisory Board meetings</t>
  </si>
  <si>
    <t>847.8470455.1.428640.000000.847001.200179</t>
  </si>
  <si>
    <t>Student Competitions</t>
  </si>
  <si>
    <t>847.8470455.1.432209.000000.847001.200179</t>
  </si>
  <si>
    <t>Operational, maintenance &amp; spare parts for LCMSMS &amp; Oxford Nanopore sequencers</t>
  </si>
  <si>
    <t>Minor difficulties in maintaining LCMSMS instrument</t>
  </si>
  <si>
    <t>Significant difficulties in maintaining LCMSMS instrument</t>
  </si>
  <si>
    <t>Not possible to maintain the running of the LCMSMS instrument</t>
  </si>
  <si>
    <t>847.8470455.1.435350.000000.847001.200179</t>
  </si>
  <si>
    <t>Open Access Publication/Cost per publication</t>
  </si>
  <si>
    <t>10% reduction in Q1 open access publications</t>
  </si>
  <si>
    <t>20% reduction in Q1 open access publications</t>
  </si>
  <si>
    <t>Very significant (30%) reduction in Q1 open access publications</t>
  </si>
  <si>
    <t>847.8470455.1.435508.000000.847001.200179</t>
  </si>
  <si>
    <t>Chemicals and consumables for teaching lab</t>
  </si>
  <si>
    <t>Some loss in teaching lab skills to students</t>
  </si>
  <si>
    <t>Significant loss in teaching lab skills to students</t>
  </si>
  <si>
    <t>Impossible to deliver appropriate teaching to students</t>
  </si>
  <si>
    <t>847.8470455.1.436110.000000.847001.200179</t>
  </si>
  <si>
    <t>Printers and printer cartridges</t>
  </si>
  <si>
    <t>Minor inconvenience for printing</t>
  </si>
  <si>
    <t>Moderate inconvenience in printing</t>
  </si>
  <si>
    <t>Very significant difficulty for printing</t>
  </si>
  <si>
    <t>847.8470455.1.492316.000000.847001.300180</t>
  </si>
  <si>
    <t>Capital instruments for teaching and research</t>
  </si>
  <si>
    <t>Significant loss in teaching lab skills to students and research output</t>
  </si>
  <si>
    <t>Impossible to deliver appropriate teaching to students and major reduction in resarch output</t>
  </si>
  <si>
    <t>standard cost according to policy</t>
  </si>
  <si>
    <t>425550.Conferences, seminars and exhibitions and other events: - Overseas event-Events-Number of Events</t>
  </si>
  <si>
    <t>Academic Mission/Continue to build collaborations through networking with world class entities</t>
  </si>
  <si>
    <t>Membership/Subscriptions Keep faculty and staff informed of new information and methods</t>
  </si>
  <si>
    <t>Materials/Consumables develop high quality labs for top teaching</t>
  </si>
  <si>
    <t>Academic Publications Keep faculty and staff informed of new information and methods</t>
  </si>
  <si>
    <t>425510.Conferences, seminars and exhibitions and other events:-Number of events &amp; attendees-Number of Number of events &amp; attendees</t>
  </si>
  <si>
    <t>We expect to run two further 1 day events. One will be around materials centres, one around environmetal/sustainability matters.</t>
  </si>
  <si>
    <t>Continuing to publicise the MSc and PhD courses in relevant markets</t>
  </si>
  <si>
    <t>428090.Travel expenses - business-related-Number of eligible employees: (tickets, hotels, per diem, visa fees)-count</t>
  </si>
  <si>
    <t>10 visits to schools (or hosting visits) and related venues for outreach activity.</t>
  </si>
  <si>
    <t>Printing of posters for conferences, laboratories, schools' outreach</t>
  </si>
  <si>
    <t>Strengthen relation of BSc tracks with industrial / professional organisations. 2 trips for each of our BSc final tracks (4)</t>
  </si>
  <si>
    <t>To support exploratory research in the department. Other students funded by grants.</t>
  </si>
  <si>
    <t>To support exploratory research for 2 MSc students in the department working for 10. Other students funded by grants.</t>
  </si>
  <si>
    <t>Increased number - 24 - of senior BSc students each working for 5 months</t>
  </si>
  <si>
    <t>28 faculty at 15000 per conference (Note projected increase in faculty).</t>
  </si>
  <si>
    <t>Subscription to Cambridge Crystallographic Data Centre. Important resource of researchers and also used in Sophomore and Senior teaching. Based on 2022 cost GBP6305.80.  Quotation Chem1</t>
  </si>
  <si>
    <t>Chemdraw programme used for all chemistry students (UG &amp; PG)  and faculty. Rising numbers in Chemistry mean an upgrade to Medium licence - up to 300 users. Based on 2022 cost US$8500.  Quotation Chem2.</t>
  </si>
  <si>
    <t>2023 value adjusted for 10% p.a. inflation.</t>
  </si>
  <si>
    <t>We expect 4 new faculty members joining chemistry and some modest support will be needed to enable them to get research off the ground.</t>
  </si>
  <si>
    <t>UV/visible spectrophotometers. Replacement of old and damaged units. Quotation Chem21</t>
  </si>
  <si>
    <t>Photo-Electrochemical Workstation. Will support research in the department, enhance opportunties for BSc, MSc and PhD research students. Quotation ChemB</t>
  </si>
  <si>
    <t>Spectrofluorimeter system. This is a major strategic investment associated with the Materials research centre and meets KU priorities. It will significantly extend capabilities for many faculty (and other departments) in important areas.  Quotation Chem23</t>
  </si>
  <si>
    <t>Combined DSC/TGA with sample changer. The existing instrument is at it's capacity and nearing the end of useful life so an upgrade is needed. This model will allow many more samples to be run and also introduce new capabilities. Quotation Chem24</t>
  </si>
  <si>
    <t>TPD   instrument used in detailed catalysis work - an interest of 3 - 5 faculty in chemistry.  Quotation Chem25</t>
  </si>
  <si>
    <t>Scanning electrochemical microscope.  This is an important additon to the Materials Research centre in order to meet its objectives. Quotation Chem26</t>
  </si>
  <si>
    <t>Glovebox.  Needed for preparation of air sensitive materials.  Quotation Chem27</t>
  </si>
  <si>
    <t xml:space="preserve">faculty participation in local conference </t>
  </si>
  <si>
    <t>academic mission visit</t>
  </si>
  <si>
    <t xml:space="preserve"> Softwares license for teaching the MS and PhD studens for Advanced Computational Physics Course </t>
  </si>
  <si>
    <t>Business Travel to attract pg students</t>
  </si>
  <si>
    <t>Table top XRD for teaching students materials structural anlaysis in Phys707</t>
  </si>
  <si>
    <t>Computer for Teaching pg courses</t>
  </si>
  <si>
    <t xml:space="preserve">Optical Parametric amplifier for teaching MS/PhD nanophysics physics courses  </t>
  </si>
  <si>
    <t>Freeze drying, Vibratome for sectioning specimens, and DC-IV source meter unit for PHYS 705 Nanophysics and Nanotechnology, (PHYS 703) Biophysics Courses</t>
  </si>
  <si>
    <t>Table top ColorSEM for teaching students imaging techniques in Phys707</t>
  </si>
  <si>
    <t>Student Field Trips/estimate</t>
  </si>
  <si>
    <t>Materials&amp; Consumables/no appropriate category</t>
  </si>
  <si>
    <t>historical calculations</t>
  </si>
  <si>
    <t>Academic Advisory Service-Number of Services-Number</t>
  </si>
  <si>
    <t>Academic Collaborative Partnership Services-Partnership Agreement or Academic Collaboration -No of Partneship/collaboration Agreement</t>
  </si>
  <si>
    <t>Standards Certification Services (e.g. ISO)-professional services scope/deliverables-Number</t>
  </si>
  <si>
    <t>425100.Advertising Services (General)-TV advertising cost-Second</t>
  </si>
  <si>
    <t>Advertising Services (General)-TV advertising cost-Second</t>
  </si>
  <si>
    <t>Conferences, seminars and exhibitions and other events: - Local Events-Number of attendees-count</t>
  </si>
  <si>
    <t>Conferences, seminars and exhibitions and other events: - Overseas event-Conferences-Number of Conferences</t>
  </si>
  <si>
    <t>Student Field trips-Number Student Phd-Number</t>
  </si>
  <si>
    <t>Academic Missions - Combined expenses-Number of Conference-Number</t>
  </si>
  <si>
    <t>Computer software licenses-Software License Renewal-number of licenses-Number</t>
  </si>
  <si>
    <t>Subscriptions and membership fees: Trade organisations-Number  of Memberships-Number</t>
  </si>
  <si>
    <t>Business Travel - Combined expenses-Number of Faculty-Number</t>
  </si>
  <si>
    <t>Events - Awards, prizes &amp; gifts-Number of awards-count</t>
  </si>
  <si>
    <t>Text books and library books-Faculty-Number oF Faculty</t>
  </si>
  <si>
    <t>Academic Publications-Number of Publications-Number</t>
  </si>
  <si>
    <t>Training/Teaching equipment and other educational aid-Number of Faculty-Number</t>
  </si>
  <si>
    <t>Fixed part plus a rate for each deparrment faculty 1282 + 45*51 = 3577 USD (for 2024)</t>
  </si>
  <si>
    <t xml:space="preserve">10 more Workstations are estimated for 60kAED each </t>
  </si>
  <si>
    <t>Fume hoods</t>
  </si>
  <si>
    <t>Handed XRF</t>
  </si>
  <si>
    <t>492310-Hardware &amp; peripherals-Servers, End user PCs, Laptop</t>
  </si>
  <si>
    <t>New Computers for (3229) Earth Sciences lab</t>
  </si>
  <si>
    <t>Projector replacement required for classrooms (3232, 3238)</t>
  </si>
  <si>
    <t>Damaged touch control panel (Visualization Sys) (Lab 3229)</t>
  </si>
  <si>
    <t>847.8470450.1.421700.000000.847001.200179</t>
  </si>
  <si>
    <t>Accreditation visits</t>
  </si>
  <si>
    <t>Membership Subscription Keep faculty and staff informed of new information and methods</t>
  </si>
  <si>
    <t>Materials Consumables develop high quality labs for top teaching</t>
  </si>
  <si>
    <t>425760.Student activities &amp; field trip expenses-Certification-No of Certifications</t>
  </si>
  <si>
    <t>No of Certifications</t>
  </si>
  <si>
    <t>To support exploratory research for 2 MSc students in the department working for 10 months. Other students funded by grants.</t>
  </si>
  <si>
    <t>30 faculty at 15000 per conference (Note projected increase in faculty).</t>
  </si>
  <si>
    <t>Expenses for laboratory classes. 2024 value adjusted for 10% p.a. inflation.</t>
  </si>
  <si>
    <t>FTIR spectrometers will need to be re4placed in the teaching laboratories. Estimated cost - can be confirmed at the approriate time.</t>
  </si>
  <si>
    <t>Faculty partcipation in local conference</t>
  </si>
  <si>
    <t>bring an iternational conference to our department</t>
  </si>
  <si>
    <t>Faculty partcipation in international conference</t>
  </si>
  <si>
    <t>Academic Mission to attract student</t>
  </si>
  <si>
    <t xml:space="preserve">Teaching Software License Renewal </t>
  </si>
  <si>
    <t>Business Travel</t>
  </si>
  <si>
    <t>Research Publication in OA Journals by Physics Faculty</t>
  </si>
  <si>
    <t>Scientiffic Equiments for Teaching labs</t>
  </si>
  <si>
    <t xml:space="preserve">Workstation and Computers for Teaching computational and astronomy courses </t>
  </si>
  <si>
    <t>Equipments for Nanophysics observations of nanomaterials, clusters, etc. for teaching students Phys705, 707 course</t>
  </si>
  <si>
    <t>Laboratory Equipment/no appropriate category</t>
  </si>
  <si>
    <t>Materials&amp;Consumables/historical calculations</t>
  </si>
  <si>
    <t>Advertisement/Multiplication</t>
  </si>
  <si>
    <t>Student Activity-Multiplication</t>
  </si>
  <si>
    <t>Academic Mission/Multiplication</t>
  </si>
  <si>
    <t>license per department</t>
  </si>
  <si>
    <t>expected number of Q1 departmental publications times unit rate of 16000 AED</t>
  </si>
  <si>
    <t>Fixed part plus a rate for each deparrment faculty 1282 + 48*51 = 3730 USD (for 2025)</t>
  </si>
  <si>
    <t>847.8470445.1.435508.000000.847001.200179</t>
  </si>
  <si>
    <t>expected 10 more PhD students</t>
  </si>
  <si>
    <t>1 conference per faculty at 15000 AED</t>
  </si>
  <si>
    <t>Total cost for licences renewal for various software</t>
  </si>
  <si>
    <t>Executive Vice President Office</t>
  </si>
  <si>
    <t>KUST - Institutional Research &amp; Planning</t>
  </si>
  <si>
    <t>847.8470130.1.421000.000000.847001.200179</t>
  </si>
  <si>
    <t>3 Consultant @AED2000 for 3 months engagement</t>
  </si>
  <si>
    <t>The impact will be minor on the publications rates and citations</t>
  </si>
  <si>
    <t>The impact will be major on the publications rates and citations</t>
  </si>
  <si>
    <t>847.8470130.1.426610.000000.847001.200179</t>
  </si>
  <si>
    <t>Academic Quality Assurance Software Product @$150k</t>
  </si>
  <si>
    <t>The impact will be minor</t>
  </si>
  <si>
    <t>It will moderately affect the university networking with the ranking bodies, KU reputation and ranking.</t>
  </si>
  <si>
    <t>It will have major effect on the university networking with the ranking bodies, KU reputation and ranking.</t>
  </si>
  <si>
    <t>847.8470130.1.428090.000000.847001.200179</t>
  </si>
  <si>
    <t xml:space="preserve"> Attending 8 summits/conferences for the staff @AED1500 for 8 days + tickets@AED15,000 </t>
  </si>
  <si>
    <t>The impact will be minor on the Program quality Assurance and the program accreditation</t>
  </si>
  <si>
    <t>The impact will be moderate on the Program quality Assurance and the  program accreditation</t>
  </si>
  <si>
    <t>The impact will be major on the Program quality Assurance and the program accreditation</t>
  </si>
  <si>
    <t>KUST - Communication</t>
  </si>
  <si>
    <t>847.8470140.1.425100.000000.847001.200179</t>
  </si>
  <si>
    <t>The total spends of this account is U6:U14ona monthly basisi operations which is varies from  (general DM campaign, news content preperation, magazine content development, proffesional photography a dn videography for the uni, daily web content updates including video, photos, infographic).</t>
  </si>
  <si>
    <t>Minimal impact</t>
  </si>
  <si>
    <t>Moderate - high  impact</t>
  </si>
  <si>
    <t>high impact and will affect local/global visibility</t>
  </si>
  <si>
    <t>425100.Advertising Services (General)-Website Maintenance -count</t>
  </si>
  <si>
    <t>This includes updating content in the website, creating pages, creating websits and new system.</t>
  </si>
  <si>
    <t>425100.Advertising Services (General)-Animation Videos -count</t>
  </si>
  <si>
    <t xml:space="preserve">This includes Storyboard, Style frame, Music, Editing </t>
  </si>
  <si>
    <t>425100.Advertising Services (General)-Search Engine Optimization (SEO)-count</t>
  </si>
  <si>
    <t>This is to improve the search of rhe university ranking on the google search engen</t>
  </si>
  <si>
    <t xml:space="preserve">425100.Advertising Services (General)-Video production-second </t>
  </si>
  <si>
    <t xml:space="preserve">second </t>
  </si>
  <si>
    <t xml:space="preserve">Creative concept, pre production, 3-4 days shoot, filming crew &amp; equipment, </t>
  </si>
  <si>
    <t>425100.Advertising Services (General)-Corporate Photoshoot-count</t>
  </si>
  <si>
    <t>This includes Photoshooting secions for Facultty &amp; Staff</t>
  </si>
  <si>
    <t>This includes branding for the university rank</t>
  </si>
  <si>
    <t xml:space="preserve">We have contracts with QS and THE World University Ranking and any cut in the budget will affect our publicity </t>
  </si>
  <si>
    <t>High  impact</t>
  </si>
  <si>
    <t>This includes monthly basisi operations which is varies from (TV commersials, radio, Social Media)</t>
  </si>
  <si>
    <t>847.8470140.1.425510.000000.847001.200179</t>
  </si>
  <si>
    <t>This includes the major conferences partisipation such as (WFES, AQDAR,)</t>
  </si>
  <si>
    <t>This includes the major exhibitions partisipation such as (ADIPEC, IDEX, NAJAH, AD Book Fair)</t>
  </si>
  <si>
    <t>This includes the major Events hosted such as (Graduation,  National Day,KU Century Challenge  )</t>
  </si>
  <si>
    <t>847.8470140.1.425550.000000.847001.200179</t>
  </si>
  <si>
    <t>This includes the major Global conferences partisipation such as (ICRA, IROS, IMSH, AMEE,Ottawa Conferences,AAMC Annual conferences,LCI)</t>
  </si>
  <si>
    <t>KUST - CSR Activities</t>
  </si>
  <si>
    <t>847.8470140.1.425763.000000.847050.200179</t>
  </si>
  <si>
    <t xml:space="preserve">Use for CSR projects </t>
  </si>
  <si>
    <t>427100-Public relations</t>
  </si>
  <si>
    <t>847.8470140.1.427100.000000.847001.200179</t>
  </si>
  <si>
    <t>427100.Public relations-Media Monitoring -count</t>
  </si>
  <si>
    <t>We have a media monitoring subscription, and media management for local and international press distribution and management.</t>
  </si>
  <si>
    <t>427100.Public relations-Media services -count</t>
  </si>
  <si>
    <t>This includes engagemement with exernal local and international media outlets</t>
  </si>
  <si>
    <t>We have contarts with Carma and any cut in the budget will affect our agreement</t>
  </si>
  <si>
    <t>847.8470140.1.427200.000000.847001.200179</t>
  </si>
  <si>
    <t>This includes our printing of all marketing collatorals for conferences, exhibitions, gift items, invitations, marketing documents, KU's general publication, stationar, and items for inperson events</t>
  </si>
  <si>
    <t>We have contarts with Edelman comapny and any cut in the budget will affect our agreement</t>
  </si>
  <si>
    <t>Moderate  impact</t>
  </si>
  <si>
    <t>427200.Printing and publishing-Design cost of the entity's forms-count</t>
  </si>
  <si>
    <t xml:space="preserve">Company profile, Window branding stickers, Designing brochures,Magazain </t>
  </si>
  <si>
    <t>427200.Printing and publishing-Design cost of educational publications-count</t>
  </si>
  <si>
    <t>Rollups, Brochures, certificates,</t>
  </si>
  <si>
    <t xml:space="preserve">Posters, Flyers,  leaf let &amp; Agenda, Envelpoes, Cards (Z-card, graduation card, Business cards.) </t>
  </si>
  <si>
    <t>427200.Printing and publishing-Cost of printing the entity's paper forms-count</t>
  </si>
  <si>
    <t>KU Times Magazain, Shopping bags, Notebook (A6, A5,A4), pens</t>
  </si>
  <si>
    <t>847.8470140.1.428640.000000.847001.200179</t>
  </si>
  <si>
    <t>This includes gifts for out VIP and non VIP events and visits</t>
  </si>
  <si>
    <t xml:space="preserve"> Includes the KU's commersial merchandise to be distributed during events and conferences</t>
  </si>
  <si>
    <t>Includes prizes use in Challenges &amp; Competions (medals, tophies, backpack,)</t>
  </si>
  <si>
    <t xml:space="preserve">Gifts for Ramdan,National day, Eids (Coffee Mugs, Adapter, USB) </t>
  </si>
  <si>
    <t>847.8470140.1.435310.000000.847001.200179</t>
  </si>
  <si>
    <t>Our yearly news subscription (magazines, newspapers) locally and globally</t>
  </si>
  <si>
    <t>435519-Photography - Consumable materials /Tools</t>
  </si>
  <si>
    <t>847.8470140.1.435519.000000.847001.200179</t>
  </si>
  <si>
    <t>435519.Photography - Consumable materials /Tools-Number of Staff-Number</t>
  </si>
  <si>
    <t xml:space="preserve">Items for the omedia office use such us softwares and hardwears like cameras, lenses, lights, tripods, microphones. </t>
  </si>
  <si>
    <t>847.8470140.1.492310.000000.847001.300180</t>
  </si>
  <si>
    <t xml:space="preserve">To purchace MAC supported harwears and application to help the department in development of the ongoing inhouse projects </t>
  </si>
  <si>
    <t>KUST - Executive Vice President Office</t>
  </si>
  <si>
    <t>Caterings requests/Meetings/Retreet/Workshop</t>
  </si>
  <si>
    <t xml:space="preserve">Impact run operation of the department </t>
  </si>
  <si>
    <t>847.8470910.1.428090.000000.847001.200179</t>
  </si>
  <si>
    <t>For costs connected to Senior Management business trips within and outside UAE, including travel costs, per diem and registrations</t>
  </si>
  <si>
    <t>429900-Other services, not specifically mentioned elsewhere</t>
  </si>
  <si>
    <t>847.8470910.1.429900.000000.847001.200179</t>
  </si>
  <si>
    <t>429900.Other services, not specifically mentioned elsewhere-TBD-Number of TBD</t>
  </si>
  <si>
    <t>Special Projects( Projects that gets assigned by the chairman and the board) Like Khalifa COVID FACE MASK and Satellites.</t>
  </si>
  <si>
    <t>847.8470910.1.420570.000000.847001.200179</t>
  </si>
  <si>
    <t>For payments made to collaborating institutions, as part of partnership agreements. This would include a potential affilation partnership for the greaduate school of busineess</t>
  </si>
  <si>
    <t>421000.Management consultancy-Number of contracted studies-count</t>
  </si>
  <si>
    <t>Attending 8 summits/conferences for the staff @AED1500 for 8 days + tickets@AED15,000</t>
  </si>
  <si>
    <t>847.8470910.1.425900.000000.847001.200179</t>
  </si>
  <si>
    <t>847.8470140.1.425763.000000.847001.200179</t>
  </si>
  <si>
    <t>KUST - VP/ Administration, Facilities &amp; EHS Office</t>
  </si>
  <si>
    <t>Conferences, seminars and exhibitions and other events: - Local Events</t>
  </si>
  <si>
    <t xml:space="preserve">No impact </t>
  </si>
  <si>
    <t>New Dept.</t>
  </si>
  <si>
    <t>Entertainment and hospitality</t>
  </si>
  <si>
    <t>Business Travel - Combined expenses</t>
  </si>
  <si>
    <t>KUST - Environment, Health &amp; Safety</t>
  </si>
  <si>
    <t>HSE Day and other small events</t>
  </si>
  <si>
    <t>Ineffective comminication and Information and awareness</t>
  </si>
  <si>
    <t>Purchase Requirement</t>
  </si>
  <si>
    <t>Purchasing Process</t>
  </si>
  <si>
    <t>Subscriptions and membership</t>
  </si>
  <si>
    <t>OSHAD Requirement</t>
  </si>
  <si>
    <t>Non-Conformance ISO Surveillance</t>
  </si>
  <si>
    <t>428200-Health,safety&amp;environment awareness</t>
  </si>
  <si>
    <t>428200.Health,safety&amp;environment awareness-Number of Buildings-Number</t>
  </si>
  <si>
    <t>Surveillance Audit of ISO Standards &amp; OSHAD Audit</t>
  </si>
  <si>
    <t>Withdrawal of ISO Certification and OSHAD Accreditation</t>
  </si>
  <si>
    <t>IAQ</t>
  </si>
  <si>
    <t>Blanket Contract for Clinic Supplies</t>
  </si>
  <si>
    <t>Limited operation of First Aid Clinic</t>
  </si>
  <si>
    <t>Blanket Contract for Environment Monitoring</t>
  </si>
  <si>
    <t>Non-Conformance, OSHAD Regulation, Recertification of ISO Standards</t>
  </si>
  <si>
    <t>Capacity Buiding (Center- IOSH, Safety Courses &amp; NEBOSH)</t>
  </si>
  <si>
    <t>Capacity Building as Training Matrix</t>
  </si>
  <si>
    <t>Calibration of EHS &amp; Clinic Instrument</t>
  </si>
  <si>
    <t xml:space="preserve">DoH Regulation; ISO Certification  </t>
  </si>
  <si>
    <t>Blanket Contract for First Aid Kit Supplies</t>
  </si>
  <si>
    <t xml:space="preserve">Non-compliance to Legal Requirement </t>
  </si>
  <si>
    <t>Dosimeter Services</t>
  </si>
  <si>
    <t>Non-complaince to FNAR Regulation</t>
  </si>
  <si>
    <t>Blanket  Contract for EHS Signage</t>
  </si>
  <si>
    <t>Non-conformance, OSHAD Regulation</t>
  </si>
  <si>
    <t>3D Evacuation Map</t>
  </si>
  <si>
    <t>Non-conformance, Civil Defense Regulation</t>
  </si>
  <si>
    <t>Eniscope Software</t>
  </si>
  <si>
    <t>Emergency Notification System</t>
  </si>
  <si>
    <t>Emergency Respond Effectiveness</t>
  </si>
  <si>
    <t>EHS Components</t>
  </si>
  <si>
    <t>Lab &amp; Building Safety</t>
  </si>
  <si>
    <t>First Aiders Competency Requirement</t>
  </si>
  <si>
    <t>Emergency Responder OSHAD Requirement</t>
  </si>
  <si>
    <t>COVID-19 Pandemic</t>
  </si>
  <si>
    <t>KUST - Facilities Management</t>
  </si>
  <si>
    <t>KUST - Main Campus</t>
  </si>
  <si>
    <t>420310.Cleaning Services: Business premises-1. Size of Premises (Area)-2m</t>
  </si>
  <si>
    <t>Soft Service Payment to West Coast against Contract C303</t>
  </si>
  <si>
    <t xml:space="preserve">Service quality and performance </t>
  </si>
  <si>
    <t>Student Related Costs</t>
  </si>
  <si>
    <t>847010</t>
  </si>
  <si>
    <t>movement request</t>
  </si>
  <si>
    <t xml:space="preserve">Qruin AlAish Masterplan </t>
  </si>
  <si>
    <t>PMO</t>
  </si>
  <si>
    <t>847020</t>
  </si>
  <si>
    <t>PMO SAN Accommodation (ADIO)</t>
  </si>
  <si>
    <t xml:space="preserve">Canceled </t>
  </si>
  <si>
    <t>430110-Rental - Land</t>
  </si>
  <si>
    <t>430110.Rental- Land-2m-</t>
  </si>
  <si>
    <t>SAN Campus-rent temporary land as temporary parking</t>
  </si>
  <si>
    <t>430120-Rental - Buildings, other than staff residences</t>
  </si>
  <si>
    <t>KUST- Masdar city campus</t>
  </si>
  <si>
    <t>847030</t>
  </si>
  <si>
    <t xml:space="preserve">MASDER complex 2022 rental </t>
  </si>
  <si>
    <t xml:space="preserve">MASDER complex 2023 rental </t>
  </si>
  <si>
    <t>421600.Security service-Number of guard workers-count</t>
  </si>
  <si>
    <t xml:space="preserve">Security Services Main Campus </t>
  </si>
  <si>
    <t xml:space="preserve">Security Services SAN Campus Hostels </t>
  </si>
  <si>
    <t xml:space="preserve">Security Services SAN Campus </t>
  </si>
  <si>
    <t xml:space="preserve">Security Services MASDAR Leased Hostels </t>
  </si>
  <si>
    <t>421700-Standards Certification Services (e.g. ISO)</t>
  </si>
  <si>
    <t xml:space="preserve">ISO - Space planning </t>
  </si>
  <si>
    <t>426220.Insurance - Fire and allied perils-Number of Buildings-Number</t>
  </si>
  <si>
    <t>Insurance - Finance</t>
  </si>
  <si>
    <t>426250-Insurance - Motor vehicles</t>
  </si>
  <si>
    <t>432120.Bldg maintenance-Business premises-The area of minor maintenance (contract) Main Campus-2m</t>
  </si>
  <si>
    <t xml:space="preserve">FM Hard Services Contract Agreement </t>
  </si>
  <si>
    <t>Spares  for FM hard services above Threshold of AED 2500.00</t>
  </si>
  <si>
    <t>Hassantuk annual renewal fee</t>
  </si>
  <si>
    <t xml:space="preserve">installtion of Safe access doors for AHU / FCU etc. in student hub / Engg. Building.New building  :HVAC: </t>
  </si>
  <si>
    <t xml:space="preserve">Upgrade Elevator e-link emergency call phone in  New Building </t>
  </si>
  <si>
    <t>Repainting of classroom in old buildings-.</t>
  </si>
  <si>
    <t xml:space="preserve">Refurbishment of fountain - old buildings </t>
  </si>
  <si>
    <t xml:space="preserve">Interconnection water supply line from New extension (water tanks)  to old buildings for emergency outage </t>
  </si>
  <si>
    <t xml:space="preserve">Existing building : Roof shade louvers  painting works -All existing buildings </t>
  </si>
  <si>
    <t>432120.Bldg maintenance-Business premises-The area of major maintenance HQ-2m</t>
  </si>
  <si>
    <t>LCP upgradation in Satah</t>
  </si>
  <si>
    <t xml:space="preserve">LCP upgradation in Ummshaif </t>
  </si>
  <si>
    <t>Repainting of flats for female Accommodation</t>
  </si>
  <si>
    <t>Repainting of flats for Male dorms</t>
  </si>
  <si>
    <t xml:space="preserve">Repainting of offices </t>
  </si>
  <si>
    <t>Repainting of umm lulu carpark shade structure</t>
  </si>
  <si>
    <t>Repainting of wooden pergolas in Zarkuh and Arzanah</t>
  </si>
  <si>
    <t xml:space="preserve">Masdar for 12 months Payment -2023 (Cofely) </t>
  </si>
  <si>
    <t xml:space="preserve">Service charge for MASDER </t>
  </si>
  <si>
    <t>Spares part</t>
  </si>
  <si>
    <t>B04 A1 - Cooling charges</t>
  </si>
  <si>
    <t>B04 B  - Cooling charges</t>
  </si>
  <si>
    <t>Bldg decoration &amp; minor improvements (ECM)</t>
  </si>
  <si>
    <t>432320-Residential Furniture and fixtures</t>
  </si>
  <si>
    <t>432320.Residential Furniture and fixtures-Number of Building-Number</t>
  </si>
  <si>
    <t>Residential furniture and fixtures ( petty cash )</t>
  </si>
  <si>
    <t>mattresses</t>
  </si>
  <si>
    <t>Sports and other recreational supplies: Students</t>
  </si>
  <si>
    <t xml:space="preserve">New item </t>
  </si>
  <si>
    <t>847.8470530.1.436340.000000.847001.200179</t>
  </si>
  <si>
    <t>Director, Administration and Facilities</t>
  </si>
  <si>
    <t>492200-Capital expense - Buildings</t>
  </si>
  <si>
    <t>Command Centre Main campus</t>
  </si>
  <si>
    <t>492200.Capital expense - Buildings-Fitout cost-2m</t>
  </si>
  <si>
    <t>Outdoor retail praperation, Food Truck, seating area, hoarding</t>
  </si>
  <si>
    <t>Khalifa University Space Technology and Innovation Center (KUSTIC) phase 2</t>
  </si>
  <si>
    <t>HR Office Layout redesign and implementation</t>
  </si>
  <si>
    <t>Main Campus Markeitng &amp; IPR shared Offices, Building E Level 2</t>
  </si>
  <si>
    <t>Main Campus SPV Office Creation , Building E, Level 4</t>
  </si>
  <si>
    <t xml:space="preserve">Main Campus Associate Provost Office Creation, Builiding C, Level 3  </t>
  </si>
  <si>
    <t>Data Center chiller operational issue  : Long time solution and upgradation works ( Additional DC units )</t>
  </si>
  <si>
    <t>Modify multipurpose sports hall light with LED lights ( Current CFL light are obsolete )</t>
  </si>
  <si>
    <t xml:space="preserve">Supply and installation of Package units (15 no's ) </t>
  </si>
  <si>
    <t xml:space="preserve">Replacement of existing exhaust fan - 4 sets </t>
  </si>
  <si>
    <t xml:space="preserve">Supply and installation of GRP water tank - old buildings </t>
  </si>
  <si>
    <t xml:space="preserve">Supply and replacement of Manual Pull station ( 45 no's) -old buildings </t>
  </si>
  <si>
    <t xml:space="preserve">Supply and replacement of smoke and heat detectors with base ( 160 no's) -old buildings </t>
  </si>
  <si>
    <t xml:space="preserve">Upgradation of capacitor bank - old buildings </t>
  </si>
  <si>
    <t xml:space="preserve">Replaement of Emergency light and exit light in old buildings </t>
  </si>
  <si>
    <t>Replaement or Fume hoods replacement( Ductless fume hood )</t>
  </si>
  <si>
    <t>BMS for  existing buildings (Connect existing building HVAC system to AZBIL BMS ) and upgrading new builiding sysgtem to cloud base system</t>
  </si>
  <si>
    <t>Upgrading of Centralized UPS sysem  for L , R &amp; G  Building  (Existing building)</t>
  </si>
  <si>
    <t>Replacement fo 4 feet light fittings with LED light  in  Existing building G</t>
  </si>
  <si>
    <t xml:space="preserve">Modify the existing street lights with solar LED lights  ( 14 no's ) </t>
  </si>
  <si>
    <t>Supply and installation of split AC units (10 no's )</t>
  </si>
  <si>
    <t xml:space="preserve">Installation of master clock - old buildings </t>
  </si>
  <si>
    <t xml:space="preserve">  External  Security Cabin   for  security station ,  at main campus</t>
  </si>
  <si>
    <t xml:space="preserve">Modificaiton of flush system and exhasut system in the existing builidng </t>
  </si>
  <si>
    <t>Supply and installation glass panel with LOGO – G &amp; L Building at Main campus</t>
  </si>
  <si>
    <t>MEP &amp; CIVIL Configure room A03031 for Academic Affairs collaborative teaching and learning advancement (CMHS)</t>
  </si>
  <si>
    <t>MEP &amp; CIVIL Construction supply and installation of self contained colld store for 8 bodies (CMHS)</t>
  </si>
  <si>
    <t>MEP &amp; CIVIL Classroom Fit Out (6 no.) (CMHS)</t>
  </si>
  <si>
    <t>MEP &amp; CIVIL Supply and installation of Perimeter benhes and under counter cabinets and drawers - 5 x rooms, 4th flr bldg A (CHMS)</t>
  </si>
  <si>
    <t>MEB &amp; CIVIL Staging room &amp; Support spaces - CAVE (CMHS)</t>
  </si>
  <si>
    <t>LECTURE HALL Design, supply and installation - Modification and Functional Upgrade (CMHS)</t>
  </si>
  <si>
    <t>Modification works adding new turnstile gates in Gate no :1 &amp; 2 ,Main campus</t>
  </si>
  <si>
    <t>Habshan Building Renovation</t>
  </si>
  <si>
    <t>Command Centre SAN campus</t>
  </si>
  <si>
    <t>HVDM lab construction fit-out</t>
  </si>
  <si>
    <t>Arzanah convertion to GSO</t>
  </si>
  <si>
    <t>Facilities Upgrade, Tolits Proejct (Bu Hassa, Um Sheif, AlRwuis, Arzanh)</t>
  </si>
  <si>
    <t>Road connection SAN to Arzanah</t>
  </si>
  <si>
    <t>Arzanah Cove light &amp; spot light replacement</t>
  </si>
  <si>
    <t>Supply and installation of chin link fence in KU plot area (unfenced area only)</t>
  </si>
  <si>
    <t>Implementation of LCP in  Buhasa</t>
  </si>
  <si>
    <t>Providing master clock system in  Bu Hasa</t>
  </si>
  <si>
    <t>Providing master clock system in Umm Shaif</t>
  </si>
  <si>
    <t>Supply and Installation of VFD in Ruwais, Schneider 11Kw/17 Units</t>
  </si>
  <si>
    <t>Repalcement of FAHU at Buhasa Building (2 Units)</t>
  </si>
  <si>
    <t>Supply and installation of Access card system for remaining lab and offices</t>
  </si>
  <si>
    <t>Interlocking tile replacement for female hostels including road marking</t>
  </si>
  <si>
    <t xml:space="preserve"> LCS &amp; LED lights installation at Ruwais building</t>
  </si>
  <si>
    <t xml:space="preserve"> Pole  lights fittings replacement works with LED at Foot ball field</t>
  </si>
  <si>
    <t xml:space="preserve"> Pole  lights fittings replacement works with LED at Basket ball field</t>
  </si>
  <si>
    <t>Replacement of lights with LED in Work shops and ware house</t>
  </si>
  <si>
    <t xml:space="preserve"> LCS &amp; LED lights installation at Bu Hasa building</t>
  </si>
  <si>
    <t>Fase ceiling replacement at Bu Hasa building</t>
  </si>
  <si>
    <t>Replacement of wash basin mixers with sensor mixers</t>
  </si>
  <si>
    <t>Central Gas network for arzanah  lab (Phase 2/1)</t>
  </si>
  <si>
    <t>Mosque renovation with temprary mosque facilities</t>
  </si>
  <si>
    <t>Upgradition of chiller control cables form flat to round type</t>
  </si>
  <si>
    <t>Replacement of Car park fabric  shade and repainting in Arzanah phase 2</t>
  </si>
  <si>
    <t>Replacement of Car park fabric  shade and repainting in Takreer parking</t>
  </si>
  <si>
    <t>492610-Furniture &amp; Fixtures - Offices</t>
  </si>
  <si>
    <t>492610.Furniture &amp; Fixtures - Offices-Area of the rehabilitated building-2m</t>
  </si>
  <si>
    <t>Furnishing (Cubical,Chairs,Tables,Lab</t>
  </si>
  <si>
    <t>Medical equipment, High Fedility Simulators, Task Trainers ( MS)</t>
  </si>
  <si>
    <t>Construction supply and installation of self contained colld store for 8 bodies (MS)</t>
  </si>
  <si>
    <t>Configure room A03031 for Academic Affairs collaborative teaching and learning advancement Medical School Furniture</t>
  </si>
  <si>
    <t>Class room fit out  (6 no) MS</t>
  </si>
  <si>
    <t>Supply and installation of Perimeter benhes and under counter cabinets and drawers - 5 x rooms, 4th flr bldg A</t>
  </si>
  <si>
    <t>Fit out  Staging room &amp; Support spaces - CAVE (CMHS)</t>
  </si>
  <si>
    <t>Fit out LECTURE HALL  (CMHS)</t>
  </si>
  <si>
    <t>ANATOMY LAB Plastinated Specimen, Somso 3D models and other pathological specimens for the Museum (CMHS)</t>
  </si>
  <si>
    <t>ANATOMY LAB Office Fuirniture - Coat stand, hooks, cabinets, chairs and Stools (CMHS)</t>
  </si>
  <si>
    <t>Furniture for new Biology labs and office</t>
  </si>
  <si>
    <t>425747-Student Accommodation</t>
  </si>
  <si>
    <t>426210-Insurance - Cash and fidelity</t>
  </si>
  <si>
    <t>426800-Motor vehicle registration and inspection charges</t>
  </si>
  <si>
    <t>430330-Rental - Motor vehicles</t>
  </si>
  <si>
    <t>432540-Motor vehicles (non-military)</t>
  </si>
  <si>
    <t>436220-Road signs</t>
  </si>
  <si>
    <t>integrated BMS iICCC Platform</t>
  </si>
  <si>
    <t>KUST - Administration</t>
  </si>
  <si>
    <t>413310-Consolidated cost of  outsourced manpower</t>
  </si>
  <si>
    <t>413310.Manpower supply-Number of employees and type of service provided-Number of Number of employees and type of service provided</t>
  </si>
  <si>
    <t>Clinic - Mnapower</t>
  </si>
  <si>
    <t xml:space="preserve">Service quality </t>
  </si>
  <si>
    <t>Service quality</t>
  </si>
  <si>
    <t>Chapter1  Manpower Supply</t>
  </si>
  <si>
    <t>AL QUDRA SPORTS MANAGEMENT- Manpower</t>
  </si>
  <si>
    <t>KU Call Centre Manpower</t>
  </si>
  <si>
    <t>Provision of administration services manpower</t>
  </si>
  <si>
    <t>422900.Other specialised professional services, not mentioned elsewhere-Number of employee-number</t>
  </si>
  <si>
    <t>Provision of tea boys and office boys services</t>
  </si>
  <si>
    <t>426800.Motor vehicle registration and inspection charges-Number of Motor Vehicle-Month</t>
  </si>
  <si>
    <t>vehicle registrations in accordance to the new prices and fees</t>
  </si>
  <si>
    <t>426900.Postal, courier and other document delivery expenses-Number of Employees-Number</t>
  </si>
  <si>
    <t>Renewal for the mailbox and the senior management courier</t>
  </si>
  <si>
    <t>428111.Consumption charges-Water &amp; Electricity combined-Building area Main Campus-m2</t>
  </si>
  <si>
    <t>m2</t>
  </si>
  <si>
    <t>Electricity consumption</t>
  </si>
  <si>
    <t>428111.Consumption charges-Water &amp; Electricity combined-Building area SAN Campus Student life-m2</t>
  </si>
  <si>
    <t>428111.Consumption charges-Water &amp; Electricity combined-MASDER-</t>
  </si>
  <si>
    <t>428112.Water and Electricity charges - Business premises-The built up area of Main Campus-2m</t>
  </si>
  <si>
    <t>Water consumption</t>
  </si>
  <si>
    <t>428112.Water and Electricity charges - Business premises-The built up area of SAN Campus Sduent life-2m</t>
  </si>
  <si>
    <t>428112.Water and Electricity charges - Business premises-MASDER-</t>
  </si>
  <si>
    <t>Clinic Consumables</t>
  </si>
  <si>
    <t>Gov Fees</t>
  </si>
  <si>
    <t>430330.Rental - Motor vehicles-Number of staff and facilty -count</t>
  </si>
  <si>
    <t xml:space="preserve">4 Shuttle buses and 4 driver </t>
  </si>
  <si>
    <t>Vehicle Type - Requirement</t>
  </si>
  <si>
    <t>432540.Motor vehicles (non-military)-spare parts for the sedan non-military government-owned cars.-number of cars</t>
  </si>
  <si>
    <t>number of cars</t>
  </si>
  <si>
    <t>Vehicles regular Maintenance for 14 fleets vehicles which is AED 10,0000</t>
  </si>
  <si>
    <t>435410-Catering supplies: Offices</t>
  </si>
  <si>
    <t>435410.Catering supplies: Offices-Number of Staff-Number</t>
  </si>
  <si>
    <t>Catering - Kitchen Supplies</t>
  </si>
  <si>
    <t>435740-Fuel, oil and lubricants: Motor vehicles</t>
  </si>
  <si>
    <t>435740.Fuel, oil and lubricants: Motor vehicles-Trips of Motor vehicles-km</t>
  </si>
  <si>
    <t>km</t>
  </si>
  <si>
    <t>Fuel Consumptions for 14 vehicles at AED 2,000 Each vehicle</t>
  </si>
  <si>
    <t>426250.Insurance - Motor vehicles-1. No of motor vehicles-count</t>
  </si>
  <si>
    <t xml:space="preserve">Full Insurance for 14 vehicles </t>
  </si>
  <si>
    <t>ID Card Printing Supplies</t>
  </si>
  <si>
    <t>847.8470510.1.425510.000000.847001.200179</t>
  </si>
  <si>
    <t>847.8470510.1.425900.000000.847001.200179</t>
  </si>
  <si>
    <t>847.8470510.1.428090.000000.847001.200179</t>
  </si>
  <si>
    <t>847.8470520.1.425510.000000.847001.200179</t>
  </si>
  <si>
    <t>HSE Day &amp; Small Events</t>
  </si>
  <si>
    <t>847.8470520.1.426100.000000.847001.200179</t>
  </si>
  <si>
    <t>426100.Freight and shipping costs, Numbert included elsewhere under purchase costs-Number of Quantity-Number</t>
  </si>
  <si>
    <t>Purchasing</t>
  </si>
  <si>
    <t>847.8470520.1.427710.000000.847001.200179</t>
  </si>
  <si>
    <t>847.8470520.1.428200.000000.847001.200179</t>
  </si>
  <si>
    <t>847.8470530.1.420310.000000.847010.200179</t>
  </si>
  <si>
    <t>847.8470530.1.420310.000000.847015.200179</t>
  </si>
  <si>
    <t>847.8470530.1.420310.000000.847020.200179</t>
  </si>
  <si>
    <t>847.8470530.1.429900.000000.847010.200179</t>
  </si>
  <si>
    <t>847.8470530.1.421000.000000.847010.200179</t>
  </si>
  <si>
    <t>847.8470530.1.421100.000000.847010.200179</t>
  </si>
  <si>
    <t>847.8470530.1.430120.000000.847030.200179</t>
  </si>
  <si>
    <t>430120.Rental - Buildings, other than staff residences-Area-2m</t>
  </si>
  <si>
    <t>Masder complex</t>
  </si>
  <si>
    <t>847.8470530.1.430120.000000.847020.200179</t>
  </si>
  <si>
    <t>ADNOC School and Um lulu Accommedation</t>
  </si>
  <si>
    <t>847.8470530.1.421600.000000.847010.200179</t>
  </si>
  <si>
    <t>847.8470530.1.421600.000000.847015.200179</t>
  </si>
  <si>
    <t>847.8470530.1.421600.000000.847020.200179</t>
  </si>
  <si>
    <t>847.8470530.1.421600.000000.847030.200179</t>
  </si>
  <si>
    <t>847.8470530.1.421700.000000.847010.200179</t>
  </si>
  <si>
    <t>847.8470530.1.425510.000000.847010.200179</t>
  </si>
  <si>
    <t>847.8470530.1.425900.000000.847010.200179</t>
  </si>
  <si>
    <t>847.8470530.1.426220.000000.847010.200179</t>
  </si>
  <si>
    <t>847.8470530.1.426220.000000.847030.200179</t>
  </si>
  <si>
    <t>847.8470530.1.426250.000000.847010.200179</t>
  </si>
  <si>
    <t>847.8470530.1.428090.000000.847001.200179</t>
  </si>
  <si>
    <t>847.8470530.1.432120.000000.847010.200179</t>
  </si>
  <si>
    <t>FM Hard Services Contract Agreement</t>
  </si>
  <si>
    <t>Spares for FM hard services</t>
  </si>
  <si>
    <t>Hassantuk annual renewal frr</t>
  </si>
  <si>
    <t>New building  :HVAC: Safe access doors for AHU / FCU etc. in student hub / Engg. Building.</t>
  </si>
  <si>
    <t xml:space="preserve">Sliding door upgarde with new controllers &amp; unit - Existing building ( G &amp; R Building  - 33 nos.) </t>
  </si>
  <si>
    <t>847.8470530.1.432120.000000.847015.200179</t>
  </si>
  <si>
    <t>847.8470530.1.432120.000000.847020.200179</t>
  </si>
  <si>
    <t>Internal painting for Umm Lulu Towers</t>
  </si>
  <si>
    <t>Replacement of Interlocking Tiles for Road in different area</t>
  </si>
  <si>
    <t>847.8470530.1.432120.000000.847030.200179</t>
  </si>
  <si>
    <t xml:space="preserve">Masdar for12 months Payment -2024(Cofely) </t>
  </si>
  <si>
    <t>Service charges for Masdar</t>
  </si>
  <si>
    <t>Spares parts</t>
  </si>
  <si>
    <t>847.8470530.1.432170.000000.847010.200179</t>
  </si>
  <si>
    <t>847.8470530.1.432320.000000.847010.200179</t>
  </si>
  <si>
    <t>847.8470530.1.492200.000000.847001.300180</t>
  </si>
  <si>
    <t>847.8470530.1.492200.000000.847010.300180</t>
  </si>
  <si>
    <t>supply and installation of Package units (20 nos )</t>
  </si>
  <si>
    <t xml:space="preserve">Replacment of fountain pump - new building ( 2 nos. ) </t>
  </si>
  <si>
    <t xml:space="preserve">Replacment of Air compressor &amp; dryer - G building ( 1 no. ) </t>
  </si>
  <si>
    <t xml:space="preserve">Upgradation of capacitor bank  &amp; capacitor replacements in old buildings </t>
  </si>
  <si>
    <t xml:space="preserve">Emergency light and exit light in old buildings </t>
  </si>
  <si>
    <t>Fume hoods replacement( Ductless fume hood ) 33 % ( 10 out of 30 nos. )</t>
  </si>
  <si>
    <t>847.8470530.1.492200.000000.847015.300180</t>
  </si>
  <si>
    <t>847.8470530.1.492200.000000.847020.300180</t>
  </si>
  <si>
    <t>RUWAIS /CHILLER/3 Units</t>
  </si>
  <si>
    <t>UMMSHAIF /FAHU 26TON / 1 Units</t>
  </si>
  <si>
    <t>UMMSHAIF /FAHU 30TON / 1 Units</t>
  </si>
  <si>
    <t>UMMSHAIF /FAHU 22TON / 1 Units</t>
  </si>
  <si>
    <t>Replacement of lamps with LED in Arzanah</t>
  </si>
  <si>
    <t>Replacement of lamps with LED in  Umm Shaif</t>
  </si>
  <si>
    <t>Supply and instlaltin of aluminimum cadding insite the OTS for Buhasa and Ruwais building</t>
  </si>
  <si>
    <t>Replacement of the galss doors in Arznah entraces</t>
  </si>
  <si>
    <t>BUHASA /CHILLER/4 Units</t>
  </si>
  <si>
    <t>847.8470530.1.495110.000000.847001.300180</t>
  </si>
  <si>
    <t>495115.Computer software-Network-number of licenses-Number</t>
  </si>
  <si>
    <t>Netix Konnect iICCC Platform</t>
  </si>
  <si>
    <t>Central Gas network for arzanah  lab (Phase 2/2)</t>
  </si>
  <si>
    <t>847.8470530.1.492610.000000.847010.300180</t>
  </si>
  <si>
    <t>847.8470530.1.492610.000000.847015.300180</t>
  </si>
  <si>
    <t>847.8470530.1.492610.000000.847020.300180</t>
  </si>
  <si>
    <t>FA189-Opex Expense</t>
  </si>
  <si>
    <t>Clinic Manpower</t>
  </si>
  <si>
    <t>Chapter1 Manpower Supply</t>
  </si>
  <si>
    <t>AL Qudra Sport Mangement manpower</t>
  </si>
  <si>
    <t>KU Call Centre</t>
  </si>
  <si>
    <t>847.8470540.1.422900.000000.847010.200179</t>
  </si>
  <si>
    <t>847.8470540.1.426800.000000.847010.200179</t>
  </si>
  <si>
    <t>847.8470540.1.426900.000000.847010.200179</t>
  </si>
  <si>
    <t>847.8470540.1.428111.000000.847010.200179</t>
  </si>
  <si>
    <t>847.8470540.1.428111.000000.847015.200179</t>
  </si>
  <si>
    <t>847.8470540.1.428111.000000.847020.200179</t>
  </si>
  <si>
    <t>847.8470540.1.428111.000000.847030.200179</t>
  </si>
  <si>
    <t>847.8470540.1.428112.000000.847010.200179</t>
  </si>
  <si>
    <t>847.8470540.1.428112.000000.847015.200179</t>
  </si>
  <si>
    <t>847.8470540.1.428112.000000.847020.200179</t>
  </si>
  <si>
    <t>847.8470540.1.428112.000000.847030.200179</t>
  </si>
  <si>
    <t>847.8470540.1.429900.000000.847010.200179</t>
  </si>
  <si>
    <t>847.8470540.1.430330.000000.847010.200179</t>
  </si>
  <si>
    <t>847.8470540.1.432540.000000.847010.200179</t>
  </si>
  <si>
    <t>432540.Motor vehicles (non-military)-spare parts for the 4 wheel non-military government-owned cars.-number of cars</t>
  </si>
  <si>
    <t>847.8470540.1.435410.000000.847020.200179</t>
  </si>
  <si>
    <t>847.8470540.1.435740.000000.847010.200179</t>
  </si>
  <si>
    <t>847.8470540.1.426250.000000.847010.200179</t>
  </si>
  <si>
    <t>847.8470540.1.436110.000000.847010.200179</t>
  </si>
  <si>
    <t>Capacity Buiding (Center- IOSH&amp; NEBOSH)</t>
  </si>
  <si>
    <t>847.8470530.1.430110.000000.847010.200179</t>
  </si>
  <si>
    <t xml:space="preserve">Masdar for 12 months Payment -2025 (Cofely) </t>
  </si>
  <si>
    <t>supply and installation of Package units (15 nos )</t>
  </si>
  <si>
    <t xml:space="preserve"> replacment of Air compressor &amp; dryer - G building ( 1 no. ) </t>
  </si>
  <si>
    <t xml:space="preserve">upgradation of capacitor bank  &amp; capacitor replacements in old buildings </t>
  </si>
  <si>
    <t xml:space="preserve">supply and replacement of smoke and heat detectors with base ( 160 no's) -old buildings </t>
  </si>
  <si>
    <t xml:space="preserve">Sliding door upgarde with new controllers &amp; unit - New building  </t>
  </si>
  <si>
    <t>847.8470540.1.421100.000000.847010.100178</t>
  </si>
  <si>
    <t>chapter1  Manpower Supply</t>
  </si>
  <si>
    <t>Manpower</t>
  </si>
  <si>
    <t>847.8470540.1.413310.000000.847010.100178</t>
  </si>
  <si>
    <t>432540.Motor vehicles (non-military)-maintenance for the 4 wheel non-military government-owned cars.-number of cars</t>
  </si>
  <si>
    <t xml:space="preserve">President's Office </t>
  </si>
  <si>
    <t>KUST - Office of the President</t>
  </si>
  <si>
    <t>847.8470110.1.420550.000000.847001.200179</t>
  </si>
  <si>
    <t>For expenses related to Academic boards, including Presidents Advisory Council. This includes travel cost, accommodation and honorarium.</t>
  </si>
  <si>
    <t>Impact operation of the department.</t>
  </si>
  <si>
    <t>847.8470110.1.420570.000000.847001.200179</t>
  </si>
  <si>
    <t>847.8470110.1.421000.000000.847001.200179</t>
  </si>
  <si>
    <t>Includes all types of consultancy, including academic and research consultancy. This does not include consultancy related directly to a capital asset or consultancy that are advisory in nature.</t>
  </si>
  <si>
    <t>847.8470110.1.425510.000000.847001.200179</t>
  </si>
  <si>
    <t>Includes all expenses connected with event expenses hosted/participated inside UAE. Does not include faculty conferences.</t>
  </si>
  <si>
    <t>847.8470110.1.425550.000000.847001.200179</t>
  </si>
  <si>
    <t>Includes all expenses connected with event expenses hosted/participated outside UAE. Does not include faculty conferences.</t>
  </si>
  <si>
    <t>847.8470110.1.425900.000000.847001.200179</t>
  </si>
  <si>
    <t>Including catering charges &amp; farewell/welcome gatherings</t>
  </si>
  <si>
    <t>847.8470110.1.428090.000000.847001.200179</t>
  </si>
  <si>
    <t>428400-Sponsorship expenses/contributions</t>
  </si>
  <si>
    <t>847.8470110.1.428400.000000.847001.200179</t>
  </si>
  <si>
    <t>428400.Sponsorship expenses/contributions-No of University/event sponshorship-No of Sponshorship</t>
  </si>
  <si>
    <t>No of Sponshorship</t>
  </si>
  <si>
    <t xml:space="preserve"> includes University sponsoring out side events/initiatives</t>
  </si>
  <si>
    <t>847.8470110.1.428640.000000.847001.200179</t>
  </si>
  <si>
    <t>For costs of gifts including those for VIP guests (excluding those given as part of an event expense)</t>
  </si>
  <si>
    <t>KUST - Audit</t>
  </si>
  <si>
    <t>420120-Internal Audit service</t>
  </si>
  <si>
    <t>847.8470120.1.420120.000000.847001.200179</t>
  </si>
  <si>
    <t>420120.Internal Audit service-Number of Audit-Number</t>
  </si>
  <si>
    <t>No of SME/staff * No of audits</t>
  </si>
  <si>
    <t>Reduction in no of technical audits</t>
  </si>
  <si>
    <t xml:space="preserve">No of SME/staff </t>
  </si>
  <si>
    <t>Reduction in providing adequate governance / Audit</t>
  </si>
  <si>
    <t>847.8470120.1.426610.000000.847001.200179</t>
  </si>
  <si>
    <t>Renwal Software Each User / year</t>
  </si>
  <si>
    <t>Impact run the dept. operation</t>
  </si>
  <si>
    <t>KUST - Compliance and Risk Management</t>
  </si>
  <si>
    <t>847.8470121.1.421000.000000.847001.200179</t>
  </si>
  <si>
    <t>421000.Management Consultancy work for hiring external expert investigators-Type of Allegation-number</t>
  </si>
  <si>
    <t>external expert investigators</t>
  </si>
  <si>
    <t xml:space="preserve">Will not get the proper investigation as intended and planned </t>
  </si>
  <si>
    <t>Will not get the proper investigation as intended and planned</t>
  </si>
  <si>
    <t>847.8470121.1.425900.000000.847001.200179</t>
  </si>
  <si>
    <t xml:space="preserve">Celebrate malison achievements / catering request for compliance team workshop gathering  </t>
  </si>
  <si>
    <t xml:space="preserve">
Impact on business run operations  
</t>
  </si>
  <si>
    <t>421000. Newsletters,Case Studies,Infographics and Annual Compliance Campaign collateral</t>
  </si>
  <si>
    <t xml:space="preserve">Impact on business run operations  </t>
  </si>
  <si>
    <t>847.8470121.1.421700.000000.847001.200179</t>
  </si>
  <si>
    <t>847.8470121.1.426610.000000.847001.200179</t>
  </si>
  <si>
    <t>Compliance Modules for awareness and training purpose</t>
  </si>
  <si>
    <t xml:space="preserve">Improper Compliance training for KU staff, faculty and students  </t>
  </si>
  <si>
    <t>KUST - General Counsel</t>
  </si>
  <si>
    <t>847.8470150.1.420900.000000.847001.200179</t>
  </si>
  <si>
    <t>420900.Legal services-Translation-number of pages</t>
  </si>
  <si>
    <t>number of pages</t>
  </si>
  <si>
    <t>legal Documents Translation</t>
  </si>
  <si>
    <t xml:space="preserve">impact the  quality </t>
  </si>
  <si>
    <t>420900.Legal services-hours of legal consutancy-number of working hours</t>
  </si>
  <si>
    <t>number of working hours</t>
  </si>
  <si>
    <t>Consultancy services</t>
  </si>
  <si>
    <t>847.8470150.1.427710.000000.847001.200179</t>
  </si>
  <si>
    <t>Court/membership</t>
  </si>
  <si>
    <t>KUST - SVP/ Support Services Office</t>
  </si>
  <si>
    <t>847.8470160.1.425550.000000.847001.200179</t>
  </si>
  <si>
    <t>International Conference on Science, Technology, Engineering and Management 2023-03-20/ International Conference on Recent Innovations in Engineering and Technology</t>
  </si>
  <si>
    <t>Impact on running the operation in department</t>
  </si>
  <si>
    <t>847.8470160.1.428640.000000.847001.200179</t>
  </si>
  <si>
    <t>Awards given to your employees for performance-related reasons</t>
  </si>
  <si>
    <t>847.8470160.1.428090.000000.847001.200179</t>
  </si>
  <si>
    <t xml:space="preserve"> business mission for support services development / Training</t>
  </si>
  <si>
    <t>847.8470160.1.425900.000000.847001.200179</t>
  </si>
  <si>
    <t>Upcoming planned workshop and event for the Support Services</t>
  </si>
  <si>
    <t>Renewal Software /Each User / year</t>
  </si>
  <si>
    <t>One Young World 2024 Montréal Summit/ International Conference on Communications 2024</t>
  </si>
  <si>
    <t xml:space="preserve"> business mission for support services development /Training</t>
  </si>
  <si>
    <t>Renewal Software/Each User / year</t>
  </si>
  <si>
    <t xml:space="preserve">2025 Global Business Summit / International Conference on Artificial Intelligence, Robotics &amp; IoT </t>
  </si>
  <si>
    <t>KUST - Business Development</t>
  </si>
  <si>
    <t>Row Labels</t>
  </si>
  <si>
    <t>Grand Total</t>
  </si>
  <si>
    <t xml:space="preserve">Sum of 2023 Budget </t>
  </si>
  <si>
    <t>Sum of 2022 Budget</t>
  </si>
  <si>
    <t>847.8470540.1.413310.000000.847010.200179</t>
  </si>
  <si>
    <t>847.8470530.1.421000.000000.847020.200179</t>
  </si>
  <si>
    <t>847.8470520.1.421600.000000.847030.200179</t>
  </si>
  <si>
    <t>847.8470520.1.425510.000000.847951.200179</t>
  </si>
  <si>
    <t>847.8470510.1.425550.000000.847001.200179</t>
  </si>
  <si>
    <t>847.8470530.1.425747.000000.847015.200179</t>
  </si>
  <si>
    <t>847.8470530.1.426210.000000.847001.200179</t>
  </si>
  <si>
    <t>847.8470530.1.426800.000000.847001.200179</t>
  </si>
  <si>
    <t>847.8470530.1.426900.000000.847001.200179</t>
  </si>
  <si>
    <t>847.8470530.1.428111.000000.847010.200179</t>
  </si>
  <si>
    <t>847.8470530.1.428111.000000.847030.200179</t>
  </si>
  <si>
    <t>847.8470530.1.428111.000000.847020.200179</t>
  </si>
  <si>
    <t>847.8470530.1.428111.000000.847015.200179</t>
  </si>
  <si>
    <t>847.8470530.1.428112.000000.847010.200179</t>
  </si>
  <si>
    <t>847.8470530.1.428112.000000.847020.200179</t>
  </si>
  <si>
    <t>847.8470530.1.428112.000000.847015.200179</t>
  </si>
  <si>
    <t>847.8470520.1.428200.000000.847951.200179</t>
  </si>
  <si>
    <t>847.8470530.1.429900.000000.847001.200179</t>
  </si>
  <si>
    <t>847.8470530.1.430330.000000.847001.200179</t>
  </si>
  <si>
    <t>847.8470530.1.432120.000000.847951.200179</t>
  </si>
  <si>
    <t>847.8470530.1.432320.000000.847020.200179</t>
  </si>
  <si>
    <t>847.8470530.1.432540.000000.847001.200179</t>
  </si>
  <si>
    <t>847.8471150.1.435310.000000.847001.200179</t>
  </si>
  <si>
    <t>847.8470530.1.436110.000000.847001.200179</t>
  </si>
  <si>
    <t>847.8470530.1.436220.000000.847001.200179</t>
  </si>
  <si>
    <t>847.8470520.1.492316.000000.847001.300180</t>
  </si>
  <si>
    <t>847.8470530.1.492316.000000.847001.300180</t>
  </si>
  <si>
    <t>847.8470530.1.495140.000000.847010.300180</t>
  </si>
  <si>
    <t>847.8470730.1.495113.000000.847001.300180</t>
  </si>
  <si>
    <t>847.8471305.1.492354.000000.847001.300180</t>
  </si>
  <si>
    <t>847.8471305.1.495113.000000.847001.300180</t>
  </si>
  <si>
    <t>Sum of 2021Actual</t>
  </si>
  <si>
    <t>Sum of 2022 Estimates Full Year Actual</t>
  </si>
  <si>
    <t>420550 Total</t>
  </si>
  <si>
    <t>425510 Total</t>
  </si>
  <si>
    <t>425550 Total</t>
  </si>
  <si>
    <t>425900 Total</t>
  </si>
  <si>
    <t>428090 Total</t>
  </si>
  <si>
    <t>428640 Total</t>
  </si>
  <si>
    <t>426610 Total</t>
  </si>
  <si>
    <t>425100 Total</t>
  </si>
  <si>
    <t>492310 Total</t>
  </si>
  <si>
    <t>425744 Total</t>
  </si>
  <si>
    <t>425745 Total</t>
  </si>
  <si>
    <t>425749 Total</t>
  </si>
  <si>
    <t>425761 Total</t>
  </si>
  <si>
    <t>425762 Total</t>
  </si>
  <si>
    <t>436110 Total</t>
  </si>
  <si>
    <t>2022 PR</t>
  </si>
  <si>
    <t>2022 PO</t>
  </si>
  <si>
    <t>847.8471260.1.421100.000000.847001.200179</t>
  </si>
  <si>
    <t>847.8470540.1.413310.000000.847010.100180</t>
  </si>
  <si>
    <t>847.8470620.1.436120.000000.847001.200179</t>
  </si>
  <si>
    <t>847.8470730.1.425900.000000.847001.200179</t>
  </si>
  <si>
    <t xml:space="preserve">Sum of 2024 Budget </t>
  </si>
  <si>
    <t>847.8471170.1.495110.000000.847001.300180</t>
  </si>
  <si>
    <t>847.8471270.1.435310.000000.847001.200179</t>
  </si>
  <si>
    <t>847.8471305.1.427810.000000.847001.200179</t>
  </si>
  <si>
    <t xml:space="preserve">Sum of 2025 Budget </t>
  </si>
  <si>
    <t>847.8470110.1.420900.000000.847001.200179</t>
  </si>
  <si>
    <t>847.8470110.1.421700.000000.847001.200179</t>
  </si>
  <si>
    <t>847.8470110.1.426610.000000.847001.200179</t>
  </si>
  <si>
    <t>847.8470110.1.492316.000000.847001.300180</t>
  </si>
  <si>
    <t>847.8470120.1.495113.000000.847001.300180</t>
  </si>
  <si>
    <t>847.8470130.1.427710.000000.847001.200179</t>
  </si>
  <si>
    <t>847.8470405.1.432209.000000.847001.200179</t>
  </si>
  <si>
    <t>847.8470415.1.435519.000000.847001.200179</t>
  </si>
  <si>
    <t>847.8470435.1.425770.000000.847001.200179</t>
  </si>
  <si>
    <t>847.8470435.1.426610.000000.847001.200179</t>
  </si>
  <si>
    <t>847.8470435.1.435340.000000.847001.200179</t>
  </si>
  <si>
    <t>847.8470530.1.430110.000000.847020.200179</t>
  </si>
  <si>
    <t>847.8470530.1.495113.000000.847010.300180</t>
  </si>
  <si>
    <t>847.8470540.1.421100.000000.847010.200179</t>
  </si>
  <si>
    <t>847.8470540.1.427710.000000.847001.200179</t>
  </si>
  <si>
    <t>847.8470540.1.432120.000000.847010.200179</t>
  </si>
  <si>
    <t>847.8470540.1.432120.000000.847020.200179</t>
  </si>
  <si>
    <t>847.8470620.1.421100.000000.847001.200179</t>
  </si>
  <si>
    <t>847.8470720.1.421700.000000.847001.200179</t>
  </si>
  <si>
    <t>847.8470720.1.426900.000000.847001.200179</t>
  </si>
  <si>
    <t>847.8470720.1.428200.000000.847001.200179</t>
  </si>
  <si>
    <t>847.8470720.1.432120.000000.847001.200179</t>
  </si>
  <si>
    <t>847.8470720.1.435410.000000.847001.200179</t>
  </si>
  <si>
    <t>847.8470720.1.436110.000000.847001.200179</t>
  </si>
  <si>
    <t>847.8470720.1.436120.000000.847001.200179</t>
  </si>
  <si>
    <t>847.8470720.1.495110.000000.847001.300180</t>
  </si>
  <si>
    <t>847.8470720.1.495113.000000.847001.300180</t>
  </si>
  <si>
    <t>847.8470730.1.421000.000000.847001.200179</t>
  </si>
  <si>
    <t>847.8470730.1.425510.000000.847001.200179</t>
  </si>
  <si>
    <t>847.8470730.1.428090.000000.847001.200179</t>
  </si>
  <si>
    <t>847.8470730.1.492610.000000.847001.300180</t>
  </si>
  <si>
    <t>847.8471110.1.492316.000000.847001.300180</t>
  </si>
  <si>
    <t>847.8471120.1.425900.000000.847001.200179</t>
  </si>
  <si>
    <t>847.8471120.1.428090.000000.847001.200179</t>
  </si>
  <si>
    <t>847.8471120.1.429900.000000.847001.200179</t>
  </si>
  <si>
    <t>847.8471120.1.435523.000000.847001.200179</t>
  </si>
  <si>
    <t>847.8471121.1.425510.000000.847001.200179</t>
  </si>
  <si>
    <t>847.8471121.1.425900.000000.847001.200179</t>
  </si>
  <si>
    <t>847.8471121.1.428090.000000.847001.200179</t>
  </si>
  <si>
    <t>847.8471121.1.432170.000000.847001.200179</t>
  </si>
  <si>
    <t>847.8471121.1.435523.000000.847001.200179</t>
  </si>
  <si>
    <t>847.8471122.1.425900.000000.847001.200179</t>
  </si>
  <si>
    <t>847.8471122.1.428090.000000.847001.200179</t>
  </si>
  <si>
    <t>847.8471140.1.492316.000000.847001.300180</t>
  </si>
  <si>
    <t>847.8471160.1.420810.000000.847001.200179</t>
  </si>
  <si>
    <t>847.8471160.1.420811.000000.847001.200179</t>
  </si>
  <si>
    <t>847.8471160.1.426610.000000.847001.200179</t>
  </si>
  <si>
    <t>847.8471160.1.432209.000000.847001.200179</t>
  </si>
  <si>
    <t>847.8471160.1.435508.000000.847001.200179</t>
  </si>
  <si>
    <t>847.8471160.1.492200.000000.847001.300180</t>
  </si>
  <si>
    <t>847.8471160.1.492316.000000.847001.300180</t>
  </si>
  <si>
    <t>847.8471170.1.420810.000000.847001.200179</t>
  </si>
  <si>
    <t>847.8471260.1.425747.000000.847001.200179</t>
  </si>
  <si>
    <t>847.8471305.1.420810.000000.847001.200179</t>
  </si>
  <si>
    <t>847.8471305.1.492610.000000.847001.300180</t>
  </si>
  <si>
    <t>2020 Actual</t>
  </si>
  <si>
    <t>2019 Actual</t>
  </si>
  <si>
    <t>2021 Actual</t>
  </si>
  <si>
    <t>847.8470110.1.435310.000000.847001.200179</t>
  </si>
  <si>
    <t>847.8470130.1.425100.000000.847001.200179</t>
  </si>
  <si>
    <t>847.8470230.1.425741.000000.847001.200179</t>
  </si>
  <si>
    <t>847.8470325.1.436110.000000.847001.200179</t>
  </si>
  <si>
    <t>847.8470405.1.492316.000000.847001.300180</t>
  </si>
  <si>
    <t>847.8470410.1.428090.000000.847001.200179</t>
  </si>
  <si>
    <t>847.8470420.1.425510.000000.847001.200179</t>
  </si>
  <si>
    <t>847.8470420.1.425770.000000.847001.200179</t>
  </si>
  <si>
    <t>847.8470420.1.428090.000000.847001.200179</t>
  </si>
  <si>
    <t>847.8470420.1.492316.000000.847001.300180</t>
  </si>
  <si>
    <t>847.8470430.1.436600.000000.847001.200179</t>
  </si>
  <si>
    <t>847.8470520.1.421600.000000.847010.200179</t>
  </si>
  <si>
    <t>847.8470530.1.421100.000000.847020.200179</t>
  </si>
  <si>
    <t>847.8470530.1.426800.000000.847010.200179</t>
  </si>
  <si>
    <t>847.8470530.1.426800.000000.847020.200179</t>
  </si>
  <si>
    <t>847.8470530.1.426900.000000.847010.200179</t>
  </si>
  <si>
    <t>847.8470530.1.428200.000000.847010.200179</t>
  </si>
  <si>
    <t>847.8470530.1.432540.000000.847010.200179</t>
  </si>
  <si>
    <t>847.8470530.1.432540.000000.847020.200179</t>
  </si>
  <si>
    <t>847.8470530.1.435508.000000.847020.200179</t>
  </si>
  <si>
    <t>847.8470530.1.435508.000000.847030.200179</t>
  </si>
  <si>
    <t>847.8470530.1.435510.000000.847010.200179</t>
  </si>
  <si>
    <t>847.8470530.1.435510.000000.847020.200179</t>
  </si>
  <si>
    <t>847.8470530.1.435510.000000.847030.200179</t>
  </si>
  <si>
    <t>847.8470530.1.435740.000000.847010.200179</t>
  </si>
  <si>
    <t>847.8470530.1.435740.000000.847020.200179</t>
  </si>
  <si>
    <t>847.8470530.1.436110.000000.847010.200179</t>
  </si>
  <si>
    <t>847.8470530.1.436120.000000.847020.200179</t>
  </si>
  <si>
    <t>847.8470530.1.492200.000000.847030.300180</t>
  </si>
  <si>
    <t>847.8470620.1.428090.000000.847001.200179</t>
  </si>
  <si>
    <t>847.8470630.1.428090.000000.847001.200179</t>
  </si>
  <si>
    <t>847.8470730.1.432205.000000.847001.200179</t>
  </si>
  <si>
    <t>847.8471130.1.492316.000000.847001.300180</t>
  </si>
  <si>
    <t>847.8471130.1.495140.000000.847001.300180</t>
  </si>
  <si>
    <t>847.8471140.1.425510.000000.847001.200179</t>
  </si>
  <si>
    <t>847.8471140.1.425900.000000.847001.200179</t>
  </si>
  <si>
    <t>847.8471160.1.430330.000000.847001.200179</t>
  </si>
  <si>
    <t>847.8471210.1.426610.000000.847001.200179</t>
  </si>
  <si>
    <t>847.8471260.1.427810.000000.847001.200179</t>
  </si>
  <si>
    <t>847.8471260.1.427850.000000.847001.200179</t>
  </si>
  <si>
    <t>847.8471260.1.492610.000000.847001.300180</t>
  </si>
  <si>
    <t>847.8471305.1.435519.000000.847001.200179</t>
  </si>
  <si>
    <t>847.8470110.1.425770.000000.847001.200179</t>
  </si>
  <si>
    <t>847.8470130.1.425510.000000.847001.200179</t>
  </si>
  <si>
    <t>847.8470230.1.425742.000000.847001.200179</t>
  </si>
  <si>
    <t>847.8470230.1.425770.000000.847001.200179</t>
  </si>
  <si>
    <t>847.8470305.1.492316.000000.847001.300180</t>
  </si>
  <si>
    <t>847.8470310.1.430120.000000.847001.200179</t>
  </si>
  <si>
    <t>847.8470325.1.425900.000000.847001.200179</t>
  </si>
  <si>
    <t>847.8470325.1.492200.000000.847001.300180</t>
  </si>
  <si>
    <t>847.8470330.1.425761.000000.847001.200179</t>
  </si>
  <si>
    <t>847.8470330.1.428090.000000.847001.200179</t>
  </si>
  <si>
    <t>847.8470330.1.435340.000000.847001.200179</t>
  </si>
  <si>
    <t>847.8470340.1.428090.000000.847001.200179</t>
  </si>
  <si>
    <t>847.8470340.1.436600.000000.847001.200179</t>
  </si>
  <si>
    <t>847.8470340.1.495140.000000.847001.300180</t>
  </si>
  <si>
    <t>847.8470350.1.428090.000000.847001.200179</t>
  </si>
  <si>
    <t>847.8470405.1.425100.000000.847001.200179</t>
  </si>
  <si>
    <t>847.8470405.1.428090.000000.847001.200179</t>
  </si>
  <si>
    <t>847.8470415.1.425550.000000.847001.200179</t>
  </si>
  <si>
    <t>847.8470425.1.421700.000000.847001.200179</t>
  </si>
  <si>
    <t>847.8470425.1.425761.000000.847001.200179</t>
  </si>
  <si>
    <t>847.8470430.1.492316.000000.847001.300180</t>
  </si>
  <si>
    <t>847.8470440.1.495140.000000.847001.300180</t>
  </si>
  <si>
    <t>847.8470450.1.436600.000000.847001.200179</t>
  </si>
  <si>
    <t>847.8470520.1.421600.000000.847020.200179</t>
  </si>
  <si>
    <t>847.8470520.1.421700.000000.847001.200179</t>
  </si>
  <si>
    <t>847.8470520.1.426610.000000.847001.200179</t>
  </si>
  <si>
    <t>847.8470530.1.420310.000000.847030.200179</t>
  </si>
  <si>
    <t>847.8470530.1.421100.000000.847030.200179</t>
  </si>
  <si>
    <t>847.8470530.1.422100.000000.847030.200179</t>
  </si>
  <si>
    <t>847.8470530.1.426210.000000.847010.200179</t>
  </si>
  <si>
    <t>847.8470530.1.428090.000000.847010.200179</t>
  </si>
  <si>
    <t>847.8470530.1.430330.000000.847020.200179</t>
  </si>
  <si>
    <t>847.8470530.1.432170.000000.847030.200179</t>
  </si>
  <si>
    <t>847.8470530.1.436220.000000.847010.200179</t>
  </si>
  <si>
    <t>847.8470530.1.492316.000000.847030.300180</t>
  </si>
  <si>
    <t>847.8470530.1.492610.000000.847030.300180</t>
  </si>
  <si>
    <t>847.8470620.1.421000.000000.847001.200179</t>
  </si>
  <si>
    <t>847.8470620.1.425510.000000.847001.200179</t>
  </si>
  <si>
    <t>847.8470720.1.421000.000000.847001.200179</t>
  </si>
  <si>
    <t>847.8470730.1.421100.000000.847001.200179</t>
  </si>
  <si>
    <t>847.8470730.1.426290.000000.847001.200179</t>
  </si>
  <si>
    <t>847.8470810.1.421000.000000.847001.200179</t>
  </si>
  <si>
    <t>847.8470810.1.425900.000000.847001.200179</t>
  </si>
  <si>
    <t>847.8470810.1.436120.000000.847001.200179</t>
  </si>
  <si>
    <t>847.8471110.1.421000.000000.847001.200179</t>
  </si>
  <si>
    <t>847.8471130.1.420570.000000.847001.200179</t>
  </si>
  <si>
    <t>847.8471150.1.421000.000000.847001.200179</t>
  </si>
  <si>
    <t>847.8471160.1.422100.000000.847001.200179</t>
  </si>
  <si>
    <t>847.8471170.1.421100.000000.847001.200179</t>
  </si>
  <si>
    <t>847.8471250.1.425761.000000.847001.200179</t>
  </si>
  <si>
    <t>847.8471260.1.425720.000000.847001.200179</t>
  </si>
  <si>
    <t>847.8471260.1.435410.000000.847001.200179</t>
  </si>
  <si>
    <t>847.8471270.1.425510.000000.847001.200179</t>
  </si>
  <si>
    <t>847.8471270.1.436120.000000.847001.200179</t>
  </si>
  <si>
    <t>847.8471305.1.420550.000000.847001.200179</t>
  </si>
  <si>
    <t>847.8471305.1.425741.000000.847001.200179</t>
  </si>
  <si>
    <t>847.8471305.1.425760.000000.847001.200179</t>
  </si>
  <si>
    <t>847.8471305.1.435310.000000.847001.200179</t>
  </si>
  <si>
    <t>847.8471305.1.435410.000000.847001.200179</t>
  </si>
  <si>
    <t>847.8470110.1.427710.000000.847001.200179</t>
  </si>
  <si>
    <t>847.8470330.1.421700.000000.847001.200179</t>
  </si>
  <si>
    <t>847.8470435.1.425550.000000.847001.200179</t>
  </si>
  <si>
    <t>847.8470530.1.430330.000000.847010.200179</t>
  </si>
  <si>
    <t>847.8470530.1.436110.000000.847020.200179</t>
  </si>
  <si>
    <t>847.8470730.1.427710.000000.847001.200179</t>
  </si>
  <si>
    <t>847.8470730.1.495140.000000.847001.300180</t>
  </si>
  <si>
    <t>847.8471130.1.428400.000000.847001.200179</t>
  </si>
  <si>
    <t>847.8471140.1.427200.000000.847001.200179</t>
  </si>
  <si>
    <t>847.8471160.1.421700.000000.847001.200179</t>
  </si>
  <si>
    <t>847.8471260.1.492200.000000.847001.300180</t>
  </si>
  <si>
    <t>847.8471305.1.425770.000000.847001.200179</t>
  </si>
  <si>
    <t>847.8471305.1.492200.000000.847001.300180</t>
  </si>
  <si>
    <t>847.8470530.1.436220.000000.847020.200179</t>
  </si>
  <si>
    <t>847.8470530.1.492316.000000.847010.300180</t>
  </si>
  <si>
    <t>847.8470720.1.428200.000000.847951.200179</t>
  </si>
  <si>
    <t>847.8470730.1.427200.000000.847001.200179</t>
  </si>
  <si>
    <t>847.8470810.1.427850.000000.847951.200179</t>
  </si>
  <si>
    <t>847.8471170.1.492310.000000.847001.300180</t>
  </si>
  <si>
    <t>847.8471260.1.422400.000000.847951.200179</t>
  </si>
  <si>
    <t>Future-01</t>
  </si>
  <si>
    <t>Future-02</t>
  </si>
  <si>
    <t>Future-01 Description</t>
  </si>
  <si>
    <t>Future-02 Description</t>
  </si>
  <si>
    <t>KUST - Procurement and Contracts</t>
  </si>
  <si>
    <t>KUST - Institute for Automation, Information Science &amp; Communication</t>
  </si>
  <si>
    <t>KUST - Petroleum Institute</t>
  </si>
  <si>
    <t>KUST - Masdar Institute</t>
  </si>
  <si>
    <t>KUST - Research Laboratories</t>
  </si>
  <si>
    <t>KUST - Computer Science</t>
  </si>
  <si>
    <t>420310-Cleaning Services: Business premises</t>
  </si>
  <si>
    <t>422400-Medical services</t>
  </si>
  <si>
    <t>432205-Computers and peripherals-End user and Infrastructure components maintenance and support</t>
  </si>
  <si>
    <t>425350-Fees for processing e-payments-e-Payment operation</t>
  </si>
  <si>
    <t>421100-Manpower supply "Other Than IT Related"</t>
  </si>
  <si>
    <t>427810-Telephone and telefax charges-Telecommunication, Satellite services</t>
  </si>
  <si>
    <t>427850-Data Transmission charges-Data Transmission charges</t>
  </si>
  <si>
    <t>435510-Landscaping and other horticulture</t>
  </si>
  <si>
    <t>426290-Insurance - Other</t>
  </si>
  <si>
    <t>2024 Budget</t>
  </si>
  <si>
    <t>2025 Budget</t>
  </si>
  <si>
    <t>Chapter-01</t>
  </si>
  <si>
    <t>2022 - Jun Actual</t>
  </si>
  <si>
    <t>Account Code Description</t>
  </si>
  <si>
    <t>Itemised Details / Calculation Method</t>
  </si>
  <si>
    <t>Quantity (expected)</t>
  </si>
  <si>
    <t>Notes</t>
  </si>
  <si>
    <t>Academic Advisory Service
FT and PT PhD Examinations</t>
  </si>
  <si>
    <t>MI External Examiner</t>
  </si>
  <si>
    <t>KU External Examiner</t>
  </si>
  <si>
    <t>Cost increased due to expected higher number of graduate students admitted.</t>
  </si>
  <si>
    <t>Advertising</t>
  </si>
  <si>
    <t>Promotional Materials (Brochures, Signage, Roll-Ups)</t>
  </si>
  <si>
    <t>Design of Graduate Catalogue and Program Flyers (PDF)</t>
  </si>
  <si>
    <t>Radio (2 weeks)</t>
  </si>
  <si>
    <t>Social Media (2 weeks)</t>
  </si>
  <si>
    <t>Google Ads (2 weeks)</t>
  </si>
  <si>
    <t>Computer Software Licenses</t>
  </si>
  <si>
    <t>Printing Supplies</t>
  </si>
  <si>
    <t>AVP Office Supplies and Printing</t>
  </si>
  <si>
    <t>Entertainment &amp; Hospitality</t>
  </si>
  <si>
    <t>Hospitality for Spring and Fall Orientation</t>
  </si>
  <si>
    <t>Cost per event increased due to expected higher number of graduate students admitted.</t>
  </si>
  <si>
    <t>Catering for AVP Office</t>
  </si>
  <si>
    <t>Catering for Dissertation Examinations (3 lunch vouchers per exam)</t>
  </si>
  <si>
    <t>Events - Awards, Prizes &amp; Gifts</t>
  </si>
  <si>
    <t>GSO Student/Faculty Events Giveaways</t>
  </si>
  <si>
    <t>VIP Gifts for External Examiner Visits</t>
  </si>
  <si>
    <t>Business Travel -  Combined Expenses</t>
  </si>
  <si>
    <t>Airfare to USA (1 staff x 2 trips)</t>
  </si>
  <si>
    <t>Daily Per Diem 1,500 for 6 days (1 staff x 2 trips)</t>
  </si>
  <si>
    <t>Airfare to Other Regions (1 staff x 3 trips)</t>
  </si>
  <si>
    <t>Daily Per Diem 1,100 for 6 days (1 staff x 3 trips)</t>
  </si>
  <si>
    <t>Conferences, Seminars, Exhibitions and Other Events: - Local</t>
  </si>
  <si>
    <t>Registration Fee</t>
  </si>
  <si>
    <t>Daily Per Diem 1,100 for 2 days (1 student x 1 trip)</t>
  </si>
  <si>
    <t>Conferences, Seminars, Exhibitions and Other Events: - Overseas</t>
  </si>
  <si>
    <t>Cost increased due to expected higher number of graduate students admitted. Double the number of students attending local conferences.</t>
  </si>
  <si>
    <t>Daily Per Diem 1,100 for 7 days (1 student x 1 trip)</t>
  </si>
  <si>
    <t>Airfare</t>
  </si>
  <si>
    <t>Student Field Trips</t>
  </si>
  <si>
    <t>Local and International Field Trip Opportunities</t>
  </si>
  <si>
    <t>Student Internship</t>
  </si>
  <si>
    <t>Local and International Internship Opportunities</t>
  </si>
  <si>
    <t xml:space="preserve">Postgraduate Student Salaries
FT Students
Average stipend for single/married UAE National students:
Local Buhooth
PhD: (36,000+39,000)/2 = 37,500
MSc: (30,000+33,000)/2 = 31,500
International Buhooth
PhD: (41,000+44,000)/2 = 42,500
MSc: (35,000+38,000)/2 = 36,500
</t>
  </si>
  <si>
    <t>2023 Current Students (Total 492)</t>
  </si>
  <si>
    <t xml:space="preserve">   International Buhooth (26,800 x 12 months) - Abdulrahman Almessabi</t>
  </si>
  <si>
    <t xml:space="preserve">   International Buhooth (44,372 x 12 months) - Ajlan Al Zaki</t>
  </si>
  <si>
    <t>Position upgraded to Post-Doc from 2022 to 2024.</t>
  </si>
  <si>
    <t xml:space="preserve">   International Buhooth (41,000 x 12 months) - Alya Rashed Alqaydi</t>
  </si>
  <si>
    <t xml:space="preserve">   S23/SM23 Graduates FT UAE National PhD Married (39,000 x 6 months) - BUTH</t>
  </si>
  <si>
    <t xml:space="preserve">   S23/SM23 Graduates FT UAE National PhD Single (36,000 x 6 months) - BUTH</t>
  </si>
  <si>
    <t xml:space="preserve">   S23/SM23 Graduates FT UAE National MSc Married (33,000 x 6 months) - BUTH</t>
  </si>
  <si>
    <t xml:space="preserve">   S23/SM23 Graduates FT UAE National MSc Single (30,000 x 6 months) - BUTH</t>
  </si>
  <si>
    <t xml:space="preserve">   S23/SM23 Graduates FT Expat PhD (12,000 x 6 months) - DRTS</t>
  </si>
  <si>
    <t xml:space="preserve">   S23/SM23 Graduates FT Expat PhD (10,000 x 6 months) - GRTA</t>
  </si>
  <si>
    <t xml:space="preserve">   S23/SM23 Graduates FT Expat MSc (8,000 x 6 months) - CMDRTS</t>
  </si>
  <si>
    <t xml:space="preserve">   S23/SM23 Graduates FT Expat MSc (8,000 x 6 months) - GRTA</t>
  </si>
  <si>
    <t xml:space="preserve">   S23/SM23 Graduates FT Expat PhD (5,500 x 6 months) - CSC-KU</t>
  </si>
  <si>
    <t xml:space="preserve">   S23/SM23 Graduates FT Expat MSc (4,000 x 6 months) - MRTS</t>
  </si>
  <si>
    <t xml:space="preserve">   F23 Graduates FT UAE National PhD Married (39,000 x 12 months) - BUTH</t>
  </si>
  <si>
    <t xml:space="preserve">   F23 Graduates FT UAE National PhD Single (36,000 x 12 months) - BUTH</t>
  </si>
  <si>
    <t xml:space="preserve">   F23 Graduates FT UAE National MSc Married (33,000 x 12 months) - BUTH</t>
  </si>
  <si>
    <t xml:space="preserve">   F23 Graduates FT UAE National MSc Single (30,000 x 12 months) - BUTH</t>
  </si>
  <si>
    <t xml:space="preserve">   F23 Graduates FT Expat PhD (12,000 x 12 months) - DRTS</t>
  </si>
  <si>
    <t xml:space="preserve">   F23 Graduates FT Expat PhD (10,000 x 12 months) - GRTA</t>
  </si>
  <si>
    <t xml:space="preserve">   F23 Graduates FT Expat MSc (8,000 x 12 months) - CMDRTS</t>
  </si>
  <si>
    <t xml:space="preserve">   F23 Graduates FT Expat MSc (8,000 x 12 months) - GRTA</t>
  </si>
  <si>
    <t xml:space="preserve">   F23 Graduates FT Expat PhD (5,500 x 12 months) - CSC-KU</t>
  </si>
  <si>
    <t xml:space="preserve">   F23 Graduates FT Expat MSc (4,000 x 12 months) - MRTS</t>
  </si>
  <si>
    <t xml:space="preserve">   Continuing FT UAE National PhD Married (39,000 x 12 months) - BUTH</t>
  </si>
  <si>
    <t xml:space="preserve">   Continuing FT UAE National PhD Single (36,000 x 12 months) - BUTH</t>
  </si>
  <si>
    <t xml:space="preserve">   Continuing FT UAE National MSc Married (33,000 x 12 months) - BUTH</t>
  </si>
  <si>
    <t xml:space="preserve">   Continuing FT UAE National MSc Single (30,000 x 12 months) - BUTH</t>
  </si>
  <si>
    <t xml:space="preserve">   Continuing FT Expat PhD (12,000 x 12 months) - DRTS</t>
  </si>
  <si>
    <t xml:space="preserve">   Continuing FT Expat PhD (10,000 x 12 months) - GRTA</t>
  </si>
  <si>
    <t xml:space="preserve">   Continuing FT Expat MSc (8,000 x 12 months) - CMDRTS</t>
  </si>
  <si>
    <t xml:space="preserve">   Continuing FT Expat MSc (8,000 x 12 months) - GRTA</t>
  </si>
  <si>
    <t xml:space="preserve">   Continuing FT Expat PhD (5,500 x 12 months) - CSC-KU</t>
  </si>
  <si>
    <t xml:space="preserve">   Continuing FT Expat MSc (4,000 x 12 months) - MRTS</t>
  </si>
  <si>
    <t xml:space="preserve">   Accommodation Allowance (2,000 x 12 months) - DRTS, CSC-KU, CMDRTS</t>
  </si>
  <si>
    <t>50% of total students eligible for free accomodation, in case University dorms are not available.</t>
  </si>
  <si>
    <t xml:space="preserve">   Students requesting scholarship extention from SM to F (39,000 x 5 months)</t>
  </si>
  <si>
    <t>Fall 2022 Intake - Estimated (303 Students)</t>
  </si>
  <si>
    <t xml:space="preserve">   FT UAE National PhD (37,500 x 12 months) - BUTH</t>
  </si>
  <si>
    <t xml:space="preserve">   FT UAE National MSc (31,500 x 12 months) - BUTH</t>
  </si>
  <si>
    <t xml:space="preserve">   FT Expat PhD (12,000 x 12 months) - DRTS</t>
  </si>
  <si>
    <t xml:space="preserve">   FT Expat PhD (9,200 x 12 months) - CSC-KU</t>
  </si>
  <si>
    <t xml:space="preserve">   FT Expat MSc (8,000 x 12 months) - CMDRTS</t>
  </si>
  <si>
    <t xml:space="preserve">   FT Expat MSc (4,000 x 12 months) - MRTS</t>
  </si>
  <si>
    <t xml:space="preserve">   International Buhooth (42,500 x 12 months)</t>
  </si>
  <si>
    <t xml:space="preserve">   Accommodation Allowance (2,000 x 5 months) - DRTS, CSC-KU, CMDRTS</t>
  </si>
  <si>
    <t xml:space="preserve">   FT Expat PhD (18,000 x 12 months) - KUCS</t>
  </si>
  <si>
    <t xml:space="preserve">   Accommodation Allowance (2,000 x 12 months) - KUCS, DRTS, CMDRTS</t>
  </si>
  <si>
    <t>Fall 2023 Intake - Estimated (303 Students)</t>
  </si>
  <si>
    <t xml:space="preserve">   FT UAE National PhD (37,500 x 5 months) - BUTH</t>
  </si>
  <si>
    <t xml:space="preserve">   FT UAE National MSc (31,500 x 5 months) - BUTH</t>
  </si>
  <si>
    <t xml:space="preserve">   FT Expat PhD (18,000 x 5 months) - KUCS</t>
  </si>
  <si>
    <t xml:space="preserve">   FT Expat PhD (12,000 x 5 months) - DRTS</t>
  </si>
  <si>
    <t xml:space="preserve">   FT Expat PhD (9,200 x 5 months) - CSC-KU</t>
  </si>
  <si>
    <t xml:space="preserve">   FT Expat MSc (8,000 x 5 months) - CMDRTS</t>
  </si>
  <si>
    <t xml:space="preserve">   FT Expat MSc (4,000 x 5 months) - MRTS</t>
  </si>
  <si>
    <t xml:space="preserve">   International Buhooth (41,000 x 5 months)</t>
  </si>
  <si>
    <t xml:space="preserve">   Accommodation Allowance (2,000 x 5 months) - KUCS, DRTS, CSC-KU, CMDRTS</t>
  </si>
  <si>
    <t xml:space="preserve">Student Relocation &amp; Travel Expenses
FT Expat Students
</t>
  </si>
  <si>
    <t>S23/SM23 Graduates Demobilization Airfare (One-Way)</t>
  </si>
  <si>
    <t>100% of graduating expat students potentially eligible for demobilization flight.</t>
  </si>
  <si>
    <t>F23 Graduates Demobilization Airfare (One-Way)</t>
  </si>
  <si>
    <t>Continuing Students Annual Travel Allowance (Return)</t>
  </si>
  <si>
    <t>100% of continuing expat students are eligible for annual travel allowance.</t>
  </si>
  <si>
    <t>Continuing Students Residence Visa Renewal (1 year)</t>
  </si>
  <si>
    <t>Expat students admitted in 2020 and not graduated before 2023.</t>
  </si>
  <si>
    <t>Continuing Students Residence Visa Renewal Medical Test</t>
  </si>
  <si>
    <t>F22 Intake Annual Travel Allowance (Return)</t>
  </si>
  <si>
    <t>S23 Intake Annual Travel Allowance (Return)</t>
  </si>
  <si>
    <t>S23 Intake Mobilization Airfare (One-Way)</t>
  </si>
  <si>
    <t>70% of admitted expat students joining from abroad.</t>
  </si>
  <si>
    <t>S23 Intake E-Visa Permit Application</t>
  </si>
  <si>
    <t>S23 Intake Residence Visa (3 years)</t>
  </si>
  <si>
    <t>S23 Intake Residence Visa Medical Test</t>
  </si>
  <si>
    <t>F23 Intake Mobilization Airfare (One-Way)</t>
  </si>
  <si>
    <t>F23 Intake E-Visa Permit Application</t>
  </si>
  <si>
    <t>F23 Intake Residence Visa (3 years)</t>
  </si>
  <si>
    <t>F23 Intake Residence Visa Medical Test</t>
  </si>
  <si>
    <t>Student Medical Insurance
FT Expat Students</t>
  </si>
  <si>
    <t>All Current Students (1 student x 1 year) - DRTS, GRTA, CMDRTS, CSC-KU, MRTS</t>
  </si>
  <si>
    <t>100% of expat students potentially eligible for medical insurance.</t>
  </si>
  <si>
    <t>F22 Intake (1 student x 1 year) - KUCS, DRTS, CSC-KU, CMDRTS, MRTS</t>
  </si>
  <si>
    <t>S23 Intake (1 student x 1 year) - KUCS, DRTS, CSC-KU, CMDRTS, MRTS</t>
  </si>
  <si>
    <t>F23 Intake (1 student x 1 year) - KUCS, DRTS, CSC-KU, CMDRTS, MRTS</t>
  </si>
  <si>
    <t>Hardware &amp; Peripherals
Laptops for FT PhD Students</t>
  </si>
  <si>
    <t>F22 Intake PhD FT - BUTH</t>
  </si>
  <si>
    <t>F22 Intake PhD FT - DRTS, CSC-KU</t>
  </si>
  <si>
    <t>S23 Intake PhD FT - BUTH</t>
  </si>
  <si>
    <t>S23 Intake PhD FT - DRTS, KUCS</t>
  </si>
  <si>
    <t>F23 Intake PhD FT - BUTH</t>
  </si>
  <si>
    <t>F23 Intake PhD FT - DRTS, KUCS, CSC-KU</t>
  </si>
  <si>
    <t>TOTAL</t>
  </si>
  <si>
    <t>Postgraduate Student Salaries
FT Students
Average stipend for single/married UAE National students:
PhD: (36,000+39,000)/2 = 37,500
MSc: (30,000+33,000)/2 = 31,500</t>
  </si>
  <si>
    <t>2024 Current Students (Total 1,023)</t>
  </si>
  <si>
    <t xml:space="preserve">   S24/SM24 Graduates FT UAE National PhD (37,500 x 6 months) - BUTH</t>
  </si>
  <si>
    <t xml:space="preserve">   S24/SM24 Graduates FT UAE National MSc (31,500 x 6 months) - BUTH</t>
  </si>
  <si>
    <t xml:space="preserve">   S24/SM24 Graduates FT Expat PhD (12,000 x 6 months) - DRTS</t>
  </si>
  <si>
    <t xml:space="preserve">   S24/SM24 Graduates FT Expat PhD (10,000 x 6 months) - GRTA</t>
  </si>
  <si>
    <t xml:space="preserve">   S24/SM24 Graduates FT Expat MSc (8,000 x 6 months) - CMDRTS</t>
  </si>
  <si>
    <t xml:space="preserve">   S24/SM24 Graduates FT Expat PhD (5,500 x 6 months) - CSC-KU</t>
  </si>
  <si>
    <t xml:space="preserve">   S24/SM24 Graduates FT Expat MSc (4,000 x 6 months) - MRTS</t>
  </si>
  <si>
    <t xml:space="preserve">   F24 Graduates FT UAE National PhD (37,500 x 12 months) - BUTH</t>
  </si>
  <si>
    <t xml:space="preserve">   F24 Graduates FT UAE National MSc (31,500 x 12 months) - BUTH</t>
  </si>
  <si>
    <t xml:space="preserve">   F24 Graduates FT Expat PhD (12,000 x 12 months) - DRTS</t>
  </si>
  <si>
    <t xml:space="preserve">   F24 Graduates FT Expat PhD (10,000 x 12 months) - GRTA</t>
  </si>
  <si>
    <t xml:space="preserve">   F24 Graduates FT Expat MSc (8,000 x 12 months) - CMDRTS</t>
  </si>
  <si>
    <t xml:space="preserve">   F24 Graduates FT Expat PhD (5,500 x 12 months) - CSC-KU</t>
  </si>
  <si>
    <t xml:space="preserve">   F24 Graduates FT Expat MSc (4,000 x 12 months) - MRTS</t>
  </si>
  <si>
    <t xml:space="preserve">   Continuing FT UAE National PhD (37,500 x 12 months) - BUTH</t>
  </si>
  <si>
    <t xml:space="preserve">   Continuing FT UAE National MSc (31,500 x 12 months) - BUTH</t>
  </si>
  <si>
    <t xml:space="preserve">   Continuing FT Expat PhD (18,000 x 12 months) - KUCS</t>
  </si>
  <si>
    <t xml:space="preserve">   Continuing FT Expat PhD (9,200 x 12 months) - CSC-KU</t>
  </si>
  <si>
    <t>Spring 2024 Intake - Estimated (152 Students)</t>
  </si>
  <si>
    <t>Fall 2024 Intake - Estimated (303 Students)</t>
  </si>
  <si>
    <t xml:space="preserve">   International Buhooth (42,500 x 5 months)</t>
  </si>
  <si>
    <t>S24/SM24 Graduates Demobilization Airfare (One-Way)</t>
  </si>
  <si>
    <t>F24 Graduates Demobilization Airfare (One-Way)</t>
  </si>
  <si>
    <t>Expat students admitted in 2021 and not graduated before 2024.</t>
  </si>
  <si>
    <t>S24 Intake Annual Travel Allowance (Return)</t>
  </si>
  <si>
    <t>S24 Intake Mobilization Airfare (One-Way)</t>
  </si>
  <si>
    <t>S24 Intake E-Visa Permit Application</t>
  </si>
  <si>
    <t>S24 Intake Residence Visa (3 years)</t>
  </si>
  <si>
    <t>S24 Intake Residence Visa Medical Test</t>
  </si>
  <si>
    <t>F24 Intake Mobilization Airfare (One-Way)</t>
  </si>
  <si>
    <t>F24 Intake E-Visa Permit Application</t>
  </si>
  <si>
    <t>F24 Intake Residence Visa (3 years)</t>
  </si>
  <si>
    <t>F24 Intake Residence Visa Medical Test</t>
  </si>
  <si>
    <t>S24 Intake (1 student x 1 year) - KUCS, DRTS, CSC-KU, CMDRTS, MRTS</t>
  </si>
  <si>
    <t>F24 Intake (1 student x 1 year) - KUCS, DRTS, CSC-KU, CMDRTS, MRTS</t>
  </si>
  <si>
    <t>S24 Intake PhD FT - BUTH</t>
  </si>
  <si>
    <t>S24 Intake PhD FT - DRTS, KUCS</t>
  </si>
  <si>
    <t>F24 Intake PhD FT - BUTH</t>
  </si>
  <si>
    <t>F24 Intake PhD FT - DRTS, KUCS, CSC-KU</t>
  </si>
  <si>
    <t>2025 Current Students (Total 1,149)</t>
  </si>
  <si>
    <t xml:space="preserve">   S25/SM25 Graduates FT UAE National PhD (37,500 x 6 months) - BUTH</t>
  </si>
  <si>
    <t xml:space="preserve">   S25/SM25 Graduates FT UAE National MSc (31,500 x 6 months) - BUTH</t>
  </si>
  <si>
    <t xml:space="preserve">   S25/SM25 Graduates FT Expat PhD (12,000 x 6 months) - DRTS</t>
  </si>
  <si>
    <t xml:space="preserve">   S25/SM25 Graduates FT Expat PhD (10,000 x 6 months) - GRTA</t>
  </si>
  <si>
    <t xml:space="preserve">   S25/SM25 Graduates FT Expat MSc (8,000 x 6 months) - CMDRTS</t>
  </si>
  <si>
    <t xml:space="preserve">   S25/SM25 Graduates FT Expat MSc (4,000 x 6 months) - MRTS</t>
  </si>
  <si>
    <t xml:space="preserve">   F25 Graduates FT UAE National PhD (37,500 x 12 months) - BUTH</t>
  </si>
  <si>
    <t xml:space="preserve">   F25 Graduates FT UAE National MSc (31,500 x 12 months) - BUTH</t>
  </si>
  <si>
    <t xml:space="preserve">   F25 Graduates FT Expat PhD (12,000 x 12 months) - DRTS</t>
  </si>
  <si>
    <t xml:space="preserve">   F25 Graduates FT Expat PhD (10,000 x 12 months) - GRTA</t>
  </si>
  <si>
    <t xml:space="preserve">   F25 Graduates FT Expat MSc (8,000 x 12 months) - CMDRTS</t>
  </si>
  <si>
    <t xml:space="preserve">   F25 Graduates FT Expat MSc (4,000 x 12 months) - MRTS</t>
  </si>
  <si>
    <t>Spring 2025 Intake - Estimated (152 Students)</t>
  </si>
  <si>
    <t>Fall 2025 Intake - Estimated (303 Students)</t>
  </si>
  <si>
    <t>S25/SM25 Graduates Demobilization Airfare (One-Way)</t>
  </si>
  <si>
    <t>F25 Graduates Demobilization Airfare (One-Way)</t>
  </si>
  <si>
    <t>Expat students admitted in 2022 and not graduated before 2025.</t>
  </si>
  <si>
    <t>S25 Intake Annual Travel Allowance (Return)</t>
  </si>
  <si>
    <t>S25 Intake Mobilization Airfare (One-Way)</t>
  </si>
  <si>
    <t>S25 Intake E-Visa Permit Application</t>
  </si>
  <si>
    <t>S25 Intake Residence Visa (3 years)</t>
  </si>
  <si>
    <t>S25 Intake Residence Visa Medical Test</t>
  </si>
  <si>
    <t>F25 Intake Mobilization Airfare (One-Way)</t>
  </si>
  <si>
    <t>F25 Intake E-Visa Permit Application</t>
  </si>
  <si>
    <t>F25 Intake Residence Visa (3 years)</t>
  </si>
  <si>
    <t>F25 Intake Residence Visa Medical Test</t>
  </si>
  <si>
    <t>All Current Students (1 student  x 1 year) - DRTS, GRTA, CMDRTS, CSC-KU, MRTS</t>
  </si>
  <si>
    <t>S25 Intake (1 student x 1 year) - KUCS, DRTS, CSC-KU, CMDRTS, MRTS</t>
  </si>
  <si>
    <t>F25 Intake (1 student x 1 year) - KUCS, DRTS, CSC-KU, CMDRTS, MRTS</t>
  </si>
  <si>
    <t>S25 Intake PhD FT - BUTH</t>
  </si>
  <si>
    <t>S25 Intake PhD FT - DRTS, KUCS</t>
  </si>
  <si>
    <t>F25 Intake PhD FT - BUTH</t>
  </si>
  <si>
    <t>F25 Intake PhD FT - DRTS, KUCS, CSC-KU</t>
  </si>
  <si>
    <t>2023-2024</t>
  </si>
  <si>
    <t>STIPEND GROUP</t>
  </si>
  <si>
    <t>Amount</t>
  </si>
  <si>
    <t>UAE Cont. GPA &gt;= 3.8</t>
  </si>
  <si>
    <t>UAE Cont. GPA bet 2.0- 2.59</t>
  </si>
  <si>
    <t>UAE Cont. GPA bet 2.6- 3.19</t>
  </si>
  <si>
    <t>UAE Cont. GPA bet 3.2 - 3.79</t>
  </si>
  <si>
    <t>UAE New student</t>
  </si>
  <si>
    <t>Premedical</t>
  </si>
  <si>
    <t>2021-2022</t>
  </si>
  <si>
    <t>2022-2023</t>
  </si>
  <si>
    <t>2024-2025</t>
  </si>
  <si>
    <t>2025-2026</t>
  </si>
  <si>
    <t>2026-2027</t>
  </si>
  <si>
    <t>2027-2028</t>
  </si>
  <si>
    <t>Continuing Students - UG</t>
  </si>
  <si>
    <t>Continuing   Students - PG</t>
  </si>
  <si>
    <t>Intake - UG</t>
  </si>
  <si>
    <t>Intake - PG</t>
  </si>
  <si>
    <t>Total UG</t>
  </si>
  <si>
    <t>Total PG</t>
  </si>
  <si>
    <t>UG</t>
  </si>
  <si>
    <t>PG</t>
  </si>
  <si>
    <t>NATION</t>
  </si>
  <si>
    <t>Fall 2019</t>
  </si>
  <si>
    <t>Spring 2020</t>
  </si>
  <si>
    <t>Fall 2020</t>
  </si>
  <si>
    <t>Spring 2021</t>
  </si>
  <si>
    <t>Fall 2021</t>
  </si>
  <si>
    <t>Spring 2022</t>
  </si>
  <si>
    <t>Fall 2022</t>
  </si>
  <si>
    <t>Spring 2023</t>
  </si>
  <si>
    <t>Fall 2023</t>
  </si>
  <si>
    <t>Spring 2024</t>
  </si>
  <si>
    <t>Fall 2024</t>
  </si>
  <si>
    <t>Spring 2025</t>
  </si>
  <si>
    <t>Fall 2025</t>
  </si>
  <si>
    <t>Spring 2026</t>
  </si>
  <si>
    <t>FALL 2026</t>
  </si>
  <si>
    <t>Spring 2027</t>
  </si>
  <si>
    <t>FALL 2027</t>
  </si>
  <si>
    <t>Spring 2028</t>
  </si>
  <si>
    <t>AE</t>
  </si>
  <si>
    <t>TRA Cont. GPA bet 3.2 - 3.79</t>
  </si>
  <si>
    <t>Sub-Total</t>
  </si>
  <si>
    <t>Top High School</t>
  </si>
  <si>
    <t>EXPATS</t>
  </si>
  <si>
    <t>EXP Top 20 on GPA (cont)</t>
  </si>
  <si>
    <t>President's Scholarship AD (Includes  Ertiran and  Ethiopian students only)</t>
  </si>
  <si>
    <t>Not Eligible (This includes SAN Students). 10% of this number includes the attrition</t>
  </si>
  <si>
    <t>Not Eligible</t>
  </si>
  <si>
    <t>AE &amp; EXPAT</t>
  </si>
  <si>
    <t>Graduating EL &amp; Attrition</t>
  </si>
  <si>
    <t>Total For Following Term</t>
  </si>
  <si>
    <t>Postgraduate</t>
  </si>
  <si>
    <t>Continuing</t>
  </si>
  <si>
    <t>Graduating &amp; Attrition 10%</t>
  </si>
  <si>
    <t>New</t>
  </si>
  <si>
    <t>Intake Attrition 10%</t>
  </si>
  <si>
    <t>Fall 2027</t>
  </si>
  <si>
    <t>Graduating &amp; Attrition 15%</t>
  </si>
  <si>
    <t>New UAE</t>
  </si>
  <si>
    <t>New EXPATS</t>
  </si>
  <si>
    <t>Total MD</t>
  </si>
  <si>
    <t>Net Total</t>
  </si>
  <si>
    <t>Sum of 2023 Budget Scenario 90%</t>
  </si>
  <si>
    <t>Sum of 2023 Budget Scenario 80%</t>
  </si>
  <si>
    <t>Sum of 2023 Budget Scenario 70%</t>
  </si>
  <si>
    <t>Sum of 2024 Budget</t>
  </si>
  <si>
    <t>Sum of 2025 Budget</t>
  </si>
  <si>
    <t xml:space="preserve"> 2022 - Jun Actual</t>
  </si>
  <si>
    <t xml:space="preserve"> 2019 Actual</t>
  </si>
  <si>
    <t xml:space="preserve"> 2020 Actual</t>
  </si>
  <si>
    <t xml:space="preserve"> 2021 Actual</t>
  </si>
  <si>
    <t xml:space="preserve"> 2022 Budget</t>
  </si>
  <si>
    <t xml:space="preserve"> 2022 Estimates Full Year Actual</t>
  </si>
  <si>
    <t xml:space="preserve"> 2022 PR</t>
  </si>
  <si>
    <t xml:space="preserve"> 2022 PO</t>
  </si>
  <si>
    <t>Diff</t>
  </si>
  <si>
    <t>Sum of Diff</t>
  </si>
  <si>
    <t xml:space="preserve">Account </t>
  </si>
  <si>
    <t>Lab Budget added</t>
  </si>
  <si>
    <t>Chp</t>
  </si>
  <si>
    <t>430110 - Rental - Land</t>
  </si>
  <si>
    <t xml:space="preserve">KUST - Office of the Provost AED 3.6M </t>
  </si>
  <si>
    <t xml:space="preserve">KUST - Student Life:Student Transportion actiivties AED 11.6M </t>
  </si>
  <si>
    <t>KUST - Registrar office student Text book AED 11.4M</t>
  </si>
  <si>
    <t>436340 -Sports and other recreational supplies: Students</t>
  </si>
  <si>
    <t>436340 - Sports and other recreational supplies: Students</t>
  </si>
  <si>
    <t xml:space="preserve">FMS has significant amount in budget AED 6 M Medical equipment, High Fidelity Simulators, Task Trainers 
Construction supply and installation of self-contained cold store for 8 bodies (MS) 
Class room fit out and office, labs
</t>
  </si>
  <si>
    <t xml:space="preserve">Significant increase in the research computer compared FY2022 it increased by AED2.7M budget amount AED5.4m
</t>
  </si>
  <si>
    <t>Communication budgeted AED 2.1M and CoM budgeted AED 1.1</t>
  </si>
  <si>
    <t>KUST - Executive Vice President Office budgeted AED 3M for Special Projects (Projects that gets assigned by the chairman and the board) Like Khalifa COVID FACE MASK and Satellites.</t>
  </si>
  <si>
    <t>Provost office: 23 x CAA accreditation of programs @ 150K each + 5 x new Programs @ 150K each AED 3.45M</t>
  </si>
  <si>
    <t>KUST - Executive Vice President Office Budgeted AED 1M and KUST - Office of the President AED 1M, remaining all other college budget AED 3M</t>
  </si>
  <si>
    <t>2023 % Compared to Budget 2022</t>
  </si>
  <si>
    <t>2023 and 2022 Difference</t>
  </si>
  <si>
    <t xml:space="preserve">2023 % Budget  Difference compared to total difference  </t>
  </si>
  <si>
    <t>2023  Budget  Difference compared to total difference  in %</t>
  </si>
  <si>
    <t>Due to increased in  the rental</t>
  </si>
  <si>
    <t>Soft Service Payment to West Coast against Contract C303.</t>
  </si>
  <si>
    <t>Soft Service Payment to West Coast against Contract C 303</t>
  </si>
  <si>
    <t>420570.Academic. Collaborative Partnership Services-Partnership Agreement or Academic Collaboration -No of Partneship/collaboration Agreement</t>
  </si>
  <si>
    <t>For payments made to collaborating institutions, as part of partnership agreements. This would include a potential affilation partnership for the greaduate school of busineess 15M.</t>
  </si>
  <si>
    <t>For payments made to collaborating institutions, as part of partnership agreements. This would include a potential affilation partnership for the greaduate school of busineess 5M</t>
  </si>
  <si>
    <t xml:space="preserve">• Human resource has budget for 4.4M and it increaed by 100%,ERP Solution AED 3M 
• New implementation of system for Archiving Solution AED 1M
</t>
  </si>
  <si>
    <t xml:space="preserve">• Major Classroom Renovations to adopt hybrid learning in classrooms: AED3.3
• AV equipment for Merged Classrooms in SAN Campus and Main Campus - Part 2.
AV Equipment AED 702  
</t>
  </si>
  <si>
    <t xml:space="preserve">
Academic Collaborative Partnership Services Opex: it increased by 53% compared to FY2022.
• CoM AED 33M SSMC-SEHA agreement AED 33m
• The office of EVP: potential affiliation partnership for the graduate school AED 15M
• President office 5M, Provost Office 3m
</t>
  </si>
  <si>
    <t>Compared FY2022 overall budget increased by 13%, exiting project 81M and new FY2023 projects awards 31M</t>
  </si>
  <si>
    <t xml:space="preserve">Opex Building Maintenance overall 50% increase compared to FY2022. 
• It consist of Hard Service agreement 30M
• Property maintaining budget for upgrade, replaced and Refurbishment AED 4M 
</t>
  </si>
  <si>
    <t xml:space="preserve">Communication budget has overall increased in FY2023 147%, it more of budget in Advertisement services which increased in compared to FY2022 157%:
• General DM campaign, news content preparation, magazine content development,etc, AED 2M 
• Updating content in the website, creating pages, creating websites and new system AED 1M
• Branding for the university rank AED 2.4M
• Monthly basis operations which is varies from (TV commercials, radio, Social Media) AED 5.4M
</t>
  </si>
  <si>
    <t xml:space="preserve">• This includes the major Events hosted such as (Graduation, National Day,KU Century Challenge  ) AED 5M
• KUST - Dean Of Medicine: Communication Dept. - This includes the major exhibitions  participation such as (ADIPEC, IDEX, NAJAH, AD Book Fair) AED 1.12M
• KUST - Career Services: Career Fair, Alumni Re-union, etc AED 1M
</t>
  </si>
  <si>
    <t>Actual Intake</t>
  </si>
  <si>
    <t>Medical</t>
  </si>
  <si>
    <t xml:space="preserve">Spring 2023 Intake - Estimated (152 Students) </t>
  </si>
  <si>
    <t>2022/2023 new graduate students number 758</t>
  </si>
  <si>
    <t>Budget</t>
  </si>
  <si>
    <t>Count</t>
  </si>
  <si>
    <t>Salaries &amp; Allowances</t>
  </si>
  <si>
    <t>Benefits</t>
  </si>
  <si>
    <t>Expected Hires</t>
  </si>
  <si>
    <t>To be Hired in 2022</t>
  </si>
  <si>
    <t>Manpower Plan 2023</t>
  </si>
  <si>
    <t>Initial Budget</t>
  </si>
  <si>
    <t xml:space="preserve">KU </t>
  </si>
  <si>
    <t>Current Employees</t>
  </si>
  <si>
    <t>Hires 2021</t>
  </si>
  <si>
    <t>Hires 2022</t>
  </si>
  <si>
    <t>Outsourced Employees</t>
  </si>
  <si>
    <t>Ankabut Employees</t>
  </si>
  <si>
    <t>Other Outsourced</t>
  </si>
  <si>
    <t>Central Budget and Other</t>
  </si>
  <si>
    <t>Current Employees - Ankabut</t>
  </si>
  <si>
    <t>Hires 2022 - Ankabut</t>
  </si>
  <si>
    <t>2023 - Proposal</t>
  </si>
  <si>
    <t>2022 - Proposal</t>
  </si>
  <si>
    <t>2020-2021</t>
  </si>
  <si>
    <t>Counts</t>
  </si>
  <si>
    <t xml:space="preserve">2022 - Revised </t>
  </si>
  <si>
    <t>IT 43 staff and Other staff</t>
  </si>
  <si>
    <t xml:space="preserve">** surplus budget </t>
  </si>
  <si>
    <t>Chapter 2 (operating):</t>
  </si>
  <si>
    <t xml:space="preserve"> 2023 Budget </t>
  </si>
  <si>
    <t xml:space="preserve"> 2023 budget %</t>
  </si>
  <si>
    <t xml:space="preserve"> 2024 Budget</t>
  </si>
  <si>
    <t xml:space="preserve"> 2025 Budget</t>
  </si>
  <si>
    <t>Exisiting Employees (May 2022)</t>
  </si>
  <si>
    <t>Current Existing Costs (May 2022)</t>
  </si>
  <si>
    <t>New Hires Costs</t>
  </si>
  <si>
    <t>Chapter 3 (Capex):</t>
  </si>
  <si>
    <t>(All)</t>
  </si>
  <si>
    <t xml:space="preserve"> 2023 Budget Scenario 90%</t>
  </si>
  <si>
    <t>Compared to FY2022 budgeted graduate salary has increased by 81% and new intake students 
-2022 Fall = 303
-2023 Spring = 152 
-2023 Fall = 303  
Exiting students as of Jun 2022 = 492</t>
  </si>
  <si>
    <t>2019-2020</t>
  </si>
  <si>
    <t>Jun 2022 (Actula , PR, PO)</t>
  </si>
  <si>
    <r>
      <t xml:space="preserve">UG stipend budget increased by 18%, Due to </t>
    </r>
    <r>
      <rPr>
        <sz val="11"/>
        <color rgb="FFFF0000"/>
        <rFont val="Calibri"/>
        <family val="2"/>
        <scheme val="minor"/>
      </rPr>
      <t>2022</t>
    </r>
    <r>
      <rPr>
        <sz val="11"/>
        <color theme="1"/>
        <rFont val="Calibri"/>
        <family val="2"/>
        <scheme val="minor"/>
      </rPr>
      <t xml:space="preserve"> intake increaed by </t>
    </r>
    <r>
      <rPr>
        <sz val="11"/>
        <color rgb="FFFF0000"/>
        <rFont val="Calibri"/>
        <family val="2"/>
        <scheme val="minor"/>
      </rPr>
      <t>923</t>
    </r>
    <r>
      <rPr>
        <sz val="11"/>
        <color theme="1"/>
        <rFont val="Calibri"/>
        <family val="2"/>
        <scheme val="minor"/>
      </rPr>
      <t xml:space="preserve"> and student moved to higher GPA. 
FY2023 new intake 650</t>
    </r>
  </si>
  <si>
    <t>378 Faculty, 389 Staff, 15 Off-Chart</t>
  </si>
  <si>
    <t>30 Faculty, 50 Staff</t>
  </si>
  <si>
    <t>65 Faculty, 74 Staff</t>
  </si>
  <si>
    <t>Total current 43 in KUST + 23 in KUA (Total positions on chart 71)</t>
  </si>
  <si>
    <t>Compared to 2022 Intake</t>
  </si>
  <si>
    <t>Compared to year 2021-22  increaed 76%. 2021-2022 PG students 431, in 20212022  PG students 758</t>
  </si>
  <si>
    <t>Compared to year 2021-22  intake increaed in 2022-23 in percentage 76%. 2021-2022 PG students intkae 431, in 2022-23  PG students 758</t>
  </si>
  <si>
    <t>Student Numbers</t>
  </si>
  <si>
    <t>MASDER complex 2023 rental shortage for 275 students - new requirment from student services FY22/23</t>
  </si>
  <si>
    <t>SAN Student Rentail Accommodation 4 month for total of 700 students FY23 (Sep-23 to Dec-23)</t>
  </si>
  <si>
    <t xml:space="preserve">• MASDER complex 2022 rental AED 4.587M
• MASDER complex 2023 rental   AED 4.632M
• MASDER complex 2023 rental shortage for 275 students - new requirement from student services FY22/23 AED 5M
• SAN Student Rental Accommodation four month for total of 700 students FY23 (Sep-23 to Dec-23), per project plan SAN accommodation will hand over for contractor in Sep-23 
</t>
  </si>
  <si>
    <r>
      <t xml:space="preserve">
</t>
    </r>
    <r>
      <rPr>
        <b/>
        <sz val="11"/>
        <color theme="1"/>
        <rFont val="Calibri"/>
        <family val="2"/>
        <scheme val="minor"/>
      </rPr>
      <t xml:space="preserve">Intake year  - UG and Student </t>
    </r>
    <r>
      <rPr>
        <sz val="11"/>
        <color theme="1"/>
        <rFont val="Calibri"/>
        <family val="2"/>
        <scheme val="minor"/>
      </rPr>
      <t xml:space="preserve">2019-2020 - 798
2020-2021- 1144
2021-2022- 923
2022-2023- 650
</t>
    </r>
    <r>
      <rPr>
        <b/>
        <sz val="11"/>
        <color theme="1"/>
        <rFont val="Calibri"/>
        <family val="2"/>
        <scheme val="minor"/>
      </rPr>
      <t>Total - 3515</t>
    </r>
  </si>
  <si>
    <t xml:space="preserve">Overall increased 228% compared to FY2022, 
• FMS consultancy service for Qruin AlAish Masterplan AED5 
• PMO FM projects (Open blanket agreement) AED2
</t>
  </si>
  <si>
    <t xml:space="preserve">• Office of the Provost AED 2M 
• HR AED 1M 
• Communication AED 998K
• Electrical &amp; Computer Engineering AED 302K
• Others 13 department budgeted AED 647
</t>
  </si>
  <si>
    <t xml:space="preserve">6 post docs @ 500K National Post Doc Scheme +
20 faculty @ 30K for Faculty Development Scheme
</t>
  </si>
  <si>
    <r>
      <rPr>
        <b/>
        <sz val="11"/>
        <color theme="1"/>
        <rFont val="Calibri"/>
        <family val="2"/>
        <scheme val="minor"/>
      </rPr>
      <t>Primary Ankbout-IT AED 2.3M:</t>
    </r>
    <r>
      <rPr>
        <sz val="11"/>
        <color theme="1"/>
        <rFont val="Calibri"/>
        <family val="2"/>
        <scheme val="minor"/>
      </rPr>
      <t xml:space="preserve">
• Computer Accessories and hardware spare parts and maintenance for computers, audio visual components out of warranty/support
• Network Cabling and Connectivity Services based on Rate Agreement for network passive components (Agreement attached)
• Classroom Audio Visual Renovations for merged classrooms in Main and SAN Campuses. Total of all activities  
</t>
    </r>
    <r>
      <rPr>
        <b/>
        <sz val="11"/>
        <color theme="1"/>
        <rFont val="Calibri"/>
        <family val="2"/>
        <scheme val="minor"/>
      </rPr>
      <t xml:space="preserve"> CoM AED 1.9M : </t>
    </r>
    <r>
      <rPr>
        <sz val="11"/>
        <color theme="1"/>
        <rFont val="Calibri"/>
        <family val="2"/>
        <scheme val="minor"/>
      </rPr>
      <t xml:space="preserve">
• Hardward maintiance &amp; expending warranty lab and advance learning systems &amp; Also expansions, new faculty and staff, Wet/Dry labs, renewal for smart collaborative classrooms., netting rooms and other connections for faculty
</t>
    </r>
  </si>
  <si>
    <t>847.8471220.1.425741.000000.847001.201211</t>
  </si>
  <si>
    <t>(blank)</t>
  </si>
  <si>
    <t>420811--</t>
  </si>
  <si>
    <t>Not requested</t>
  </si>
  <si>
    <t>Itemized details based on quotations (refer to tab 2023 budget breakdown)</t>
  </si>
  <si>
    <t>Software renewal cannot be made.</t>
  </si>
  <si>
    <t>Not possible. Equipment maintenance cannot be decreased by percentage. Not performing maintenance leads to potential equipment failures thereby impacting on supported research activities. With increasing budget reduction scenarios, such concerns are amplified in addition to increasing HSE risk due to possibly poorly maintained equipment.</t>
  </si>
  <si>
    <t>Impacts on equipment maintenance and constraints equipment usage to support researcher activities. With increasing budget reduction scenarios, such concerns are amplified.</t>
  </si>
  <si>
    <t>Infrastructure investment will need to be redesigned and postponed.</t>
  </si>
  <si>
    <t>Laboratory based research capabilities will be constrained to existing aging equipment. With increasing budget reduction scenarios, such constraints are amplified.</t>
  </si>
  <si>
    <t>Lab</t>
  </si>
  <si>
    <t>Based on corresponding 2023 budget + 10%</t>
  </si>
  <si>
    <t>Itemized details based on quotations (refer to tab 2024 budget breakdown)</t>
  </si>
  <si>
    <t>Based on corresponding 2024 budget + 10%</t>
  </si>
  <si>
    <t>Itemized details based on quotations (refer to tab 2025 budget breakdown)</t>
  </si>
  <si>
    <t>`</t>
  </si>
  <si>
    <t>Opex IT systems &amp; support expense compared to FY2022 increased 116%. Ankbout27M SLA adding  20M  SLA support and Research computing AED 5M</t>
  </si>
  <si>
    <r>
      <t xml:space="preserve">The 435508-Laboratory - Scientific increased 318% compared to FY2022 budget increased,
• </t>
    </r>
    <r>
      <rPr>
        <sz val="11"/>
        <color rgb="FFFF0000"/>
        <rFont val="Calibri"/>
        <family val="2"/>
        <scheme val="minor"/>
      </rPr>
      <t>CoM 644% and AED 14M</t>
    </r>
    <r>
      <rPr>
        <sz val="11"/>
        <color theme="1"/>
        <rFont val="Calibri"/>
        <family val="2"/>
        <scheme val="minor"/>
      </rPr>
      <t xml:space="preserve"> budgeted
• CoAS 82% AED 2M 
• CoE 24% AED 2M
• Research Lab 410% AED 1.3M
</t>
    </r>
  </si>
  <si>
    <t>UPDATED</t>
  </si>
  <si>
    <t xml:space="preserve">Compared to FY2022 budget in 2023 budget increased 22%;
• CoAS:Chemistry 226%  AED 980,000
• CoE:Petroleum Engineering 221% AED 979,000
• Research Laboratories 16%  AED 17,597,270
</t>
  </si>
  <si>
    <r>
      <t xml:space="preserve">Capex 492316-Laboratory equip compared to FY2022 overall increased in percentage 178%.
FY2023 Budget compared to FY2022 increased;
• </t>
    </r>
    <r>
      <rPr>
        <sz val="11"/>
        <color rgb="FFFF0000"/>
        <rFont val="Calibri"/>
        <family val="2"/>
        <scheme val="minor"/>
      </rPr>
      <t>Research Lab Cost Center 413%  AED 81M</t>
    </r>
    <r>
      <rPr>
        <sz val="11"/>
        <color theme="1"/>
        <rFont val="Calibri"/>
        <family val="2"/>
        <scheme val="minor"/>
      </rPr>
      <t xml:space="preserve">
• Research Computing 570% AED 22M.
• CoE 66% AED 5.5M.
• CoAS 89% AED 5M
• CoM 35% AED 23M.      
</t>
    </r>
  </si>
  <si>
    <r>
      <t>• Capex Building increased compared to FY2022 by 126%, due to multiple building renovation. 
•</t>
    </r>
    <r>
      <rPr>
        <sz val="11"/>
        <color theme="5" tint="-0.249977111117893"/>
        <rFont val="Calibri"/>
        <family val="2"/>
        <scheme val="minor"/>
      </rPr>
      <t xml:space="preserve"> Habshan Building Renovation AED 36M</t>
    </r>
    <r>
      <rPr>
        <sz val="11"/>
        <color theme="1"/>
        <rFont val="Calibri"/>
        <family val="2"/>
        <scheme val="minor"/>
      </rPr>
      <t xml:space="preserve">.
• Technology and Innovation Center Phase-2 AED 11M
• Central Gas network for arzanah  lab (Phase 2/1) AED 6m and Road connection SAN to Arzanah 5M. Many other sundry renovations adding up to AED 44M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</si>
</sst>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00_-;\-* #,##0.00_-;_-* &quot;-&quot;??_-;_-@_-"/>
    <numFmt numFmtId="165" formatCode="_-* #,##0_-;\-* #,##0_-;_-* &quot;-&quot;??_-;_-@_-"/>
    <numFmt numFmtId="166" formatCode="0.0%"/>
    <numFmt numFmtId="167" formatCode="_(* #,##0_);_(* \(#,##0\);_(* &quot;-&quot;??_);_(@_)"/>
  </numFmts>
  <fonts count="45" x14ac:knownFonts="1">
    <font>
      <sz val="11"/>
      <color theme="1"/>
      <name val="Calibri"/>
      <family val="2"/>
      <scheme val="minor"/>
    </font>
    <font>
      <b/>
      <sz val="11"/>
      <color theme="1"/>
      <name val="Calibri"/>
      <family val="2"/>
      <scheme val="minor"/>
    </font>
    <font>
      <sz val="11"/>
      <color theme="1"/>
      <name val="Calibri"/>
      <family val="2"/>
      <scheme val="minor"/>
    </font>
    <font>
      <sz val="9"/>
      <color indexed="81"/>
      <name val="Tahoma"/>
      <family val="2"/>
    </font>
    <font>
      <b/>
      <sz val="9"/>
      <color indexed="81"/>
      <name val="Tahoma"/>
      <family val="2"/>
    </font>
    <font>
      <sz val="11"/>
      <color rgb="FFFF0000"/>
      <name val="Calibri"/>
      <family val="2"/>
      <scheme val="minor"/>
    </font>
    <font>
      <sz val="10"/>
      <color theme="1"/>
      <name val="Calibri"/>
      <family val="2"/>
      <scheme val="minor"/>
    </font>
    <font>
      <b/>
      <sz val="11"/>
      <color rgb="FF202124"/>
      <name val="Arial"/>
      <family val="2"/>
    </font>
    <font>
      <sz val="11"/>
      <color rgb="FF202124"/>
      <name val="Arial"/>
      <family val="2"/>
    </font>
    <font>
      <sz val="10"/>
      <color rgb="FFFF0000"/>
      <name val="Calibri"/>
      <family val="2"/>
      <scheme val="minor"/>
    </font>
    <font>
      <b/>
      <sz val="11"/>
      <color theme="0"/>
      <name val="Calibri"/>
      <family val="2"/>
      <scheme val="minor"/>
    </font>
    <font>
      <sz val="8"/>
      <color theme="1"/>
      <name val="Calibri"/>
    </font>
    <font>
      <sz val="10"/>
      <name val="Calibri"/>
      <family val="2"/>
      <scheme val="minor"/>
    </font>
    <font>
      <b/>
      <sz val="10"/>
      <name val="Calibri"/>
      <family val="2"/>
      <scheme val="minor"/>
    </font>
    <font>
      <sz val="10"/>
      <color theme="4" tint="-0.249977111117893"/>
      <name val="Calibri"/>
      <family val="2"/>
      <scheme val="minor"/>
    </font>
    <font>
      <b/>
      <sz val="11"/>
      <color rgb="FF000000"/>
      <name val="Calibri"/>
      <family val="2"/>
    </font>
    <font>
      <sz val="11"/>
      <color rgb="FF000000"/>
      <name val="Calibri"/>
      <family val="2"/>
    </font>
    <font>
      <sz val="10"/>
      <color theme="4" tint="-0.499984740745262"/>
      <name val="Times New Roman"/>
      <family val="1"/>
    </font>
    <font>
      <b/>
      <sz val="11"/>
      <color theme="4" tint="-0.499984740745262"/>
      <name val="Calibri"/>
      <family val="2"/>
    </font>
    <font>
      <sz val="11"/>
      <color theme="4" tint="-0.499984740745262"/>
      <name val="Calibri"/>
      <family val="2"/>
    </font>
    <font>
      <sz val="11"/>
      <color theme="4" tint="-0.499984740745262"/>
      <name val="Calibri"/>
      <family val="2"/>
      <scheme val="minor"/>
    </font>
    <font>
      <sz val="11"/>
      <color rgb="FF000000"/>
      <name val="Calibri"/>
      <family val="2"/>
      <scheme val="minor"/>
    </font>
    <font>
      <sz val="11"/>
      <color theme="1"/>
      <name val="Calibri"/>
      <family val="2"/>
    </font>
    <font>
      <b/>
      <sz val="12"/>
      <color theme="1"/>
      <name val="Calibri"/>
      <family val="2"/>
      <scheme val="minor"/>
    </font>
    <font>
      <b/>
      <sz val="12"/>
      <color theme="0"/>
      <name val="Calibri"/>
      <family val="2"/>
      <scheme val="minor"/>
    </font>
    <font>
      <b/>
      <sz val="10"/>
      <color theme="9" tint="-0.499984740745262"/>
      <name val="Calibri"/>
      <family val="2"/>
      <scheme val="minor"/>
    </font>
    <font>
      <b/>
      <sz val="10.5"/>
      <color theme="1"/>
      <name val="Calibri"/>
      <family val="2"/>
      <scheme val="minor"/>
    </font>
    <font>
      <sz val="12"/>
      <color theme="0"/>
      <name val="Calibri"/>
      <family val="2"/>
      <scheme val="minor"/>
    </font>
    <font>
      <b/>
      <sz val="14"/>
      <color theme="1"/>
      <name val="Calibri"/>
      <family val="2"/>
      <scheme val="minor"/>
    </font>
    <font>
      <sz val="14"/>
      <color theme="1"/>
      <name val="Calibri"/>
      <family val="2"/>
      <scheme val="minor"/>
    </font>
    <font>
      <sz val="10"/>
      <color theme="1"/>
      <name val="Times New Roman"/>
      <family val="1"/>
    </font>
    <font>
      <sz val="18"/>
      <name val="Arial"/>
      <family val="2"/>
    </font>
    <font>
      <b/>
      <sz val="14"/>
      <color rgb="FF000000"/>
      <name val="Calibri"/>
      <family val="2"/>
    </font>
    <font>
      <b/>
      <sz val="20"/>
      <color rgb="FFFFFFFF"/>
      <name val="Calibri"/>
      <family val="2"/>
    </font>
    <font>
      <b/>
      <sz val="11"/>
      <color rgb="FF375623"/>
      <name val="Calibri"/>
      <family val="2"/>
    </font>
    <font>
      <b/>
      <sz val="12"/>
      <color rgb="FF000000"/>
      <name val="Calibri"/>
      <family val="2"/>
    </font>
    <font>
      <b/>
      <sz val="12"/>
      <color rgb="FFFFFFFF"/>
      <name val="Calibri"/>
      <family val="2"/>
    </font>
    <font>
      <b/>
      <sz val="18"/>
      <color theme="1"/>
      <name val="Calibri"/>
      <family val="2"/>
      <scheme val="minor"/>
    </font>
    <font>
      <b/>
      <sz val="11"/>
      <color theme="1"/>
      <name val="Calibri"/>
      <family val="2"/>
    </font>
    <font>
      <b/>
      <sz val="11"/>
      <name val="Calibri"/>
      <family val="2"/>
      <scheme val="minor"/>
    </font>
    <font>
      <sz val="11"/>
      <name val="Calibri"/>
      <family val="2"/>
      <scheme val="minor"/>
    </font>
    <font>
      <b/>
      <sz val="15"/>
      <color rgb="FFFFFFFF"/>
      <name val="Calibri"/>
      <family val="2"/>
    </font>
    <font>
      <sz val="11"/>
      <color theme="5" tint="-0.249977111117893"/>
      <name val="Calibri"/>
      <family val="2"/>
      <scheme val="minor"/>
    </font>
    <font>
      <i/>
      <sz val="11"/>
      <color theme="1"/>
      <name val="Calibri"/>
      <family val="2"/>
      <scheme val="minor"/>
    </font>
    <font>
      <b/>
      <sz val="11"/>
      <color rgb="FFFF0000"/>
      <name val="Calibri"/>
      <family val="2"/>
      <scheme val="minor"/>
    </font>
  </fonts>
  <fills count="30">
    <fill>
      <patternFill patternType="none"/>
    </fill>
    <fill>
      <patternFill patternType="gray125"/>
    </fill>
    <fill>
      <patternFill patternType="solid">
        <fgColor theme="8" tint="0.39997558519241921"/>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1"/>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7F6F6"/>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rgb="FFB4C6E7"/>
        <bgColor indexed="64"/>
      </patternFill>
    </fill>
    <fill>
      <patternFill patternType="solid">
        <fgColor rgb="FF548235"/>
        <bgColor indexed="64"/>
      </patternFill>
    </fill>
    <fill>
      <patternFill patternType="solid">
        <fgColor rgb="FFE2EFDA"/>
        <bgColor indexed="64"/>
      </patternFill>
    </fill>
    <fill>
      <patternFill patternType="solid">
        <fgColor rgb="FFF2F2F2"/>
        <bgColor indexed="64"/>
      </patternFill>
    </fill>
    <fill>
      <patternFill patternType="solid">
        <fgColor rgb="FFA9D08E"/>
        <bgColor indexed="64"/>
      </patternFill>
    </fill>
    <fill>
      <patternFill patternType="solid">
        <fgColor rgb="FFD9D9D9"/>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theme="7" tint="0.39997558519241921"/>
        <bgColor indexed="64"/>
      </patternFill>
    </fill>
  </fills>
  <borders count="10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theme="0" tint="-0.249977111117893"/>
      </right>
      <top style="thin">
        <color indexed="64"/>
      </top>
      <bottom style="thin">
        <color theme="0" tint="-0.249977111117893"/>
      </bottom>
      <diagonal/>
    </border>
    <border>
      <left style="thin">
        <color theme="0" tint="-0.249977111117893"/>
      </left>
      <right style="thin">
        <color theme="0" tint="-0.249977111117893"/>
      </right>
      <top style="thin">
        <color indexed="64"/>
      </top>
      <bottom style="thin">
        <color theme="0" tint="-0.249977111117893"/>
      </bottom>
      <diagonal/>
    </border>
    <border>
      <left style="thin">
        <color theme="0" tint="-0.249977111117893"/>
      </left>
      <right style="thin">
        <color indexed="64"/>
      </right>
      <top style="thin">
        <color indexed="64"/>
      </top>
      <bottom style="thin">
        <color theme="0" tint="-0.249977111117893"/>
      </bottom>
      <diagonal/>
    </border>
    <border>
      <left style="thin">
        <color indexed="64"/>
      </left>
      <right style="thin">
        <color indexed="64"/>
      </right>
      <top style="thin">
        <color indexed="64"/>
      </top>
      <bottom style="thin">
        <color theme="0" tint="-0.249977111117893"/>
      </bottom>
      <diagonal/>
    </border>
    <border>
      <left/>
      <right style="thin">
        <color theme="0" tint="-0.249977111117893"/>
      </right>
      <top style="thin">
        <color indexed="64"/>
      </top>
      <bottom style="thin">
        <color theme="0" tint="-0.249977111117893"/>
      </bottom>
      <diagonal/>
    </border>
    <border>
      <left style="thin">
        <color indexed="64"/>
      </left>
      <right/>
      <top/>
      <bottom/>
      <diagonal/>
    </border>
    <border>
      <left/>
      <right style="thin">
        <color indexed="64"/>
      </right>
      <top/>
      <bottom/>
      <diagonal/>
    </border>
    <border>
      <left style="thin">
        <color indexed="64"/>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indexed="64"/>
      </right>
      <top style="thin">
        <color theme="0" tint="-0.249977111117893"/>
      </top>
      <bottom/>
      <diagonal/>
    </border>
    <border>
      <left style="thin">
        <color indexed="64"/>
      </left>
      <right style="thin">
        <color indexed="64"/>
      </right>
      <top style="thin">
        <color theme="0" tint="-0.249977111117893"/>
      </top>
      <bottom/>
      <diagonal/>
    </border>
    <border>
      <left/>
      <right style="thin">
        <color theme="0" tint="-0.249977111117893"/>
      </right>
      <top style="thin">
        <color theme="0" tint="-0.249977111117893"/>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indexed="64"/>
      </left>
      <right style="thin">
        <color indexed="64"/>
      </right>
      <top/>
      <bottom style="thin">
        <color theme="0" tint="-0.249977111117893"/>
      </bottom>
      <diagonal/>
    </border>
    <border>
      <left/>
      <right style="thin">
        <color theme="0" tint="-0.249977111117893"/>
      </right>
      <top/>
      <bottom style="thin">
        <color theme="0" tint="-0.249977111117893"/>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indexed="64"/>
      </left>
      <right style="thin">
        <color indexed="64"/>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indexed="64"/>
      </left>
      <right style="thin">
        <color theme="0" tint="-0.249977111117893"/>
      </right>
      <top/>
      <bottom/>
      <diagonal/>
    </border>
    <border>
      <left style="thin">
        <color theme="0" tint="-0.249977111117893"/>
      </left>
      <right style="thin">
        <color theme="0" tint="-0.249977111117893"/>
      </right>
      <top/>
      <bottom/>
      <diagonal/>
    </border>
    <border>
      <left style="thin">
        <color theme="0" tint="-0.249977111117893"/>
      </left>
      <right style="thin">
        <color indexed="64"/>
      </right>
      <top/>
      <bottom/>
      <diagonal/>
    </border>
    <border>
      <left/>
      <right style="thin">
        <color theme="0" tint="-0.249977111117893"/>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theme="0" tint="-0.249977111117893"/>
      </bottom>
      <diagonal/>
    </border>
    <border>
      <left style="thin">
        <color theme="0" tint="-0.249977111117893"/>
      </left>
      <right/>
      <top style="thin">
        <color indexed="64"/>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indexed="64"/>
      </right>
      <top style="thin">
        <color indexed="64"/>
      </top>
      <bottom style="thin">
        <color theme="0" tint="-0.249977111117893"/>
      </bottom>
      <diagonal/>
    </border>
    <border>
      <left/>
      <right style="thin">
        <color indexed="64"/>
      </right>
      <top style="thin">
        <color theme="0" tint="-0.249977111117893"/>
      </top>
      <bottom style="thin">
        <color theme="0" tint="-0.249977111117893"/>
      </bottom>
      <diagonal/>
    </border>
    <border>
      <left/>
      <right style="thin">
        <color theme="0" tint="-0.249977111117893"/>
      </right>
      <top style="thin">
        <color theme="0" tint="-0.249977111117893"/>
      </top>
      <bottom style="thin">
        <color indexed="64"/>
      </bottom>
      <diagonal/>
    </border>
    <border>
      <left/>
      <right style="thin">
        <color indexed="64"/>
      </right>
      <top style="thin">
        <color theme="0" tint="-0.249977111117893"/>
      </top>
      <bottom style="thin">
        <color indexed="64"/>
      </bottom>
      <diagonal/>
    </border>
    <border>
      <left style="thin">
        <color indexed="64"/>
      </left>
      <right/>
      <top style="thin">
        <color indexed="64"/>
      </top>
      <bottom style="thin">
        <color theme="0" tint="-0.249977111117893"/>
      </bottom>
      <diagonal/>
    </border>
    <border>
      <left style="thin">
        <color indexed="64"/>
      </left>
      <right/>
      <top style="thin">
        <color theme="0" tint="-0.249977111117893"/>
      </top>
      <bottom style="thin">
        <color theme="0" tint="-0.249977111117893"/>
      </bottom>
      <diagonal/>
    </border>
    <border>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indexed="64"/>
      </left>
      <right style="thin">
        <color indexed="64"/>
      </right>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249977111117893"/>
      </left>
      <right style="hair">
        <color theme="0" tint="-0.249977111117893"/>
      </right>
      <top style="hair">
        <color theme="0" tint="-0.249977111117893"/>
      </top>
      <bottom style="hair">
        <color theme="0" tint="-0.24997711111789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theme="0" tint="-0.499984740745262"/>
      </right>
      <top/>
      <bottom/>
      <diagonal/>
    </border>
    <border>
      <left style="hair">
        <color theme="0" tint="-0.249977111117893"/>
      </left>
      <right style="medium">
        <color indexed="64"/>
      </right>
      <top style="hair">
        <color theme="0" tint="-0.249977111117893"/>
      </top>
      <bottom style="hair">
        <color theme="0" tint="-0.249977111117893"/>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theme="0" tint="-0.249977111117893"/>
      </left>
      <right style="medium">
        <color indexed="64"/>
      </right>
      <top style="hair">
        <color theme="0" tint="-0.249977111117893"/>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ck">
        <color theme="1" tint="0.249977111117893"/>
      </bottom>
      <diagonal/>
    </border>
    <border>
      <left/>
      <right style="medium">
        <color indexed="64"/>
      </right>
      <top/>
      <bottom style="medium">
        <color indexed="64"/>
      </bottom>
      <diagonal/>
    </border>
    <border>
      <left style="dotted">
        <color rgb="FF808080"/>
      </left>
      <right style="dotted">
        <color rgb="FFBFBFBF"/>
      </right>
      <top style="dotted">
        <color rgb="FF808080"/>
      </top>
      <bottom style="dotted">
        <color rgb="FF808080"/>
      </bottom>
      <diagonal/>
    </border>
    <border>
      <left style="dotted">
        <color rgb="FFBFBFBF"/>
      </left>
      <right style="dotted">
        <color rgb="FFBFBFBF"/>
      </right>
      <top style="dotted">
        <color rgb="FFBFBFBF"/>
      </top>
      <bottom style="dotted">
        <color rgb="FFBFBFBF"/>
      </bottom>
      <diagonal/>
    </border>
    <border>
      <left/>
      <right/>
      <top style="dotted">
        <color rgb="FF808080"/>
      </top>
      <bottom style="thick">
        <color rgb="FFD9D9D9"/>
      </bottom>
      <diagonal/>
    </border>
    <border>
      <left/>
      <right style="dotted">
        <color rgb="FFBFBFBF"/>
      </right>
      <top style="dotted">
        <color rgb="FFBFBFBF"/>
      </top>
      <bottom style="thick">
        <color rgb="FFD9D9D9"/>
      </bottom>
      <diagonal/>
    </border>
    <border>
      <left/>
      <right/>
      <top style="medium">
        <color indexed="64"/>
      </top>
      <bottom style="dotted">
        <color rgb="FF808080"/>
      </bottom>
      <diagonal/>
    </border>
    <border>
      <left/>
      <right/>
      <top style="medium">
        <color indexed="64"/>
      </top>
      <bottom style="dotted">
        <color rgb="FFBFBFBF"/>
      </bottom>
      <diagonal/>
    </border>
    <border>
      <left/>
      <right style="medium">
        <color indexed="64"/>
      </right>
      <top style="medium">
        <color indexed="64"/>
      </top>
      <bottom style="dotted">
        <color rgb="FFBFBFBF"/>
      </bottom>
      <diagonal/>
    </border>
    <border>
      <left style="medium">
        <color indexed="64"/>
      </left>
      <right style="dotted">
        <color rgb="FF808080"/>
      </right>
      <top/>
      <bottom/>
      <diagonal/>
    </border>
    <border>
      <left style="dotted">
        <color rgb="FFBFBFBF"/>
      </left>
      <right style="medium">
        <color indexed="64"/>
      </right>
      <top style="dotted">
        <color rgb="FFBFBFBF"/>
      </top>
      <bottom style="dotted">
        <color rgb="FFBFBFBF"/>
      </bottom>
      <diagonal/>
    </border>
    <border>
      <left style="medium">
        <color indexed="64"/>
      </left>
      <right/>
      <top/>
      <bottom style="thick">
        <color rgb="FFD9D9D9"/>
      </bottom>
      <diagonal/>
    </border>
    <border>
      <left style="dotted">
        <color rgb="FFBFBFBF"/>
      </left>
      <right style="medium">
        <color indexed="64"/>
      </right>
      <top style="dotted">
        <color rgb="FFBFBFBF"/>
      </top>
      <bottom style="thick">
        <color rgb="FFD9D9D9"/>
      </bottom>
      <diagonal/>
    </border>
    <border>
      <left style="medium">
        <color indexed="64"/>
      </left>
      <right style="dotted">
        <color rgb="FF808080"/>
      </right>
      <top/>
      <bottom style="medium">
        <color indexed="64"/>
      </bottom>
      <diagonal/>
    </border>
    <border>
      <left style="dotted">
        <color rgb="FF808080"/>
      </left>
      <right/>
      <top style="dotted">
        <color rgb="FF808080"/>
      </top>
      <bottom style="medium">
        <color indexed="64"/>
      </bottom>
      <diagonal/>
    </border>
    <border>
      <left/>
      <right style="dotted">
        <color rgb="FFBFBFBF"/>
      </right>
      <top style="dotted">
        <color rgb="FFBFBFBF"/>
      </top>
      <bottom style="medium">
        <color indexed="64"/>
      </bottom>
      <diagonal/>
    </border>
    <border>
      <left style="dotted">
        <color rgb="FFBFBFBF"/>
      </left>
      <right style="medium">
        <color indexed="64"/>
      </right>
      <top style="dotted">
        <color rgb="FFBFBFBF"/>
      </top>
      <bottom style="medium">
        <color indexed="64"/>
      </bottom>
      <diagonal/>
    </border>
    <border>
      <left style="hair">
        <color theme="0" tint="-0.499984740745262"/>
      </left>
      <right style="hair">
        <color theme="0" tint="-0.499984740745262"/>
      </right>
      <top style="medium">
        <color indexed="64"/>
      </top>
      <bottom style="hair">
        <color theme="0" tint="-0.499984740745262"/>
      </bottom>
      <diagonal/>
    </border>
    <border>
      <left style="hair">
        <color theme="0" tint="-0.249977111117893"/>
      </left>
      <right style="hair">
        <color theme="0" tint="-0.249977111117893"/>
      </right>
      <top style="medium">
        <color indexed="64"/>
      </top>
      <bottom style="hair">
        <color theme="0" tint="-0.249977111117893"/>
      </bottom>
      <diagonal/>
    </border>
    <border>
      <left style="hair">
        <color theme="0" tint="-0.249977111117893"/>
      </left>
      <right style="medium">
        <color indexed="64"/>
      </right>
      <top style="medium">
        <color indexed="64"/>
      </top>
      <bottom style="hair">
        <color theme="0" tint="-0.249977111117893"/>
      </bottom>
      <diagonal/>
    </border>
    <border>
      <left style="medium">
        <color indexed="64"/>
      </left>
      <right style="dotted">
        <color rgb="FF808080"/>
      </right>
      <top style="medium">
        <color indexed="64"/>
      </top>
      <bottom/>
      <diagonal/>
    </border>
    <border>
      <left style="dotted">
        <color rgb="FF808080"/>
      </left>
      <right style="dotted">
        <color rgb="FFBFBFBF"/>
      </right>
      <top style="medium">
        <color indexed="64"/>
      </top>
      <bottom style="dotted">
        <color rgb="FF808080"/>
      </bottom>
      <diagonal/>
    </border>
    <border>
      <left style="dotted">
        <color rgb="FFBFBFBF"/>
      </left>
      <right style="dotted">
        <color rgb="FFBFBFBF"/>
      </right>
      <top style="medium">
        <color indexed="64"/>
      </top>
      <bottom style="dotted">
        <color rgb="FFBFBFBF"/>
      </bottom>
      <diagonal/>
    </border>
    <border>
      <left style="dotted">
        <color rgb="FFBFBFBF"/>
      </left>
      <right style="medium">
        <color indexed="64"/>
      </right>
      <top style="medium">
        <color indexed="64"/>
      </top>
      <bottom style="dotted">
        <color rgb="FFBFBFBF"/>
      </bottom>
      <diagonal/>
    </border>
    <border>
      <left style="medium">
        <color indexed="64"/>
      </left>
      <right style="thin">
        <color theme="0"/>
      </right>
      <top/>
      <bottom/>
      <diagonal/>
    </border>
    <border>
      <left style="medium">
        <color indexed="64"/>
      </left>
      <right style="thin">
        <color theme="0"/>
      </right>
      <top/>
      <bottom style="medium">
        <color indexed="64"/>
      </bottom>
      <diagonal/>
    </border>
    <border>
      <left/>
      <right style="thin">
        <color theme="0"/>
      </right>
      <top/>
      <bottom style="medium">
        <color indexed="64"/>
      </bottom>
      <diagonal/>
    </border>
    <border>
      <left style="thin">
        <color theme="0"/>
      </left>
      <right style="thin">
        <color theme="0"/>
      </right>
      <top style="thin">
        <color theme="0"/>
      </top>
      <bottom style="medium">
        <color indexed="64"/>
      </bottom>
      <diagonal/>
    </border>
    <border>
      <left style="medium">
        <color indexed="64"/>
      </left>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style="medium">
        <color indexed="64"/>
      </left>
      <right style="thin">
        <color theme="0"/>
      </right>
      <top style="thin">
        <color theme="0"/>
      </top>
      <bottom style="medium">
        <color indexed="64"/>
      </bottom>
      <diagonal/>
    </border>
    <border>
      <left/>
      <right/>
      <top style="thin">
        <color theme="4" tint="-0.249977111117893"/>
      </top>
      <bottom style="medium">
        <color theme="4" tint="-0.249977111117893"/>
      </bottom>
      <diagonal/>
    </border>
  </borders>
  <cellStyleXfs count="4">
    <xf numFmtId="0" fontId="0" fillId="0" borderId="0"/>
    <xf numFmtId="43"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cellStyleXfs>
  <cellXfs count="470">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0" fontId="1" fillId="2" borderId="1" xfId="0" applyFont="1" applyFill="1" applyBorder="1" applyAlignment="1">
      <alignment wrapText="1"/>
    </xf>
    <xf numFmtId="0" fontId="1" fillId="2" borderId="1" xfId="0" applyFont="1" applyFill="1" applyBorder="1" applyAlignment="1">
      <alignment horizontal="left" wrapText="1"/>
    </xf>
    <xf numFmtId="0" fontId="0" fillId="0" borderId="1" xfId="0" applyBorder="1" applyAlignment="1">
      <alignment horizontal="left" wrapText="1"/>
    </xf>
    <xf numFmtId="0" fontId="0" fillId="0" borderId="1" xfId="0" applyBorder="1" applyAlignment="1">
      <alignment horizontal="left"/>
    </xf>
    <xf numFmtId="0" fontId="0" fillId="0" borderId="0" xfId="0" applyAlignment="1">
      <alignment horizontal="left"/>
    </xf>
    <xf numFmtId="43" fontId="0" fillId="0" borderId="1" xfId="1" applyFont="1" applyBorder="1" applyAlignment="1">
      <alignment wrapText="1"/>
    </xf>
    <xf numFmtId="43" fontId="0" fillId="0" borderId="1" xfId="1" applyFont="1" applyBorder="1"/>
    <xf numFmtId="0" fontId="1" fillId="2" borderId="2" xfId="0" applyFont="1" applyFill="1" applyBorder="1" applyAlignment="1"/>
    <xf numFmtId="0" fontId="0" fillId="0" borderId="0" xfId="0" applyAlignment="1"/>
    <xf numFmtId="0" fontId="0" fillId="0" borderId="0" xfId="0" applyAlignment="1">
      <alignment wrapText="1"/>
    </xf>
    <xf numFmtId="43" fontId="0" fillId="0" borderId="1" xfId="0" applyNumberFormat="1" applyBorder="1" applyAlignment="1">
      <alignment wrapText="1"/>
    </xf>
    <xf numFmtId="0" fontId="0" fillId="0" borderId="1" xfId="0" applyBorder="1" applyAlignment="1"/>
    <xf numFmtId="43" fontId="0" fillId="0" borderId="1" xfId="1" applyFont="1" applyBorder="1" applyAlignment="1"/>
    <xf numFmtId="43" fontId="0" fillId="3" borderId="1" xfId="1" applyFont="1" applyFill="1" applyBorder="1" applyAlignment="1"/>
    <xf numFmtId="0" fontId="0" fillId="3" borderId="1" xfId="0" applyFill="1" applyBorder="1" applyAlignment="1"/>
    <xf numFmtId="0" fontId="5" fillId="3" borderId="1" xfId="0" applyFont="1" applyFill="1" applyBorder="1" applyAlignment="1"/>
    <xf numFmtId="0" fontId="0" fillId="0" borderId="1" xfId="0" applyFill="1" applyBorder="1" applyAlignment="1"/>
    <xf numFmtId="0" fontId="0" fillId="0" borderId="1" xfId="0" applyFill="1" applyBorder="1" applyAlignment="1">
      <alignment wrapText="1"/>
    </xf>
    <xf numFmtId="43" fontId="0" fillId="0" borderId="1" xfId="1" applyFont="1" applyFill="1" applyBorder="1" applyAlignment="1"/>
    <xf numFmtId="0" fontId="0" fillId="0" borderId="1" xfId="0" applyFont="1" applyFill="1" applyBorder="1" applyAlignment="1">
      <alignment wrapText="1"/>
    </xf>
    <xf numFmtId="43" fontId="0" fillId="0" borderId="1" xfId="1" applyFont="1" applyFill="1" applyBorder="1" applyAlignment="1">
      <alignment wrapText="1"/>
    </xf>
    <xf numFmtId="0" fontId="6" fillId="0" borderId="1" xfId="0" applyFont="1" applyBorder="1"/>
    <xf numFmtId="43" fontId="6" fillId="0" borderId="1" xfId="1" applyFont="1" applyBorder="1"/>
    <xf numFmtId="43" fontId="9" fillId="0" borderId="1" xfId="1" applyFont="1" applyBorder="1"/>
    <xf numFmtId="0" fontId="9" fillId="0" borderId="1" xfId="0" applyFont="1" applyBorder="1"/>
    <xf numFmtId="0" fontId="9" fillId="5" borderId="1" xfId="0" applyFont="1" applyFill="1" applyBorder="1"/>
    <xf numFmtId="0" fontId="6" fillId="0" borderId="1" xfId="0" applyFont="1" applyFill="1" applyBorder="1" applyAlignment="1">
      <alignment horizontal="left" vertical="top" wrapText="1"/>
    </xf>
    <xf numFmtId="43" fontId="6" fillId="0" borderId="1" xfId="1" applyFont="1" applyFill="1" applyBorder="1" applyAlignment="1">
      <alignment horizontal="left" vertical="top" wrapText="1"/>
    </xf>
    <xf numFmtId="0" fontId="6" fillId="0" borderId="1" xfId="0" applyFont="1" applyFill="1" applyBorder="1" applyAlignment="1">
      <alignment horizontal="left" vertical="top"/>
    </xf>
    <xf numFmtId="43" fontId="6" fillId="0" borderId="1" xfId="1" applyFont="1" applyFill="1" applyBorder="1" applyAlignment="1">
      <alignment horizontal="left" vertical="top"/>
    </xf>
    <xf numFmtId="0" fontId="6" fillId="0" borderId="1" xfId="0" applyFont="1" applyFill="1" applyBorder="1" applyAlignment="1">
      <alignment wrapText="1"/>
    </xf>
    <xf numFmtId="43" fontId="0" fillId="4" borderId="1" xfId="1" applyFont="1" applyFill="1" applyBorder="1"/>
    <xf numFmtId="43" fontId="0" fillId="6" borderId="1" xfId="1" applyFont="1" applyFill="1" applyBorder="1"/>
    <xf numFmtId="0" fontId="0" fillId="0" borderId="1" xfId="0" applyFill="1" applyBorder="1"/>
    <xf numFmtId="43" fontId="0" fillId="0" borderId="1" xfId="1" applyFont="1" applyFill="1" applyBorder="1"/>
    <xf numFmtId="0" fontId="0" fillId="0" borderId="0" xfId="0" applyFill="1"/>
    <xf numFmtId="43" fontId="0" fillId="0" borderId="0" xfId="1" applyFont="1"/>
    <xf numFmtId="3" fontId="0" fillId="0" borderId="1" xfId="1" applyNumberFormat="1" applyFont="1" applyBorder="1" applyAlignment="1">
      <alignment wrapText="1"/>
    </xf>
    <xf numFmtId="3" fontId="0" fillId="0" borderId="1" xfId="0" applyNumberFormat="1" applyBorder="1" applyAlignment="1">
      <alignment wrapText="1"/>
    </xf>
    <xf numFmtId="3" fontId="0" fillId="0" borderId="1" xfId="0" applyNumberFormat="1" applyBorder="1"/>
    <xf numFmtId="3" fontId="0" fillId="0" borderId="1" xfId="1" applyNumberFormat="1" applyFont="1" applyBorder="1"/>
    <xf numFmtId="3" fontId="0" fillId="0" borderId="1" xfId="0" applyNumberFormat="1" applyBorder="1" applyAlignment="1"/>
    <xf numFmtId="3" fontId="0" fillId="0" borderId="1" xfId="1" applyNumberFormat="1" applyFont="1" applyBorder="1" applyAlignment="1"/>
    <xf numFmtId="3" fontId="0" fillId="0" borderId="1" xfId="0" applyNumberFormat="1" applyFill="1" applyBorder="1" applyAlignment="1"/>
    <xf numFmtId="3" fontId="0" fillId="0" borderId="1" xfId="1" applyNumberFormat="1" applyFont="1" applyFill="1" applyBorder="1" applyAlignment="1"/>
    <xf numFmtId="3" fontId="6" fillId="0" borderId="1" xfId="1" applyNumberFormat="1" applyFont="1" applyBorder="1"/>
    <xf numFmtId="3" fontId="0" fillId="0" borderId="1" xfId="0" applyNumberFormat="1" applyFill="1" applyBorder="1"/>
    <xf numFmtId="3" fontId="0" fillId="0" borderId="0" xfId="0" applyNumberFormat="1"/>
    <xf numFmtId="0" fontId="6" fillId="0" borderId="1" xfId="0" applyFont="1" applyBorder="1" applyAlignment="1">
      <alignment wrapText="1"/>
    </xf>
    <xf numFmtId="0" fontId="0" fillId="2" borderId="1" xfId="0" applyFill="1" applyBorder="1" applyAlignment="1">
      <alignment wrapText="1"/>
    </xf>
    <xf numFmtId="43" fontId="0" fillId="0" borderId="0" xfId="0" applyNumberFormat="1"/>
    <xf numFmtId="0" fontId="6" fillId="0" borderId="1" xfId="0" applyFont="1" applyBorder="1" applyAlignment="1"/>
    <xf numFmtId="43" fontId="0" fillId="7" borderId="0" xfId="0" applyNumberFormat="1" applyFill="1"/>
    <xf numFmtId="0" fontId="0" fillId="0" borderId="0" xfId="0" applyAlignment="1">
      <alignment horizontal="right"/>
    </xf>
    <xf numFmtId="0" fontId="0" fillId="0" borderId="0" xfId="0" applyBorder="1"/>
    <xf numFmtId="0" fontId="0" fillId="0" borderId="0" xfId="0" applyBorder="1" applyAlignment="1">
      <alignment wrapText="1"/>
    </xf>
    <xf numFmtId="43" fontId="0" fillId="4" borderId="0" xfId="1" applyFont="1" applyFill="1" applyBorder="1"/>
    <xf numFmtId="43" fontId="0" fillId="6" borderId="0" xfId="1" applyFont="1" applyFill="1" applyBorder="1" applyAlignment="1">
      <alignment wrapText="1"/>
    </xf>
    <xf numFmtId="43" fontId="0" fillId="0" borderId="0" xfId="1" applyFont="1" applyAlignment="1">
      <alignment horizontal="left"/>
    </xf>
    <xf numFmtId="0" fontId="1" fillId="2" borderId="1" xfId="0" applyFont="1" applyFill="1" applyBorder="1"/>
    <xf numFmtId="0" fontId="1" fillId="2" borderId="1" xfId="0" applyFont="1" applyFill="1" applyBorder="1" applyAlignment="1">
      <alignment horizontal="left"/>
    </xf>
    <xf numFmtId="0" fontId="1" fillId="2" borderId="1" xfId="0" applyFont="1" applyFill="1" applyBorder="1" applyAlignment="1">
      <alignment horizontal="center"/>
    </xf>
    <xf numFmtId="0" fontId="0" fillId="0" borderId="0" xfId="0" applyAlignment="1">
      <alignment horizontal="center"/>
    </xf>
    <xf numFmtId="0" fontId="0" fillId="2" borderId="2" xfId="0" applyFill="1" applyBorder="1"/>
    <xf numFmtId="43" fontId="6" fillId="0" borderId="1" xfId="0" applyNumberFormat="1" applyFont="1" applyFill="1" applyBorder="1"/>
    <xf numFmtId="43" fontId="6" fillId="0" borderId="1" xfId="1" applyFont="1" applyFill="1" applyBorder="1"/>
    <xf numFmtId="43" fontId="0" fillId="0" borderId="0" xfId="0" applyNumberFormat="1" applyFill="1"/>
    <xf numFmtId="0" fontId="6" fillId="0" borderId="1" xfId="0" applyFont="1" applyFill="1" applyBorder="1"/>
    <xf numFmtId="0" fontId="6" fillId="0" borderId="1" xfId="0" applyNumberFormat="1" applyFont="1" applyFill="1" applyBorder="1" applyAlignment="1">
      <alignment vertical="center" wrapText="1"/>
    </xf>
    <xf numFmtId="43" fontId="0" fillId="0" borderId="1" xfId="0" applyNumberFormat="1" applyFill="1" applyBorder="1"/>
    <xf numFmtId="0" fontId="0" fillId="0" borderId="0" xfId="0" applyFill="1" applyBorder="1"/>
    <xf numFmtId="0" fontId="0" fillId="0" borderId="0" xfId="0" applyFill="1" applyBorder="1" applyAlignment="1">
      <alignment wrapText="1"/>
    </xf>
    <xf numFmtId="43" fontId="0" fillId="0" borderId="0" xfId="1" applyFont="1" applyFill="1" applyBorder="1"/>
    <xf numFmtId="43" fontId="0" fillId="0" borderId="0" xfId="1" applyFont="1" applyFill="1" applyBorder="1" applyAlignment="1">
      <alignment wrapText="1"/>
    </xf>
    <xf numFmtId="0" fontId="0" fillId="0" borderId="1" xfId="0" applyFill="1" applyBorder="1" applyAlignment="1">
      <alignment horizontal="left"/>
    </xf>
    <xf numFmtId="0" fontId="0" fillId="0" borderId="1" xfId="0" applyFill="1" applyBorder="1" applyAlignment="1">
      <alignment horizontal="center"/>
    </xf>
    <xf numFmtId="0" fontId="0" fillId="0" borderId="0" xfId="0" applyFill="1" applyAlignment="1">
      <alignment horizontal="left"/>
    </xf>
    <xf numFmtId="0" fontId="0" fillId="0" borderId="0" xfId="0" applyFill="1" applyAlignment="1">
      <alignment horizontal="center"/>
    </xf>
    <xf numFmtId="43" fontId="0" fillId="0" borderId="0" xfId="1" applyFont="1" applyFill="1"/>
    <xf numFmtId="0" fontId="6" fillId="0" borderId="1" xfId="0" applyFont="1" applyBorder="1" applyAlignment="1">
      <alignment horizontal="left"/>
    </xf>
    <xf numFmtId="0" fontId="0" fillId="0" borderId="0" xfId="0" pivotButton="1"/>
    <xf numFmtId="0" fontId="0" fillId="0" borderId="0" xfId="0" applyNumberFormat="1"/>
    <xf numFmtId="9" fontId="0" fillId="0" borderId="0" xfId="2" applyFont="1"/>
    <xf numFmtId="0" fontId="1" fillId="0" borderId="0" xfId="0" applyFont="1"/>
    <xf numFmtId="0" fontId="1" fillId="9" borderId="3" xfId="0" applyFont="1" applyFill="1" applyBorder="1"/>
    <xf numFmtId="0" fontId="11" fillId="0" borderId="1" xfId="0" applyFont="1" applyFill="1" applyBorder="1" applyAlignment="1">
      <alignment horizontal="left" vertical="top"/>
    </xf>
    <xf numFmtId="0" fontId="0" fillId="0" borderId="1" xfId="0" applyNumberFormat="1" applyFill="1" applyBorder="1"/>
    <xf numFmtId="0" fontId="0" fillId="0" borderId="1" xfId="0" applyNumberFormat="1" applyFill="1" applyBorder="1" applyAlignment="1">
      <alignment horizontal="left"/>
    </xf>
    <xf numFmtId="0" fontId="1" fillId="9" borderId="3" xfId="0" applyFont="1" applyFill="1" applyBorder="1" applyAlignment="1">
      <alignment horizontal="left"/>
    </xf>
    <xf numFmtId="3" fontId="1" fillId="0" borderId="1" xfId="0" applyNumberFormat="1" applyFont="1" applyFill="1" applyBorder="1" applyAlignment="1">
      <alignment wrapText="1"/>
    </xf>
    <xf numFmtId="0" fontId="10" fillId="11" borderId="4" xfId="0" applyNumberFormat="1" applyFont="1" applyFill="1" applyBorder="1" applyAlignment="1">
      <alignment horizontal="left" vertical="center"/>
    </xf>
    <xf numFmtId="0" fontId="10" fillId="11" borderId="4" xfId="0" applyFont="1" applyFill="1" applyBorder="1" applyAlignment="1">
      <alignment horizontal="left" vertical="center" wrapText="1"/>
    </xf>
    <xf numFmtId="0" fontId="10" fillId="11" borderId="4" xfId="0" applyFont="1" applyFill="1" applyBorder="1" applyAlignment="1">
      <alignment horizontal="left" vertical="center"/>
    </xf>
    <xf numFmtId="1" fontId="10" fillId="11" borderId="4" xfId="0" applyNumberFormat="1" applyFont="1" applyFill="1" applyBorder="1" applyAlignment="1">
      <alignment horizontal="left" vertical="center"/>
    </xf>
    <xf numFmtId="0" fontId="10" fillId="11" borderId="4" xfId="0" applyFont="1" applyFill="1" applyBorder="1" applyAlignment="1">
      <alignment horizontal="center" vertical="center"/>
    </xf>
    <xf numFmtId="17" fontId="10" fillId="11" borderId="5" xfId="0" applyNumberFormat="1" applyFont="1" applyFill="1" applyBorder="1" applyAlignment="1">
      <alignment horizontal="center" vertical="center"/>
    </xf>
    <xf numFmtId="17" fontId="10" fillId="11" borderId="5" xfId="0" applyNumberFormat="1" applyFont="1" applyFill="1" applyBorder="1" applyAlignment="1">
      <alignment horizontal="left" vertical="center"/>
    </xf>
    <xf numFmtId="0" fontId="0" fillId="0" borderId="0" xfId="0" applyFont="1" applyAlignment="1"/>
    <xf numFmtId="0" fontId="0" fillId="0" borderId="0" xfId="0" applyFont="1" applyAlignment="1">
      <alignment horizontal="left" vertical="center"/>
    </xf>
    <xf numFmtId="0" fontId="6" fillId="12" borderId="6" xfId="3" applyNumberFormat="1" applyFont="1" applyFill="1" applyBorder="1" applyAlignment="1">
      <alignment horizontal="left" vertical="center"/>
    </xf>
    <xf numFmtId="0" fontId="6" fillId="12" borderId="7" xfId="3" applyNumberFormat="1" applyFont="1" applyFill="1" applyBorder="1" applyAlignment="1">
      <alignment horizontal="left" vertical="center"/>
    </xf>
    <xf numFmtId="0" fontId="12" fillId="0" borderId="8" xfId="0" applyFont="1" applyFill="1" applyBorder="1" applyAlignment="1">
      <alignment horizontal="left" vertical="center"/>
    </xf>
    <xf numFmtId="1" fontId="12" fillId="0" borderId="9" xfId="0" applyNumberFormat="1" applyFont="1" applyFill="1" applyBorder="1" applyAlignment="1">
      <alignment horizontal="center" vertical="center"/>
    </xf>
    <xf numFmtId="165" fontId="12" fillId="0" borderId="10" xfId="3" applyNumberFormat="1" applyFont="1" applyFill="1" applyBorder="1" applyAlignment="1">
      <alignment horizontal="left" vertical="center"/>
    </xf>
    <xf numFmtId="165" fontId="12" fillId="10" borderId="11" xfId="0" applyNumberFormat="1" applyFont="1" applyFill="1" applyBorder="1" applyAlignment="1">
      <alignment horizontal="left" vertical="center"/>
    </xf>
    <xf numFmtId="3" fontId="12" fillId="0" borderId="12" xfId="0" applyNumberFormat="1" applyFont="1" applyFill="1" applyBorder="1" applyAlignment="1">
      <alignment horizontal="center" vertical="center"/>
    </xf>
    <xf numFmtId="3" fontId="12" fillId="0" borderId="9" xfId="0" applyNumberFormat="1" applyFont="1" applyFill="1" applyBorder="1" applyAlignment="1">
      <alignment horizontal="center" vertical="center"/>
    </xf>
    <xf numFmtId="0" fontId="12" fillId="0" borderId="9" xfId="0" applyFont="1" applyFill="1" applyBorder="1" applyAlignment="1">
      <alignment horizontal="center" vertical="center"/>
    </xf>
    <xf numFmtId="3" fontId="12" fillId="0" borderId="10" xfId="0" applyNumberFormat="1" applyFont="1" applyFill="1" applyBorder="1" applyAlignment="1">
      <alignment horizontal="center" vertical="center"/>
    </xf>
    <xf numFmtId="0" fontId="6" fillId="13" borderId="4" xfId="0" applyFont="1" applyFill="1" applyBorder="1" applyAlignment="1">
      <alignment vertical="center"/>
    </xf>
    <xf numFmtId="0" fontId="6" fillId="0" borderId="0" xfId="0" applyFont="1"/>
    <xf numFmtId="0" fontId="6" fillId="9" borderId="0" xfId="0" applyFont="1" applyFill="1" applyAlignment="1">
      <alignment horizontal="left" vertical="center"/>
    </xf>
    <xf numFmtId="0" fontId="6" fillId="12" borderId="13" xfId="3" applyNumberFormat="1" applyFont="1" applyFill="1" applyBorder="1" applyAlignment="1">
      <alignment horizontal="left" vertical="center"/>
    </xf>
    <xf numFmtId="0" fontId="6" fillId="12" borderId="0" xfId="3" applyNumberFormat="1" applyFont="1" applyFill="1" applyBorder="1" applyAlignment="1">
      <alignment horizontal="left" vertical="center"/>
    </xf>
    <xf numFmtId="0" fontId="12" fillId="0" borderId="15" xfId="0" applyFont="1" applyFill="1" applyBorder="1" applyAlignment="1">
      <alignment horizontal="left" vertical="center"/>
    </xf>
    <xf numFmtId="1" fontId="12" fillId="0" borderId="16" xfId="0" applyNumberFormat="1" applyFont="1" applyFill="1" applyBorder="1" applyAlignment="1">
      <alignment horizontal="center" vertical="center"/>
    </xf>
    <xf numFmtId="165" fontId="12" fillId="0" borderId="17" xfId="3" applyNumberFormat="1" applyFont="1" applyFill="1" applyBorder="1" applyAlignment="1">
      <alignment horizontal="left" vertical="center"/>
    </xf>
    <xf numFmtId="165" fontId="12" fillId="10" borderId="18" xfId="0" applyNumberFormat="1" applyFont="1" applyFill="1" applyBorder="1" applyAlignment="1">
      <alignment horizontal="left" vertical="center"/>
    </xf>
    <xf numFmtId="3" fontId="12" fillId="0" borderId="19" xfId="0" applyNumberFormat="1" applyFont="1" applyFill="1" applyBorder="1" applyAlignment="1">
      <alignment horizontal="center" vertical="center"/>
    </xf>
    <xf numFmtId="3" fontId="12" fillId="0" borderId="16" xfId="0" applyNumberFormat="1" applyFont="1" applyFill="1" applyBorder="1" applyAlignment="1">
      <alignment horizontal="center" vertical="center"/>
    </xf>
    <xf numFmtId="3" fontId="12" fillId="0" borderId="17" xfId="0" applyNumberFormat="1" applyFont="1" applyFill="1" applyBorder="1" applyAlignment="1">
      <alignment horizontal="center" vertical="center"/>
    </xf>
    <xf numFmtId="0" fontId="6" fillId="13" borderId="2" xfId="0" applyFont="1" applyFill="1" applyBorder="1" applyAlignment="1">
      <alignment vertical="center"/>
    </xf>
    <xf numFmtId="0" fontId="6" fillId="0" borderId="0" xfId="0" applyFont="1" applyAlignment="1">
      <alignment horizontal="left" vertical="center"/>
    </xf>
    <xf numFmtId="165" fontId="13" fillId="9" borderId="1" xfId="0" applyNumberFormat="1" applyFont="1" applyFill="1" applyBorder="1" applyAlignment="1">
      <alignment horizontal="left" vertical="center"/>
    </xf>
    <xf numFmtId="3" fontId="12" fillId="10" borderId="22" xfId="0" applyNumberFormat="1" applyFont="1" applyFill="1" applyBorder="1"/>
    <xf numFmtId="3" fontId="12" fillId="10" borderId="23" xfId="0" applyNumberFormat="1" applyFont="1" applyFill="1" applyBorder="1"/>
    <xf numFmtId="0" fontId="12" fillId="0" borderId="24" xfId="0" applyFont="1" applyFill="1" applyBorder="1" applyAlignment="1">
      <alignment horizontal="left" vertical="center"/>
    </xf>
    <xf numFmtId="1" fontId="12" fillId="0" borderId="25" xfId="0" applyNumberFormat="1" applyFont="1" applyFill="1" applyBorder="1" applyAlignment="1">
      <alignment horizontal="center" vertical="center"/>
    </xf>
    <xf numFmtId="165" fontId="12" fillId="0" borderId="26" xfId="3" applyNumberFormat="1" applyFont="1" applyFill="1" applyBorder="1" applyAlignment="1">
      <alignment horizontal="left" vertical="center"/>
    </xf>
    <xf numFmtId="165" fontId="12" fillId="10" borderId="27" xfId="0" applyNumberFormat="1" applyFont="1" applyFill="1" applyBorder="1" applyAlignment="1">
      <alignment horizontal="left" vertical="center"/>
    </xf>
    <xf numFmtId="3" fontId="12" fillId="0" borderId="28" xfId="0" applyNumberFormat="1" applyFont="1" applyFill="1" applyBorder="1" applyAlignment="1">
      <alignment horizontal="center" vertical="center"/>
    </xf>
    <xf numFmtId="3" fontId="12" fillId="0" borderId="25" xfId="0" applyNumberFormat="1" applyFont="1" applyFill="1" applyBorder="1" applyAlignment="1">
      <alignment horizontal="center" vertical="center"/>
    </xf>
    <xf numFmtId="0" fontId="12" fillId="0" borderId="25" xfId="0" applyFont="1" applyFill="1" applyBorder="1" applyAlignment="1">
      <alignment horizontal="center" vertical="center"/>
    </xf>
    <xf numFmtId="0" fontId="12" fillId="0" borderId="26" xfId="0" applyFont="1" applyFill="1" applyBorder="1" applyAlignment="1">
      <alignment horizontal="center" vertical="center"/>
    </xf>
    <xf numFmtId="0" fontId="12" fillId="0" borderId="29" xfId="0" applyFont="1" applyFill="1" applyBorder="1" applyAlignment="1">
      <alignment horizontal="left" vertical="center"/>
    </xf>
    <xf numFmtId="1" fontId="12" fillId="0" borderId="30" xfId="0" applyNumberFormat="1" applyFont="1" applyFill="1" applyBorder="1" applyAlignment="1">
      <alignment horizontal="center" vertical="center"/>
    </xf>
    <xf numFmtId="165" fontId="12" fillId="0" borderId="31" xfId="3" applyNumberFormat="1" applyFont="1" applyFill="1" applyBorder="1" applyAlignment="1">
      <alignment horizontal="left" vertical="center"/>
    </xf>
    <xf numFmtId="165" fontId="12" fillId="10" borderId="32" xfId="0" applyNumberFormat="1" applyFont="1" applyFill="1" applyBorder="1" applyAlignment="1">
      <alignment horizontal="left" vertical="center"/>
    </xf>
    <xf numFmtId="0" fontId="12" fillId="0" borderId="33" xfId="0" applyFont="1" applyFill="1" applyBorder="1" applyAlignment="1">
      <alignment horizontal="center" vertical="center"/>
    </xf>
    <xf numFmtId="0" fontId="12" fillId="0" borderId="30" xfId="0" applyFont="1" applyFill="1" applyBorder="1" applyAlignment="1">
      <alignment horizontal="center" vertical="center"/>
    </xf>
    <xf numFmtId="3" fontId="14" fillId="0" borderId="30" xfId="0" applyNumberFormat="1" applyFont="1" applyFill="1" applyBorder="1" applyAlignment="1">
      <alignment horizontal="center" vertical="center"/>
    </xf>
    <xf numFmtId="0" fontId="12" fillId="0" borderId="31" xfId="0" applyFont="1" applyFill="1" applyBorder="1" applyAlignment="1">
      <alignment horizontal="center" vertical="center"/>
    </xf>
    <xf numFmtId="3" fontId="12" fillId="0" borderId="33" xfId="0" applyNumberFormat="1" applyFont="1" applyFill="1" applyBorder="1" applyAlignment="1">
      <alignment horizontal="center" vertical="center"/>
    </xf>
    <xf numFmtId="3" fontId="12" fillId="0" borderId="30" xfId="0" applyNumberFormat="1" applyFont="1" applyFill="1" applyBorder="1" applyAlignment="1">
      <alignment horizontal="center" vertical="center"/>
    </xf>
    <xf numFmtId="3" fontId="14" fillId="0" borderId="16" xfId="0" applyNumberFormat="1" applyFont="1" applyFill="1" applyBorder="1" applyAlignment="1">
      <alignment horizontal="center" vertical="center"/>
    </xf>
    <xf numFmtId="0" fontId="12" fillId="0" borderId="16" xfId="0" applyFont="1" applyFill="1" applyBorder="1" applyAlignment="1">
      <alignment horizontal="center" vertical="center"/>
    </xf>
    <xf numFmtId="0" fontId="12" fillId="0" borderId="17" xfId="0" applyFont="1" applyFill="1" applyBorder="1" applyAlignment="1">
      <alignment horizontal="center" vertical="center"/>
    </xf>
    <xf numFmtId="0" fontId="12" fillId="0" borderId="34" xfId="0" applyFont="1" applyFill="1" applyBorder="1" applyAlignment="1">
      <alignment horizontal="left" vertical="center"/>
    </xf>
    <xf numFmtId="1" fontId="12" fillId="0" borderId="35" xfId="0" applyNumberFormat="1" applyFont="1" applyFill="1" applyBorder="1" applyAlignment="1">
      <alignment horizontal="center" vertical="center"/>
    </xf>
    <xf numFmtId="165" fontId="12" fillId="0" borderId="36" xfId="3" applyNumberFormat="1" applyFont="1" applyFill="1" applyBorder="1" applyAlignment="1">
      <alignment horizontal="left" vertical="center"/>
    </xf>
    <xf numFmtId="165" fontId="12" fillId="10" borderId="2" xfId="0" applyNumberFormat="1" applyFont="1" applyFill="1" applyBorder="1" applyAlignment="1">
      <alignment horizontal="left" vertical="center"/>
    </xf>
    <xf numFmtId="3" fontId="14" fillId="0" borderId="37" xfId="0" applyNumberFormat="1" applyFont="1" applyFill="1" applyBorder="1" applyAlignment="1">
      <alignment horizontal="center" vertical="center"/>
    </xf>
    <xf numFmtId="3" fontId="14" fillId="0" borderId="35" xfId="0" applyNumberFormat="1" applyFont="1" applyFill="1" applyBorder="1" applyAlignment="1">
      <alignment horizontal="center" vertical="center"/>
    </xf>
    <xf numFmtId="3" fontId="14" fillId="0" borderId="36" xfId="0" applyNumberFormat="1" applyFont="1" applyFill="1" applyBorder="1" applyAlignment="1">
      <alignment horizontal="center" vertical="center"/>
    </xf>
    <xf numFmtId="0" fontId="6" fillId="12" borderId="38" xfId="3" applyNumberFormat="1" applyFont="1" applyFill="1" applyBorder="1" applyAlignment="1">
      <alignment horizontal="left" vertical="center"/>
    </xf>
    <xf numFmtId="0" fontId="6" fillId="12" borderId="39" xfId="3" applyNumberFormat="1" applyFont="1" applyFill="1" applyBorder="1" applyAlignment="1">
      <alignment horizontal="left" vertical="center"/>
    </xf>
    <xf numFmtId="1" fontId="12" fillId="0" borderId="35" xfId="3" applyNumberFormat="1" applyFont="1" applyFill="1" applyBorder="1" applyAlignment="1">
      <alignment horizontal="center" vertical="center"/>
    </xf>
    <xf numFmtId="3" fontId="14" fillId="0" borderId="28" xfId="0" applyNumberFormat="1" applyFont="1" applyFill="1" applyBorder="1" applyAlignment="1">
      <alignment horizontal="center" vertical="center"/>
    </xf>
    <xf numFmtId="3" fontId="14" fillId="0" borderId="25" xfId="0" applyNumberFormat="1" applyFont="1" applyFill="1" applyBorder="1" applyAlignment="1">
      <alignment horizontal="center" vertical="center"/>
    </xf>
    <xf numFmtId="3" fontId="12" fillId="0" borderId="31" xfId="0" applyNumberFormat="1" applyFont="1" applyFill="1" applyBorder="1" applyAlignment="1">
      <alignment horizontal="center" vertical="center"/>
    </xf>
    <xf numFmtId="3" fontId="12" fillId="0" borderId="26" xfId="0" applyNumberFormat="1" applyFont="1" applyFill="1" applyBorder="1" applyAlignment="1">
      <alignment horizontal="center" vertical="center"/>
    </xf>
    <xf numFmtId="165" fontId="14" fillId="0" borderId="40" xfId="3" applyNumberFormat="1" applyFont="1" applyFill="1" applyBorder="1" applyAlignment="1">
      <alignment horizontal="left" vertical="center"/>
    </xf>
    <xf numFmtId="165" fontId="14" fillId="0" borderId="41" xfId="3" applyNumberFormat="1" applyFont="1" applyFill="1" applyBorder="1" applyAlignment="1">
      <alignment horizontal="left" vertical="center"/>
    </xf>
    <xf numFmtId="165" fontId="14" fillId="0" borderId="10" xfId="3" applyNumberFormat="1" applyFont="1" applyFill="1" applyBorder="1" applyAlignment="1">
      <alignment horizontal="left" vertical="center"/>
    </xf>
    <xf numFmtId="165" fontId="14" fillId="0" borderId="42" xfId="3" applyNumberFormat="1" applyFont="1" applyFill="1" applyBorder="1" applyAlignment="1">
      <alignment horizontal="left" vertical="center"/>
    </xf>
    <xf numFmtId="165" fontId="14" fillId="0" borderId="43" xfId="3" applyNumberFormat="1" applyFont="1" applyFill="1" applyBorder="1" applyAlignment="1">
      <alignment horizontal="left" vertical="center"/>
    </xf>
    <xf numFmtId="165" fontId="14" fillId="0" borderId="31" xfId="3" applyNumberFormat="1" applyFont="1" applyFill="1" applyBorder="1" applyAlignment="1">
      <alignment horizontal="left" vertical="center"/>
    </xf>
    <xf numFmtId="3" fontId="14" fillId="0" borderId="12" xfId="0" applyNumberFormat="1" applyFont="1" applyFill="1" applyBorder="1" applyAlignment="1">
      <alignment horizontal="center" vertical="center"/>
    </xf>
    <xf numFmtId="3" fontId="14" fillId="0" borderId="44" xfId="0" applyNumberFormat="1" applyFont="1" applyFill="1" applyBorder="1" applyAlignment="1">
      <alignment horizontal="center" vertical="center"/>
    </xf>
    <xf numFmtId="3" fontId="14" fillId="0" borderId="33" xfId="0" applyNumberFormat="1" applyFont="1" applyFill="1" applyBorder="1" applyAlignment="1">
      <alignment horizontal="center" vertical="center"/>
    </xf>
    <xf numFmtId="3" fontId="14" fillId="0" borderId="45" xfId="0" applyNumberFormat="1" applyFont="1" applyFill="1" applyBorder="1" applyAlignment="1">
      <alignment horizontal="center" vertical="center"/>
    </xf>
    <xf numFmtId="3" fontId="14" fillId="0" borderId="46" xfId="0" applyNumberFormat="1" applyFont="1" applyFill="1" applyBorder="1" applyAlignment="1">
      <alignment horizontal="center" vertical="center"/>
    </xf>
    <xf numFmtId="3" fontId="14" fillId="0" borderId="47" xfId="0" applyNumberFormat="1" applyFont="1" applyFill="1" applyBorder="1" applyAlignment="1">
      <alignment horizontal="center" vertical="center"/>
    </xf>
    <xf numFmtId="3" fontId="12" fillId="10" borderId="21" xfId="0" applyNumberFormat="1" applyFont="1" applyFill="1" applyBorder="1"/>
    <xf numFmtId="3" fontId="14" fillId="0" borderId="6" xfId="0" applyNumberFormat="1" applyFont="1" applyFill="1" applyBorder="1" applyAlignment="1">
      <alignment horizontal="center" vertical="center"/>
    </xf>
    <xf numFmtId="3" fontId="14" fillId="0" borderId="7" xfId="0" applyNumberFormat="1" applyFont="1" applyFill="1" applyBorder="1" applyAlignment="1">
      <alignment horizontal="center" vertical="center"/>
    </xf>
    <xf numFmtId="3" fontId="14" fillId="0" borderId="5" xfId="0" applyNumberFormat="1" applyFont="1" applyFill="1" applyBorder="1" applyAlignment="1">
      <alignment horizontal="center" vertical="center"/>
    </xf>
    <xf numFmtId="0" fontId="6" fillId="0" borderId="0" xfId="0" applyFont="1" applyFill="1"/>
    <xf numFmtId="0" fontId="6" fillId="0" borderId="0" xfId="0" applyFont="1" applyFill="1" applyAlignment="1">
      <alignment horizontal="left" vertical="center"/>
    </xf>
    <xf numFmtId="3" fontId="14" fillId="0" borderId="13" xfId="0" applyNumberFormat="1" applyFont="1" applyFill="1" applyBorder="1" applyAlignment="1">
      <alignment horizontal="center" vertical="center"/>
    </xf>
    <xf numFmtId="3" fontId="14" fillId="0" borderId="0" xfId="0" applyNumberFormat="1" applyFont="1" applyFill="1" applyBorder="1" applyAlignment="1">
      <alignment horizontal="center" vertical="center"/>
    </xf>
    <xf numFmtId="3" fontId="14" fillId="0" borderId="14" xfId="0" applyNumberFormat="1" applyFont="1" applyFill="1" applyBorder="1" applyAlignment="1">
      <alignment horizontal="center" vertical="center"/>
    </xf>
    <xf numFmtId="0" fontId="13" fillId="14" borderId="48" xfId="0" applyFont="1" applyFill="1" applyBorder="1" applyAlignment="1">
      <alignment horizontal="left" vertical="center"/>
    </xf>
    <xf numFmtId="1" fontId="12" fillId="14" borderId="40" xfId="0" applyNumberFormat="1" applyFont="1" applyFill="1" applyBorder="1" applyAlignment="1">
      <alignment horizontal="center" vertical="center"/>
    </xf>
    <xf numFmtId="165" fontId="12" fillId="14" borderId="5" xfId="3" applyNumberFormat="1" applyFont="1" applyFill="1" applyBorder="1" applyAlignment="1">
      <alignment horizontal="left" vertical="center"/>
    </xf>
    <xf numFmtId="165" fontId="12" fillId="14" borderId="4" xfId="0" applyNumberFormat="1" applyFont="1" applyFill="1" applyBorder="1" applyAlignment="1">
      <alignment horizontal="left" vertical="center"/>
    </xf>
    <xf numFmtId="0" fontId="12" fillId="14" borderId="7" xfId="0" applyFont="1" applyFill="1" applyBorder="1"/>
    <xf numFmtId="0" fontId="12" fillId="14" borderId="5" xfId="0" applyFont="1" applyFill="1" applyBorder="1"/>
    <xf numFmtId="3" fontId="14" fillId="0" borderId="31" xfId="0" applyNumberFormat="1" applyFont="1" applyFill="1" applyBorder="1" applyAlignment="1">
      <alignment horizontal="center" vertical="center"/>
    </xf>
    <xf numFmtId="1" fontId="14" fillId="0" borderId="30" xfId="0" applyNumberFormat="1" applyFont="1" applyFill="1" applyBorder="1" applyAlignment="1">
      <alignment horizontal="center" vertical="center"/>
    </xf>
    <xf numFmtId="0" fontId="13" fillId="14" borderId="49" xfId="0" applyFont="1" applyFill="1" applyBorder="1" applyAlignment="1">
      <alignment horizontal="left" vertical="center"/>
    </xf>
    <xf numFmtId="1" fontId="12" fillId="14" borderId="42" xfId="0" applyNumberFormat="1" applyFont="1" applyFill="1" applyBorder="1" applyAlignment="1">
      <alignment horizontal="center" vertical="center"/>
    </xf>
    <xf numFmtId="165" fontId="12" fillId="14" borderId="14" xfId="3" applyNumberFormat="1" applyFont="1" applyFill="1" applyBorder="1" applyAlignment="1">
      <alignment horizontal="left" vertical="center"/>
    </xf>
    <xf numFmtId="165" fontId="12" fillId="14" borderId="2" xfId="0" applyNumberFormat="1" applyFont="1" applyFill="1" applyBorder="1" applyAlignment="1">
      <alignment horizontal="left" vertical="center"/>
    </xf>
    <xf numFmtId="0" fontId="12" fillId="14" borderId="0" xfId="0" applyFont="1" applyFill="1" applyBorder="1"/>
    <xf numFmtId="0" fontId="12" fillId="14" borderId="14" xfId="0" applyFont="1" applyFill="1" applyBorder="1"/>
    <xf numFmtId="165" fontId="14" fillId="0" borderId="17" xfId="3" applyNumberFormat="1" applyFont="1" applyFill="1" applyBorder="1" applyAlignment="1">
      <alignment horizontal="left" vertical="center"/>
    </xf>
    <xf numFmtId="3" fontId="14" fillId="0" borderId="17" xfId="0" applyNumberFormat="1" applyFont="1" applyFill="1" applyBorder="1" applyAlignment="1">
      <alignment horizontal="center" vertical="center"/>
    </xf>
    <xf numFmtId="165" fontId="12" fillId="14" borderId="50" xfId="3" applyNumberFormat="1" applyFont="1" applyFill="1" applyBorder="1" applyAlignment="1">
      <alignment horizontal="left" vertical="center"/>
    </xf>
    <xf numFmtId="165" fontId="12" fillId="14" borderId="51" xfId="0" applyNumberFormat="1" applyFont="1" applyFill="1" applyBorder="1" applyAlignment="1">
      <alignment horizontal="left" vertical="center"/>
    </xf>
    <xf numFmtId="0" fontId="14" fillId="14" borderId="52" xfId="0" applyFont="1" applyFill="1" applyBorder="1"/>
    <xf numFmtId="0" fontId="14" fillId="14" borderId="50" xfId="0" applyFont="1" applyFill="1" applyBorder="1"/>
    <xf numFmtId="3" fontId="14" fillId="0" borderId="26" xfId="0" applyNumberFormat="1" applyFont="1" applyFill="1" applyBorder="1" applyAlignment="1">
      <alignment horizontal="center" vertical="center"/>
    </xf>
    <xf numFmtId="1" fontId="12" fillId="14" borderId="45" xfId="0" applyNumberFormat="1" applyFont="1" applyFill="1" applyBorder="1" applyAlignment="1">
      <alignment horizontal="center" vertical="center"/>
    </xf>
    <xf numFmtId="1" fontId="14" fillId="0" borderId="25" xfId="0" applyNumberFormat="1" applyFont="1" applyFill="1" applyBorder="1" applyAlignment="1">
      <alignment horizontal="center" vertical="center"/>
    </xf>
    <xf numFmtId="1" fontId="14" fillId="0" borderId="16" xfId="0" applyNumberFormat="1" applyFont="1" applyFill="1" applyBorder="1" applyAlignment="1">
      <alignment horizontal="center" vertical="center"/>
    </xf>
    <xf numFmtId="0" fontId="6" fillId="0" borderId="0" xfId="0" applyFont="1" applyBorder="1" applyAlignment="1">
      <alignment horizontal="left" vertical="center"/>
    </xf>
    <xf numFmtId="0" fontId="6" fillId="13" borderId="53" xfId="0" applyFont="1" applyFill="1" applyBorder="1" applyAlignment="1">
      <alignment vertical="center"/>
    </xf>
    <xf numFmtId="0" fontId="6" fillId="0" borderId="0" xfId="0" applyNumberFormat="1" applyFont="1" applyAlignment="1">
      <alignment horizontal="left" vertical="center"/>
    </xf>
    <xf numFmtId="0" fontId="6" fillId="0" borderId="0" xfId="0" applyFont="1" applyAlignment="1">
      <alignment horizontal="left" vertical="center" wrapText="1"/>
    </xf>
    <xf numFmtId="165" fontId="13" fillId="7" borderId="1" xfId="0" applyNumberFormat="1" applyFont="1" applyFill="1" applyBorder="1" applyAlignment="1">
      <alignment horizontal="left" vertical="center"/>
    </xf>
    <xf numFmtId="0" fontId="6" fillId="0" borderId="0" xfId="0" applyFont="1" applyAlignment="1">
      <alignment vertical="center"/>
    </xf>
    <xf numFmtId="164" fontId="6" fillId="0" borderId="0" xfId="3" applyFont="1" applyAlignment="1">
      <alignment horizontal="left" vertical="center"/>
    </xf>
    <xf numFmtId="1" fontId="6" fillId="0" borderId="0" xfId="0" applyNumberFormat="1" applyFont="1" applyAlignment="1">
      <alignment horizontal="center" vertical="center"/>
    </xf>
    <xf numFmtId="165" fontId="6" fillId="0" borderId="0" xfId="3" applyNumberFormat="1" applyFont="1" applyAlignment="1">
      <alignment horizontal="left" vertical="center"/>
    </xf>
    <xf numFmtId="0" fontId="15" fillId="0" borderId="1" xfId="0" applyFont="1" applyBorder="1" applyAlignment="1">
      <alignment horizontal="center" vertical="center"/>
    </xf>
    <xf numFmtId="164" fontId="1" fillId="0" borderId="1" xfId="3" applyFont="1" applyBorder="1"/>
    <xf numFmtId="1" fontId="0" fillId="0" borderId="0" xfId="0" applyNumberFormat="1"/>
    <xf numFmtId="0" fontId="0" fillId="0" borderId="1" xfId="0" applyBorder="1" applyAlignment="1">
      <alignment horizontal="center"/>
    </xf>
    <xf numFmtId="0" fontId="16" fillId="0" borderId="1" xfId="0" applyFont="1" applyBorder="1" applyAlignment="1">
      <alignment vertical="center"/>
    </xf>
    <xf numFmtId="164" fontId="0" fillId="0" borderId="1" xfId="3" applyFont="1" applyBorder="1"/>
    <xf numFmtId="1" fontId="0" fillId="0" borderId="1" xfId="0" applyNumberFormat="1" applyBorder="1" applyAlignment="1">
      <alignment horizontal="center" vertical="center"/>
    </xf>
    <xf numFmtId="1" fontId="0" fillId="0" borderId="0" xfId="0" applyNumberFormat="1" applyAlignment="1">
      <alignment horizontal="center"/>
    </xf>
    <xf numFmtId="164" fontId="0" fillId="0" borderId="0" xfId="3" applyFont="1"/>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1" xfId="0" applyFont="1" applyFill="1" applyBorder="1" applyAlignment="1">
      <alignment horizontal="center" vertical="center" wrapText="1"/>
    </xf>
    <xf numFmtId="0" fontId="19" fillId="15" borderId="1" xfId="0" applyFont="1" applyFill="1" applyBorder="1" applyAlignment="1">
      <alignment vertical="center" wrapText="1"/>
    </xf>
    <xf numFmtId="1" fontId="19" fillId="15" borderId="1" xfId="0" applyNumberFormat="1" applyFont="1" applyFill="1" applyBorder="1" applyAlignment="1">
      <alignment horizontal="center" vertical="center" wrapText="1"/>
    </xf>
    <xf numFmtId="0" fontId="19" fillId="0" borderId="1" xfId="0" applyFont="1" applyBorder="1" applyAlignment="1">
      <alignment vertical="center" wrapText="1"/>
    </xf>
    <xf numFmtId="0" fontId="19" fillId="15" borderId="1" xfId="0" applyFont="1" applyFill="1" applyBorder="1" applyAlignment="1">
      <alignment horizontal="center" vertical="center" wrapText="1"/>
    </xf>
    <xf numFmtId="1" fontId="19" fillId="0" borderId="1" xfId="0" applyNumberFormat="1" applyFont="1" applyFill="1" applyBorder="1" applyAlignment="1">
      <alignment horizontal="center" vertical="center" wrapText="1"/>
    </xf>
    <xf numFmtId="1" fontId="19" fillId="0" borderId="1" xfId="0" applyNumberFormat="1" applyFont="1" applyBorder="1" applyAlignment="1">
      <alignment horizontal="center" vertical="center" wrapText="1"/>
    </xf>
    <xf numFmtId="0" fontId="18" fillId="15" borderId="1" xfId="0" applyFont="1" applyFill="1" applyBorder="1" applyAlignment="1">
      <alignment vertical="center" wrapText="1"/>
    </xf>
    <xf numFmtId="1" fontId="20" fillId="0" borderId="1" xfId="0" applyNumberFormat="1" applyFont="1" applyBorder="1" applyAlignment="1">
      <alignment horizontal="center"/>
    </xf>
    <xf numFmtId="0" fontId="18" fillId="0" borderId="1" xfId="0" applyFont="1" applyBorder="1" applyAlignment="1">
      <alignment vertical="center" wrapText="1"/>
    </xf>
    <xf numFmtId="1" fontId="18" fillId="15" borderId="1" xfId="0" applyNumberFormat="1" applyFont="1" applyFill="1" applyBorder="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horizontal="center"/>
    </xf>
    <xf numFmtId="0" fontId="16" fillId="0" borderId="1" xfId="0" applyFont="1" applyBorder="1" applyAlignment="1">
      <alignment horizontal="left" vertical="center"/>
    </xf>
    <xf numFmtId="0" fontId="16" fillId="0" borderId="1" xfId="0" applyFont="1" applyBorder="1" applyAlignment="1">
      <alignment horizontal="center" vertical="center"/>
    </xf>
    <xf numFmtId="1" fontId="0" fillId="0" borderId="1" xfId="0" applyNumberFormat="1" applyBorder="1" applyAlignment="1">
      <alignment horizontal="center"/>
    </xf>
    <xf numFmtId="0" fontId="0" fillId="16" borderId="1" xfId="0" applyFill="1" applyBorder="1" applyAlignment="1">
      <alignment horizontal="center" vertical="center"/>
    </xf>
    <xf numFmtId="1" fontId="0" fillId="16" borderId="1" xfId="0" applyNumberFormat="1" applyFill="1" applyBorder="1"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16" fillId="0" borderId="1" xfId="0" applyFont="1" applyBorder="1" applyAlignment="1">
      <alignment vertical="center" wrapText="1"/>
    </xf>
    <xf numFmtId="1" fontId="16" fillId="0" borderId="1" xfId="0" applyNumberFormat="1"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vertical="center"/>
    </xf>
    <xf numFmtId="0" fontId="0" fillId="0" borderId="1" xfId="0" applyBorder="1" applyAlignment="1">
      <alignment horizontal="center" vertical="center"/>
    </xf>
    <xf numFmtId="1" fontId="0" fillId="0" borderId="0" xfId="0" applyNumberFormat="1" applyAlignment="1">
      <alignment horizontal="center" vertical="center"/>
    </xf>
    <xf numFmtId="1" fontId="1" fillId="8" borderId="1" xfId="0" applyNumberFormat="1" applyFont="1" applyFill="1" applyBorder="1" applyAlignment="1">
      <alignment horizontal="center" vertical="center"/>
    </xf>
    <xf numFmtId="0" fontId="1" fillId="17" borderId="0" xfId="0" applyFont="1" applyFill="1"/>
    <xf numFmtId="0" fontId="1" fillId="17" borderId="1" xfId="0" applyFont="1" applyFill="1" applyBorder="1" applyAlignment="1">
      <alignment vertical="center"/>
    </xf>
    <xf numFmtId="1" fontId="1" fillId="0" borderId="1" xfId="0" applyNumberFormat="1" applyFont="1" applyBorder="1"/>
    <xf numFmtId="0" fontId="1" fillId="0" borderId="1" xfId="0" applyFont="1" applyBorder="1"/>
    <xf numFmtId="1" fontId="0" fillId="0" borderId="1" xfId="0" applyNumberFormat="1" applyBorder="1" applyAlignment="1">
      <alignment vertical="center"/>
    </xf>
    <xf numFmtId="0" fontId="1" fillId="17" borderId="0" xfId="0" applyFont="1" applyFill="1" applyAlignment="1">
      <alignment horizontal="center"/>
    </xf>
    <xf numFmtId="1" fontId="15" fillId="18" borderId="1" xfId="0" applyNumberFormat="1" applyFont="1" applyFill="1" applyBorder="1" applyAlignment="1">
      <alignment horizontal="center" vertical="center"/>
    </xf>
    <xf numFmtId="3" fontId="0" fillId="0" borderId="1" xfId="1" applyNumberFormat="1" applyFont="1" applyFill="1" applyBorder="1"/>
    <xf numFmtId="3" fontId="1" fillId="9" borderId="3" xfId="1" applyNumberFormat="1" applyFont="1" applyFill="1" applyBorder="1"/>
    <xf numFmtId="37" fontId="0" fillId="0" borderId="0" xfId="0" applyNumberFormat="1"/>
    <xf numFmtId="0" fontId="0" fillId="5" borderId="1" xfId="0" applyFill="1" applyBorder="1" applyAlignment="1"/>
    <xf numFmtId="0" fontId="1" fillId="2" borderId="4" xfId="0" applyFont="1" applyFill="1" applyBorder="1" applyAlignment="1">
      <alignment wrapText="1"/>
    </xf>
    <xf numFmtId="0" fontId="1" fillId="2" borderId="4" xfId="0" applyFont="1" applyFill="1" applyBorder="1" applyAlignment="1">
      <alignment horizontal="left" wrapText="1"/>
    </xf>
    <xf numFmtId="3" fontId="1" fillId="2" borderId="4" xfId="0" applyNumberFormat="1" applyFont="1" applyFill="1" applyBorder="1" applyAlignment="1">
      <alignment wrapText="1"/>
    </xf>
    <xf numFmtId="9" fontId="0" fillId="0" borderId="1" xfId="2" applyFont="1" applyBorder="1" applyAlignment="1"/>
    <xf numFmtId="9" fontId="0" fillId="0" borderId="1" xfId="2" applyFont="1" applyFill="1" applyBorder="1" applyAlignment="1"/>
    <xf numFmtId="3" fontId="0" fillId="0" borderId="0" xfId="0" applyNumberFormat="1" applyFill="1"/>
    <xf numFmtId="9" fontId="0" fillId="0" borderId="0" xfId="2" applyFont="1" applyFill="1"/>
    <xf numFmtId="0" fontId="0" fillId="0" borderId="1" xfId="0" applyNumberFormat="1" applyBorder="1" applyAlignment="1">
      <alignment horizontal="left" wrapText="1"/>
    </xf>
    <xf numFmtId="3" fontId="0" fillId="0" borderId="13" xfId="0" applyNumberFormat="1" applyFill="1" applyBorder="1"/>
    <xf numFmtId="43" fontId="0" fillId="0" borderId="13" xfId="1" applyFont="1" applyFill="1" applyBorder="1"/>
    <xf numFmtId="166" fontId="0" fillId="0" borderId="0" xfId="2" applyNumberFormat="1" applyFont="1" applyFill="1"/>
    <xf numFmtId="9" fontId="0" fillId="0" borderId="0" xfId="0" applyNumberFormat="1" applyFill="1"/>
    <xf numFmtId="9" fontId="0" fillId="0" borderId="1" xfId="2" applyFont="1" applyFill="1" applyBorder="1"/>
    <xf numFmtId="0" fontId="1" fillId="0" borderId="0" xfId="0" applyFont="1" applyAlignment="1">
      <alignment vertical="center"/>
    </xf>
    <xf numFmtId="0" fontId="0" fillId="0" borderId="3" xfId="0" applyBorder="1"/>
    <xf numFmtId="9" fontId="0" fillId="0" borderId="1" xfId="2" applyFont="1" applyBorder="1" applyAlignment="1">
      <alignment horizontal="center"/>
    </xf>
    <xf numFmtId="0" fontId="22" fillId="0" borderId="1" xfId="0" applyFont="1" applyBorder="1" applyAlignment="1">
      <alignment horizontal="left" vertical="center"/>
    </xf>
    <xf numFmtId="43" fontId="1" fillId="9" borderId="1" xfId="1" applyFont="1" applyFill="1" applyBorder="1" applyAlignment="1">
      <alignment vertical="center"/>
    </xf>
    <xf numFmtId="43" fontId="1" fillId="9" borderId="1" xfId="1" applyFont="1" applyFill="1" applyBorder="1" applyAlignment="1">
      <alignment vertical="center" wrapText="1"/>
    </xf>
    <xf numFmtId="0" fontId="1" fillId="0" borderId="3" xfId="0" applyFont="1" applyBorder="1"/>
    <xf numFmtId="43" fontId="0" fillId="0" borderId="1" xfId="1" applyFont="1" applyFill="1" applyBorder="1" applyAlignment="1">
      <alignment horizontal="left" wrapText="1"/>
    </xf>
    <xf numFmtId="43" fontId="1" fillId="9" borderId="1" xfId="1" applyFont="1" applyFill="1" applyBorder="1" applyAlignment="1">
      <alignment horizontal="left" vertical="center"/>
    </xf>
    <xf numFmtId="0" fontId="5" fillId="0" borderId="1" xfId="0" applyNumberFormat="1" applyFont="1" applyFill="1" applyBorder="1" applyAlignment="1">
      <alignment horizontal="left"/>
    </xf>
    <xf numFmtId="0" fontId="0" fillId="0" borderId="3" xfId="0" applyBorder="1" applyAlignment="1">
      <alignment horizontal="left"/>
    </xf>
    <xf numFmtId="0" fontId="25" fillId="20" borderId="54" xfId="0" applyFont="1" applyFill="1" applyBorder="1" applyAlignment="1">
      <alignment horizontal="left" vertical="center" wrapText="1"/>
    </xf>
    <xf numFmtId="167" fontId="26" fillId="14" borderId="55" xfId="1" applyNumberFormat="1" applyFont="1" applyFill="1" applyBorder="1" applyAlignment="1">
      <alignment vertical="center"/>
    </xf>
    <xf numFmtId="0" fontId="24" fillId="7" borderId="0" xfId="0" applyFont="1" applyFill="1" applyBorder="1" applyAlignment="1">
      <alignment horizontal="center" vertical="center"/>
    </xf>
    <xf numFmtId="167" fontId="24" fillId="19" borderId="0" xfId="1" applyNumberFormat="1" applyFont="1" applyFill="1" applyBorder="1" applyAlignment="1">
      <alignment vertical="center"/>
    </xf>
    <xf numFmtId="0" fontId="0" fillId="0" borderId="56" xfId="0" applyBorder="1"/>
    <xf numFmtId="0" fontId="0" fillId="0" borderId="57" xfId="0" applyBorder="1"/>
    <xf numFmtId="0" fontId="23" fillId="9" borderId="57" xfId="0" applyFont="1" applyFill="1" applyBorder="1" applyAlignment="1">
      <alignment horizontal="center" vertical="center" wrapText="1"/>
    </xf>
    <xf numFmtId="0" fontId="23" fillId="9" borderId="58" xfId="0" applyFont="1" applyFill="1" applyBorder="1" applyAlignment="1">
      <alignment horizontal="center" vertical="center" wrapText="1"/>
    </xf>
    <xf numFmtId="167" fontId="23" fillId="14" borderId="60" xfId="1" applyNumberFormat="1" applyFont="1" applyFill="1" applyBorder="1" applyAlignment="1">
      <alignment horizontal="right" vertical="center"/>
    </xf>
    <xf numFmtId="0" fontId="0" fillId="0" borderId="61" xfId="0" applyBorder="1"/>
    <xf numFmtId="167" fontId="23" fillId="13" borderId="60" xfId="1" applyNumberFormat="1" applyFont="1" applyFill="1" applyBorder="1" applyAlignment="1">
      <alignment horizontal="right" vertical="center"/>
    </xf>
    <xf numFmtId="0" fontId="0" fillId="0" borderId="62" xfId="0" applyBorder="1"/>
    <xf numFmtId="0" fontId="0" fillId="0" borderId="63" xfId="0" applyBorder="1"/>
    <xf numFmtId="0" fontId="24" fillId="7" borderId="64" xfId="0" applyFont="1" applyFill="1" applyBorder="1" applyAlignment="1">
      <alignment horizontal="center" vertical="center"/>
    </xf>
    <xf numFmtId="167" fontId="24" fillId="19" borderId="64" xfId="1" applyNumberFormat="1" applyFont="1" applyFill="1" applyBorder="1" applyAlignment="1">
      <alignment vertical="center"/>
    </xf>
    <xf numFmtId="167" fontId="23" fillId="13" borderId="65" xfId="1" applyNumberFormat="1" applyFont="1" applyFill="1" applyBorder="1" applyAlignment="1">
      <alignment horizontal="right" vertical="center"/>
    </xf>
    <xf numFmtId="167" fontId="23" fillId="16" borderId="66" xfId="1" applyNumberFormat="1" applyFont="1" applyFill="1" applyBorder="1" applyAlignment="1">
      <alignment horizontal="right"/>
    </xf>
    <xf numFmtId="167" fontId="28" fillId="16" borderId="67" xfId="1" applyNumberFormat="1" applyFont="1" applyFill="1" applyBorder="1" applyAlignment="1">
      <alignment horizontal="center"/>
    </xf>
    <xf numFmtId="0" fontId="29" fillId="0" borderId="68" xfId="0" applyFont="1" applyBorder="1"/>
    <xf numFmtId="0" fontId="34" fillId="23" borderId="70" xfId="0" applyFont="1" applyFill="1" applyBorder="1" applyAlignment="1">
      <alignment horizontal="left" vertical="center" wrapText="1" readingOrder="1"/>
    </xf>
    <xf numFmtId="3" fontId="35" fillId="24" borderId="71" xfId="0" applyNumberFormat="1" applyFont="1" applyFill="1" applyBorder="1" applyAlignment="1">
      <alignment horizontal="right" vertical="center" wrapText="1" readingOrder="1"/>
    </xf>
    <xf numFmtId="0" fontId="36" fillId="25" borderId="72" xfId="0" applyFont="1" applyFill="1" applyBorder="1" applyAlignment="1">
      <alignment horizontal="center" vertical="center" wrapText="1" readingOrder="1"/>
    </xf>
    <xf numFmtId="3" fontId="36" fillId="22" borderId="73" xfId="0" applyNumberFormat="1" applyFont="1" applyFill="1" applyBorder="1" applyAlignment="1">
      <alignment horizontal="right" vertical="center" wrapText="1" readingOrder="1"/>
    </xf>
    <xf numFmtId="3" fontId="35" fillId="24" borderId="71" xfId="0" applyNumberFormat="1" applyFont="1" applyFill="1" applyBorder="1" applyAlignment="1">
      <alignment horizontal="right" vertical="center" wrapText="1" indent="1" readingOrder="1"/>
    </xf>
    <xf numFmtId="0" fontId="37" fillId="0" borderId="0" xfId="0" applyFont="1"/>
    <xf numFmtId="0" fontId="31" fillId="0" borderId="56" xfId="0" applyFont="1" applyBorder="1" applyAlignment="1">
      <alignment wrapText="1"/>
    </xf>
    <xf numFmtId="0" fontId="31" fillId="0" borderId="74" xfId="0" applyFont="1" applyBorder="1" applyAlignment="1">
      <alignment wrapText="1"/>
    </xf>
    <xf numFmtId="0" fontId="32" fillId="21" borderId="75" xfId="0" applyFont="1" applyFill="1" applyBorder="1" applyAlignment="1">
      <alignment horizontal="center" vertical="center" wrapText="1" readingOrder="1"/>
    </xf>
    <xf numFmtId="0" fontId="32" fillId="21" borderId="76" xfId="0" applyFont="1" applyFill="1" applyBorder="1" applyAlignment="1">
      <alignment horizontal="center" vertical="center" wrapText="1" readingOrder="1"/>
    </xf>
    <xf numFmtId="0" fontId="35" fillId="24" borderId="78" xfId="0" applyFont="1" applyFill="1" applyBorder="1" applyAlignment="1">
      <alignment horizontal="center" vertical="center" wrapText="1" readingOrder="1"/>
    </xf>
    <xf numFmtId="0" fontId="31" fillId="0" borderId="79" xfId="0" applyFont="1" applyBorder="1" applyAlignment="1">
      <alignment wrapText="1"/>
    </xf>
    <xf numFmtId="0" fontId="35" fillId="26" borderId="80" xfId="0" applyFont="1" applyFill="1" applyBorder="1" applyAlignment="1">
      <alignment horizontal="center" vertical="center" wrapText="1" readingOrder="1"/>
    </xf>
    <xf numFmtId="0" fontId="36" fillId="25" borderId="82" xfId="0" applyFont="1" applyFill="1" applyBorder="1" applyAlignment="1">
      <alignment horizontal="center" vertical="center" wrapText="1" readingOrder="1"/>
    </xf>
    <xf numFmtId="3" fontId="36" fillId="22" borderId="83" xfId="0" applyNumberFormat="1" applyFont="1" applyFill="1" applyBorder="1" applyAlignment="1">
      <alignment horizontal="right" vertical="center" wrapText="1" indent="1" readingOrder="1"/>
    </xf>
    <xf numFmtId="0" fontId="35" fillId="26" borderId="84" xfId="0" applyFont="1" applyFill="1" applyBorder="1" applyAlignment="1">
      <alignment horizontal="center" vertical="center" wrapText="1" readingOrder="1"/>
    </xf>
    <xf numFmtId="0" fontId="25" fillId="20" borderId="0" xfId="0" applyFont="1" applyFill="1" applyBorder="1" applyAlignment="1">
      <alignment horizontal="left" vertical="center" wrapText="1"/>
    </xf>
    <xf numFmtId="167" fontId="26" fillId="14" borderId="0" xfId="1" applyNumberFormat="1" applyFont="1" applyFill="1" applyBorder="1" applyAlignment="1">
      <alignment vertical="center"/>
    </xf>
    <xf numFmtId="0" fontId="25" fillId="20" borderId="85" xfId="0" applyFont="1" applyFill="1" applyBorder="1" applyAlignment="1">
      <alignment horizontal="left" vertical="center" wrapText="1"/>
    </xf>
    <xf numFmtId="167" fontId="23" fillId="14" borderId="87" xfId="1" applyNumberFormat="1" applyFont="1" applyFill="1" applyBorder="1" applyAlignment="1">
      <alignment horizontal="right" vertical="center"/>
    </xf>
    <xf numFmtId="0" fontId="0" fillId="0" borderId="64" xfId="0" applyBorder="1"/>
    <xf numFmtId="0" fontId="0" fillId="0" borderId="69" xfId="0" applyBorder="1"/>
    <xf numFmtId="0" fontId="34" fillId="23" borderId="89" xfId="0" applyFont="1" applyFill="1" applyBorder="1" applyAlignment="1">
      <alignment horizontal="left" vertical="center" wrapText="1" readingOrder="1"/>
    </xf>
    <xf numFmtId="3" fontId="35" fillId="24" borderId="90" xfId="0" applyNumberFormat="1" applyFont="1" applyFill="1" applyBorder="1" applyAlignment="1">
      <alignment horizontal="right" vertical="center" wrapText="1" readingOrder="1"/>
    </xf>
    <xf numFmtId="0" fontId="35" fillId="24" borderId="91" xfId="0" applyFont="1" applyFill="1" applyBorder="1" applyAlignment="1">
      <alignment horizontal="center" vertical="center" wrapText="1" readingOrder="1"/>
    </xf>
    <xf numFmtId="0" fontId="30" fillId="0" borderId="1" xfId="0" applyFont="1" applyBorder="1" applyAlignment="1">
      <alignment horizontal="center" vertical="center" wrapText="1"/>
    </xf>
    <xf numFmtId="0" fontId="0" fillId="0" borderId="1" xfId="0" applyFont="1" applyBorder="1"/>
    <xf numFmtId="0" fontId="22" fillId="15" borderId="1" xfId="0" applyFont="1" applyFill="1" applyBorder="1" applyAlignment="1">
      <alignment vertical="center" wrapText="1"/>
    </xf>
    <xf numFmtId="0" fontId="22" fillId="0" borderId="1" xfId="0" applyFont="1" applyBorder="1" applyAlignment="1">
      <alignment vertical="center" wrapText="1"/>
    </xf>
    <xf numFmtId="0" fontId="38" fillId="0" borderId="1" xfId="0" applyFont="1" applyBorder="1" applyAlignment="1">
      <alignment horizontal="left" vertical="center" wrapText="1"/>
    </xf>
    <xf numFmtId="0" fontId="0" fillId="0" borderId="1" xfId="0" applyFont="1" applyBorder="1" applyAlignment="1">
      <alignment horizontal="left"/>
    </xf>
    <xf numFmtId="0" fontId="38" fillId="0" borderId="0" xfId="0" applyFont="1" applyFill="1" applyBorder="1" applyAlignment="1">
      <alignment horizontal="center" vertical="center" wrapText="1"/>
    </xf>
    <xf numFmtId="0" fontId="0" fillId="0" borderId="0" xfId="0" applyFont="1" applyBorder="1"/>
    <xf numFmtId="0" fontId="24" fillId="19" borderId="59" xfId="0" applyFont="1" applyFill="1" applyBorder="1" applyAlignment="1">
      <alignment horizontal="center" vertical="center" wrapText="1"/>
    </xf>
    <xf numFmtId="0" fontId="24" fillId="27" borderId="58" xfId="0" applyFont="1" applyFill="1" applyBorder="1" applyAlignment="1">
      <alignment vertical="center"/>
    </xf>
    <xf numFmtId="0" fontId="28" fillId="6" borderId="92" xfId="0" applyFont="1" applyFill="1" applyBorder="1" applyAlignment="1">
      <alignment horizontal="center" vertical="center" wrapText="1"/>
    </xf>
    <xf numFmtId="0" fontId="29" fillId="17" borderId="61" xfId="0" applyFont="1" applyFill="1" applyBorder="1"/>
    <xf numFmtId="0" fontId="28" fillId="6" borderId="92" xfId="0" applyFont="1" applyFill="1" applyBorder="1" applyAlignment="1">
      <alignment vertical="center" wrapText="1"/>
    </xf>
    <xf numFmtId="0" fontId="28" fillId="6" borderId="93" xfId="0" applyFont="1" applyFill="1" applyBorder="1" applyAlignment="1">
      <alignment vertical="center" wrapText="1"/>
    </xf>
    <xf numFmtId="0" fontId="28" fillId="6" borderId="94" xfId="0" applyFont="1" applyFill="1" applyBorder="1" applyAlignment="1">
      <alignment vertical="center" wrapText="1"/>
    </xf>
    <xf numFmtId="167" fontId="23" fillId="16" borderId="95" xfId="1" applyNumberFormat="1" applyFont="1" applyFill="1" applyBorder="1" applyAlignment="1">
      <alignment horizontal="right"/>
    </xf>
    <xf numFmtId="0" fontId="35" fillId="24" borderId="62" xfId="0" applyFont="1" applyFill="1" applyBorder="1" applyAlignment="1">
      <alignment horizontal="center" vertical="center" wrapText="1" readingOrder="1"/>
    </xf>
    <xf numFmtId="167" fontId="23" fillId="16" borderId="67" xfId="1" applyNumberFormat="1" applyFont="1" applyFill="1" applyBorder="1" applyAlignment="1">
      <alignment horizontal="right"/>
    </xf>
    <xf numFmtId="0" fontId="28" fillId="6" borderId="96" xfId="0" applyFont="1" applyFill="1" applyBorder="1" applyAlignment="1">
      <alignment horizontal="center" vertical="center" wrapText="1"/>
    </xf>
    <xf numFmtId="167" fontId="28" fillId="16" borderId="97" xfId="1" applyNumberFormat="1" applyFont="1" applyFill="1" applyBorder="1" applyAlignment="1">
      <alignment horizontal="center"/>
    </xf>
    <xf numFmtId="167" fontId="28" fillId="18" borderId="98" xfId="1" applyNumberFormat="1" applyFont="1" applyFill="1" applyBorder="1" applyAlignment="1">
      <alignment horizontal="center"/>
    </xf>
    <xf numFmtId="0" fontId="24" fillId="27" borderId="62" xfId="0" applyFont="1" applyFill="1" applyBorder="1" applyAlignment="1">
      <alignment vertical="center"/>
    </xf>
    <xf numFmtId="0" fontId="0" fillId="0" borderId="61" xfId="0" applyFill="1" applyBorder="1"/>
    <xf numFmtId="0" fontId="28" fillId="0" borderId="62" xfId="0" applyFont="1" applyFill="1" applyBorder="1" applyAlignment="1">
      <alignment vertical="center" wrapText="1"/>
    </xf>
    <xf numFmtId="0" fontId="0" fillId="0" borderId="69" xfId="0" applyFill="1" applyBorder="1"/>
    <xf numFmtId="0" fontId="1" fillId="0" borderId="100" xfId="0" applyFont="1" applyBorder="1" applyAlignment="1">
      <alignment horizontal="left"/>
    </xf>
    <xf numFmtId="3" fontId="1" fillId="0" borderId="100" xfId="0" applyNumberFormat="1" applyFont="1" applyBorder="1"/>
    <xf numFmtId="37" fontId="1" fillId="0" borderId="100" xfId="0" applyNumberFormat="1" applyFont="1" applyBorder="1"/>
    <xf numFmtId="43" fontId="1" fillId="9" borderId="1" xfId="1" applyFont="1" applyFill="1" applyBorder="1" applyAlignment="1">
      <alignment horizontal="center" vertical="center"/>
    </xf>
    <xf numFmtId="43" fontId="1" fillId="9" borderId="1" xfId="1" applyFont="1" applyFill="1" applyBorder="1" applyAlignment="1">
      <alignment horizontal="center" vertical="center" wrapText="1"/>
    </xf>
    <xf numFmtId="0" fontId="0" fillId="0" borderId="1" xfId="0" applyNumberFormat="1" applyFill="1" applyBorder="1" applyAlignment="1">
      <alignment horizontal="center" vertical="center"/>
    </xf>
    <xf numFmtId="43" fontId="0" fillId="0" borderId="1" xfId="1" applyFont="1" applyFill="1" applyBorder="1" applyAlignment="1">
      <alignment horizontal="center" vertical="center" wrapText="1"/>
    </xf>
    <xf numFmtId="9" fontId="0" fillId="0" borderId="1" xfId="2" applyFont="1"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0" fillId="0" borderId="0" xfId="0" applyAlignment="1">
      <alignment horizontal="center" vertical="center" wrapText="1"/>
    </xf>
    <xf numFmtId="167" fontId="1" fillId="0" borderId="3" xfId="1" applyNumberFormat="1" applyFont="1" applyBorder="1" applyAlignment="1">
      <alignment horizontal="center" vertical="center"/>
    </xf>
    <xf numFmtId="167" fontId="1" fillId="9" borderId="1" xfId="1" applyNumberFormat="1" applyFont="1" applyFill="1" applyBorder="1" applyAlignment="1">
      <alignment horizontal="center" vertical="center"/>
    </xf>
    <xf numFmtId="167" fontId="0" fillId="0" borderId="1" xfId="1" applyNumberFormat="1" applyFont="1" applyFill="1" applyBorder="1" applyAlignment="1">
      <alignment horizontal="center" vertical="center"/>
    </xf>
    <xf numFmtId="167" fontId="0" fillId="0" borderId="0" xfId="1" applyNumberFormat="1" applyFont="1" applyAlignment="1">
      <alignment horizontal="center" vertical="center"/>
    </xf>
    <xf numFmtId="0" fontId="28" fillId="0" borderId="0" xfId="0" applyFont="1" applyAlignment="1">
      <alignment horizontal="left" vertical="center"/>
    </xf>
    <xf numFmtId="9" fontId="0" fillId="0" borderId="0" xfId="0" applyNumberFormat="1"/>
    <xf numFmtId="0" fontId="0" fillId="28" borderId="0" xfId="0" applyFill="1"/>
    <xf numFmtId="0" fontId="39" fillId="28" borderId="0" xfId="0" applyFont="1" applyFill="1"/>
    <xf numFmtId="0" fontId="40" fillId="28" borderId="0" xfId="0" applyFont="1" applyFill="1"/>
    <xf numFmtId="37" fontId="0" fillId="28" borderId="0" xfId="0" applyNumberFormat="1" applyFill="1"/>
    <xf numFmtId="9" fontId="0" fillId="28" borderId="0" xfId="0" applyNumberFormat="1" applyFill="1"/>
    <xf numFmtId="167" fontId="23" fillId="28" borderId="99" xfId="1" applyNumberFormat="1" applyFont="1" applyFill="1" applyBorder="1" applyAlignment="1">
      <alignment horizontal="right"/>
    </xf>
    <xf numFmtId="167" fontId="23" fillId="28" borderId="95" xfId="1" applyNumberFormat="1" applyFont="1" applyFill="1" applyBorder="1" applyAlignment="1">
      <alignment horizontal="right"/>
    </xf>
    <xf numFmtId="0" fontId="1" fillId="0" borderId="0" xfId="0" applyFont="1" applyAlignment="1">
      <alignment horizontal="left"/>
    </xf>
    <xf numFmtId="167" fontId="1" fillId="0" borderId="0" xfId="0" applyNumberFormat="1" applyFont="1" applyAlignment="1">
      <alignment horizontal="left"/>
    </xf>
    <xf numFmtId="43" fontId="0" fillId="5" borderId="1" xfId="1" applyFont="1" applyFill="1" applyBorder="1" applyAlignment="1">
      <alignment horizontal="center" vertical="center" wrapText="1"/>
    </xf>
    <xf numFmtId="167" fontId="0" fillId="0" borderId="62" xfId="0" applyNumberFormat="1" applyBorder="1"/>
    <xf numFmtId="167" fontId="26" fillId="5" borderId="86" xfId="1" applyNumberFormat="1" applyFont="1" applyFill="1" applyBorder="1" applyAlignment="1">
      <alignment vertical="center"/>
    </xf>
    <xf numFmtId="167" fontId="23" fillId="5" borderId="60" xfId="1" applyNumberFormat="1" applyFont="1" applyFill="1" applyBorder="1" applyAlignment="1">
      <alignment horizontal="right" vertical="center"/>
    </xf>
    <xf numFmtId="167" fontId="1" fillId="5" borderId="1" xfId="1" applyNumberFormat="1" applyFont="1" applyFill="1" applyBorder="1" applyAlignment="1">
      <alignment horizontal="center" vertical="center" wrapText="1"/>
    </xf>
    <xf numFmtId="43" fontId="5" fillId="0" borderId="1" xfId="1" applyFont="1" applyFill="1" applyBorder="1" applyAlignment="1">
      <alignment horizontal="center" vertical="center" wrapText="1"/>
    </xf>
    <xf numFmtId="0" fontId="43" fillId="0" borderId="0" xfId="0" applyFont="1"/>
    <xf numFmtId="0" fontId="38" fillId="0" borderId="1" xfId="0" applyFont="1" applyBorder="1" applyAlignment="1">
      <alignment horizontal="center" vertical="center" wrapText="1"/>
    </xf>
    <xf numFmtId="9" fontId="0" fillId="0" borderId="1" xfId="2" applyFont="1" applyBorder="1"/>
    <xf numFmtId="0" fontId="22" fillId="0" borderId="0" xfId="0" applyFont="1" applyFill="1" applyBorder="1" applyAlignment="1">
      <alignment horizontal="center" vertical="center" wrapText="1"/>
    </xf>
    <xf numFmtId="0" fontId="22" fillId="0" borderId="1" xfId="0" applyFont="1" applyBorder="1" applyAlignment="1">
      <alignment horizontal="left" vertical="center" wrapText="1"/>
    </xf>
    <xf numFmtId="0" fontId="22" fillId="0" borderId="1" xfId="0" applyFont="1" applyBorder="1" applyAlignment="1">
      <alignment horizontal="right" vertical="center"/>
    </xf>
    <xf numFmtId="0" fontId="0" fillId="0" borderId="1" xfId="0" applyFont="1" applyBorder="1" applyAlignment="1">
      <alignment horizontal="right"/>
    </xf>
    <xf numFmtId="0" fontId="0" fillId="0" borderId="3" xfId="0" applyBorder="1" applyAlignment="1">
      <alignment horizontal="right"/>
    </xf>
    <xf numFmtId="0" fontId="0" fillId="6" borderId="1" xfId="0" applyFill="1" applyBorder="1"/>
    <xf numFmtId="0" fontId="0" fillId="6" borderId="1" xfId="0" applyFill="1" applyBorder="1" applyAlignment="1">
      <alignment horizontal="center"/>
    </xf>
    <xf numFmtId="0" fontId="0" fillId="0" borderId="0" xfId="0" applyFill="1" applyAlignment="1">
      <alignment wrapText="1"/>
    </xf>
    <xf numFmtId="0" fontId="21" fillId="5" borderId="21" xfId="0" applyFont="1" applyFill="1" applyBorder="1" applyAlignment="1">
      <alignment horizontal="left" vertical="center" wrapText="1"/>
    </xf>
    <xf numFmtId="0" fontId="5" fillId="0" borderId="21" xfId="0" applyFont="1" applyFill="1" applyBorder="1" applyAlignment="1">
      <alignment horizontal="center" vertical="center" wrapText="1"/>
    </xf>
    <xf numFmtId="0" fontId="0" fillId="5" borderId="21" xfId="0" applyFill="1" applyBorder="1" applyAlignment="1">
      <alignment horizontal="center" vertical="center" wrapText="1"/>
    </xf>
    <xf numFmtId="0" fontId="0" fillId="0" borderId="21" xfId="0" applyFill="1" applyBorder="1" applyAlignment="1">
      <alignment horizontal="center" vertical="center" wrapText="1"/>
    </xf>
    <xf numFmtId="0" fontId="0" fillId="5" borderId="21" xfId="0" applyFill="1" applyBorder="1" applyAlignment="1">
      <alignment horizontal="center" vertical="center"/>
    </xf>
    <xf numFmtId="0" fontId="0" fillId="0" borderId="21" xfId="0" applyFill="1" applyBorder="1" applyAlignment="1">
      <alignment horizontal="center" vertical="center"/>
    </xf>
    <xf numFmtId="0" fontId="0" fillId="0" borderId="21" xfId="0" applyFill="1" applyBorder="1"/>
    <xf numFmtId="0" fontId="0" fillId="5" borderId="21" xfId="0" applyFill="1" applyBorder="1" applyAlignment="1">
      <alignment horizontal="center" wrapText="1"/>
    </xf>
    <xf numFmtId="0" fontId="22" fillId="0" borderId="1" xfId="0" applyFont="1" applyFill="1" applyBorder="1" applyAlignment="1">
      <alignment horizontal="center" vertical="center" wrapText="1"/>
    </xf>
    <xf numFmtId="0" fontId="0" fillId="0" borderId="1" xfId="0" applyFill="1" applyBorder="1" applyAlignment="1">
      <alignment horizontal="center" vertical="top" wrapText="1"/>
    </xf>
    <xf numFmtId="0" fontId="1" fillId="2" borderId="4" xfId="0" applyFont="1" applyFill="1" applyBorder="1" applyAlignment="1"/>
    <xf numFmtId="3" fontId="5" fillId="0" borderId="1" xfId="1" applyNumberFormat="1" applyFont="1" applyFill="1" applyBorder="1"/>
    <xf numFmtId="0" fontId="5" fillId="0" borderId="1" xfId="0" applyFont="1" applyFill="1" applyBorder="1"/>
    <xf numFmtId="0" fontId="5" fillId="0" borderId="1" xfId="0" applyNumberFormat="1" applyFont="1" applyFill="1" applyBorder="1"/>
    <xf numFmtId="43" fontId="5" fillId="0" borderId="1" xfId="1" applyFont="1" applyFill="1" applyBorder="1"/>
    <xf numFmtId="0" fontId="44" fillId="0" borderId="1" xfId="0" applyNumberFormat="1" applyFont="1" applyFill="1" applyBorder="1"/>
    <xf numFmtId="0" fontId="44" fillId="0" borderId="1" xfId="0" applyFont="1" applyFill="1" applyBorder="1"/>
    <xf numFmtId="0" fontId="0" fillId="9" borderId="0" xfId="0" applyFill="1" applyBorder="1"/>
    <xf numFmtId="0" fontId="0" fillId="9" borderId="0" xfId="0" applyNumberFormat="1" applyFill="1" applyBorder="1" applyAlignment="1">
      <alignment horizontal="left" wrapText="1"/>
    </xf>
    <xf numFmtId="0" fontId="0" fillId="9" borderId="0" xfId="0" applyFill="1" applyBorder="1" applyAlignment="1">
      <alignment horizontal="left"/>
    </xf>
    <xf numFmtId="0" fontId="0" fillId="9" borderId="0" xfId="0" applyFill="1" applyBorder="1" applyAlignment="1">
      <alignment wrapText="1"/>
    </xf>
    <xf numFmtId="43" fontId="0" fillId="9" borderId="0" xfId="1" applyFont="1" applyFill="1" applyBorder="1"/>
    <xf numFmtId="43" fontId="0" fillId="9" borderId="53" xfId="0" applyNumberFormat="1" applyFill="1" applyBorder="1" applyAlignment="1">
      <alignment wrapText="1"/>
    </xf>
    <xf numFmtId="3" fontId="0" fillId="9" borderId="0" xfId="0" applyNumberFormat="1" applyFill="1" applyBorder="1"/>
    <xf numFmtId="9" fontId="0" fillId="9" borderId="0" xfId="2" applyFont="1" applyFill="1" applyBorder="1" applyAlignment="1"/>
    <xf numFmtId="3" fontId="5" fillId="29" borderId="1" xfId="1" applyNumberFormat="1" applyFont="1" applyFill="1" applyBorder="1"/>
    <xf numFmtId="3" fontId="0" fillId="29" borderId="1" xfId="1" applyNumberFormat="1" applyFont="1" applyFill="1" applyBorder="1"/>
    <xf numFmtId="0" fontId="0" fillId="20" borderId="0" xfId="0" applyFont="1" applyFill="1"/>
    <xf numFmtId="3" fontId="0" fillId="28" borderId="1" xfId="1" applyNumberFormat="1" applyFont="1" applyFill="1" applyBorder="1"/>
    <xf numFmtId="0" fontId="0" fillId="0" borderId="0" xfId="0" applyFont="1" applyBorder="1" applyAlignment="1">
      <alignment horizontal="left"/>
    </xf>
    <xf numFmtId="49" fontId="0" fillId="28" borderId="1" xfId="1" applyNumberFormat="1" applyFont="1" applyFill="1" applyBorder="1" applyAlignment="1">
      <alignment vertical="top" wrapText="1"/>
    </xf>
    <xf numFmtId="0" fontId="0" fillId="28" borderId="1" xfId="0" applyFill="1" applyBorder="1" applyAlignment="1">
      <alignment wrapText="1"/>
    </xf>
    <xf numFmtId="167" fontId="0" fillId="28" borderId="1" xfId="1" applyNumberFormat="1" applyFont="1" applyFill="1" applyBorder="1" applyAlignment="1">
      <alignment horizontal="center" vertical="center"/>
    </xf>
    <xf numFmtId="0" fontId="24" fillId="19" borderId="61" xfId="0" applyFont="1" applyFill="1" applyBorder="1" applyAlignment="1">
      <alignment horizontal="center" vertical="center" wrapText="1"/>
    </xf>
    <xf numFmtId="0" fontId="24" fillId="19" borderId="63" xfId="0" applyFont="1" applyFill="1" applyBorder="1" applyAlignment="1">
      <alignment horizontal="center" vertical="center" wrapText="1"/>
    </xf>
    <xf numFmtId="0" fontId="37" fillId="0" borderId="64" xfId="0" applyFont="1" applyBorder="1" applyAlignment="1">
      <alignment horizontal="left"/>
    </xf>
    <xf numFmtId="0" fontId="24" fillId="19" borderId="59" xfId="0" applyFont="1" applyFill="1" applyBorder="1" applyAlignment="1">
      <alignment horizontal="center" vertical="center" wrapText="1"/>
    </xf>
    <xf numFmtId="0" fontId="27" fillId="19" borderId="59" xfId="0" applyFont="1" applyFill="1" applyBorder="1" applyAlignment="1">
      <alignment horizontal="center" vertical="center" wrapText="1"/>
    </xf>
    <xf numFmtId="0" fontId="33" fillId="22" borderId="77" xfId="0" applyFont="1" applyFill="1" applyBorder="1" applyAlignment="1">
      <alignment horizontal="center" vertical="center" wrapText="1" readingOrder="1"/>
    </xf>
    <xf numFmtId="0" fontId="24" fillId="19" borderId="56" xfId="0" applyFont="1" applyFill="1" applyBorder="1" applyAlignment="1">
      <alignment horizontal="center" vertical="center" wrapText="1"/>
    </xf>
    <xf numFmtId="0" fontId="41" fillId="22" borderId="88" xfId="0" applyFont="1" applyFill="1" applyBorder="1" applyAlignment="1">
      <alignment horizontal="center" vertical="center" wrapText="1" readingOrder="1"/>
    </xf>
    <xf numFmtId="0" fontId="41" fillId="22" borderId="77" xfId="0" applyFont="1" applyFill="1" applyBorder="1" applyAlignment="1">
      <alignment horizontal="center" vertical="center" wrapText="1" readingOrder="1"/>
    </xf>
    <xf numFmtId="0" fontId="41" fillId="22" borderId="81" xfId="0" applyFont="1" applyFill="1" applyBorder="1" applyAlignment="1">
      <alignment horizontal="center" vertical="center" wrapText="1" readingOrder="1"/>
    </xf>
    <xf numFmtId="0" fontId="15" fillId="18" borderId="21" xfId="0" applyFont="1" applyFill="1" applyBorder="1" applyAlignment="1">
      <alignment horizontal="center" vertical="center"/>
    </xf>
    <xf numFmtId="0" fontId="15" fillId="18" borderId="23" xfId="0" applyFont="1" applyFill="1" applyBorder="1" applyAlignment="1">
      <alignment horizontal="center" vertical="center"/>
    </xf>
    <xf numFmtId="0" fontId="0" fillId="16" borderId="21" xfId="0" applyFill="1" applyBorder="1" applyAlignment="1">
      <alignment horizontal="center" vertical="center"/>
    </xf>
    <xf numFmtId="0" fontId="0" fillId="16" borderId="23" xfId="0" applyFill="1" applyBorder="1" applyAlignment="1">
      <alignment horizontal="center" vertical="center"/>
    </xf>
    <xf numFmtId="0" fontId="1" fillId="8" borderId="21" xfId="0" applyFont="1" applyFill="1" applyBorder="1" applyAlignment="1">
      <alignment horizontal="center" vertical="center"/>
    </xf>
    <xf numFmtId="0" fontId="1" fillId="8" borderId="23" xfId="0" applyFont="1" applyFill="1" applyBorder="1" applyAlignment="1">
      <alignment horizontal="center" vertical="center"/>
    </xf>
    <xf numFmtId="1" fontId="1" fillId="0" borderId="21" xfId="0" applyNumberFormat="1" applyFont="1" applyBorder="1" applyAlignment="1">
      <alignment horizontal="center"/>
    </xf>
    <xf numFmtId="1" fontId="1" fillId="0" borderId="23" xfId="0" applyNumberFormat="1" applyFont="1" applyBorder="1" applyAlignment="1">
      <alignment horizontal="center"/>
    </xf>
    <xf numFmtId="0" fontId="13" fillId="7" borderId="21" xfId="0" applyFont="1" applyFill="1" applyBorder="1" applyAlignment="1">
      <alignment horizontal="left" vertical="center"/>
    </xf>
    <xf numFmtId="0" fontId="13" fillId="7" borderId="22" xfId="0" applyFont="1" applyFill="1" applyBorder="1" applyAlignment="1">
      <alignment horizontal="left" vertical="center"/>
    </xf>
    <xf numFmtId="0" fontId="13" fillId="7" borderId="23" xfId="0" applyFont="1" applyFill="1" applyBorder="1" applyAlignment="1">
      <alignment horizontal="left" vertical="center"/>
    </xf>
    <xf numFmtId="164" fontId="6" fillId="12" borderId="5" xfId="3" applyFont="1" applyFill="1" applyBorder="1" applyAlignment="1">
      <alignment horizontal="left" vertical="top" wrapText="1"/>
    </xf>
    <xf numFmtId="164" fontId="6" fillId="12" borderId="14" xfId="3" applyFont="1" applyFill="1" applyBorder="1" applyAlignment="1">
      <alignment horizontal="left" vertical="top" wrapText="1"/>
    </xf>
    <xf numFmtId="164" fontId="6" fillId="12" borderId="20" xfId="3" applyFont="1" applyFill="1" applyBorder="1" applyAlignment="1">
      <alignment horizontal="left" vertical="top" wrapText="1"/>
    </xf>
    <xf numFmtId="0" fontId="12" fillId="9" borderId="21" xfId="0" applyFont="1" applyFill="1" applyBorder="1" applyAlignment="1">
      <alignment horizontal="left" vertical="center"/>
    </xf>
    <xf numFmtId="0" fontId="12" fillId="9" borderId="22" xfId="0" applyFont="1" applyFill="1" applyBorder="1" applyAlignment="1">
      <alignment horizontal="left" vertical="center"/>
    </xf>
    <xf numFmtId="0" fontId="12" fillId="9" borderId="23" xfId="0" applyFont="1" applyFill="1" applyBorder="1" applyAlignment="1">
      <alignment horizontal="left" vertical="center"/>
    </xf>
    <xf numFmtId="0" fontId="6" fillId="12" borderId="5" xfId="3" applyNumberFormat="1" applyFont="1" applyFill="1" applyBorder="1" applyAlignment="1">
      <alignment horizontal="left" vertical="top" wrapText="1"/>
    </xf>
    <xf numFmtId="0" fontId="6" fillId="12" borderId="14" xfId="3" applyNumberFormat="1" applyFont="1" applyFill="1" applyBorder="1" applyAlignment="1">
      <alignment horizontal="left" vertical="top" wrapText="1"/>
    </xf>
    <xf numFmtId="0" fontId="6" fillId="12" borderId="20" xfId="3" applyNumberFormat="1" applyFont="1" applyFill="1" applyBorder="1" applyAlignment="1">
      <alignment horizontal="left" vertical="top" wrapText="1"/>
    </xf>
  </cellXfs>
  <cellStyles count="4">
    <cellStyle name="Comma" xfId="1" builtinId="3"/>
    <cellStyle name="Comma 2" xfId="3"/>
    <cellStyle name="Normal" xfId="0" builtinId="0"/>
    <cellStyle name="Percent" xfId="2" builtinId="5"/>
  </cellStyles>
  <dxfs count="50">
    <dxf>
      <numFmt numFmtId="35" formatCode="_(* #,##0.00_);_(* \(#,##0.00\);_(* &quot;-&quot;??_);_(@_)"/>
    </dxf>
    <dxf>
      <numFmt numFmtId="35" formatCode="_(* #,##0.00_);_(* \(#,##0.00\);_(* &quot;-&quot;??_);_(@_)"/>
    </dxf>
    <dxf>
      <numFmt numFmtId="35" formatCode="_(* #,##0.00_);_(* \(#,##0.00\);_(* &quot;-&quot;??_);_(@_)"/>
    </dxf>
    <dxf>
      <numFmt numFmtId="5" formatCode="#,##0_);\(#,##0\)"/>
    </dxf>
    <dxf>
      <numFmt numFmtId="35" formatCode="_(* #,##0.00_);_(* \(#,##0.00\);_(* &quot;-&quot;??_);_(@_)"/>
    </dxf>
    <dxf>
      <fill>
        <patternFill patternType="solid">
          <bgColor theme="5" tint="0.39997558519241921"/>
        </patternFill>
      </fill>
    </dxf>
    <dxf>
      <fill>
        <patternFill patternType="solid">
          <bgColor theme="5" tint="0.39997558519241921"/>
        </patternFill>
      </fill>
    </dxf>
    <dxf>
      <numFmt numFmtId="3" formatCode="#,##0"/>
    </dxf>
    <dxf>
      <numFmt numFmtId="5" formatCode="#,##0_);\(#,##0\)"/>
    </dxf>
    <dxf>
      <alignment wrapText="1" readingOrder="0"/>
    </dxf>
    <dxf>
      <alignment wrapText="1" readingOrder="0"/>
    </dxf>
    <dxf>
      <alignment wrapText="1" readingOrder="0"/>
    </dxf>
    <dxf>
      <alignment wrapText="1" readingOrder="0"/>
    </dxf>
    <dxf>
      <alignment wrapText="1" readingOrder="0"/>
    </dxf>
    <dxf>
      <numFmt numFmtId="35" formatCode="_(* #,##0.00_);_(* \(#,##0.00\);_(* &quot;-&quot;??_);_(@_)"/>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auto="1"/>
      </font>
    </dxf>
    <dxf>
      <font>
        <color auto="1"/>
      </font>
    </dxf>
    <dxf>
      <font>
        <b/>
      </font>
    </dxf>
    <dxf>
      <fill>
        <patternFill patternType="solid">
          <bgColor theme="5" tint="0.39997558519241921"/>
        </patternFill>
      </fill>
    </dxf>
    <dxf>
      <fill>
        <patternFill patternType="solid">
          <bgColor theme="5" tint="0.39997558519241921"/>
        </patternFill>
      </fill>
    </dxf>
    <dxf>
      <numFmt numFmtId="13" formatCode="0%"/>
    </dxf>
    <dxf>
      <numFmt numFmtId="13" formatCode="0%"/>
    </dxf>
    <dxf>
      <numFmt numFmtId="35" formatCode="_(* #,##0.00_);_(* \(#,##0.00\);_(* &quot;-&quot;??_);_(@_)"/>
    </dxf>
    <dxf>
      <numFmt numFmtId="13" formatCode="0%"/>
    </dxf>
    <dxf>
      <numFmt numFmtId="13" formatCode="0%"/>
    </dxf>
    <dxf>
      <numFmt numFmtId="13" formatCode="0%"/>
    </dxf>
    <dxf>
      <numFmt numFmtId="13" formatCode="0%"/>
    </dxf>
    <dxf>
      <alignment wrapText="1" readingOrder="0"/>
    </dxf>
    <dxf>
      <numFmt numFmtId="3" formatCode="#,##0"/>
    </dxf>
    <dxf>
      <numFmt numFmtId="5" formatCode="#,##0_);\(#,##0\)"/>
    </dxf>
    <dxf>
      <alignment wrapText="1" readingOrder="0"/>
    </dxf>
    <dxf>
      <alignment wrapText="1" readingOrder="0"/>
    </dxf>
    <dxf>
      <alignment wrapText="1" readingOrder="0"/>
    </dxf>
    <dxf>
      <alignment wrapText="1" readingOrder="0"/>
    </dxf>
    <dxf>
      <alignment wrapText="1" readingOrder="0"/>
    </dxf>
    <dxf>
      <numFmt numFmtId="35" formatCode="_(* #,##0.00_);_(* \(#,##0.00\);_(* &quot;-&quot;??_);_(@_)"/>
    </dxf>
    <dxf>
      <numFmt numFmtId="35" formatCode="_(* #,##0.00_);_(* \(#,##0.00\);_(* &quot;-&quot;??_);_(@_)"/>
    </dxf>
    <dxf>
      <numFmt numFmtId="35" formatCode="_(* #,##0.00_);_(* \(#,##0.00\);_(* &quot;-&quot;??_);_(@_)"/>
    </dxf>
    <dxf>
      <alignment wrapText="1" readingOrder="0"/>
    </dxf>
    <dxf>
      <numFmt numFmtId="3" formatCode="#,##0"/>
    </dxf>
    <dxf>
      <numFmt numFmtId="5" formatCode="#,##0_);\(#,##0\)"/>
    </dxf>
    <dxf>
      <alignment wrapText="1" readingOrder="0"/>
    </dxf>
    <dxf>
      <alignment wrapText="1" readingOrder="0"/>
    </dxf>
    <dxf>
      <alignment wrapText="1" readingOrder="0"/>
    </dxf>
    <dxf>
      <alignment wrapText="1" readingOrder="0"/>
    </dxf>
    <dxf>
      <alignment wrapText="1" readingOrder="0"/>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pivotCacheDefinition" Target="pivotCache/pivotCacheDefinition3.xml"/><Relationship Id="rId21" Type="http://schemas.openxmlformats.org/officeDocument/2006/relationships/worksheet" Target="worksheets/sheet21.xml"/><Relationship Id="rId34" Type="http://schemas.openxmlformats.org/officeDocument/2006/relationships/externalLink" Target="externalLinks/externalLink13.xml"/><Relationship Id="rId42" Type="http://schemas.openxmlformats.org/officeDocument/2006/relationships/pivotCacheDefinition" Target="pivotCache/pivotCacheDefinition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pivotCacheDefinition" Target="pivotCache/pivotCacheDefinition1.xml"/><Relationship Id="rId40" Type="http://schemas.openxmlformats.org/officeDocument/2006/relationships/pivotCacheDefinition" Target="pivotCache/pivotCacheDefinition4.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pivotCacheDefinition" Target="pivotCache/pivotCacheDefinition2.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pivotCacheDefinition" Target="pivotCache/pivotCacheDefinition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228600</xdr:colOff>
          <xdr:row>14</xdr:row>
          <xdr:rowOff>215900</xdr:rowOff>
        </xdr:from>
        <xdr:to>
          <xdr:col>10</xdr:col>
          <xdr:colOff>1143000</xdr:colOff>
          <xdr:row>14</xdr:row>
          <xdr:rowOff>901700</xdr:rowOff>
        </xdr:to>
        <xdr:sp macro="" textlink="">
          <xdr:nvSpPr>
            <xdr:cNvPr id="6146" name="Object 2" hidden="1">
              <a:extLst>
                <a:ext uri="{63B3BB69-23CF-44E3-9099-C40C66FF867C}">
                  <a14:compatExt spid="_x0000_s614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oleObject" Target="file:///Y:\BUDGETS\2023%20Budget\Consolidation\428640%20Events%20and%20Awar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DGETS/2023%20Budget/alanood%20work/registrar/UG%20AND%20PG%20numbers%20Projections%2026052022%20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DGETS/2023%20Budget/Fatima%202023-2025/Consolidation%20Budget%20Sheet%20FMS&amp;HSE%202023-2025/Consolidation%20FMS&amp;HSE%202023-20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ku504\Desktop\2023-2025%20department%20budget%20submission\Budget%20Template%202023%20to%202025%208470730-%20Human%20resources%20v0.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ku459\AppData\Local\Microsoft\Windows\INetCache\Content.Outlook\1YIE8XY6\2023%20to%202025%208471010.KUST%20-%20Continuing%20Education%20Office%20%2022%20June%20updated.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DGETS/2023%20Budget/alanood%20work/consolidated%20academic%20&amp;%20student%20service%20-continuing%20education%20v.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DGETS/2023%20Budget/alanood%20work/student%20success/Budget%20Template%202023%20to%202025-%208471240%20Student%20Succes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DGETS/2023%20Budget/alanood%20work/student%20service/Budget%20Template%202023%20to%202025-%208471260%20Student%20Life.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DGETS/2023%20Budget/alanood%20work/registrar/Budget%20Template%202023%20to%202025-%208471220%20Registrar.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DGETS/2023%20Budget/alanood%20work/library/Library%20-%20%20Budget%20Proposal%202023%20to%202025.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DGETS/2023%20Budget/alanood%20work/enrollment/Budget%202022%20to%202025-%208471230_%20Enrollment%20Department_1%20June%20202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DGETS/2023%20Budget/alanood%20work/CTL/Copy%20of%20Budget%20Template%202023%20to%202025-%208471280%20%20Center%20for%20Teaching%20%20Learning_updated%2030Ma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DGETS/2023%20Budget/alanood%20work/career%20services/Budget%20Template%202023%20to%202025-%208471250%20Career%20Services%20updated%20v.1%20no%20hidden%20columns.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DGETS/2023%20Budget/alanood%20work/continuing%20education/Budget%20Template%202023%20to%202025%208471010.KUST%20-%20Continuing%20Education%20Office%20v.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ku459\AppData\Local\Temp\Rar$DIa14176.32111\Y23%20-%20Y25%20Budget%20Request%20-%208470230%20Graduate%20Stud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oleItem name="'" icon="1" advise="1" preferPic="1"/>
    </oleItems>
  </oleLin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GProjections"/>
      <sheetName val="UG Summary Table"/>
      <sheetName val="Guidelines"/>
      <sheetName val="Projections"/>
      <sheetName val="Summary Table"/>
    </sheetNames>
    <sheetDataSet>
      <sheetData sheetId="0" refreshError="1">
        <row r="9">
          <cell r="L9">
            <v>250</v>
          </cell>
          <cell r="M9">
            <v>300</v>
          </cell>
          <cell r="N9">
            <v>250</v>
          </cell>
          <cell r="O9">
            <v>300</v>
          </cell>
          <cell r="P9">
            <v>250</v>
          </cell>
        </row>
        <row r="31">
          <cell r="J31">
            <v>1110.53</v>
          </cell>
          <cell r="L31">
            <v>1279.5292999999999</v>
          </cell>
          <cell r="N31">
            <v>1416.418733</v>
          </cell>
          <cell r="P31">
            <v>1563.2991737299999</v>
          </cell>
          <cell r="R31">
            <v>1682.2723307213</v>
          </cell>
          <cell r="T31">
            <v>1778.6405878842529</v>
          </cell>
        </row>
        <row r="40">
          <cell r="J40">
            <v>169</v>
          </cell>
          <cell r="L40">
            <v>223</v>
          </cell>
          <cell r="N40">
            <v>241</v>
          </cell>
          <cell r="P40">
            <v>259</v>
          </cell>
          <cell r="R40">
            <v>277</v>
          </cell>
          <cell r="T40">
            <v>295</v>
          </cell>
        </row>
      </sheetData>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idation FMS&amp;HSE 2023"/>
      <sheetName val="Consolidaiton FMS&amp;HSE 2024"/>
      <sheetName val="Consolidation FMS&amp;HSE 2025"/>
    </sheetNames>
    <sheetDataSet>
      <sheetData sheetId="0"/>
      <sheetData sheetId="1"/>
      <sheetData sheetId="2">
        <row r="1">
          <cell r="O1" t="str">
            <v>GL Account Combination</v>
          </cell>
          <cell r="P1" t="str">
            <v xml:space="preserve">Budget Driver </v>
          </cell>
        </row>
        <row r="2">
          <cell r="O2" t="str">
            <v>847.8470510.1.425510.000000.847001.200179</v>
          </cell>
          <cell r="P2" t="str">
            <v>425510.Conferences, seminars and exhibitions and other events: - Local Events-The area of rented halls for events, seminars, and exhibition.-2m</v>
          </cell>
        </row>
        <row r="3">
          <cell r="O3" t="str">
            <v>847.8470510.1.425900.000000.847001.200179</v>
          </cell>
          <cell r="P3" t="str">
            <v>425900.Entertainment and hospitality-1. No of events/workshops planned-count</v>
          </cell>
        </row>
        <row r="4">
          <cell r="O4" t="str">
            <v>847.8470510.1.428090.000000.847001.200179</v>
          </cell>
          <cell r="P4" t="str">
            <v>428090.Business Travel - Combined expenses-Number of Staff-Number</v>
          </cell>
        </row>
        <row r="5">
          <cell r="O5" t="str">
            <v>847.8470520.1.425510.000000.847001.200179</v>
          </cell>
          <cell r="P5" t="str">
            <v>425510.Conferences, seminars and exhibitions and other events: - Local Events-Exhibitions-Number of Exhibitions</v>
          </cell>
        </row>
        <row r="6">
          <cell r="O6" t="str">
            <v>847.8470520.1.426100.000000.847001.200179</v>
          </cell>
          <cell r="P6" t="str">
            <v>426100.Freight and shipping costs, Numbert included elsewhere under purchase costs-Number of Quantity-Number</v>
          </cell>
        </row>
        <row r="7">
          <cell r="O7" t="str">
            <v>847.8470520.1.427710.000000.847001.200179</v>
          </cell>
          <cell r="P7" t="str">
            <v>427710.Subscriptions and membership fees: Trade organisations-Number  of Memberships-Number</v>
          </cell>
        </row>
        <row r="8">
          <cell r="O8" t="str">
            <v>847.8470520.1.428200.000000.847001.200179</v>
          </cell>
          <cell r="P8" t="str">
            <v>428200.Health,safety&amp;environment awareness-Number of Buildings-Number</v>
          </cell>
        </row>
        <row r="9">
          <cell r="O9" t="str">
            <v>847.8470520.1.428200.000000.847001.200179</v>
          </cell>
          <cell r="P9" t="str">
            <v>428200.Health,safety&amp;environment awareness-Number of Buildings-Number</v>
          </cell>
        </row>
        <row r="10">
          <cell r="O10" t="str">
            <v>847.8470520.1.428200.000000.847001.200179</v>
          </cell>
          <cell r="P10" t="str">
            <v>428200.Health,safety&amp;environment awareness-Number of Buildings-Number</v>
          </cell>
        </row>
        <row r="11">
          <cell r="O11" t="str">
            <v>847.8470520.1.428200.000000.847001.200179</v>
          </cell>
          <cell r="P11" t="str">
            <v>428200.Health,safety&amp;environment awareness-Number of Buildings-Number</v>
          </cell>
        </row>
        <row r="12">
          <cell r="O12" t="str">
            <v>847.8470520.1.428200.000000.847001.200179</v>
          </cell>
          <cell r="P12" t="str">
            <v>428200.Health,safety&amp;environment awareness-Number of Buildings-Number</v>
          </cell>
        </row>
        <row r="13">
          <cell r="O13" t="str">
            <v>847.8470520.1.428200.000000.847001.200179</v>
          </cell>
          <cell r="P13" t="str">
            <v>428200.Health,safety&amp;environment awareness-Number of Buildings-Number</v>
          </cell>
        </row>
        <row r="14">
          <cell r="O14" t="str">
            <v>847.8470520.1.428200.000000.847001.200179</v>
          </cell>
          <cell r="P14" t="str">
            <v>428200.Health,safety&amp;environment awareness-Number of Buildings-Number</v>
          </cell>
        </row>
        <row r="15">
          <cell r="O15" t="str">
            <v>847.8470520.1.428200.000000.847001.200179</v>
          </cell>
          <cell r="P15" t="str">
            <v>428200.Health,safety&amp;environment awareness-Number of Buildings-Number</v>
          </cell>
        </row>
        <row r="16">
          <cell r="O16" t="str">
            <v>847.8470520.1.428200.000000.847001.200179</v>
          </cell>
          <cell r="P16" t="str">
            <v>428200.Health,safety&amp;environment awareness-Number of Buildings-Number</v>
          </cell>
        </row>
        <row r="17">
          <cell r="O17" t="str">
            <v>847.8470520.1.428200.000000.847001.200179</v>
          </cell>
          <cell r="P17" t="str">
            <v>428200.Health,safety&amp;environment awareness-Number of Buildings-Number</v>
          </cell>
        </row>
        <row r="18">
          <cell r="O18" t="str">
            <v>847.8470520.1.428200.000000.847001.200179</v>
          </cell>
          <cell r="P18" t="str">
            <v>428200.Health,safety&amp;environment awareness-Number of Buildings-Number</v>
          </cell>
        </row>
        <row r="19">
          <cell r="O19" t="str">
            <v>847.8470520.1.428200.000000.847001.200179</v>
          </cell>
          <cell r="P19" t="str">
            <v>428200.Health,safety&amp;environment awareness-Number of Buildings-Number</v>
          </cell>
        </row>
        <row r="20">
          <cell r="O20" t="str">
            <v>847.8470520.1.428200.000000.847001.200179</v>
          </cell>
          <cell r="P20" t="str">
            <v>428200.Health,safety&amp;environment awareness-Number of Buildings-Number</v>
          </cell>
        </row>
        <row r="21">
          <cell r="O21" t="str">
            <v>847.8470520.1.428200.000000.847001.200179</v>
          </cell>
          <cell r="P21" t="str">
            <v>428200.Health,safety&amp;environment awareness-Number of Buildings-Number</v>
          </cell>
        </row>
        <row r="22">
          <cell r="O22" t="str">
            <v>847.8470530.1.420310.000000.847010.200179</v>
          </cell>
          <cell r="P22" t="str">
            <v>420310.Cleaning Services: Business premises-1. Size of Premises (Area)-2m</v>
          </cell>
        </row>
        <row r="23">
          <cell r="O23" t="str">
            <v>847.8470530.1.420310.000000.847015.200179</v>
          </cell>
          <cell r="P23" t="str">
            <v>420310.Cleaning Services: Business premises-1. Size of Premises (Area)-2m</v>
          </cell>
        </row>
        <row r="24">
          <cell r="O24" t="str">
            <v>847.8470530.1.420310.000000.847020.200179</v>
          </cell>
          <cell r="P24" t="str">
            <v>420310.Cleaning Services: Business premises-1. Size of Premises (Area)-2m</v>
          </cell>
        </row>
        <row r="25">
          <cell r="O25" t="str">
            <v>847.8470530.1.429900.000000.847010.200179</v>
          </cell>
          <cell r="P25" t="str">
            <v>429900.Other services, not specifically mentioned elsewhere-TBD-Number of TBD</v>
          </cell>
        </row>
        <row r="26">
          <cell r="O26" t="str">
            <v>847.8470530.1.421000.000000.847010.200179</v>
          </cell>
          <cell r="P26"/>
        </row>
        <row r="27">
          <cell r="O27" t="str">
            <v>847.8470530.1.421100.000000.847010.200179</v>
          </cell>
          <cell r="P27"/>
        </row>
        <row r="28">
          <cell r="O28" t="str">
            <v>847.8470530.1.430110.000000.847010.200179</v>
          </cell>
          <cell r="P28" t="str">
            <v>430110.Rental- Land-2m-</v>
          </cell>
        </row>
        <row r="29">
          <cell r="O29" t="str">
            <v>847.8470530.1.430120.000000.847030.200179</v>
          </cell>
          <cell r="P29" t="str">
            <v>430120.Rental - Buildings, other than staff residences-Area-2m</v>
          </cell>
        </row>
        <row r="30">
          <cell r="O30" t="str">
            <v>847.8470530.1.430120.000000.847020.200179</v>
          </cell>
          <cell r="P30" t="str">
            <v>430120.Rental - Buildings, other than staff residences-Area-2m</v>
          </cell>
        </row>
        <row r="31">
          <cell r="O31" t="str">
            <v>847.8470530.1.421600.000000.847010.200179</v>
          </cell>
          <cell r="P31" t="str">
            <v>421600.Security service-Number of guard workers-count</v>
          </cell>
        </row>
        <row r="32">
          <cell r="O32" t="str">
            <v>847.8470530.1.421600.000000.847015.200179</v>
          </cell>
          <cell r="P32" t="str">
            <v>421600.Security service-Number of guard workers-count</v>
          </cell>
        </row>
        <row r="33">
          <cell r="O33" t="str">
            <v>847.8470530.1.421600.000000.847020.200179</v>
          </cell>
          <cell r="P33" t="str">
            <v>421600.Security service-Number of guard workers-count</v>
          </cell>
        </row>
        <row r="34">
          <cell r="O34" t="str">
            <v>847.8470530.1.421600.000000.847030.200179</v>
          </cell>
          <cell r="P34" t="str">
            <v>421600.Security service-Number of guard workers-count</v>
          </cell>
        </row>
        <row r="35">
          <cell r="O35" t="str">
            <v>847.8470530.1.421700.000000.847010.200179</v>
          </cell>
          <cell r="P35" t="str">
            <v>421700.Standards Certification Services (e.g. ISO)-professional services scope/deliverables-Number</v>
          </cell>
        </row>
        <row r="36">
          <cell r="O36" t="str">
            <v>847.8470530.1.425510.000000.847010.200179</v>
          </cell>
          <cell r="P36" t="str">
            <v>425510.Conferences, seminars and exhibitions and other events: - Local Events-Conferences-Number of Conferences</v>
          </cell>
        </row>
        <row r="37">
          <cell r="O37" t="str">
            <v>847.8470530.1.425900.000000.847010.200179</v>
          </cell>
          <cell r="P37" t="str">
            <v>425900.Entertainment and hospitality-1. No of events/workshops planned-count</v>
          </cell>
        </row>
        <row r="38">
          <cell r="O38" t="str">
            <v>847.8470530.1.426220.000000.847010.200179</v>
          </cell>
          <cell r="P38" t="str">
            <v>426220.Insurance - Fire and allied perils-Number of Buildings-Number</v>
          </cell>
        </row>
        <row r="39">
          <cell r="O39" t="str">
            <v>847.8470530.1.426220.000000.847030.200179</v>
          </cell>
          <cell r="P39" t="str">
            <v>426220.Insurance - Fire and allied perils-Number of Buildings-Number</v>
          </cell>
        </row>
        <row r="40">
          <cell r="O40" t="str">
            <v>847.8470530.1.426250.000000.847010.200179</v>
          </cell>
          <cell r="P40"/>
        </row>
        <row r="41">
          <cell r="O41" t="str">
            <v>847.8470530.1.428090.000000.847001.200179</v>
          </cell>
          <cell r="P41" t="str">
            <v>428090.Business Travel - Combined expenses-Number of Staff-Number</v>
          </cell>
        </row>
        <row r="42">
          <cell r="O42" t="str">
            <v>847.8470530.1.432120.000000.847010.200179</v>
          </cell>
          <cell r="P42" t="str">
            <v>432120.Bldg maintenance-Business premises-The area of major maintenance HQ-2m</v>
          </cell>
        </row>
        <row r="43">
          <cell r="O43" t="str">
            <v>847.8470530.1.432120.000000.847010.200179</v>
          </cell>
          <cell r="P43" t="str">
            <v>432120.Bldg maintenance-Business premises-The area of major maintenance HQ-2m</v>
          </cell>
        </row>
        <row r="44">
          <cell r="O44" t="str">
            <v>847.8470530.1.432120.000000.847010.200179</v>
          </cell>
          <cell r="P44" t="str">
            <v>432120.Bldg maintenance-Business premises-The area of major maintenance HQ-2m</v>
          </cell>
        </row>
        <row r="45">
          <cell r="O45" t="str">
            <v>847.8470530.1.432120.000000.847015.200179</v>
          </cell>
          <cell r="P45"/>
        </row>
        <row r="46">
          <cell r="O46" t="str">
            <v>847.8470530.1.432120.000000.847020.200179</v>
          </cell>
          <cell r="P46" t="str">
            <v>432120.Bldg maintenance-Business premises-The area of major maintenance HQ-2m</v>
          </cell>
        </row>
        <row r="47">
          <cell r="O47" t="str">
            <v>847.8470530.1.432120.000000.847020.200179</v>
          </cell>
          <cell r="P47" t="str">
            <v>432120.Bldg maintenance-Business premises-The area of major maintenance HQ-2m</v>
          </cell>
        </row>
        <row r="48">
          <cell r="O48" t="str">
            <v>847.8470530.1.432120.000000.847020.200179</v>
          </cell>
          <cell r="P48" t="str">
            <v>432120.Bldg maintenance-Business premises-The area of major maintenance HQ-2m</v>
          </cell>
        </row>
        <row r="49">
          <cell r="O49" t="str">
            <v>847.8470530.1.432120.000000.847030.200179</v>
          </cell>
          <cell r="P49" t="str">
            <v>432120.Bldg maintenance-Business premises-The area of major maintenance HQ-2m</v>
          </cell>
        </row>
        <row r="50">
          <cell r="O50" t="str">
            <v>847.8470530.1.432120.000000.847030.200179</v>
          </cell>
          <cell r="P50" t="str">
            <v>432120.Bldg maintenance-Business premises-The area of major maintenance HQ-2m</v>
          </cell>
        </row>
        <row r="51">
          <cell r="O51" t="str">
            <v>847.8470530.1.432120.000000.847030.200179</v>
          </cell>
          <cell r="P51" t="str">
            <v>432120.Bldg maintenance-Business premises-The area of major maintenance HQ-2m</v>
          </cell>
        </row>
        <row r="52">
          <cell r="O52" t="str">
            <v>847.8470530.1.432120.000000.847030.200179</v>
          </cell>
          <cell r="P52" t="str">
            <v>432120.Bldg maintenance-Business premises-The area of major maintenance HQ-2m</v>
          </cell>
        </row>
        <row r="53">
          <cell r="O53" t="str">
            <v>847.8470530.1.432120.000000.847030.200179</v>
          </cell>
          <cell r="P53" t="str">
            <v>432120.Bldg maintenance-Business premises-The area of major maintenance HQ-2m</v>
          </cell>
        </row>
        <row r="54">
          <cell r="O54" t="str">
            <v>847.8470530.1.432170.000000.847010.200179</v>
          </cell>
          <cell r="P54" t="str">
            <v>432170.Bldg decoration &amp; miNumberr improvements-Number of Buildings-Number</v>
          </cell>
        </row>
        <row r="55">
          <cell r="O55" t="str">
            <v>847.8470530.1.432320.000000.847010.200179</v>
          </cell>
          <cell r="P55" t="str">
            <v>432320.Residential Furniture and fixtures-Number of Building-Number</v>
          </cell>
        </row>
        <row r="56">
          <cell r="O56" t="str">
            <v>847.8470530.1.492200.000000.847001.300180</v>
          </cell>
          <cell r="P56" t="str">
            <v>492200.Capital expense - Buildings-Fitout cost-2m</v>
          </cell>
        </row>
        <row r="57">
          <cell r="O57" t="str">
            <v>847.8470530.1.492200.000000.847010.300180</v>
          </cell>
          <cell r="P57" t="str">
            <v>492200.Capital expense - Buildings-Fitout cost-2m</v>
          </cell>
        </row>
        <row r="58">
          <cell r="O58" t="str">
            <v>847.8470530.1.492200.000000.847010.300180</v>
          </cell>
          <cell r="P58" t="str">
            <v>492200.Capital expense - Buildings-Fitout cost-2m</v>
          </cell>
        </row>
        <row r="59">
          <cell r="O59" t="str">
            <v>847.8470530.1.492200.000000.847010.300180</v>
          </cell>
          <cell r="P59" t="str">
            <v>492200.Capital expense - Buildings-Fitout cost-2m</v>
          </cell>
        </row>
        <row r="60">
          <cell r="O60" t="str">
            <v>847.8470530.1.492200.000000.847010.300180</v>
          </cell>
          <cell r="P60" t="str">
            <v>492200.Capital expense - Buildings-Fitout cost-2m</v>
          </cell>
        </row>
        <row r="61">
          <cell r="O61" t="str">
            <v>847.8470530.1.492200.000000.847010.300180</v>
          </cell>
          <cell r="P61" t="str">
            <v>492200.Capital expense - Buildings-Fitout cost-2m</v>
          </cell>
        </row>
        <row r="62">
          <cell r="O62" t="str">
            <v>847.8470530.1.492200.000000.847010.300180</v>
          </cell>
          <cell r="P62" t="str">
            <v>492200.Capital expense - Buildings-Fitout cost-2m</v>
          </cell>
        </row>
        <row r="63">
          <cell r="O63" t="str">
            <v>847.8470530.1.492610.000000.847020.300180</v>
          </cell>
          <cell r="P63" t="str">
            <v>492610.Furniture &amp; Fixtures - Offices-Area of the rehabilitated building-2m</v>
          </cell>
        </row>
        <row r="64">
          <cell r="O64" t="str">
            <v>847.8470530.1.495110.000000.847001.300180</v>
          </cell>
          <cell r="P64" t="str">
            <v>495110.Computer software-TBD-TBD</v>
          </cell>
        </row>
        <row r="65">
          <cell r="O65" t="str">
            <v>847.8470540.1.421100.000000.847010.100178</v>
          </cell>
          <cell r="P65" t="str">
            <v>413310.Manpower supply-Number of employees and type of service provided-Number of Number of employees and type of service provided</v>
          </cell>
        </row>
        <row r="66">
          <cell r="O66" t="str">
            <v>847.8470540.1.413310.000000.847010.100178</v>
          </cell>
          <cell r="P66" t="str">
            <v>413310.Manpower supply-Number of employees and type of service provided-Number of Number of employees and type of service provided</v>
          </cell>
        </row>
        <row r="67">
          <cell r="O67" t="str">
            <v>847.8470540.1.413310.000000.847010.100178</v>
          </cell>
          <cell r="P67" t="str">
            <v>413310.Manpower supply-Number of employees and type of service provided-Number of Number of employees and type of service provided</v>
          </cell>
        </row>
        <row r="68">
          <cell r="O68" t="str">
            <v>847.8470540.1.413310.000000.847010.100178</v>
          </cell>
          <cell r="P68" t="str">
            <v>413310.Manpower supply-Number of employees and type of service provided-Number of Number of employees and type of service provided</v>
          </cell>
        </row>
        <row r="69">
          <cell r="O69" t="str">
            <v>847.8470540.1.422900.000000.847010.200179</v>
          </cell>
          <cell r="P69" t="str">
            <v>422900.Other specialised professional services, not mentioned elsewhere-Number of employee-number</v>
          </cell>
        </row>
        <row r="70">
          <cell r="O70" t="str">
            <v>847.8470540.1.426800.000000.847010.200179</v>
          </cell>
          <cell r="P70" t="str">
            <v>426800.Motor vehicle registration and inspection charges-Number of Motor Vehicle-Month</v>
          </cell>
        </row>
        <row r="71">
          <cell r="O71" t="str">
            <v>847.8470540.1.426900.000000.847010.200179</v>
          </cell>
          <cell r="P71" t="str">
            <v>426900.Postal, courier and other document delivery expenses-Number of Employees-Number</v>
          </cell>
        </row>
        <row r="72">
          <cell r="O72" t="str">
            <v>847.8470540.1.428111.000000.847010.200179</v>
          </cell>
          <cell r="P72" t="str">
            <v>428111.Consumption charges-Water &amp; Electricity combined-Building area Main Campus-m2</v>
          </cell>
        </row>
        <row r="73">
          <cell r="O73" t="str">
            <v>847.8470540.1.428111.000000.847015.200179</v>
          </cell>
          <cell r="P73" t="str">
            <v>428111.Consumption charges-Water &amp; Electricity combined-Building area SAN Campus Student life-m2</v>
          </cell>
        </row>
        <row r="74">
          <cell r="O74" t="str">
            <v>847.8470540.1.428111.000000.847020.200179</v>
          </cell>
          <cell r="P74" t="str">
            <v>428111.Consumption charges-Water &amp; Electricity combined-Building area SAN Campus Student life-m2</v>
          </cell>
        </row>
        <row r="75">
          <cell r="O75" t="str">
            <v>847.8470540.1.428111.000000.847030.200179</v>
          </cell>
          <cell r="P75" t="str">
            <v>428111.Consumption charges-Water &amp; Electricity combined-MASDER-</v>
          </cell>
        </row>
        <row r="76">
          <cell r="O76" t="str">
            <v>847.8470540.1.428112.000000.847010.200179</v>
          </cell>
          <cell r="P76" t="str">
            <v>428112.Water and Electricity charges - Business premises-The built up area of Main Campus-2m</v>
          </cell>
        </row>
        <row r="77">
          <cell r="O77" t="str">
            <v>847.8470540.1.428112.000000.847015.200179</v>
          </cell>
          <cell r="P77" t="str">
            <v>428112.Water and Electricity charges - Business premises-The built up area of SAN Campus Sduent life-2m</v>
          </cell>
        </row>
        <row r="78">
          <cell r="O78" t="str">
            <v>847.8470540.1.428112.000000.847020.200179</v>
          </cell>
          <cell r="P78" t="str">
            <v>428112.Water and Electricity charges - Business premises-MASDER-</v>
          </cell>
        </row>
        <row r="79">
          <cell r="O79" t="str">
            <v>847.8470540.1.428112.000000.847030.200179</v>
          </cell>
          <cell r="P79" t="str">
            <v>428112.Water and Electricity charges - Business premises-The built up area of Main Campus-2m</v>
          </cell>
        </row>
        <row r="80">
          <cell r="O80" t="str">
            <v>847.8470540.1.429900.000000.847010.200179</v>
          </cell>
          <cell r="P80" t="str">
            <v>429900.Other services, not specifically mentioned elsewhere-TBD-Number of TBD</v>
          </cell>
        </row>
        <row r="81">
          <cell r="O81" t="str">
            <v>847.8470540.1.429900.000000.847010.200179</v>
          </cell>
          <cell r="P81" t="str">
            <v>429900.Other services, not specifically mentioned elsewhere-TBD-Number of TBD</v>
          </cell>
        </row>
        <row r="82">
          <cell r="O82" t="str">
            <v>847.8470540.1.430330.000000.847010.200179</v>
          </cell>
          <cell r="P82" t="str">
            <v>430330.Rental - Motor vehicles-Number of staff and facilty -count</v>
          </cell>
        </row>
        <row r="83">
          <cell r="O83" t="str">
            <v>847.8470540.1.430330.000000.847010.200179</v>
          </cell>
          <cell r="P83" t="str">
            <v>430330.Rental - Motor vehicles-Number of staff and facilty -count</v>
          </cell>
        </row>
        <row r="84">
          <cell r="O84" t="str">
            <v>847.8470540.1.432540.000000.847010.200179</v>
          </cell>
          <cell r="P84" t="str">
            <v>432540.Motor vehicles (non-military)-maintenance for the 4 wheel non-military government-owned cars.-number of cars</v>
          </cell>
        </row>
        <row r="85">
          <cell r="O85" t="str">
            <v>847.8470540.1.435410.000000.847020.200179</v>
          </cell>
          <cell r="P85" t="str">
            <v>435410.Catering supplies: Offices-Number of Staff-Number</v>
          </cell>
        </row>
        <row r="86">
          <cell r="O86" t="str">
            <v>847.8470540.1.435740.000000.847010.200179</v>
          </cell>
          <cell r="P86" t="str">
            <v>435740.Fuel, oil and lubricants: Motor vehicles-Trips of Motor vehicles-km</v>
          </cell>
        </row>
        <row r="87">
          <cell r="O87" t="str">
            <v>847.8470540.1.426250.000000.847010.200179</v>
          </cell>
          <cell r="P87" t="str">
            <v>426250.Insurance - Motor vehicles-1. No of motor vehicles-count</v>
          </cell>
        </row>
        <row r="88">
          <cell r="O88" t="str">
            <v>847.8470540.1.436110.000000.847010.200179</v>
          </cell>
          <cell r="P88" t="str">
            <v>436110.Printing supplies-Number of Employees-Number</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Page"/>
      <sheetName val="Budget 2023"/>
      <sheetName val="Budget 2024"/>
      <sheetName val="Budget 2025"/>
      <sheetName val="Check List"/>
      <sheetName val="Account Codes"/>
      <sheetName val="Budget Drivers"/>
      <sheetName val="Accoount Code Combination"/>
      <sheetName val="Cost Center"/>
      <sheetName val="Strategic Objectives 2023"/>
      <sheetName val="Supporting Documents"/>
      <sheetName val="Other "/>
      <sheetName val="Cost Center Grou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Page"/>
      <sheetName val="Budget 2023"/>
      <sheetName val="Budget 2024"/>
      <sheetName val="Budget 2025"/>
      <sheetName val="Check List"/>
      <sheetName val="Account Codes"/>
      <sheetName val="Budget Drivers"/>
      <sheetName val="Accoount Code Combination"/>
      <sheetName val="Cost Center"/>
      <sheetName val="Strategic Objectives 2023"/>
      <sheetName val="Supporting Documents"/>
      <sheetName val="Other "/>
      <sheetName val="Cost Center Grou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Page"/>
      <sheetName val="2023 consolidation"/>
      <sheetName val="2024 consolidation"/>
      <sheetName val="2025 consolidation"/>
      <sheetName val="Budget 2023"/>
      <sheetName val="Budget 2024"/>
      <sheetName val="Budget 2025"/>
      <sheetName val="Check List"/>
      <sheetName val="Account Codes"/>
      <sheetName val="Budget Drivers"/>
      <sheetName val="Accoount Code Combination"/>
      <sheetName val="Cost Center"/>
      <sheetName val="Strategic Objectives 2023"/>
      <sheetName val="Projections"/>
      <sheetName val="Summary Table"/>
      <sheetName val="Other "/>
      <sheetName val="Cost Center Group"/>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refreshError="1"/>
      <sheetData sheetId="1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Page"/>
      <sheetName val="Budget 2023"/>
      <sheetName val="Budget 2024"/>
      <sheetName val="Budget 2025"/>
      <sheetName val="Check List"/>
      <sheetName val="Account Codes"/>
      <sheetName val="Budget Drivers"/>
      <sheetName val="Accoount Code Combination"/>
      <sheetName val="Cost Center"/>
      <sheetName val="Strategic Objectives 2023"/>
      <sheetName val="Supporting Documents"/>
      <sheetName val="Other "/>
      <sheetName val="Cost Center Group"/>
    </sheetNames>
    <sheetDataSet>
      <sheetData sheetId="0"/>
      <sheetData sheetId="1"/>
      <sheetData sheetId="2"/>
      <sheetData sheetId="3"/>
      <sheetData sheetId="4"/>
      <sheetData sheetId="5" refreshError="1"/>
      <sheetData sheetId="6"/>
      <sheetData sheetId="7"/>
      <sheetData sheetId="8"/>
      <sheetData sheetId="9" refreshError="1"/>
      <sheetData sheetId="10"/>
      <sheetData sheetId="11" refreshError="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Page"/>
      <sheetName val="Budget 2023"/>
      <sheetName val="Budget 2024"/>
      <sheetName val="Budget 2025"/>
      <sheetName val="Check List"/>
      <sheetName val="Account Codes"/>
      <sheetName val="Budget Drivers"/>
      <sheetName val="Accoount Code Combination"/>
      <sheetName val="Cost Center"/>
      <sheetName val="Strategic Objectives 2023"/>
      <sheetName val="Supporting Documents"/>
      <sheetName val="Other "/>
      <sheetName val="Cost Center Group"/>
    </sheetNames>
    <sheetDataSet>
      <sheetData sheetId="0"/>
      <sheetData sheetId="1"/>
      <sheetData sheetId="2"/>
      <sheetData sheetId="3"/>
      <sheetData sheetId="4"/>
      <sheetData sheetId="5"/>
      <sheetData sheetId="6" refreshError="1"/>
      <sheetData sheetId="7"/>
      <sheetData sheetId="8"/>
      <sheetData sheetId="9" refreshError="1"/>
      <sheetData sheetId="10"/>
      <sheetData sheetId="11" refreshError="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Page"/>
      <sheetName val="Budget 2023"/>
      <sheetName val="Budget 2024"/>
      <sheetName val="Budget 2025"/>
      <sheetName val="Check List"/>
      <sheetName val="Supporting Documents"/>
      <sheetName val="Calculations"/>
      <sheetName val="Account Codes"/>
      <sheetName val="Budget Drivers"/>
      <sheetName val="Accoount Code Combination"/>
      <sheetName val="Cost Center"/>
      <sheetName val="Strategic Objectives 2023"/>
      <sheetName val="Other "/>
      <sheetName val="Cost Center Group"/>
    </sheetNames>
    <sheetDataSet>
      <sheetData sheetId="0"/>
      <sheetData sheetId="1"/>
      <sheetData sheetId="2"/>
      <sheetData sheetId="3"/>
      <sheetData sheetId="4"/>
      <sheetData sheetId="5"/>
      <sheetData sheetId="6"/>
      <sheetData sheetId="7" refreshError="1"/>
      <sheetData sheetId="8" refreshError="1"/>
      <sheetData sheetId="9"/>
      <sheetData sheetId="10"/>
      <sheetData sheetId="11" refreshError="1"/>
      <sheetData sheetId="12" refreshError="1"/>
      <sheetData sheetId="1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Page"/>
      <sheetName val="Budget 2023"/>
      <sheetName val="Budget 2024"/>
      <sheetName val="Budget 2025"/>
      <sheetName val="Check List"/>
      <sheetName val="Account Codes"/>
      <sheetName val="Budget Drivers"/>
      <sheetName val="Accoount Code Combination"/>
      <sheetName val="Cost Center"/>
      <sheetName val="Strategic Objectives 2023"/>
      <sheetName val="Supporting Documents"/>
      <sheetName val="Other "/>
      <sheetName val="Cost Center Group"/>
    </sheetNames>
    <sheetDataSet>
      <sheetData sheetId="0"/>
      <sheetData sheetId="1"/>
      <sheetData sheetId="2"/>
      <sheetData sheetId="3"/>
      <sheetData sheetId="4"/>
      <sheetData sheetId="5" refreshError="1"/>
      <sheetData sheetId="6" refreshError="1"/>
      <sheetData sheetId="7"/>
      <sheetData sheetId="8"/>
      <sheetData sheetId="9" refreshError="1"/>
      <sheetData sheetId="10"/>
      <sheetData sheetId="11" refreshError="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Page"/>
      <sheetName val="Budget 2023"/>
      <sheetName val="Budget 2024"/>
      <sheetName val="Budget 2025"/>
      <sheetName val="Check List"/>
      <sheetName val="Account Codes"/>
      <sheetName val="Budget Drivers"/>
      <sheetName val="Accoount Code Combination"/>
      <sheetName val="Cost Center"/>
      <sheetName val="Strategic Objectives 2023"/>
      <sheetName val="Supporting Documents"/>
      <sheetName val="Other "/>
      <sheetName val="Cost Center Group"/>
    </sheetNames>
    <sheetDataSet>
      <sheetData sheetId="0"/>
      <sheetData sheetId="1"/>
      <sheetData sheetId="2"/>
      <sheetData sheetId="3"/>
      <sheetData sheetId="4"/>
      <sheetData sheetId="5" refreshError="1"/>
      <sheetData sheetId="6" refreshError="1"/>
      <sheetData sheetId="7"/>
      <sheetData sheetId="8"/>
      <sheetData sheetId="9" refreshError="1"/>
      <sheetData sheetId="10"/>
      <sheetData sheetId="11" refreshError="1"/>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Page"/>
      <sheetName val="Budget 2023"/>
      <sheetName val="Budget 2024"/>
      <sheetName val="Budget 2025"/>
      <sheetName val="Check List"/>
      <sheetName val="Account Codes"/>
      <sheetName val="Budget Drivers"/>
      <sheetName val="Accoount Code Combination"/>
      <sheetName val="Cost Center"/>
      <sheetName val="Strategic Objectives 2023"/>
      <sheetName val="Supporting Documents"/>
      <sheetName val="Other "/>
      <sheetName val="Cost Center Group"/>
    </sheetNames>
    <sheetDataSet>
      <sheetData sheetId="0"/>
      <sheetData sheetId="1"/>
      <sheetData sheetId="2"/>
      <sheetData sheetId="3"/>
      <sheetData sheetId="4"/>
      <sheetData sheetId="5" refreshError="1"/>
      <sheetData sheetId="6" refreshError="1"/>
      <sheetData sheetId="7"/>
      <sheetData sheetId="8"/>
      <sheetData sheetId="9" refreshError="1"/>
      <sheetData sheetId="10"/>
      <sheetData sheetId="11" refreshError="1"/>
      <sheetData sheetId="1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Page"/>
      <sheetName val="Budget 2023"/>
      <sheetName val="Budget 2024"/>
      <sheetName val="Budget 2025"/>
      <sheetName val="Check List"/>
      <sheetName val="Account Codes"/>
      <sheetName val="Budget Drivers"/>
      <sheetName val="Accoount Code Combination"/>
      <sheetName val="Cost Center"/>
      <sheetName val="Strategic Objectives 2023"/>
      <sheetName val="Supporting Documents"/>
      <sheetName val="Other "/>
      <sheetName val="Cost Center Group"/>
    </sheetNames>
    <sheetDataSet>
      <sheetData sheetId="0"/>
      <sheetData sheetId="1"/>
      <sheetData sheetId="2"/>
      <sheetData sheetId="3"/>
      <sheetData sheetId="4"/>
      <sheetData sheetId="5" refreshError="1"/>
      <sheetData sheetId="6" refreshError="1"/>
      <sheetData sheetId="7"/>
      <sheetData sheetId="8"/>
      <sheetData sheetId="9" refreshError="1"/>
      <sheetData sheetId="10"/>
      <sheetData sheetId="11" refreshError="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Page"/>
      <sheetName val="Budget 2023"/>
      <sheetName val="Budget 2024"/>
      <sheetName val="Budget 2025"/>
      <sheetName val="Check List"/>
      <sheetName val="Account Codes"/>
      <sheetName val="Budget Drivers"/>
      <sheetName val="Accoount Code Combination"/>
      <sheetName val="Cost Center"/>
      <sheetName val="Strategic Objectives 2023"/>
      <sheetName val="Supporting Documents"/>
      <sheetName val="Other "/>
      <sheetName val="Cost Center Group"/>
    </sheetNames>
    <sheetDataSet>
      <sheetData sheetId="0"/>
      <sheetData sheetId="1"/>
      <sheetData sheetId="2"/>
      <sheetData sheetId="3"/>
      <sheetData sheetId="4"/>
      <sheetData sheetId="5" refreshError="1"/>
      <sheetData sheetId="6" refreshError="1"/>
      <sheetData sheetId="7"/>
      <sheetData sheetId="8"/>
      <sheetData sheetId="9" refreshError="1"/>
      <sheetData sheetId="10"/>
      <sheetData sheetId="11" refreshError="1"/>
      <sheetData sheetId="1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Page"/>
      <sheetName val="Budget 2023"/>
      <sheetName val="Budget 2024"/>
      <sheetName val="Budget 2025"/>
      <sheetName val="Check List"/>
      <sheetName val="Account Codes"/>
      <sheetName val="Budget Drivers"/>
      <sheetName val="Accoount Code Combination"/>
      <sheetName val="Cost Center"/>
      <sheetName val="Strategic Objectives 2023"/>
      <sheetName val="Supporting Documents"/>
      <sheetName val="Other "/>
      <sheetName val="Cost Center Gro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r:id="rId1" refreshedBy="Mushtaq Mohammed Sheriff" refreshedDate="44743.717562731479" createdVersion="6" refreshedVersion="6" minRefreshableVersion="3" recordCount="657">
  <cacheSource type="worksheet">
    <worksheetSource ref="A1:Y658" sheet="2024 Detail B-01"/>
  </cacheSource>
  <cacheFields count="25">
    <cacheField name="Account Group" numFmtId="0">
      <sharedItems containsMixedTypes="1" containsNumber="1" containsInteger="1" minValue="0" maxValue="0"/>
    </cacheField>
    <cacheField name="Content Expert" numFmtId="0">
      <sharedItems/>
    </cacheField>
    <cacheField name="Cost Center Code - Group" numFmtId="0">
      <sharedItems/>
    </cacheField>
    <cacheField name="Entity" numFmtId="0">
      <sharedItems containsSemiMixedTypes="0" containsString="0" containsNumber="1" containsInteger="1" minValue="847" maxValue="847"/>
    </cacheField>
    <cacheField name="Cost Center Code" numFmtId="0">
      <sharedItems containsSemiMixedTypes="0" containsString="0" containsNumber="1" containsInteger="1" minValue="8470110" maxValue="8471305"/>
    </cacheField>
    <cacheField name="Cost Center Description" numFmtId="0">
      <sharedItems/>
    </cacheField>
    <cacheField name="BG" numFmtId="0">
      <sharedItems containsSemiMixedTypes="0" containsString="0" containsNumber="1" containsInteger="1" minValue="1" maxValue="1"/>
    </cacheField>
    <cacheField name="Account Code" numFmtId="0">
      <sharedItems containsSemiMixedTypes="0" containsString="0" containsNumber="1" containsInteger="1" minValue="413310" maxValue="495140"/>
    </cacheField>
    <cacheField name="Account Code and Description" numFmtId="0">
      <sharedItems/>
    </cacheField>
    <cacheField name="Activity" numFmtId="0">
      <sharedItems/>
    </cacheField>
    <cacheField name="Future-1 Description" numFmtId="0">
      <sharedItems/>
    </cacheField>
    <cacheField name="Future-1" numFmtId="0">
      <sharedItems containsMixedTypes="1" containsNumber="1" containsInteger="1" minValue="847001" maxValue="847050"/>
    </cacheField>
    <cacheField name="Future-2 Description" numFmtId="0">
      <sharedItems/>
    </cacheField>
    <cacheField name="Future-2" numFmtId="0">
      <sharedItems containsSemiMixedTypes="0" containsString="0" containsNumber="1" containsInteger="1" minValue="100180" maxValue="300180"/>
    </cacheField>
    <cacheField name="GL Account Combination" numFmtId="0">
      <sharedItems count="485">
        <s v="847.8470810.1.413328.000000.847001.100180"/>
        <s v="847.8470810.1.420811.000000.847001.200179"/>
        <s v="847.8470810.1.421100.000000.847001.200179"/>
        <s v="847.8470810.1.426610.000000.847001.200179"/>
        <s v="847.8470810.1.427810.000000.847001.200179"/>
        <s v="847.8470810.1.427850.000000.847001.200179"/>
        <s v="847.8470810.1.428090.000000.847001.200179"/>
        <s v="847.8470810.1.430250.000000.847001.200179"/>
        <s v="847.8470810.1.432205.000000.847001.200179"/>
        <s v="847.8470810.1.432226.000000.847001.200179"/>
        <s v="847.8470810.1.492310.000000.847001.300180"/>
        <s v="847.8470810.1.492352.000000.847001.300180"/>
        <s v="847.8470810.1.492356.000000.847001.300180"/>
        <s v="847.8470810.1.495113.000000.847001.300180"/>
        <s v="847.8470220.1.420550.000000.847001.200179"/>
        <s v="847.8470220.1.420570.000000.847001.200179"/>
        <s v="847.8470220.1.421700.000000.847001.200179"/>
        <s v="847.8470220.1.425510.000000.847001.200179"/>
        <s v="847.8470220.1.425550.000000.847001.200179"/>
        <s v="847.8470220.1.425740.000000.847001.200179"/>
        <s v="847.8470220.1.425900.000000.847001.200179"/>
        <s v="847.8470220.1.426610.000000.847001.200179"/>
        <s v="847.8470220.1.428090.000000.847001.200179"/>
        <s v="847.8470220.1.428640.000000.847001.200179"/>
        <s v="847.8470220.1.432205.000000.847001.200179"/>
        <s v="847.8470220.1.492316.000000.847001.300180"/>
        <s v="847.8470220.1.436120.000000.847001.200179"/>
        <s v="847.8470305.1.420550.000000.847001.200179"/>
        <s v="847.8470305.1.420570.000000.847001.200179"/>
        <s v="847.8470305.1.421700.000000.847001.200179"/>
        <s v="847.8470305.1.425510.000000.847001.200179"/>
        <s v="847.8470305.1.425763.000000.847001.200179"/>
        <s v="847.8470305.1.425770.000000.847001.200179"/>
        <s v="847.8470305.1.425900.000000.847001.200179"/>
        <s v="847.8470305.1.426610.000000.847001.200179"/>
        <s v="847.8470305.1.428090.000000.847001.200179"/>
        <s v="847.8470305.1.428640.000000.847001.200179"/>
        <s v="847.8470305.1.432209.000000.847001.200179"/>
        <s v="847.8470305.1.435350.000000.847001.200179"/>
        <s v="847.8470305.1.435508.000000.847001.200179"/>
        <s v="847.8470305.1.436600.000000.847001.200179"/>
        <s v="847.8470305.1.425720.000000.847001.200179"/>
        <s v="847.8470305.1.432690.000000.847001.200179"/>
        <s v="847.8470305.1.435340.000000.847001.200179"/>
        <s v="847.8470310.1.420550.000000.847001.200179"/>
        <s v="847.8470310.1.425510.000000.847001.200179"/>
        <s v="847.8470310.1.425760.000000.847001.200179"/>
        <s v="847.8470310.1.425763.000000.847001.200179"/>
        <s v="847.8470310.1.425770.000000.847001.200179"/>
        <s v="847.8470310.1.425900.000000.847001.200179"/>
        <s v="847.8470310.1.426610.000000.847001.200179"/>
        <s v="847.8470310.1.428090.000000.847001.200179"/>
        <s v="847.8470310.1.432209.000000.847001.200179"/>
        <s v="847.8470310.1.435350.000000.847001.200179"/>
        <s v="847.8470310.1.435508.000000.847001.200179"/>
        <s v="847.8470310.1.436110.000000.847001.200179"/>
        <s v="847.8470310.1.436600.000000.847001.200179"/>
        <s v="847.8470310.1.492316.000000.847001.300180"/>
        <s v="847.8470315.1.420550.000000.847001.200179"/>
        <s v="847.8470315.1.425510.000000.847001.200179"/>
        <s v="847.8470315.1.425760.000000.847001.200179"/>
        <s v="847.8470315.1.425763.000000.847001.200179"/>
        <s v="847.8470315.1.425770.000000.847001.200179"/>
        <s v="847.8470315.1.425900.000000.847001.200179"/>
        <s v="847.8470315.1.426610.000000.847001.200179"/>
        <s v="847.8470315.1.428090.000000.847001.200179"/>
        <s v="847.8470315.1.432209.000000.847001.200179"/>
        <s v="847.8470315.1.435350.000000.847001.200179"/>
        <s v="847.8470315.1.435508.000000.847001.200179"/>
        <s v="847.8470315.1.436110.000000.847001.200179"/>
        <s v="847.8470315.1.436600.000000.847001.200179"/>
        <s v="847.8470315.1.492316.000000.847001.300180"/>
        <s v="847.8470320.1.420550.000000.847001.200179"/>
        <s v="847.8470320.1.425510.000000.847001.200179"/>
        <s v="847.8470320.1.425760.000000.847001.200179"/>
        <s v="847.8470320.1.425763.000000.847001.200179"/>
        <s v="847.8470320.1.425770.000000.847001.200179"/>
        <s v="847.8470320.1.425900.000000.847001.200179"/>
        <s v="847.8470320.1.426610.000000.847001.200179"/>
        <s v="847.8470320.1.428090.000000.847001.200179"/>
        <s v="847.8470320.1.435350.000000.847001.200179"/>
        <s v="847.8470320.1.435508.000000.847001.200179"/>
        <s v="847.8470320.1.436110.000000.847001.200179"/>
        <s v="847.8470320.1.436600.000000.847001.200179"/>
        <s v="847.8470320.1.492316.000000.847001.300180"/>
        <s v="847.8470320.1.495140.000000.847001.300180"/>
        <s v="847.8470325.1.420550.000000.847001.200179"/>
        <s v="847.8470325.1.425510.000000.847001.200179"/>
        <s v="847.8470325.1.425760.000000.847001.200179"/>
        <s v="847.8470325.1.425763.000000.847001.200179"/>
        <s v="847.8470325.1.425762.000000.847001.200179"/>
        <s v="847.8470325.1.425770.000000.847001.200179"/>
        <s v="847.8470325.1.426610.000000.847001.200179"/>
        <s v="847.8470325.1.428090.000000.847001.200179"/>
        <s v="847.8470325.1.432209.000000.847001.200179"/>
        <s v="847.8470325.1.435350.000000.847001.200179"/>
        <s v="847.8470325.1.435508.000000.847001.200179"/>
        <s v="847.8470325.1.492316.000000.847001.300180"/>
        <s v="847.8470330.1.420550.000000.847001.200179"/>
        <s v="847.8470330.1.425510.000000.847001.200179"/>
        <s v="847.8470330.1.425760.000000.847001.200179"/>
        <s v="847.8470330.1.425763.000000.847001.200179"/>
        <s v="847.8470330.1.425770.000000.847001.200179"/>
        <s v="847.8470330.1.425900.000000.847001.200179"/>
        <s v="847.8470330.1.426610.000000.847001.200179"/>
        <s v="847.8470330.1.428640.000000.847001.200179"/>
        <s v="847.8470330.1.432209.000000.847001.200179"/>
        <s v="847.8470330.1.435350.000000.847001.200179"/>
        <s v="847.8470330.1.435508.000000.847001.200179"/>
        <s v="847.8470330.1.436600.000000.847001.200179"/>
        <s v="847.8470330.1.492316.000000.847001.300180"/>
        <s v="847.8470335.1.420550.000000.847001.200179"/>
        <s v="847.8470335.1.425510.000000.847001.200179"/>
        <s v="847.8470335.1.425760.000000.847001.200179"/>
        <s v="847.8470335.1.425763.000000.847001.200179"/>
        <s v="847.8470335.1.425770.000000.847001.200179"/>
        <s v="847.8470335.1.425900.000000.847001.200179"/>
        <s v="847.8470335.1.426610.000000.847001.200179"/>
        <s v="847.8470335.1.428090.000000.847001.200179"/>
        <s v="847.8470335.1.435350.000000.847001.200179"/>
        <s v="847.8470335.1.435508.000000.847001.200179"/>
        <s v="847.8470335.1.436110.000000.847001.200179"/>
        <s v="847.8470335.1.436600.000000.847001.200179"/>
        <s v="847.8470335.1.492316.000000.847001.300180"/>
        <s v="847.8470340.1.420550.000000.847001.200179"/>
        <s v="847.8470340.1.425510.000000.847001.200179"/>
        <s v="847.8470340.1.425720.000000.847001.200179"/>
        <s v="847.8470340.1.425760.000000.847001.200179"/>
        <s v="847.8470340.1.425763.000000.847001.200179"/>
        <s v="847.8470340.1.425770.000000.847001.200179"/>
        <s v="847.8470340.1.425900.000000.847001.200179"/>
        <s v="847.8470340.1.426610.000000.847001.200179"/>
        <s v="847.8470340.1.432209.000000.847001.200179"/>
        <s v="847.8470340.1.435350.000000.847001.200179"/>
        <s v="847.8470340.1.435508.000000.847001.200179"/>
        <s v="847.8470340.1.492316.000000.847001.300180"/>
        <s v="847.8470345.1.420550.000000.847001.200179"/>
        <s v="847.8470345.1.425510.000000.847001.200179"/>
        <s v="847.8470345.1.425760.000000.847001.200179"/>
        <s v="847.8470345.1.425770.000000.847001.200179"/>
        <s v="847.8470345.1.425900.000000.847001.200179"/>
        <s v="847.8470345.1.426610.000000.847001.200179"/>
        <s v="847.8470345.1.428090.000000.847001.200179"/>
        <s v="847.8470345.1.435350.000000.847001.200179"/>
        <s v="847.8470345.1.435508.000000.847001.200179"/>
        <s v="847.8470345.1.436110.000000.847001.200179"/>
        <s v="847.8470345.1.492316.000000.847001.300180"/>
        <s v="847.8470350.1.425510.000000.847001.200179"/>
        <s v="847.8470350.1.425760.000000.847001.200179"/>
        <s v="847.8470350.1.425763.000000.847001.200179"/>
        <s v="847.8470350.1.425770.000000.847001.200179"/>
        <s v="847.8470350.1.425900.000000.847001.200179"/>
        <s v="847.8470350.1.426610.000000.847001.200179"/>
        <s v="847.8470350.1.432209.000000.847001.200179"/>
        <s v="847.8470350.1.435340.000000.847001.200179"/>
        <s v="847.8470350.1.435350.000000.847001.200179"/>
        <s v="847.8470350.1.435508.000000.847001.200179"/>
        <s v="847.8470350.1.436110.000000.847001.200179"/>
        <s v="847.8470350.1.436600.000000.847001.200179"/>
        <s v="847.8470350.1.492316.000000.847001.300180"/>
        <s v="847.8470620.1.420130.000000.847001.200179"/>
        <s v="847.8470620.1.425300.000000.847001.200179"/>
        <s v="847.8470620.1.425350.000000.847001.200179"/>
        <s v="847.8470620.1.426610.000000.847001.200179"/>
        <s v="847.8470620.1.436120.000000.847001.200179"/>
        <s v="847.8470620.1.425900.000000.847001.200179"/>
        <s v="847.8470630.1.425100.000000.847001.200179"/>
        <s v="847.8470630.1.425550.000000.847001.200179"/>
        <s v="847.8470630.1.427200.000000.847001.200179"/>
        <s v="847.8470630.1.436600.000000.847001.200179"/>
        <s v="847.8470730.1.425900.000000.847001.200179"/>
        <s v="847.8470730.1.426610.000000.847001.200179"/>
        <s v="847.8470730.1.427900.000000.847001.200179"/>
        <s v="847.8470730.1.428640.000000.847001.200179"/>
        <s v="847.8470730.1.436110.000000.847001.200179"/>
        <s v="847.8471110.1.425900.000000.847001.200179"/>
        <s v="847.8471110.1.427710.000000.847001.200179"/>
        <s v="847.8471110.1.428090.000000.847001.200179"/>
        <s v="847.8471130.1.420811.000000.847001.200179"/>
        <s v="847.8471130.1.426610.000000.847001.200179"/>
        <s v="847.8471130.1.427900.000000.847001.200179"/>
        <s v="847.8471130.1.428090.000000.847001.200179"/>
        <s v="847.8471130.1.435523.000000.847001.200179"/>
        <s v="847.8471140.1.420570.000000.847001.200179"/>
        <s v="847.8471140.1.428090.000000.847001.200179"/>
        <s v="847.8471140.1.435523.000000.847001.200179"/>
        <s v="847.8471150.1.420900.000000.847001.200179"/>
        <s v="847.8471150.1.425510.000000.847001.200179"/>
        <s v="847.8471150.1.425550.000000.847001.200179"/>
        <s v="847.8471150.1.426610.000000.847001.200179"/>
        <s v="847.8471150.1.428090.000000.847001.200179"/>
        <s v="847.8471150.1.435310.000000.847001.200179"/>
        <s v="847.8471170.1.420811.000000.847001.200179"/>
        <s v="847.8471170.1.425900.000000.847001.200179"/>
        <s v="847.8471170.1.426610.000000.847001.200179"/>
        <s v="847.8471170.1.428090.000000.847001.200179"/>
        <s v="847.8471210.1.425900.000000.847001.200179"/>
        <s v="847.8471210.1.428090.000000.847001.200179"/>
        <s v="847.8471210.1.428640.000000.847001.200179"/>
        <s v="847.8471210.1.435530.000000.847001.200179"/>
        <s v="847.8471240.1.425510.000000.847001.200179"/>
        <s v="847.8471240.1.425720.000000.847001.200179"/>
        <s v="847.8471240.1.425750.000000.847001.200179"/>
        <s v="847.8471240.1.425761.000000.847001.200179"/>
        <s v="847.8471240.1.425900.000000.847001.200179"/>
        <s v="847.8471240.1.426610.000000.847001.200179"/>
        <s v="847.8471240.1.428090.000000.847001.200179"/>
        <s v="847.8471240.1.428640.000000.847001.200179"/>
        <s v="847.8471240.1.435330.000000.847001.200179"/>
        <s v="847.8471240.1.436110.000000.847001.200179"/>
        <s v="847.8471240.1.436120.000000.847001.200179"/>
        <s v="847.8471260.1.421100.000000.847001.200179"/>
        <s v="847.8471260.1.425510.000000.847001.200179"/>
        <s v="847.8471260.1.425746.000000.847001.200179"/>
        <s v="847.8471260.1.425760.000000.847001.200179"/>
        <s v="847.8471260.1.425900.000000.847001.200179"/>
        <s v="847.8471260.1.428640.000000.847001.200179"/>
        <s v="847.8471260.1.435530.000000.847001.200179"/>
        <s v="847.8471260.1.436110.000000.847001.200179"/>
        <s v="847.8471220.1.425510.000000.847001.200179"/>
        <s v="847.8471220.1.425741.000000.847001.200179"/>
        <s v="847.8471220.1.426900.000000.847001.200179"/>
        <s v="847.8471220.1.435340.000000.847001.200179"/>
        <s v="847.8471220.1.436110.000000.847001.200179"/>
        <s v="847.8471220.1.436120.000000.847001.200179"/>
        <s v="847.8471270.1.425900.000000.847001.200179"/>
        <s v="847.8471270.1.428090.000000.847001.200179"/>
        <s v="847.8471270.1.435330.000000.847001.200179"/>
        <s v="847.8471270.1.436110.000000.847001.200179"/>
        <s v="847.8471230.1.425742.000000.847001.200179"/>
        <s v="847.8471230.1.426610.000000.847001.200179"/>
        <s v="847.8471280.1.425100.000000.847001.200179"/>
        <s v="847.8471280.1.425510.000000.847001.200179"/>
        <s v="847.8471280.1.425550.000000.847001.200179"/>
        <s v="847.8471280.1.425710.000000.847001.200179"/>
        <s v="847.8471280.1.425760.000000.847001.200179"/>
        <s v="847.8471280.1.425770.000000.847001.200179"/>
        <s v="847.8471280.1.426610.000000.847001.200179"/>
        <s v="847.8471280.1.428640.000000.847001.200179"/>
        <s v="847.8471280.1.432170.000000.847001.200179"/>
        <s v="847.8471280.1.435340.000000.847001.200179"/>
        <s v="847.8471280.1.435530.000000.847001.200179"/>
        <s v="847.8471280.1.492316.000000.847001.300180"/>
        <s v="847.8471280.1.428090.000000.847001.200179"/>
        <s v="847.8471250.1.425510.000000.847001.200179"/>
        <s v="847.8471250.1.425720.000000.847001.200179"/>
        <s v="847.8471250.1.425762.000000.847001.200179"/>
        <s v="847.8471250.1.425900.000000.847001.200179"/>
        <s v="847.8471250.1.426610.000000.847001.200179"/>
        <s v="847.8471250.1.428090.000000.847001.200179"/>
        <s v="847.8471250.1.428640.000000.847001.200179"/>
        <s v="847.8471250.1.436110.000000.847001.200179"/>
        <s v="847.8471010.1.425100.000000.847001.200179"/>
        <s v="847.8471010.1.425510.000000.847001.200179"/>
        <s v="847.8471010.1.425720.000000.847001.200179"/>
        <s v="847.8471010.1.425900.000000.847001.200179"/>
        <s v="847.8471010.1.436110.000000.847001.200179"/>
        <s v="847.8471010.1.436120.000000.847001.200179"/>
        <s v="847.8470230.1.420550.000000.847001.200179"/>
        <s v="847.8470230.1.425100.000000.847001.200179"/>
        <s v="847.8470230.1.425510.000000.847001.200179"/>
        <s v="847.8470230.1.425550.000000.847001.200179"/>
        <s v="847.8470230.1.425743.000000.847001.200179"/>
        <s v="847.8470230.1.425744.000000.847001.200179"/>
        <s v="847.8470230.1.425745.000000.847001.200179"/>
        <s v="847.8470230.1.425749.000000.847001.200179"/>
        <s v="847.8470230.1.425761.000000.847001.200179"/>
        <s v="847.8470230.1.425762.000000.847001.200179"/>
        <s v="847.8470230.1.425900.000000.847001.200179"/>
        <s v="847.8470230.1.426610.000000.847001.200179"/>
        <s v="847.8470230.1.428090.000000.847001.200179"/>
        <s v="847.8470230.1.428640.000000.847001.200179"/>
        <s v="847.8470230.1.436110.000000.847001.200179"/>
        <s v="847.8470230.1.492310.000000.847001.300180"/>
        <s v="847.8471305.1.420570.000000.847001.200179"/>
        <s v="847.8471305.1.420811.000000.847001.200179"/>
        <s v="847.8471305.1.421000.000000.847001.200179"/>
        <s v="847.8471305.1.421700.000000.847001.200179"/>
        <s v="847.8471305.1.422100.000000.847001.200179"/>
        <s v="847.8471305.1.425510.000000.847001.200179"/>
        <s v="847.8471305.1.425550.000000.847001.200179"/>
        <s v="847.8471305.1.425720.000000.847001.200179"/>
        <s v="847.8471305.1.425742.000000.847001.200179"/>
        <s v="847.8471305.1.425745.000000.847001.200179"/>
        <s v="847.8471305.1.425746.000000.847001.200179"/>
        <s v="847.8471305.1.425749.000000.847001.200179"/>
        <s v="847.8471305.1.425750.000000.847001.200179"/>
        <s v="847.8471305.1.425762.000000.847001.200179"/>
        <s v="847.8471305.1.425763.000000.847001.200179"/>
        <s v="847.8471305.1.425900.000000.847001.200179"/>
        <s v="847.8471305.1.426100.000000.847001.200179"/>
        <s v="847.8471305.1.426610.000000.847001.200179"/>
        <s v="847.8471305.1.426900.000000.847001.200179"/>
        <s v="847.8471305.1.427200.000000.847001.200179"/>
        <s v="847.8471305.1.427710.000000.847001.200179"/>
        <s v="847.8471305.1.428090.000000.847001.200179"/>
        <s v="847.8471305.1.428640.000000.847001.200179"/>
        <s v="847.8471305.1.432205.000000.847001.200179"/>
        <s v="847.8471305.1.432209.000000.847001.200179"/>
        <s v="847.8471305.1.432210.000000.847001.200179"/>
        <s v="847.8471305.1.435330.000000.847001.200179"/>
        <s v="847.8471305.1.435340.000000.847001.200179"/>
        <s v="847.8471305.1.435350.000000.847001.200179"/>
        <s v="847.8471305.1.435508.000000.847001.200179"/>
        <s v="847.8471305.1.435530.000000.847001.200179"/>
        <s v="847.8471305.1.436120.000000.847001.200179"/>
        <s v="847.8471305.1.422900.000000.847001.200179"/>
        <s v="847.8471305.1.436110.000000.847001.200179"/>
        <s v="847.8470405.1.420550.000000.847001.200179"/>
        <s v="847.8470405.1.421700.000000.847001.200179"/>
        <s v="847.8470405.1.425510.000000.847001.200179"/>
        <s v="847.8470405.1.425550.000000.847001.200179"/>
        <s v="847.8470405.1.425770.000000.847001.200179"/>
        <s v="847.8470405.1.427710.000000.847001.200179"/>
        <s v="847.8470405.1.435508.000000.847001.200179"/>
        <s v="847.8470405.1.435350.000000.847001.200179"/>
        <s v="847.8470410.1.425761.000000.847001.200179"/>
        <s v="847.8470410.1.425770.000000.847001.200179"/>
        <s v="847.8470410.1.426610.000000.847001.200179"/>
        <s v="847.8470410.1.435310.000000.847001.200179"/>
        <s v="847.8470410.1.435350.000000.847001.200179"/>
        <s v="847.8470415.1.425510.000000.847001.200179"/>
        <s v="847.8470415.1.425100.000000.847001.200179"/>
        <s v="847.8470415.1.428090.000000.847001.200179"/>
        <s v="847.8470415.1.427200.000000.847001.200179"/>
        <s v="847.8470415.1.425760.000000.847001.200179"/>
        <s v="847.8470415.1.425763.000000.847001.200179"/>
        <s v="847.8470415.1.425770.000000.847001.200179"/>
        <s v="847.8470415.1.425900.000000.847001.200179"/>
        <s v="847.8470415.1.426610.000000.847001.200179"/>
        <s v="847.8470415.1.428640.000000.847001.200179"/>
        <s v="847.8470415.1.432209.000000.847001.200179"/>
        <s v="847.8470415.1.435350.000000.847001.200179"/>
        <s v="847.8470415.1.435508.000000.847001.200179"/>
        <s v="847.8470415.1.492316.000000.847001.300180"/>
        <s v="847.8470425.1.425510.000000.847001.200179"/>
        <s v="847.8470425.1.425550.000000.847001.200179"/>
        <s v="847.8470425.1.425770.000000.847001.200179"/>
        <s v="847.8470425.1.425900.000000.847001.200179"/>
        <s v="847.8470425.1.426610.000000.847001.200179"/>
        <s v="847.8470425.1.428090.000000.847001.200179"/>
        <s v="847.8470425.1.435350.000000.847001.200179"/>
        <s v="847.8470425.1.435508.000000.847001.200179"/>
        <s v="847.8470425.1.492310.000000.847001.300180"/>
        <s v="847.8470425.1.492316.000000.847001.300180"/>
        <s v="847.8470430.1.425761.000000.847001.200179"/>
        <s v="847.8470430.1.425770.000000.847001.200179"/>
        <s v="847.8470430.1.425900.000000.847001.200179"/>
        <s v="847.8470430.1.426610.000000.847001.200179"/>
        <s v="847.8470430.1.432209.000000.847001.200179"/>
        <s v="847.8470430.1.435508.000000.847001.200179"/>
        <s v="847.8470440.1.420550.000000.847001.200179"/>
        <s v="847.8470440.1.420570.000000.847001.200179"/>
        <s v="847.8470440.1.421700.000000.847001.200179"/>
        <s v="847.8470440.1.425100.000000.847001.200179"/>
        <s v="847.8470440.1.425510.000000.847001.200179"/>
        <s v="847.8470440.1.425550.000000.847001.200179"/>
        <s v="847.8470440.1.425761.000000.847001.200179"/>
        <s v="847.8470440.1.425770.000000.847001.200179"/>
        <s v="847.8470440.1.426610.000000.847001.200179"/>
        <s v="847.8470440.1.427710.000000.847001.200179"/>
        <s v="847.8470440.1.428090.000000.847001.200179"/>
        <s v="847.8470440.1.428640.000000.847001.200179"/>
        <s v="847.8470440.1.435340.000000.847001.200179"/>
        <s v="847.8470440.1.435350.000000.847001.200179"/>
        <s v="847.8470440.1.436600.000000.847001.200179"/>
        <s v="847.8470445.1.427710.000000.847001.200179"/>
        <s v="847.8470445.1.425900.000000.847001.200179"/>
        <s v="847.8470445.1.420550.000000.847001.200179"/>
        <s v="847.8470445.1.425510.000000.847001.200179"/>
        <s v="847.8470445.1.492354.000000.847001.300180"/>
        <s v="847.8470450.1.435350.000000.847001.200179"/>
        <s v="847.8470450.1.435508.000000.847001.200179"/>
        <s v="847.8470450.1.492316.000000.847001.300180"/>
        <s v="847.8470450.1.492310.000000.847001.300180"/>
        <s v="847.8470450.1.421700.000000.847001.200179"/>
        <s v="847.8470455.1.425760.000000.847001.200179"/>
        <s v="847.8470455.1.425770.000000.847001.200179"/>
        <s v="847.8470455.1.425900.000000.847001.200179"/>
        <s v="847.8470455.1.426610.000000.847001.200179"/>
        <s v="847.8470455.1.428090.000000.847001.200179"/>
        <s v="847.8470455.1.428640.000000.847001.200179"/>
        <s v="847.8470455.1.432209.000000.847001.200179"/>
        <s v="847.8470455.1.435350.000000.847001.200179"/>
        <s v="847.8470455.1.435508.000000.847001.200179"/>
        <s v="847.8470455.1.436110.000000.847001.200179"/>
        <s v="847.8470455.1.492316.000000.847001.300180"/>
        <s v="847.8470130.1.421000.000000.847001.200179"/>
        <s v="847.8470130.1.426610.000000.847001.200179"/>
        <s v="847.8470130.1.428090.000000.847001.200179"/>
        <s v="847.8470140.1.425100.000000.847001.200179"/>
        <s v="847.8470140.1.425510.000000.847001.200179"/>
        <s v="847.8470140.1.425550.000000.847001.200179"/>
        <s v="847.8470140.1.425763.000000.847050.200179"/>
        <s v="847.8470140.1.427100.000000.847001.200179"/>
        <s v="847.8470140.1.427200.000000.847001.200179"/>
        <s v="847.8470140.1.428640.000000.847001.200179"/>
        <s v="847.8470140.1.435310.000000.847001.200179"/>
        <s v="847.8470140.1.435519.000000.847001.200179"/>
        <s v="847.8470140.1.492310.000000.847001.300180"/>
        <s v="847.8470910.1.425900.000000.847001.200179"/>
        <s v="847.8470910.1.428090.000000.847001.200179"/>
        <s v="847.8470910.1.429900.000000.847001.200179"/>
        <s v="847.8470910.1.420570.000000.847001.200179"/>
        <s v="847.8470510.1.425510.000000.847001.200179"/>
        <s v="847.8470510.1.425900.000000.847001.200179"/>
        <s v="847.8470510.1.428090.000000.847001.200179"/>
        <s v="847.8470520.1.425510.000000.847001.200179"/>
        <s v="847.8470520.1.426100.000000.847001.200179"/>
        <s v="847.8470520.1.427710.000000.847001.200179"/>
        <s v="847.8470520.1.428200.000000.847001.200179"/>
        <s v="847.8470530.1.420310.000000.847010.200179"/>
        <s v="847.8470530.1.420310.000000.847015.200179"/>
        <s v="847.8470530.1.420310.000000.847020.200179"/>
        <s v="847.8470530.1.429900.000000.847010.200179"/>
        <s v="847.8470530.1.421000.000000.847010.200179"/>
        <s v="847.8470530.1.421100.000000.847010.200179"/>
        <s v="847.8470530.1.430110.000000.847010.200179"/>
        <s v="847.8470530.1.430120.000000.847030.200179"/>
        <s v="847.8470530.1.430120.000000.847020.200179"/>
        <s v="847.8470530.1.421600.000000.847010.200179"/>
        <s v="847.8470530.1.421600.000000.847015.200179"/>
        <s v="847.8470530.1.421600.000000.847020.200179"/>
        <s v="847.8470530.1.421600.000000.847030.200179"/>
        <s v="847.8470530.1.421700.000000.847010.200179"/>
        <s v="847.8470530.1.425510.000000.847010.200179"/>
        <s v="847.8470530.1.425900.000000.847010.200179"/>
        <s v="847.8470530.1.426220.000000.847010.200179"/>
        <s v="847.8470530.1.426220.000000.847030.200179"/>
        <s v="847.8470530.1.426250.000000.847010.200179"/>
        <s v="847.8470530.1.428090.000000.847001.200179"/>
        <s v="847.8470530.1.432120.000000.847010.200179"/>
        <s v="847.8470530.1.432120.000000.847015.200179"/>
        <s v="847.8470530.1.432120.000000.847020.200179"/>
        <s v="847.8470530.1.432120.000000.847030.200179"/>
        <s v="847.8470530.1.432170.000000.847010.200179"/>
        <s v="847.8470530.1.432320.000000.847010.200179"/>
        <s v="847.8470530.1.492200.000000.847001.300180"/>
        <s v="847.8470530.1.492200.000000.847010.300180"/>
        <s v="847.8470530.1.492200.000000.847015.300180"/>
        <s v="847.8470530.1.492200.000000.847020.300180"/>
        <s v="847.8470530.1.495110.000000.847001.300180"/>
        <s v="847.8470530.1.492610.000000.847010.300180"/>
        <s v="847.8470530.1.492610.000000.847015.300180"/>
        <s v="847.8470530.1.492610.000000.847020.300180"/>
        <s v="847.8470540.1.413310.000000.847010.100180"/>
        <s v="847.8470540.1.422900.000000.847010.200179"/>
        <s v="847.8470540.1.426800.000000.847010.200179"/>
        <s v="847.8470540.1.426900.000000.847010.200179"/>
        <s v="847.8470540.1.428111.000000.847010.200179"/>
        <s v="847.8470540.1.428111.000000.847015.200179"/>
        <s v="847.8470540.1.428111.000000.847020.200179"/>
        <s v="847.8470540.1.428111.000000.847030.200179"/>
        <s v="847.8470540.1.428112.000000.847010.200179"/>
        <s v="847.8470540.1.428112.000000.847015.200179"/>
        <s v="847.8470540.1.428112.000000.847020.200179"/>
        <s v="847.8470540.1.428112.000000.847030.200179"/>
        <s v="847.8470540.1.429900.000000.847010.200179"/>
        <s v="847.8470540.1.430330.000000.847010.200179"/>
        <s v="847.8470540.1.432540.000000.847010.200179"/>
        <s v="847.8470540.1.435410.000000.847020.200179"/>
        <s v="847.8470540.1.435740.000000.847010.200179"/>
        <s v="847.8470540.1.426250.000000.847010.200179"/>
        <s v="847.8470540.1.436110.000000.847010.200179"/>
        <s v="847.8470110.1.420550.000000.847001.200179"/>
        <s v="847.8470110.1.420570.000000.847001.200179"/>
        <s v="847.8470110.1.421000.000000.847001.200179"/>
        <s v="847.8470110.1.425510.000000.847001.200179"/>
        <s v="847.8470110.1.425550.000000.847001.200179"/>
        <s v="847.8470110.1.425900.000000.847001.200179"/>
        <s v="847.8470110.1.428090.000000.847001.200179"/>
        <s v="847.8470110.1.428400.000000.847001.200179"/>
        <s v="847.8470110.1.428640.000000.847001.200179"/>
        <s v="847.8470120.1.420120.000000.847001.200179"/>
        <s v="847.8470121.1.421000.000000.847001.200179"/>
        <s v="847.8470121.1.425900.000000.847001.200179"/>
        <s v="847.8470121.1.421700.000000.847001.200179"/>
        <s v="847.8470121.1.426610.000000.847001.200179"/>
        <s v="847.8470150.1.420900.000000.847001.200179"/>
        <s v="847.8470150.1.427710.000000.847001.200179"/>
        <s v="847.8470160.1.425550.000000.847001.200179"/>
        <s v="847.8470160.1.428640.000000.847001.200179"/>
        <s v="847.8470160.1.428090.000000.847001.200179"/>
        <s v="847.8470160.1.425900.000000.847001.200179"/>
        <s v="847.8471305.1.425100.000000.847001.200179"/>
      </sharedItems>
    </cacheField>
    <cacheField name="Budget Driver " numFmtId="0">
      <sharedItems containsBlank="1"/>
    </cacheField>
    <cacheField name="Measruing unit" numFmtId="0">
      <sharedItems containsBlank="1" containsMixedTypes="1" containsNumber="1" containsInteger="1" minValue="1" maxValue="15"/>
    </cacheField>
    <cacheField name="Quantity of measruing units" numFmtId="0">
      <sharedItems containsString="0" containsBlank="1" containsNumber="1" minValue="1" maxValue="36612.26"/>
    </cacheField>
    <cacheField name="Rate (expected)" numFmtId="0">
      <sharedItems containsBlank="1" containsMixedTypes="1" containsNumber="1" minValue="1" maxValue="73445312.5"/>
    </cacheField>
    <cacheField name="Itemised  Details/Calculation method" numFmtId="0">
      <sharedItems containsBlank="1" containsMixedTypes="1" containsNumber="1" containsInteger="1" minValue="50000" maxValue="50000" longText="1"/>
    </cacheField>
    <cacheField name="2024 Budget " numFmtId="0">
      <sharedItems containsString="0" containsBlank="1" containsNumber="1" minValue="0" maxValue="249200000"/>
    </cacheField>
    <cacheField name="Budget Activity Type" numFmtId="0">
      <sharedItems containsBlank="1" containsMixedTypes="1" containsNumber="1" minValue="0" maxValue="2500000"/>
    </cacheField>
    <cacheField name="Expenditure Frequency" numFmtId="0">
      <sharedItems containsBlank="1" containsMixedTypes="1" containsNumber="1" containsInteger="1" minValue="0" maxValue="0"/>
    </cacheField>
    <cacheField name="KU Strategy" numFmtId="0">
      <sharedItems containsBlank="1"/>
    </cacheField>
    <cacheField name="XX" numFmtId="0">
      <sharedItems containsBlank="1" containsMixedTypes="1" containsNumber="1" minValue="-10.5"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Mushtaq Mohammed Sheriff" refreshedDate="44743.717563078702" createdVersion="6" refreshedVersion="6" minRefreshableVersion="3" recordCount="626">
  <cacheSource type="worksheet">
    <worksheetSource ref="A1:X627" sheet="2025 Detail B-01"/>
  </cacheSource>
  <cacheFields count="24">
    <cacheField name="Account Group" numFmtId="0">
      <sharedItems containsMixedTypes="1" containsNumber="1" containsInteger="1" minValue="0" maxValue="0"/>
    </cacheField>
    <cacheField name="Content Expert" numFmtId="0">
      <sharedItems/>
    </cacheField>
    <cacheField name="Cost Center Code - Group" numFmtId="0">
      <sharedItems containsMixedTypes="1" containsNumber="1" containsInteger="1" minValue="0" maxValue="0"/>
    </cacheField>
    <cacheField name="Entity" numFmtId="0">
      <sharedItems containsSemiMixedTypes="0" containsString="0" containsNumber="1" containsInteger="1" minValue="847" maxValue="847"/>
    </cacheField>
    <cacheField name="Cost Center Code" numFmtId="0">
      <sharedItems containsSemiMixedTypes="0" containsString="0" containsNumber="1" containsInteger="1" minValue="8470110" maxValue="8471305"/>
    </cacheField>
    <cacheField name="Cost Center Description" numFmtId="0">
      <sharedItems/>
    </cacheField>
    <cacheField name="BG" numFmtId="0">
      <sharedItems containsSemiMixedTypes="0" containsString="0" containsNumber="1" containsInteger="1" minValue="1" maxValue="1"/>
    </cacheField>
    <cacheField name="Account Code" numFmtId="0">
      <sharedItems containsMixedTypes="1" containsNumber="1" containsInteger="1" minValue="413310" maxValue="495110"/>
    </cacheField>
    <cacheField name="Account Code and Description" numFmtId="0">
      <sharedItems/>
    </cacheField>
    <cacheField name="Activity" numFmtId="0">
      <sharedItems/>
    </cacheField>
    <cacheField name="Future-1 Description" numFmtId="0">
      <sharedItems/>
    </cacheField>
    <cacheField name="Future-1" numFmtId="0">
      <sharedItems containsMixedTypes="1" containsNumber="1" containsInteger="1" minValue="847001" maxValue="847030"/>
    </cacheField>
    <cacheField name="Future-2 Description" numFmtId="0">
      <sharedItems/>
    </cacheField>
    <cacheField name="Future-2" numFmtId="0">
      <sharedItems containsSemiMixedTypes="0" containsString="0" containsNumber="1" containsInteger="1" minValue="100178" maxValue="300180"/>
    </cacheField>
    <cacheField name="GL Account Combination" numFmtId="0">
      <sharedItems count="485">
        <s v="847.8470810.1.413328.000000.847001.100180"/>
        <s v="847.8470810.1.420811.000000.847001.200179"/>
        <s v="847.8470810.1.426610.000000.847001.200179"/>
        <s v="847.8470810.1.427810.000000.847001.200179"/>
        <s v="847.8470810.1.427850.000000.847001.200179"/>
        <s v="847.8470810.1.428090.000000.847001.200179"/>
        <s v="847.8470810.1.430250.000000.847001.200179"/>
        <s v="847.8470810.1.432205.000000.847001.200179"/>
        <s v="847.8470810.1.432226.000000.847001.200179"/>
        <s v="847.8470810.1.492310.000000.847001.300180"/>
        <s v="847.8470810.1.492352.000000.847001.300180"/>
        <s v="847.8470810.1.492356.000000.847001.300180"/>
        <s v="847.8470810.1.495113.000000.847001.300180"/>
        <s v="847.8470220.1.420550.000000.847001.200179"/>
        <s v="847.8470220.1.420570.000000.847001.200179"/>
        <s v="847.8470220.1.421700.000000.847001.200179"/>
        <s v="847.8470220.1.425510.000000.847001.200179"/>
        <s v="847.8470220.1.425550.000000.847001.200179"/>
        <s v="847.8470220.1.425740.000000.847001.200179"/>
        <s v="847.8470220.1.425900.000000.847001.200179"/>
        <s v="847.8470220.1.426610.000000.847001.200179"/>
        <s v="847.8470220.1.428090.000000.847001.200179"/>
        <s v="847.8470220.1.428640.000000.847001.200179"/>
        <s v="847.8470220.1.432205.000000.847001.200179"/>
        <s v="847.8470220.1.492316.000000.847001.300180"/>
        <s v="847.8470220.1.436120.000000.847001.200179"/>
        <s v="847.8470305.1.420550.000000.847001.200179"/>
        <s v="847.8470305.1.420570.000000.847001.200179"/>
        <s v="847.8470305.1.421700.000000.847001.200179"/>
        <s v="847.8470305.1.425510.000000.847001.200179"/>
        <s v="847.8470305.1.425763.000000.847001.200179"/>
        <s v="847.8470305.1.425770.000000.847001.200179"/>
        <s v="847.8470305.1.425900.000000.847001.200179"/>
        <s v="847.8470305.1.426610.000000.847001.200179"/>
        <s v="847.8470305.1.428090.000000.847001.200179"/>
        <s v="847.8470305.1.428640.000000.847001.200179"/>
        <s v="847.8470305.1.432209.000000.847001.200179"/>
        <s v="847.8470305.1.435350.000000.847001.200179"/>
        <s v="847.8470305.1.435508.000000.847001.200179"/>
        <s v="847.8470305.1.436600.000000.847001.200179"/>
        <s v="847.8470305.1.425720.000000.847001.200179"/>
        <s v="847.8470310.1.420550.000000.847001.200179"/>
        <s v="847.8470310.1.425510.000000.847001.200179"/>
        <s v="847.8470310.1.425760.000000.847001.200179"/>
        <s v="847.8470310.1.425763.000000.847001.200179"/>
        <s v="847.8470310.1.425770.000000.847001.200179"/>
        <s v="847.8470310.1.425900.000000.847001.200179"/>
        <s v="847.8470310.1.426610.000000.847001.200179"/>
        <s v="847.8470310.1.428090.000000.847001.200179"/>
        <s v="847.8470310.1.432209.000000.847001.200179"/>
        <s v="847.8470310.1.435350.000000.847001.200179"/>
        <s v="847.8470310.1.435508.000000.847001.200179"/>
        <s v="847.8470310.1.436110.000000.847001.200179"/>
        <s v="847.8470310.1.436600.000000.847001.200179"/>
        <s v="847.8470310.1.492316.000000.847001.300180"/>
        <s v="847.8470320.1.420550.000000.847001.200179"/>
        <s v="847.8470320.1.425510.000000.847001.200179"/>
        <s v="847.8470320.1.425760.000000.847001.200179"/>
        <s v="847.8470320.1.425763.000000.847001.200179"/>
        <s v="847.8470320.1.425770.000000.847001.200179"/>
        <s v="847.8470320.1.425900.000000.847001.200179"/>
        <s v="847.8470320.1.426610.000000.847001.200179"/>
        <s v="847.8470320.1.428090.000000.847001.200179"/>
        <s v="847.8470320.1.435350.000000.847001.200179"/>
        <s v="847.8470320.1.435508.000000.847001.200179"/>
        <s v="847.8470320.1.436110.000000.847001.200179"/>
        <s v="847.8470320.1.436600.000000.847001.200179"/>
        <s v="847.8470320.1.492316.000000.847001.300180"/>
        <s v="847.8470320.1.495140.000000.847001.300180"/>
        <s v="847.8470325.1.420550.000000.847001.200179"/>
        <s v="847.8470325.1.425510.000000.847001.200179"/>
        <s v="847.8470325.1.425760.000000.847001.200179"/>
        <s v="847.8470325.1.425763.000000.847001.200179"/>
        <s v="847.8470325.1.425762.000000.847001.200179"/>
        <s v="847.8470325.1.425770.000000.847001.200179"/>
        <s v="847.8470325.1.426610.000000.847001.200179"/>
        <s v="847.8470325.1.428090.000000.847001.200179"/>
        <s v="847.8470325.1.432209.000000.847001.200179"/>
        <s v="847.8470325.1.435350.000000.847001.200179"/>
        <s v="847.8470325.1.435508.000000.847001.200179"/>
        <s v="847.8470325.1.492316.000000.847001.300180"/>
        <s v="847.8470330.1.420550.000000.847001.200179"/>
        <s v="847.8470330.1.425510.000000.847001.200179"/>
        <s v="847.8470330.1.425760.000000.847001.200179"/>
        <s v="847.8470330.1.425763.000000.847001.200179"/>
        <s v="847.8470330.1.425770.000000.847001.200179"/>
        <s v="847.8470330.1.425900.000000.847001.200179"/>
        <s v="847.8470330.1.426610.000000.847001.200179"/>
        <s v="847.8470330.1.428640.000000.847001.200179"/>
        <s v="847.8470330.1.432209.000000.847001.200179"/>
        <s v="847.8470330.1.435350.000000.847001.200179"/>
        <s v="847.8470330.1.435508.000000.847001.200179"/>
        <s v="847.8470330.1.436600.000000.847001.200179"/>
        <s v="847.8470330.1.492316.000000.847001.300180"/>
        <s v="847.8470335.1.420550.000000.847001.200179"/>
        <s v="847.8470335.1.425510.000000.847001.200179"/>
        <s v="847.8470335.1.425760.000000.847001.200179"/>
        <s v="847.8470335.1.425763.000000.847001.200179"/>
        <s v="847.8470335.1.425770.000000.847001.200179"/>
        <s v="847.8470335.1.425900.000000.847001.200179"/>
        <s v="847.8470335.1.426610.000000.847001.200179"/>
        <s v="847.8470335.1.428090.000000.847001.200179"/>
        <s v="847.8470335.1.435350.000000.847001.200179"/>
        <s v="847.8470335.1.435508.000000.847001.200179"/>
        <s v="847.8470335.1.436110.000000.847001.200179"/>
        <s v="847.8470335.1.436600.000000.847001.200179"/>
        <s v="847.8470340.1.420550.000000.847001.200179"/>
        <s v="847.8470340.1.425510.000000.847001.200179"/>
        <s v="847.8470340.1.425720.000000.847001.200179"/>
        <s v="847.8470340.1.425760.000000.847001.200179"/>
        <s v="847.8470340.1.425763.000000.847001.200179"/>
        <s v="847.8470340.1.425770.000000.847001.200179"/>
        <s v="847.8470340.1.426610.000000.847001.200179"/>
        <s v="847.8470340.1.432209.000000.847001.200179"/>
        <s v="847.8470340.1.435350.000000.847001.200179"/>
        <s v="847.8470340.1.435508.000000.847001.200179"/>
        <s v="847.8470340.1.492316.000000.847001.300180"/>
        <s v="847.8470345.1.420550.000000.847001.200179"/>
        <s v="847.8470345.1.425510.000000.847001.200179"/>
        <s v="847.8470345.1.425770.000000.847001.200179"/>
        <s v="847.8470345.1.425760.000000.847001.200179"/>
        <s v="847.8470345.1.425900.000000.847001.200179"/>
        <s v="847.8470345.1.426610.000000.847001.200179"/>
        <s v="847.8470345.1.428090.000000.847001.200179"/>
        <s v="847.8470345.1.435350.000000.847001.200179"/>
        <s v="847.8470345.1.492316.000000.847001.300180"/>
        <s v="847.8470350.1.425510.000000.847001.200179"/>
        <s v="847.8470350.1.425760.000000.847001.200179"/>
        <s v="847.8470350.1.425763.000000.847001.200179"/>
        <s v="847.8470350.1.425770.000000.847001.200179"/>
        <s v="847.8470350.1.425900.000000.847001.200179"/>
        <s v="847.8470350.1.426610.000000.847001.200179"/>
        <s v="847.8470350.1.432209.000000.847001.200179"/>
        <s v="847.8470350.1.435340.000000.847001.200179"/>
        <s v="847.8470350.1.435350.000000.847001.200179"/>
        <s v="847.8470350.1.435508.000000.847001.200179"/>
        <s v="847.8470350.1.436110.000000.847001.200179"/>
        <s v="847.8470350.1.436600.000000.847001.200179"/>
        <s v="847.8470350.1.492316.000000.847001.300180"/>
        <s v="847.8470315.1.420550.000000.847001.200179"/>
        <s v="847.8470315.1.425510.000000.847001.200179"/>
        <s v="847.8470315.1.425760.000000.847001.200179"/>
        <s v="847.8470315.1.425763.000000.847001.200179"/>
        <s v="847.8470315.1.425770.000000.847001.200179"/>
        <s v="847.8470315.1.425900.000000.847001.200179"/>
        <s v="847.8470315.1.426610.000000.847001.200179"/>
        <s v="847.8470315.1.428090.000000.847001.200179"/>
        <s v="847.8470315.1.432209.000000.847001.200179"/>
        <s v="847.8470315.1.435350.000000.847001.200179"/>
        <s v="847.8470315.1.435508.000000.847001.200179"/>
        <s v="847.8470315.1.436110.000000.847001.200179"/>
        <s v="847.8470315.1.436600.000000.847001.200179"/>
        <s v="847.8470315.1.492316.000000.847001.300180"/>
        <s v="847.8471210.1.425900.000000.847001.200179"/>
        <s v="847.8471210.1.428090.000000.847001.200179"/>
        <s v="847.8471210.1.428640.000000.847001.200179"/>
        <s v="847.8471210.1.435530.000000.847001.200179"/>
        <s v="847.8471240.1.425510.000000.847001.200179"/>
        <s v="847.8471240.1.425720.000000.847001.200179"/>
        <s v="847.8471240.1.425750.000000.847001.200179"/>
        <s v="847.8471240.1.425761.000000.847001.200179"/>
        <s v="847.8471240.1.425900.000000.847001.200179"/>
        <s v="847.8471240.1.426610.000000.847001.200179"/>
        <s v="847.8471240.1.428090.000000.847001.200179"/>
        <s v="847.8471240.1.428640.000000.847001.200179"/>
        <s v="847.8471240.1.435330.000000.847001.200179"/>
        <s v="847.8471240.1.436110.000000.847001.200179"/>
        <s v="847.8471240.1.436120.000000.847001.200179"/>
        <s v="847.8471260.1.421100.000000.847001.200179"/>
        <s v="847.8471260.1.425510.000000.847001.200179"/>
        <s v="847.8471260.1.425746.000000.847001.200179"/>
        <s v="847.8471260.1.425760.000000.847001.200179"/>
        <s v="847.8471260.1.425900.000000.847001.200179"/>
        <s v="847.8471260.1.428640.000000.847001.200179"/>
        <s v="847.8471260.1.435530.000000.847001.200179"/>
        <s v="847.8471260.1.436110.000000.847001.200179"/>
        <s v="847.8471220.1.425510.000000.847001.200179"/>
        <s v="847.8471220.1.425741.000000.847001.200179"/>
        <s v="847.8471220.1.426900.000000.847001.200179"/>
        <s v="847.8471220.1.435340.000000.847001.200179"/>
        <s v="847.8471220.1.436110.000000.847001.200179"/>
        <s v="847.8471220.1.436120.000000.847001.200179"/>
        <s v="847.8471270.1.425900.000000.847001.200179"/>
        <s v="847.8471270.1.428090.000000.847001.200179"/>
        <s v="847.8471270.1.435330.000000.847001.200179"/>
        <s v="847.8471270.1.436110.000000.847001.200179"/>
        <s v="847.8471270.1.435310.000000.847001.200179"/>
        <s v="847.8471230.1.425742.000000.847001.200179"/>
        <s v="847.8471230.1.426610.000000.847001.200179"/>
        <s v="847.8471280.1.425100.000000.847001.200179"/>
        <s v="847.8471280.1.425510.000000.847001.200179"/>
        <s v="847.8471280.1.425550.000000.847001.200179"/>
        <s v="847.8471280.1.425710.000000.847001.200179"/>
        <s v="847.8471280.1.425760.000000.847001.200179"/>
        <s v="847.8471280.1.425770.000000.847001.200179"/>
        <s v="847.8471280.1.426610.000000.847001.200179"/>
        <s v="847.8471280.1.428640.000000.847001.200179"/>
        <s v="847.8471280.1.432170.000000.847001.200179"/>
        <s v="847.8471280.1.435340.000000.847001.200179"/>
        <s v="847.8471280.1.435530.000000.847001.200179"/>
        <s v="847.8471280.1.492316.000000.847001.300180"/>
        <s v="847.8471280.1.428090.000000.847001.200179"/>
        <s v="847.8471250.1.425510.000000.847001.200179"/>
        <s v="847.8471250.1.425720.000000.847001.200179"/>
        <s v="847.8471250.1.425762.000000.847001.200179"/>
        <s v="847.8471250.1.425900.000000.847001.200179"/>
        <s v="847.8471250.1.426610.000000.847001.200179"/>
        <s v="847.8471250.1.428090.000000.847001.200179"/>
        <s v="847.8471250.1.428640.000000.847001.200179"/>
        <s v="847.8471250.1.436110.000000.847001.200179"/>
        <s v="847.8471010.1.425100.000000.847001.200179"/>
        <s v="847.8471010.1.425510.000000.847001.200179"/>
        <s v="847.8471010.1.425720.000000.847001.200179"/>
        <s v="847.8471010.1.425900.000000.847001.200179"/>
        <s v="847.8471010.1.436110.000000.847001.200179"/>
        <s v="847.8471010.1.436120.000000.847001.200179"/>
        <s v="847.8470230.1.420550.000000.847001.200179"/>
        <s v="847.8470230.1.425100.000000.847001.200179"/>
        <s v="847.8470230.1.425510.000000.847001.200179"/>
        <s v="847.8470230.1.425550.000000.847001.200179"/>
        <s v="847.8470230.1.425743.000000.847001.200179"/>
        <s v="847.8470230.1.425744.000000.847001.200179"/>
        <s v="847.8470230.1.425745.000000.847001.200179"/>
        <s v="847.8470230.1.425749.000000.847001.200179"/>
        <s v="847.8470230.1.425761.000000.847001.200179"/>
        <s v="847.8470230.1.425762.000000.847001.200179"/>
        <s v="847.8470230.1.425900.000000.847001.200179"/>
        <s v="847.8470230.1.426610.000000.847001.200179"/>
        <s v="847.8470230.1.428090.000000.847001.200179"/>
        <s v="847.8470230.1.428640.000000.847001.200179"/>
        <s v="847.8470230.1.436110.000000.847001.200179"/>
        <s v="847.8470230.1.492310.000000.847001.300180"/>
        <s v="847.8471305.1.420570.000000.847001.200179"/>
        <s v="847.8471305.1.420811.000000.847001.200179"/>
        <s v="847.8471305.1.421000.000000.847001.200179"/>
        <s v="847.8471305.1.421700.000000.847001.200179"/>
        <s v="847.8471305.1.422100.000000.847001.200179"/>
        <s v="847.8471305.1.425510.000000.847001.200179"/>
        <s v="847.8471305.1.425550.000000.847001.200179"/>
        <s v="847.8471305.1.425720.000000.847001.200179"/>
        <s v="847.8471305.1.425742.000000.847001.200179"/>
        <s v="847.8471305.1.425745.000000.847001.200179"/>
        <s v="847.8471305.1.425746.000000.847001.200179"/>
        <s v="847.8471305.1.425749.000000.847001.200179"/>
        <s v="847.8471305.1.425750.000000.847001.200179"/>
        <s v="847.8471305.1.425762.000000.847001.200179"/>
        <s v="847.8471305.1.425763.000000.847001.200179"/>
        <s v="847.8471305.1.425900.000000.847001.200179"/>
        <s v="847.8471305.1.426100.000000.847001.200179"/>
        <s v="847.8471305.1.426610.000000.847001.200179"/>
        <s v="847.8471305.1.426900.000000.847001.200179"/>
        <s v="847.8471305.1.427200.000000.847001.200179"/>
        <s v="847.8471305.1.427710.000000.847001.200179"/>
        <s v="847.8471305.1.427810.000000.847001.200179"/>
        <s v="847.8471305.1.428090.000000.847001.200179"/>
        <s v="847.8471305.1.428640.000000.847001.200179"/>
        <s v="847.8471305.1.432205.000000.847001.200179"/>
        <s v="847.8471305.1.432209.000000.847001.200179"/>
        <s v="847.8471305.1.432210.000000.847001.200179"/>
        <s v="847.8471305.1.435330.000000.847001.200179"/>
        <s v="847.8471305.1.435340.000000.847001.200179"/>
        <s v="847.8471305.1.435350.000000.847001.200179"/>
        <s v="847.8471305.1.435508.000000.847001.200179"/>
        <s v="847.8471305.1.435530.000000.847001.200179"/>
        <s v="847.8471305.1.436120.000000.847001.200179"/>
        <s v="847.8471305.1.422900.000000.847001.200179"/>
        <s v="847.8471305.1.436110.000000.847001.200179"/>
        <s v="847.8471305.1.425100.000000.847001.200179"/>
        <s v="847.8470620.1.420130.000000.847001.200179"/>
        <s v="847.8470620.1.422900.000000.847001.200179"/>
        <s v="847.8470620.1.425300.000000.847001.200179"/>
        <s v="847.8470620.1.425350.000000.847001.200179"/>
        <s v="847.8470620.1.426610.000000.847001.200179"/>
        <s v="847.8470620.1.436120.000000.847001.200179"/>
        <s v="847.8470620.1.425900.000000.847001.200179"/>
        <s v="847.8470630.1.425100.000000.847001.200179"/>
        <s v="847.8470630.1.425550.000000.847001.200179"/>
        <s v="847.8470630.1.427200.000000.847001.200179"/>
        <s v="847.8470630.1.436600.000000.847001.200179"/>
        <s v="847.8470730.1.426610.000000.847001.200179"/>
        <s v="847.8470730.1.427900.000000.847001.200179"/>
        <s v="847.8470730.1.428640.000000.847001.200179"/>
        <s v="847.8470730.1.436110.000000.847001.200179"/>
        <s v="847.8471110.1.425900.000000.847001.200179"/>
        <s v="847.8471110.1.427710.000000.847001.200179"/>
        <s v="847.8471110.1.428090.000000.847001.200179"/>
        <s v="847.8471130.1.420811.000000.847001.200179"/>
        <s v="847.8471130.1.426610.000000.847001.200179"/>
        <s v="847.8471130.1.427900.000000.847001.200179"/>
        <s v="847.8471130.1.428090.000000.847001.200179"/>
        <s v="847.8471130.1.435523.000000.847001.200179"/>
        <s v="847.8471140.1.420570.000000.847001.200179"/>
        <s v="847.8471140.1.428090.000000.847001.200179"/>
        <s v="847.8471140.1.435523.000000.847001.200179"/>
        <s v="847.8471150.1.420900.000000.847001.200179"/>
        <s v="847.8471150.1.425510.000000.847001.200179"/>
        <s v="847.8471150.1.425550.000000.847001.200179"/>
        <s v="847.8471150.1.426610.000000.847001.200179"/>
        <s v="847.8471150.1.428090.000000.847001.200179"/>
        <s v="847.8471150.1.435310.000000.847001.200179"/>
        <s v="847.8471170.1.420811.000000.847001.200179"/>
        <s v="847.8471170.1.425900.000000.847001.200179"/>
        <s v="847.8471170.1.426610.000000.847001.200179"/>
        <s v="847.8471170.1.428090.000000.847001.200179"/>
        <s v="847.8471170.1.495110.000000.847001.300180"/>
        <s v="847.8470405.1.420550.000000.847001.200179"/>
        <s v="847.8470405.1.421700.000000.847001.200179"/>
        <s v="847.8470405.1.425510.000000.847001.200179"/>
        <s v="847.8470405.1.425550.000000.847001.200179"/>
        <s v="847.8470405.1.425770.000000.847001.200179"/>
        <s v="847.8470405.1.427710.000000.847001.200179"/>
        <s v="847.8470405.1.435508.000000.847001.200179"/>
        <s v="847.8470405.1.435350.000000.847001.200179"/>
        <s v="847.8470410.1.425761.000000.847001.200179"/>
        <s v="847.8470410.1.425770.000000.847001.200179"/>
        <s v="847.8470410.1.426610.000000.847001.200179"/>
        <s v="847.8470410.1.435310.000000.847001.200179"/>
        <s v="847.8470410.1.435350.000000.847001.200179"/>
        <s v="847.8470415.1.425100.000000.847001.200179"/>
        <s v="847.8470415.1.425760.000000.847001.200179"/>
        <s v="847.8470415.1.425763.000000.847001.200179"/>
        <s v="847.8470415.1.425770.000000.847001.200179"/>
        <s v="847.8470415.1.425900.000000.847001.200179"/>
        <s v="847.8470415.1.426610.000000.847001.200179"/>
        <s v="847.8470415.1.428640.000000.847001.200179"/>
        <s v="847.8470415.1.428090.000000.847001.200179"/>
        <s v="847.8470415.1.432209.000000.847001.200179"/>
        <s v="847.8470415.1.435350.000000.847001.200179"/>
        <s v="847.8470415.1.435508.000000.847001.200179"/>
        <s v="847.8470415.1.427200.000000.847001.200179"/>
        <s v="847.8470415.1.492316.000000.847001.300180"/>
        <s v="847.8470425.1.425510.000000.847001.200179"/>
        <s v="847.8470425.1.425550.000000.847001.200179"/>
        <s v="847.8470425.1.425770.000000.847001.200179"/>
        <s v="847.8470425.1.425900.000000.847001.200179"/>
        <s v="847.8470425.1.426610.000000.847001.200179"/>
        <s v="847.8470425.1.428090.000000.847001.200179"/>
        <s v="847.8470425.1.435350.000000.847001.200179"/>
        <s v="847.8470425.1.435508.000000.847001.200179"/>
        <s v="847.8470425.1.492310.000000.847001.300180"/>
        <s v="847.8470425.1.492316.000000.847001.300180"/>
        <s v="847.8470430.1.425761.000000.847001.200179"/>
        <s v="847.8470430.1.425770.000000.847001.200179"/>
        <s v="847.8470430.1.425900.000000.847001.200179"/>
        <s v="847.8470430.1.426610.000000.847001.200179"/>
        <s v="847.8470430.1.432209.000000.847001.200179"/>
        <s v="847.8470430.1.435508.000000.847001.200179"/>
        <s v="847.8470440.1.420550.000000.847001.200179"/>
        <s v="847.8470440.1.420570.000000.847001.200179"/>
        <s v="847.8470440.1.421700.000000.847001.200179"/>
        <s v="847.8470440.1.425100.000000.847001.200179"/>
        <s v="847.8470440.1.425510.000000.847001.200179"/>
        <s v="847.8470440.1.425550.000000.847001.200179"/>
        <s v="847.8470440.1.425761.000000.847001.200179"/>
        <s v="847.8470440.1.425770.000000.847001.200179"/>
        <s v="847.8470440.1.426610.000000.847001.200179"/>
        <s v="847.8470440.1.427710.000000.847001.200179"/>
        <s v="847.8470440.1.428090.000000.847001.200179"/>
        <s v="847.8470440.1.428640.000000.847001.200179"/>
        <s v="847.8470440.1.435340.000000.847001.200179"/>
        <s v="847.8470440.1.435350.000000.847001.200179"/>
        <s v="847.8470440.1.436600.000000.847001.200179"/>
        <s v="847.8470445.1.425100.000000.847001.200179"/>
        <s v="847.8470445.1.425720.000000.847001.200179"/>
        <s v="847.8470445.1.425760.000000.847001.200179"/>
        <s v="847.8470445.1.425763.000000.847001.200179"/>
        <s v="847.8470445.1.425770.000000.847001.200179"/>
        <s v="847.8470445.1.426610.000000.847001.200179"/>
        <s v="847.8470445.1.435350.000000.847001.200179"/>
        <s v="847.8470445.1.427710.000000.847001.200179"/>
        <s v="847.8470445.1.425900.000000.847001.200179"/>
        <s v="847.8470445.1.420550.000000.847001.200179"/>
        <s v="847.8470445.1.435508.000000.847001.200179"/>
        <s v="847.8470450.1.425761.000000.847001.200179"/>
        <s v="847.8470450.1.425770.000000.847001.200179"/>
        <s v="847.8470450.1.426610.000000.847001.200179"/>
        <s v="847.8470450.1.435508.000000.847001.200179"/>
        <s v="847.8470450.1.435350.000000.847001.200179"/>
        <s v="847.8470450.1.492310.000000.847001.300180"/>
        <s v="847.8470455.1.425760.000000.847001.200179"/>
        <s v="847.8470455.1.425770.000000.847001.200179"/>
        <s v="847.8470455.1.425900.000000.847001.200179"/>
        <s v="847.8470455.1.426610.000000.847001.200179"/>
        <s v="847.8470455.1.428090.000000.847001.200179"/>
        <s v="847.8470455.1.428640.000000.847001.200179"/>
        <s v="847.8470455.1.432209.000000.847001.200179"/>
        <s v="847.8470455.1.435350.000000.847001.200179"/>
        <s v="847.8470455.1.435508.000000.847001.200179"/>
        <s v="847.8470455.1.436110.000000.847001.200179"/>
        <s v="847.8470455.1.492316.000000.847001.300180"/>
        <s v="847.8470130.1.421000.000000.847001.200179"/>
        <s v="847.8470130.1.426610.000000.847001.200179"/>
        <s v="847.8470130.1.428090.000000.847001.200179"/>
        <s v="847.8470140.1.425100.000000.847001.200179"/>
        <s v="847.8470140.1.425510.000000.847001.200179"/>
        <s v="847.8470140.1.425550.000000.847001.200179"/>
        <s v="847.8470140.1.425763.000000.847001.200179"/>
        <s v="847.8470140.1.427100.000000.847001.200179"/>
        <s v="847.8470140.1.427200.000000.847001.200179"/>
        <s v="847.8470140.1.428640.000000.847001.200179"/>
        <s v="847.8470140.1.435310.000000.847001.200179"/>
        <s v="847.8470140.1.435519.000000.847001.200179"/>
        <s v="847.8470140.1.492310.000000.847001.300180"/>
        <s v="847.8470910.1.425900.000000.847001.200179"/>
        <s v="847.8470910.1.428090.000000.847001.200179"/>
        <s v="847.8470910.1.429900.000000.847001.200179"/>
        <s v="847.8470910.1.420570.000000.847001.200179"/>
        <s v="847.8470510.1.425510.000000.847001.200179"/>
        <s v="847.8470510.1.425900.000000.847001.200179"/>
        <s v="847.8470510.1.428090.000000.847001.200179"/>
        <s v="847.8470520.1.425510.000000.847001.200179"/>
        <s v="847.8470520.1.426100.000000.847001.200179"/>
        <s v="847.8470520.1.427710.000000.847001.200179"/>
        <s v="847.8470520.1.428200.000000.847001.200179"/>
        <s v="847.8470530.1.420310.000000.847010.200179"/>
        <s v="847.8470530.1.420310.000000.847015.200179"/>
        <s v="847.8470530.1.420310.000000.847020.200179"/>
        <s v="847.8470530.1.429900.000000.847010.200179"/>
        <s v="847.8470530.1.421000.000000.847010.200179"/>
        <s v="847.8470530.1.421100.000000.847010.200179"/>
        <s v="847.8470530.1.430110.000000.847010.200179"/>
        <s v="847.8470530.1.430120.000000.847030.200179"/>
        <s v="847.8470530.1.430120.000000.847020.200179"/>
        <s v="847.8470530.1.421600.000000.847010.200179"/>
        <s v="847.8470530.1.421600.000000.847015.200179"/>
        <s v="847.8470530.1.421600.000000.847020.200179"/>
        <s v="847.8470530.1.421600.000000.847030.200179"/>
        <s v="847.8470530.1.421700.000000.847010.200179"/>
        <s v="847.8470530.1.425510.000000.847010.200179"/>
        <s v="847.8470530.1.425900.000000.847010.200179"/>
        <s v="847.8470530.1.426220.000000.847010.200179"/>
        <s v="847.8470530.1.426220.000000.847030.200179"/>
        <s v="847.8470530.1.426250.000000.847010.200179"/>
        <s v="847.8470530.1.428090.000000.847001.200179"/>
        <s v="847.8470530.1.432120.000000.847010.200179"/>
        <s v="847.8470530.1.432120.000000.847015.200179"/>
        <s v="847.8470530.1.432120.000000.847020.200179"/>
        <s v="847.8470530.1.432120.000000.847030.200179"/>
        <s v="847.8470530.1.432170.000000.847010.200179"/>
        <s v="847.8470530.1.432320.000000.847010.200179"/>
        <s v="847.8470530.1.492200.000000.847001.300180"/>
        <s v="847.8470530.1.492200.000000.847010.300180"/>
        <s v="847.8470530.1.492610.000000.847020.300180"/>
        <s v="847.8470530.1.495110.000000.847001.300180"/>
        <s v="847.8470540.1.421100.000000.847010.100178"/>
        <s v="847.8470540.1.413310.000000.847010.100178"/>
        <s v="847.8470540.1.422900.000000.847010.200179"/>
        <s v="847.8470540.1.426800.000000.847010.200179"/>
        <s v="847.8470540.1.426900.000000.847010.200179"/>
        <s v="847.8470540.1.428111.000000.847010.200179"/>
        <s v="847.8470540.1.428111.000000.847015.200179"/>
        <s v="847.8470540.1.428111.000000.847020.200179"/>
        <s v="847.8470540.1.428111.000000.847030.200179"/>
        <s v="847.8470540.1.428112.000000.847010.200179"/>
        <s v="847.8470540.1.428112.000000.847015.200179"/>
        <s v="847.8470540.1.428112.000000.847020.200179"/>
        <s v="847.8470540.1.428112.000000.847030.200179"/>
        <s v="847.8470540.1.429900.000000.847010.200179"/>
        <s v="847.8470540.1.430330.000000.847010.200179"/>
        <s v="847.8470540.1.432540.000000.847010.200179"/>
        <s v="847.8470540.1.435410.000000.847020.200179"/>
        <s v="847.8470540.1.435740.000000.847010.200179"/>
        <s v="847.8470540.1.426250.000000.847010.200179"/>
        <s v="847.8470540.1.436110.000000.847010.200179"/>
        <s v="847.8470110.1.420550.000000.847001.200179"/>
        <s v="847.8470110.1.420570.000000.847001.200179"/>
        <s v="847.8470110.1.421000.000000.847001.200179"/>
        <s v="847.8470110.1.425510.000000.847001.200179"/>
        <s v="847.8470110.1.425550.000000.847001.200179"/>
        <s v="847.8470110.1.425900.000000.847001.200179"/>
        <s v="847.8470110.1.428090.000000.847001.200179"/>
        <s v="847.8470110.1.428400.000000.847001.200179"/>
        <s v="847.8470110.1.428640.000000.847001.200179"/>
        <s v="847.8470120.1.420120.000000.847001.200179"/>
        <s v="847.8470120.1.426610.000000.847001.200179"/>
        <s v="847.8470121.1.421000.000000.847001.200179"/>
        <s v="847.8470121.1.425900.000000.847001.200179"/>
        <s v="847.8470121.1.421700.000000.847001.200179"/>
        <s v="847.8470121.1.426610.000000.847001.200179"/>
        <s v="847.8470150.1.420900.000000.847001.200179"/>
        <s v="847.8470150.1.427710.000000.847001.200179"/>
        <s v="847.8470160.1.425550.000000.847001.200179"/>
        <s v="847.8470160.1.428640.000000.847001.200179"/>
        <s v="847.8470160.1.428090.000000.847001.200179"/>
        <s v="847.8470160.1.425900.000000.847001.200179"/>
      </sharedItems>
    </cacheField>
    <cacheField name="Budget Driver " numFmtId="0">
      <sharedItems containsBlank="1"/>
    </cacheField>
    <cacheField name="Measruing unit" numFmtId="0">
      <sharedItems containsBlank="1" containsMixedTypes="1" containsNumber="1" containsInteger="1" minValue="1" maxValue="15"/>
    </cacheField>
    <cacheField name="Quantity of measruing units" numFmtId="0">
      <sharedItems containsString="0" containsBlank="1" containsNumber="1" containsInteger="1" minValue="1" maxValue="120000"/>
    </cacheField>
    <cacheField name="Rate (expected)" numFmtId="0">
      <sharedItems containsString="0" containsBlank="1" containsNumber="1" minValue="0" maxValue="98251562.5"/>
    </cacheField>
    <cacheField name="Itemised  Details/Calculation method" numFmtId="0">
      <sharedItems containsBlank="1" longText="1"/>
    </cacheField>
    <cacheField name="2025 Budget " numFmtId="0">
      <sharedItems containsString="0" containsBlank="1" containsNumber="1" minValue="0" maxValue="274120000"/>
    </cacheField>
    <cacheField name="Budget Activity Type" numFmtId="0">
      <sharedItems containsBlank="1"/>
    </cacheField>
    <cacheField name="Expenditure Frequency" numFmtId="0">
      <sharedItems containsBlank="1"/>
    </cacheField>
    <cacheField name="KU Strategy"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Mushtaq Mohammed Sheriff" refreshedDate="44745.479157986112" createdVersion="6" refreshedVersion="6" minRefreshableVersion="3" recordCount="904">
  <cacheSource type="worksheet">
    <worksheetSource ref="A1:AU905" sheet="2023 Detail B-01"/>
  </cacheSource>
  <cacheFields count="47">
    <cacheField name="Account Group" numFmtId="0">
      <sharedItems containsBlank="1" containsMixedTypes="1" containsNumber="1" containsInteger="1" minValue="0" maxValue="0"/>
    </cacheField>
    <cacheField name="Content Expert" numFmtId="0">
      <sharedItems containsBlank="1"/>
    </cacheField>
    <cacheField name="Cost Center Code - Group" numFmtId="0">
      <sharedItems containsBlank="1"/>
    </cacheField>
    <cacheField name="Entity" numFmtId="0">
      <sharedItems containsString="0" containsBlank="1" containsNumber="1" containsInteger="1" minValue="847" maxValue="847"/>
    </cacheField>
    <cacheField name="Cost Center Code" numFmtId="0">
      <sharedItems containsString="0" containsBlank="1" containsNumber="1" containsInteger="1" minValue="8470110" maxValue="8471305"/>
    </cacheField>
    <cacheField name="Cost Center Description" numFmtId="0">
      <sharedItems containsBlank="1"/>
    </cacheField>
    <cacheField name="BG" numFmtId="0">
      <sharedItems containsString="0" containsBlank="1" containsNumber="1" containsInteger="1" minValue="1" maxValue="1"/>
    </cacheField>
    <cacheField name="Account Code" numFmtId="0">
      <sharedItems containsString="0" containsBlank="1" containsNumber="1" containsInteger="1" minValue="413310" maxValue="495140"/>
    </cacheField>
    <cacheField name="Account Code and Description" numFmtId="0">
      <sharedItems containsBlank="1"/>
    </cacheField>
    <cacheField name="Activity" numFmtId="0">
      <sharedItems containsBlank="1"/>
    </cacheField>
    <cacheField name="Future-1 Description" numFmtId="0">
      <sharedItems containsBlank="1" containsMixedTypes="1" containsNumber="1" containsInteger="1" minValue="0" maxValue="0"/>
    </cacheField>
    <cacheField name="Future-1" numFmtId="0">
      <sharedItems containsBlank="1" containsMixedTypes="1" containsNumber="1" containsInteger="1" minValue="847001" maxValue="847951"/>
    </cacheField>
    <cacheField name="Future-2 Description" numFmtId="0">
      <sharedItems containsBlank="1"/>
    </cacheField>
    <cacheField name="Future-2" numFmtId="0">
      <sharedItems containsString="0" containsBlank="1" containsNumber="1" containsInteger="1" minValue="100178" maxValue="300180"/>
    </cacheField>
    <cacheField name="GL Account Combination" numFmtId="0">
      <sharedItems containsBlank="1" count="559">
        <s v="847.8470810.1.413328.000000.847001.100178"/>
        <s v="847.8470810.1.420810.000000.847001.200179"/>
        <s v="847.8470810.1.420811.000000.847001.200179"/>
        <s v="847.8470810.1.421100.000000.847001.200179"/>
        <s v="847.8470810.1.426610.000000.847001.200179"/>
        <s v="847.8470810.1.427810.000000.847001.200179"/>
        <s v="847.8470810.1.427850.000000.847001.200179"/>
        <s v="847.8470810.1.428090.000000.847001.200179"/>
        <s v="847.8470810.1.430230.000000.847001.200179"/>
        <s v="847.8470810.1.430250.000000.847001.200179"/>
        <s v="847.8470810.1.432205.000000.847001.200179"/>
        <s v="847.8470810.1.432226.000000.847001.200179"/>
        <s v="847.8470810.1.436110.000000.847001.200179"/>
        <s v="847.8470810.1.492310.000000.847001.300180"/>
        <s v="847.8470810.1.492352.000000.847001.300180"/>
        <s v="847.8470810.1.492354.000000.847001.300180"/>
        <s v="847.8470810.1.492356.000000.847001.300180"/>
        <s v="847.8470810.1.495110.000000.847001.300180"/>
        <s v="847.8470810.1.495113.000000.847001.300180"/>
        <s v="847.8470810.1.492316.000000.847001.300180"/>
        <s v="847.8470220.1.420550.000000.847001.200179"/>
        <s v="847.8470220.1.420570.000000.847001.200179"/>
        <s v="847.8470220.1.421700.000000.847001.200179"/>
        <s v="847.8470220.1.425510.000000.847001.200179"/>
        <s v="847.8470220.1.425550.000000.847001.200179"/>
        <s v="847.8470220.1.425740.000000.847001.200179"/>
        <s v="847.8470220.1.425900.000000.847001.200179"/>
        <s v="847.8470220.1.426610.000000.847001.200179"/>
        <s v="847.8470220.1.428090.000000.847001.200179"/>
        <s v="847.8470220.1.428640.000000.847001.200179"/>
        <s v="847.8470220.1.432205.000000.847001.200179"/>
        <s v="847.8470220.1.492316.000000.847001.300180"/>
        <s v="847.8470220.1.436120.000000.847001.200179"/>
        <s v="847.8470310.1.420550.000000.847001.200179"/>
        <s v="847.8470310.1.425510.000000.847001.200179"/>
        <s v="847.8470310.1.425760.000000.847001.200179"/>
        <s v="847.8470310.1.425763.000000.847001.200179"/>
        <s v="847.8470310.1.425770.000000.847001.200179"/>
        <s v="847.8470310.1.425900.000000.847001.200179"/>
        <s v="847.8470310.1.426610.000000.847001.200179"/>
        <s v="847.8470310.1.428090.000000.847001.200179"/>
        <s v="847.8470310.1.432209.000000.847001.200179"/>
        <s v="847.8470310.1.435350.000000.847001.200179"/>
        <s v="847.8470310.1.435508.000000.847001.200179"/>
        <s v="847.8470310.1.436110.000000.847001.200179"/>
        <s v="847.8470310.1.436600.000000.847001.200179"/>
        <s v="847.8470310.1.492316.000000.847001.300180"/>
        <s v="847.8470315.1.420550.000000.847001.200179"/>
        <s v="847.8470315.1.425510.000000.847001.200179"/>
        <s v="847.8470315.1.425760.000000.847001.200179"/>
        <s v="847.8470315.1.425763.000000.847001.200179"/>
        <s v="847.8470315.1.425770.000000.847001.200179"/>
        <s v="847.8470315.1.425900.000000.847001.200179"/>
        <s v="847.8470315.1.426610.000000.847001.200179"/>
        <s v="847.8470315.1.428090.000000.847001.200179"/>
        <s v="847.8470315.1.432209.000000.847001.200179"/>
        <s v="847.8470315.1.435350.000000.847001.200179"/>
        <s v="847.8470315.1.435508.000000.847001.200179"/>
        <s v="847.8470315.1.436110.000000.847001.200179"/>
        <s v="847.8470315.1.436600.000000.847001.200179"/>
        <s v="847.8470315.1.492316.000000.847001.300180"/>
        <s v="847.8470320.1.420550.000000.847001.200179"/>
        <s v="847.8470320.1.425510.000000.847001.200179"/>
        <s v="847.8470320.1.425760.000000.847001.200179"/>
        <s v="847.8470320.1.425763.000000.847001.200179"/>
        <s v="847.8470320.1.425770.000000.847001.200179"/>
        <s v="847.8470320.1.425900.000000.847001.200179"/>
        <s v="847.8470320.1.426610.000000.847001.200179"/>
        <s v="847.8470320.1.428090.000000.847001.200179"/>
        <s v="847.8470320.1.435350.000000.847001.200179"/>
        <s v="847.8470320.1.435508.000000.847001.200179"/>
        <s v="847.8470320.1.436110.000000.847001.200179"/>
        <s v="847.8470320.1.436600.000000.847001.200179"/>
        <s v="847.8470320.1.492316.000000.847001.300180"/>
        <s v="847.8470320.1.495140.000000.847001.300180"/>
        <s v="847.8470325.1.420550.000000.847001.200179"/>
        <s v="847.8470325.1.425510.000000.847001.200179"/>
        <s v="847.8470325.1.425760.000000.847001.200179"/>
        <s v="847.8470325.1.425763.000000.847001.200179"/>
        <s v="847.8470325.1.425762.000000.847001.200179"/>
        <s v="847.8470325.1.425770.000000.847001.200179"/>
        <s v="847.8470325.1.426610.000000.847001.200179"/>
        <s v="847.8470325.1.428090.000000.847001.200179"/>
        <s v="847.8470325.1.432209.000000.847001.200179"/>
        <s v="847.8470325.1.435350.000000.847001.200179"/>
        <s v="847.8470325.1.435508.000000.847001.200179"/>
        <s v="847.8470325.1.492316.000000.847001.300180"/>
        <s v="847.8470305.1.420550.000000.847001.200179"/>
        <s v="847.8470305.1.420570.000000.847001.200179"/>
        <s v="847.8470305.1.421700.000000.847001.200179"/>
        <s v="847.8470305.1.425510.000000.847001.200179"/>
        <s v="847.8470305.1.425720.000000.847001.200179"/>
        <s v="847.8470305.1.425763.000000.847001.200179"/>
        <s v="847.8470305.1.425770.000000.847001.200179"/>
        <s v="847.8470305.1.425900.000000.847001.200179"/>
        <s v="847.8470305.1.426610.000000.847001.200179"/>
        <s v="847.8470305.1.428090.000000.847001.200179"/>
        <s v="847.8470305.1.428640.000000.847001.200179"/>
        <s v="847.8470305.1.432209.000000.847001.200179"/>
        <s v="847.8470305.1.432690.000000.847001.200179"/>
        <s v="847.8470305.1.435340.000000.847001.200179"/>
        <s v="847.8470305.1.435350.000000.847001.200179"/>
        <s v="847.8470305.1.435508.000000.847001.200179"/>
        <s v="847.8470305.1.436600.000000.847001.200179"/>
        <s v="847.8470330.1.420550.000000.847001.200179"/>
        <s v="847.8470330.1.425510.000000.847001.200179"/>
        <s v="847.8470330.1.425760.000000.847001.200179"/>
        <s v="847.8470330.1.425763.000000.847001.200179"/>
        <s v="847.8470330.1.425770.000000.847001.200179"/>
        <s v="847.8470330.1.425900.000000.847001.200179"/>
        <s v="847.8470330.1.426610.000000.847001.200179"/>
        <s v="847.8470330.1.428640.000000.847001.200179"/>
        <s v="847.8470330.1.432209.000000.847001.200179"/>
        <s v="847.8470330.1.435350.000000.847001.200179"/>
        <s v="847.8470330.1.435508.000000.847001.200179"/>
        <s v="847.8470330.1.436600.000000.847001.200179"/>
        <s v="847.8470330.1.492316.000000.847001.300180"/>
        <s v="847.8470335.1.420550.000000.847001.200179"/>
        <s v="847.8470335.1.425510.000000.847001.200179"/>
        <s v="847.8470335.1.425760.000000.847001.200179"/>
        <s v="847.8470335.1.425763.000000.847001.200179"/>
        <s v="847.8470335.1.425770.000000.847001.200179"/>
        <s v="847.8470335.1.425900.000000.847001.200179"/>
        <s v="847.8470335.1.426610.000000.847001.200179"/>
        <s v="847.8470335.1.428090.000000.847001.200179"/>
        <s v="847.8470335.1.435350.000000.847001.200179"/>
        <s v="847.8470335.1.435508.000000.847001.200179"/>
        <s v="847.8470335.1.436110.000000.847001.200179"/>
        <s v="847.8470335.1.436600.000000.847001.200179"/>
        <s v="847.8470335.1.492316.000000.847001.300180"/>
        <s v="847.8470340.1.420550.000000.847001.200179"/>
        <s v="847.8470340.1.425510.000000.847001.200179"/>
        <s v="847.8470340.1.425720.000000.847001.200179"/>
        <s v="847.8470340.1.425760.000000.847001.200179"/>
        <s v="847.8470340.1.425763.000000.847001.200179"/>
        <s v="847.8470340.1.425770.000000.847001.200179"/>
        <s v="847.8470340.1.425900.000000.847001.200179"/>
        <s v="847.8470340.1.426610.000000.847001.200179"/>
        <s v="847.8470340.1.432209.000000.847001.200179"/>
        <s v="847.8470340.1.435350.000000.847001.200179"/>
        <s v="847.8470340.1.435508.000000.847001.200179"/>
        <s v="847.8470340.1.492316.000000.847001.300180"/>
        <s v="847.8470345.1.420550.000000.847001.200179"/>
        <s v="847.8470345.1.425510.000000.847001.200179"/>
        <s v="847.8470345.1.425760.000000.847001.200179"/>
        <s v="847.8470345.1.425770.000000.847001.200179"/>
        <s v="847.8470345.1.425900.000000.847001.200179"/>
        <s v="847.8470345.1.426610.000000.847001.200179"/>
        <s v="847.8470345.1.428090.000000.847001.200179"/>
        <s v="847.8470345.1.435350.000000.847001.200179"/>
        <s v="847.8470345.1.435508.000000.847001.200179"/>
        <s v="847.8470345.1.436110.000000.847001.200179"/>
        <s v="847.8470345.1.436600.000000.847001.200179"/>
        <s v="847.8470345.1.492316.000000.847001.300180"/>
        <s v="847.8470350.1.425510.000000.847001.200179"/>
        <s v="847.8470350.1.425760.000000.847001.200179"/>
        <s v="847.8470350.1.425763.000000.847001.200179"/>
        <s v="847.8470350.1.425770.000000.847001.200179"/>
        <s v="847.8470350.1.425900.000000.847001.200179"/>
        <s v="847.8470350.1.426610.000000.847001.200179"/>
        <s v="847.8470350.1.432209.000000.847001.200179"/>
        <s v="847.8470350.1.435340.000000.847001.200179"/>
        <s v="847.8470350.1.435350.000000.847001.200179"/>
        <s v="847.8470350.1.435508.000000.847001.200179"/>
        <s v="847.8470350.1.436110.000000.847001.200179"/>
        <s v="847.8470350.1.436600.000000.847001.200179"/>
        <s v="847.8470350.1.492316.000000.847001.300180"/>
        <s v="847.8470350.1.495110.000000.847001.300180"/>
        <s v="847.8471305.1.420570.000000.847001.200179"/>
        <s v="847.8471305.1.420811.000000.847001.200179"/>
        <s v="847.8471305.1.421000.000000.847001.200179"/>
        <s v="847.8471305.1.421700.000000.847001.200179"/>
        <s v="847.8471305.1.422100.000000.847001.200179"/>
        <s v="847.8471305.1.425510.000000.847001.200179"/>
        <s v="847.8471305.1.425550.000000.847001.200179"/>
        <s v="847.8471305.1.425720.000000.847001.200179"/>
        <s v="847.8471305.1.425742.000000.847001.200179"/>
        <s v="847.8471305.1.425745.000000.847001.200179"/>
        <s v="847.8471305.1.425746.000000.847001.200179"/>
        <s v="847.8471305.1.425749.000000.847001.200179"/>
        <s v="847.8471305.1.425750.000000.847001.200179"/>
        <s v="847.8471305.1.425762.000000.847001.200179"/>
        <s v="847.8471305.1.425763.000000.847001.200179"/>
        <s v="847.8471305.1.425900.000000.847001.200179"/>
        <s v="847.8471305.1.426100.000000.847001.200179"/>
        <s v="847.8471305.1.426610.000000.847001.200179"/>
        <s v="847.8471305.1.426900.000000.847001.200179"/>
        <s v="847.8471305.1.427200.000000.847001.200179"/>
        <s v="847.8471305.1.427710.000000.847001.200179"/>
        <s v="847.8471305.1.428090.000000.847001.200179"/>
        <s v="847.8471305.1.428640.000000.847001.200179"/>
        <s v="847.8471305.1.432205.000000.847001.200179"/>
        <s v="847.8471305.1.432209.000000.847001.200179"/>
        <s v="847.8471305.1.432210.000000.847001.200179"/>
        <s v="847.8471305.1.435330.000000.847001.200179"/>
        <s v="847.8471305.1.435340.000000.847001.200179"/>
        <s v="847.8471305.1.435350.000000.847001.200179"/>
        <s v="847.8471305.1.435508.000000.847001.200179"/>
        <s v="847.8471305.1.435530.000000.847001.200179"/>
        <s v="847.8471305.1.436120.000000.847001.200179"/>
        <s v="847.8471305.1.495113.000000.847001.300180"/>
        <s v="847.8471305.1.492354.000000.847001.300180"/>
        <s v="847.8471305.1.492316.000000.847001.300180"/>
        <s v="847.8471305.1.422900.000000.847001.200179"/>
        <s v="847.8471305.1.436110.000000.847001.200179"/>
        <s v="847.8471305.1.425100.000000.847001.200179"/>
        <s v="847.8470620.1.420130.000000.847001.200179"/>
        <s v="847.8470620.1.422900.000000.847001.200179"/>
        <s v="847.8470620.1.425300.000000.847001.200179"/>
        <s v="847.8470620.1.425350.000000.847001.200179"/>
        <s v="847.8470620.1.426610.000000.847001.200179"/>
        <s v="847.8470620.1.436110.000000.847001.200179"/>
        <s v="847.8470620.1.425900.000000.847001.200179"/>
        <s v="847.8470630.1.425100.000000.847001.200179"/>
        <s v="847.8470630.1.425550.000000.847001.200179"/>
        <s v="847.8470630.1.427200.000000.847001.200179"/>
        <s v="847.8470630.1.436600.000000.847001.200179"/>
        <s v="847.8470730.1.495113.000000.847001.300180"/>
        <s v="847.8470730.1.426610.000000.847001.200179"/>
        <s v="847.8470730.1.428640.000000.847001.200179"/>
        <s v="847.8470730.1.436110.000000.847001.200179"/>
        <s v="847.8470730.1.427900.000000.847001.200179"/>
        <s v="847.8471110.1.425900.000000.847001.200179"/>
        <s v="847.8471110.1.427710.000000.847001.200179"/>
        <s v="847.8471110.1.428090.000000.847001.200179"/>
        <s v="847.8471130.1.420811.000000.847001.200179"/>
        <s v="847.8471130.1.428090.000000.847001.200179"/>
        <s v="847.8471130.1.426610.000000.847001.200179"/>
        <s v="847.8471130.1.427900.000000.847001.200179"/>
        <s v="847.8471130.1.435523.000000.847001.200179"/>
        <s v="847.8471140.1.420570.000000.847001.200179"/>
        <s v="847.8471140.1.428090.000000.847001.200179"/>
        <s v="847.8471140.1.435523.000000.847001.200179"/>
        <s v="847.8471150.1.420900.000000.847001.200179"/>
        <s v="847.8471150.1.425510.000000.847001.200179"/>
        <s v="847.8471150.1.425550.000000.847001.200179"/>
        <s v="847.8471150.1.426610.000000.847001.200179"/>
        <s v="847.8471150.1.428090.000000.847001.200179"/>
        <s v="847.8471150.1.435310.000000.847001.200179"/>
        <s v="847.8471170.1.420811.000000.847001.200179"/>
        <s v="847.8471170.1.425900.000000.847001.200179"/>
        <s v="847.8471170.1.426610.000000.847001.200179"/>
        <s v="847.8471170.1.428090.000000.847001.200179"/>
        <s v="847.8471170.1.492316.000000.847001.300180"/>
        <s v="847.8471170.1.495113.000000.847001.300180"/>
        <s v="847.8471210.1.425900.000000.847001.200179"/>
        <s v="847.8471210.1.428090.000000.847001.200179"/>
        <s v="847.8471210.1.428640.000000.847001.200179"/>
        <s v="847.8471210.1.435530.000000.847001.200179"/>
        <s v="847.8471240.1.425510.000000.847001.200179"/>
        <s v="847.8471240.1.425720.000000.847001.200179"/>
        <s v="847.8471240.1.425750.000000.847001.200179"/>
        <s v="847.8471240.1.425761.000000.847001.200179"/>
        <s v="847.8471240.1.425900.000000.847001.200179"/>
        <s v="847.8471240.1.426610.000000.847001.200179"/>
        <s v="847.8471240.1.428090.000000.847001.200179"/>
        <s v="847.8471240.1.428640.000000.847001.200179"/>
        <s v="847.8471240.1.435330.000000.847001.200179"/>
        <s v="847.8471240.1.436110.000000.847001.200179"/>
        <s v="847.8471240.1.436120.000000.847001.200179"/>
        <s v="847.8471260.1.425510.000000.847001.200179"/>
        <s v="847.8471260.1.425746.000000.847001.200179"/>
        <s v="847.8471260.1.425760.000000.847001.200179"/>
        <s v="847.8471260.1.425900.000000.847001.200179"/>
        <s v="847.8471260.1.428640.000000.847001.200179"/>
        <s v="847.8471260.1.435530.000000.847001.200179"/>
        <s v="847.8471260.1.436110.000000.847001.200179"/>
        <s v="847.8471260.1.421600.000000.847001.200179"/>
        <s v="847.8471260.1.422400.000000.847001.200179"/>
        <s v="847.8471260.1.425750.000000.847001.200179"/>
        <s v="847.8471260.1.426220.000000.847001.200179"/>
        <s v="847.8471260.1.428111.000000.847001.200179"/>
        <s v="847.8471260.1.428112.000000.847001.200179"/>
        <s v="847.8471260.1.430230.000000.847001.200179"/>
        <s v="847.8471260.1.432120.000000.847001.200179"/>
        <s v="847.8471220.1.425510.000000.847001.200179"/>
        <s v="847.8471220.1.425741.000000.847001.200179"/>
        <s v="847.8471220.1.426900.000000.847001.200179"/>
        <s v="847.8471220.1.435340.000000.847001.200179"/>
        <s v="847.8471220.1.436110.000000.847001.200179"/>
        <s v="847.8471220.1.436120.000000.847001.200179"/>
        <s v="847.8471270.1.425900.000000.847001.200179"/>
        <s v="847.8471270.1.428090.000000.847001.200179"/>
        <s v="847.8471270.1.435330.000000.847001.200179"/>
        <s v="847.8471270.1.436110.000000.847001.200179"/>
        <s v="847.8471230.1.425742.000000.847001.200179"/>
        <s v="847.8471230.1.426610.000000.847001.200179"/>
        <s v="847.8471280.1.425100.000000.847001.200179"/>
        <s v="847.8471280.1.425510.000000.847001.200179"/>
        <s v="847.8471280.1.425550.000000.847001.200179"/>
        <s v="847.8471280.1.425710.000000.847001.200179"/>
        <s v="847.8471280.1.425760.000000.847001.200179"/>
        <s v="847.8471280.1.425770.000000.847001.200179"/>
        <s v="847.8471280.1.426610.000000.847001.200179"/>
        <s v="847.8471280.1.428640.000000.847001.200179"/>
        <s v="847.8471280.1.432170.000000.847001.200179"/>
        <s v="847.8471280.1.435340.000000.847001.200179"/>
        <s v="847.8471280.1.435530.000000.847001.200179"/>
        <s v="847.8471280.1.492316.000000.847001.300180"/>
        <s v="847.8471280.1.428090.000000.847001.200179"/>
        <s v="847.8471250.1.425510.000000.847001.200179"/>
        <s v="847.8471250.1.425720.000000.847001.200179"/>
        <s v="847.8471250.1.425762.000000.847001.200179"/>
        <s v="847.8471250.1.425900.000000.847001.200179"/>
        <s v="847.8471250.1.426610.000000.847001.200179"/>
        <s v="847.8471250.1.428090.000000.847001.200179"/>
        <s v="847.8471250.1.428640.000000.847001.200179"/>
        <s v="847.8471250.1.436110.000000.847001.200179"/>
        <s v="847.8471010.1.425510.000000.847001.200179"/>
        <s v="847.8471010.1.425720.000000.847001.200179"/>
        <s v="847.8471010.1.425900.000000.847001.200179"/>
        <s v="847.8471010.1.436110.000000.847001.200179"/>
        <s v="847.8471010.1.436120.000000.847001.200179"/>
        <s v="847.8471010.1.425100.000000.847001.200179"/>
        <s v="847.8470230.1.420550.000000.847001.200179"/>
        <s v="847.8470230.1.425100.000000.847001.200179"/>
        <s v="847.8470230.1.425510.000000.847001.200179"/>
        <s v="847.8470230.1.425550.000000.847001.200179"/>
        <s v="847.8470230.1.425743.000000.847001.200179"/>
        <s v="847.8470230.1.425744.000000.847001.200179"/>
        <s v="847.8470230.1.425745.000000.847001.200179"/>
        <s v="847.8470230.1.425749.000000.847001.200179"/>
        <s v="847.8470230.1.425761.000000.847001.200179"/>
        <s v="847.8470230.1.425762.000000.847001.200179"/>
        <s v="847.8470230.1.425900.000000.847001.200179"/>
        <s v="847.8470230.1.426610.000000.847001.200179"/>
        <s v="847.8470230.1.428090.000000.847001.200179"/>
        <s v="847.8470230.1.428640.000000.847001.200179"/>
        <s v="847.8470230.1.436110.000000.847001.200179"/>
        <s v="847.8470230.1.492310.000000.847001.300180"/>
        <s v="847.8470405.1.420550.000000.847001.200179"/>
        <s v="847.8470405.1.421700.000000.847001.200179"/>
        <s v="847.8470405.1.425510.000000.847001.200179"/>
        <s v="847.8470405.1.425550.000000.847001.200179"/>
        <s v="847.8470405.1.425770.000000.847001.200179"/>
        <s v="847.8470405.1.427710.000000.847001.200179"/>
        <s v="847.8470405.1.435508.000000.847001.200179"/>
        <s v="847.8470405.1.435350.000000.847001.200179"/>
        <s v="847.8470405.1.425720.000000.847001.200179"/>
        <s v="847.8470405.1.425763.000000.847001.200179"/>
        <s v="847.8470410.1.425761.000000.847001.200179"/>
        <s v="847.8470410.1.425770.000000.847001.200179"/>
        <s v="847.8470410.1.426610.000000.847001.200179"/>
        <s v="847.8470410.1.435310.000000.847001.200179"/>
        <s v="847.8470410.1.435350.000000.847001.200179"/>
        <s v="847.8470415.1.421700.000000.847001.200179"/>
        <s v="847.8470415.1.425510.000000.847001.200179"/>
        <s v="847.8470415.1.425100.000000.847001.200179"/>
        <s v="847.8470415.1.428090.000000.847001.200179"/>
        <s v="847.8470415.1.427200.000000.847001.200179"/>
        <s v="847.8470415.1.425760.000000.847001.200179"/>
        <s v="847.8470415.1.425763.000000.847001.200179"/>
        <s v="847.8470415.1.425770.000000.847001.200179"/>
        <s v="847.8470415.1.425900.000000.847001.200179"/>
        <s v="847.8470415.1.426610.000000.847001.200179"/>
        <s v="847.8470415.1.428640.000000.847001.200179"/>
        <s v="847.8470415.1.432209.000000.847001.200179"/>
        <s v="847.8470415.1.435350.000000.847001.200179"/>
        <s v="847.8470415.1.435508.000000.847001.200179"/>
        <s v="847.8470415.1.492316.000000.847001.300180"/>
        <s v="847.8470425.1.425510.000000.847001.200179"/>
        <s v="847.8470425.1.425550.000000.847001.200179"/>
        <s v="847.8470425.1.425770.000000.847001.200179"/>
        <s v="847.8470425.1.425900.000000.847001.200179"/>
        <s v="847.8470425.1.426610.000000.847001.200179"/>
        <s v="847.8470425.1.428090.000000.847001.200179"/>
        <s v="847.8470425.1.435350.000000.847001.200179"/>
        <s v="847.8470425.1.435508.000000.847001.200179"/>
        <s v="847.8470425.1.492310.000000.847001.300180"/>
        <s v="847.8470425.1.492316.000000.847001.300180"/>
        <s v="847.8470430.1.425761.000000.847001.200179"/>
        <s v="847.8470430.1.425770.000000.847001.200179"/>
        <s v="847.8470430.1.425900.000000.847001.200179"/>
        <s v="847.8470430.1.426610.000000.847001.200179"/>
        <s v="847.8470430.1.432209.000000.847001.200179"/>
        <s v="847.8470430.1.435508.000000.847001.200179"/>
        <s v="847.8470435.1.425900.000000.847001.200179"/>
        <s v="847.8470435.1.427710.000000.847001.200179"/>
        <s v="847.8470435.1.436600.000000.847001.200179"/>
        <s v="847.8470435.1.435508.000000.847001.200179"/>
        <s v="847.8470440.1.420550.000000.847001.200179"/>
        <s v="847.8470440.1.420570.000000.847001.200179"/>
        <s v="847.8470440.1.421700.000000.847001.200179"/>
        <s v="847.8470440.1.425100.000000.847001.200179"/>
        <s v="847.8470440.1.425510.000000.847001.200179"/>
        <s v="847.8470440.1.425550.000000.847001.200179"/>
        <s v="847.8470440.1.425761.000000.847001.200179"/>
        <s v="847.8470440.1.425770.000000.847001.200179"/>
        <s v="847.8470440.1.425900.000000.847001.200179"/>
        <s v="847.8470440.1.426610.000000.847001.200179"/>
        <s v="847.8470440.1.427710.000000.847001.200179"/>
        <s v="847.8470440.1.428090.000000.847001.200179"/>
        <s v="847.8470440.1.428640.000000.847001.200179"/>
        <s v="847.8470440.1.435340.000000.847001.200179"/>
        <s v="847.8470440.1.435350.000000.847001.200179"/>
        <s v="847.8470440.1.436600.000000.847001.200179"/>
        <s v="847.8470445.1.425100.000000.847001.200179"/>
        <s v="847.8470445.1.425720.000000.847001.200179"/>
        <s v="847.8470445.1.425760.000000.847001.200179"/>
        <s v="847.8470445.1.425763.000000.847001.200179"/>
        <s v="847.8470445.1.425770.000000.847001.200179"/>
        <s v="847.8470445.1.426610.000000.847001.200179"/>
        <s v="847.8470445.1.435350.000000.847001.200179"/>
        <s v="847.8470445.1.427710.000000.847001.200179"/>
        <s v="847.8470445.1.425900.000000.847001.200179"/>
        <s v="847.8470445.1.420550.000000.847001.200179"/>
        <s v="847.8470445.1.425510.000000.847001.200179"/>
        <s v="847.8470445.1.492354.000000.847001.300180"/>
        <s v="847.8470450.1.425761.000000.847001.200179"/>
        <s v="847.8470450.1.425770.000000.847001.200179"/>
        <s v="847.8470450.1.426610.000000.847001.200179"/>
        <s v="847.8470450.1.428090.000000.847001.200179"/>
        <s v="847.8470450.1.432209.000000.847001.200179"/>
        <s v="847.8470450.1.435350.000000.847001.200179"/>
        <s v="847.8470450.1.435508.000000.847001.200179"/>
        <s v="847.8470450.1.492310.000000.847001.300180"/>
        <s v="847.8470450.1.492316.000000.847001.300180"/>
        <s v="847.8470455.1.425760.000000.847001.200179"/>
        <s v="847.8470455.1.425770.000000.847001.200179"/>
        <s v="847.8470455.1.425900.000000.847001.200179"/>
        <s v="847.8470455.1.426610.000000.847001.200179"/>
        <s v="847.8470455.1.428090.000000.847001.200179"/>
        <s v="847.8470455.1.428640.000000.847001.200179"/>
        <s v="847.8470455.1.432209.000000.847001.200179"/>
        <s v="847.8470455.1.435350.000000.847001.200179"/>
        <s v="847.8470455.1.435508.000000.847001.200179"/>
        <s v="847.8470455.1.436110.000000.847001.200179"/>
        <s v="847.8470455.1.492316.000000.847001.300180"/>
        <s v="847.8470130.1.421000.000000.847001.200179"/>
        <s v="847.8470130.1.426610.000000.847001.200179"/>
        <s v="847.8470130.1.428090.000000.847001.200179"/>
        <s v="847.8470140.1.425100.000000.847001.200179"/>
        <s v="847.8470140.1.425510.000000.847001.200179"/>
        <s v="847.8470140.1.425550.000000.847001.200179"/>
        <s v="847.8470140.1.425763.000000.847050.200179"/>
        <s v="847.8470140.1.427100.000000.847001.200179"/>
        <s v="847.8470140.1.427200.000000.847001.200179"/>
        <s v="847.8470140.1.428640.000000.847001.200179"/>
        <s v="847.8470140.1.435310.000000.847001.200179"/>
        <s v="847.8470140.1.435519.000000.847001.200179"/>
        <s v="847.8470140.1.492310.000000.847001.300180"/>
        <s v="847.8470910.1.425900.000000.847001.200179"/>
        <s v="847.8470910.1.428090.000000.847001.200179"/>
        <s v="847.8470910.1.429900.000000.847001.200179"/>
        <s v="847.8470910.1.420570.000000.847001.200179"/>
        <s v="847.8470510.1.425550.000000.847001.200179"/>
        <s v="847.8470510.1.425900.000000.847001.200179"/>
        <s v="847.8470510.1.428090.000000.847001.200179"/>
        <s v="847.8470520.1.425510.000000.847001.200179"/>
        <s v="847.8470520.1.426100.000000.847001.200179"/>
        <s v="847.8470520.1.427710.000000.847001.200179"/>
        <s v="847.8470520.1.428200.000000.847001.200179"/>
        <s v="847.8470520.1.428200.000000.847951.200179"/>
        <s v="847.8470520.1.492316.000000.847001.300180"/>
        <s v="847.8470520.1.421600.000000.847030.200179"/>
        <s v="847.8470520.1.425510.000000.847951.200179"/>
        <s v="847.8470530.1.420310.000000.847010.200179"/>
        <s v="847.8470530.1.420310.000000.847015.200179"/>
        <s v="847.8470530.1.420310.000000.847020.200179"/>
        <s v="847.8470530.1.429900.000000.847010.200179"/>
        <s v="847.8470530.1.421000.000000.847010.200179"/>
        <s v="847.8470530.1.421000.000000.847020.200179"/>
        <s v="847.8470530.1.430110.000000.847010.200179"/>
        <s v="847.8470530.1.430120.000000.847030.200179"/>
        <s v="847.8470530.1.430120.000000.847020.200179"/>
        <s v="847.8470530.1.421600.000000.847010.200179"/>
        <s v="847.8470530.1.421600.000000.847015.200179"/>
        <s v="847.8470530.1.421600.000000.847020.200179"/>
        <s v="847.8470530.1.421600.000000.847030.200179"/>
        <s v="847.8470530.1.421700.000000.847010.200179"/>
        <s v="847.8470530.1.425510.000000.847010.200179"/>
        <s v="847.8470530.1.425900.000000.847010.200179"/>
        <s v="847.8470530.1.426220.000000.847010.200179"/>
        <s v="847.8470530.1.426220.000000.847030.200179"/>
        <s v="847.8470530.1.426250.000000.847010.200179"/>
        <s v="847.8470530.1.428090.000000.847001.200179"/>
        <s v="847.8470530.1.432120.000000.847010.200179"/>
        <s v="847.8470530.1.432120.000000.847015.200179"/>
        <s v="847.8470530.1.432120.000000.847020.200179"/>
        <s v="847.8470530.1.432120.000000.847030.200179"/>
        <s v="847.8470530.1.432170.000000.847010.200179"/>
        <s v="847.8470530.1.432320.000000.847010.200179"/>
        <s v="847.8470530.1.432320.000000.847020.200179"/>
        <s v="847.8470530.1.429900.000000.847001.200179"/>
        <s v="847.8470530.1.492200.000000.847010.300180"/>
        <s v="847.8470530.1.492200.000000.847015.300180"/>
        <s v="847.8470530.1.492200.000000.847020.300180"/>
        <s v="847.8470530.1.492610.000000.847010.300180"/>
        <s v="847.8470530.1.492610.000000.847015.300180"/>
        <s v="847.8470530.1.492610.000000.847020.300180"/>
        <s v="847.8470530.1.495140.000000.847010.300180"/>
        <s v="847.8470530.1.425747.000000.847015.200179"/>
        <s v="847.8470530.1.426210.000000.847001.200179"/>
        <s v="847.8470530.1.426800.000000.847001.200179"/>
        <s v="847.8470530.1.426900.000000.847001.200179"/>
        <s v="847.8470530.1.428111.000000.847010.200179"/>
        <s v="847.8470530.1.428111.000000.847015.200179"/>
        <s v="847.8470530.1.428111.000000.847020.200179"/>
        <s v="847.8470530.1.428111.000000.847030.200179"/>
        <s v="847.8470530.1.428112.000000.847010.200179"/>
        <s v="847.8470530.1.428112.000000.847015.200179"/>
        <s v="847.8470530.1.428112.000000.847020.200179"/>
        <s v="847.8470530.1.430330.000000.847001.200179"/>
        <s v="847.8470530.1.432120.000000.847951.200179"/>
        <s v="847.8470530.1.432540.000000.847001.200179"/>
        <s v="847.8470530.1.436110.000000.847001.200179"/>
        <s v="847.8470530.1.436220.000000.847001.200179"/>
        <s v="847.8470530.1.492316.000000.847001.300180"/>
        <s v="847.8470530.1.495110.000000.847001.300180"/>
        <s v="847.8470540.1.413310.000000.847010.200179"/>
        <s v="847.8470540.1.422900.000000.847010.200179"/>
        <s v="847.8470540.1.426800.000000.847010.200179"/>
        <s v="847.8470540.1.426900.000000.847010.200179"/>
        <s v="847.8470540.1.428111.000000.847010.200179"/>
        <s v="847.8470540.1.428111.000000.847015.200179"/>
        <s v="847.8470540.1.428111.000000.847020.200179"/>
        <s v="847.8470540.1.428111.000000.847030.200179"/>
        <s v="847.8470540.1.428112.000000.847010.200179"/>
        <s v="847.8470540.1.428112.000000.847015.200179"/>
        <s v="847.8470540.1.428112.000000.847020.200179"/>
        <s v="847.8470540.1.428112.000000.847030.200179"/>
        <s v="847.8470540.1.429900.000000.847010.200179"/>
        <s v="847.8470540.1.430330.000000.847010.200179"/>
        <s v="847.8470540.1.432540.000000.847010.200179"/>
        <s v="847.8470540.1.435410.000000.847020.200179"/>
        <s v="847.8470540.1.435740.000000.847010.200179"/>
        <s v="847.8470540.1.426250.000000.847010.200179"/>
        <s v="847.8470540.1.436110.000000.847010.200179"/>
        <s v="847.8470110.1.420550.000000.847001.200179"/>
        <s v="847.8470110.1.420570.000000.847001.200179"/>
        <s v="847.8470110.1.421000.000000.847001.200179"/>
        <s v="847.8470110.1.425510.000000.847001.200179"/>
        <s v="847.8470110.1.425550.000000.847001.200179"/>
        <s v="847.8470110.1.425900.000000.847001.200179"/>
        <s v="847.8470110.1.428090.000000.847001.200179"/>
        <s v="847.8470110.1.428400.000000.847001.200179"/>
        <s v="847.8470110.1.428640.000000.847001.200179"/>
        <s v="847.8470120.1.420120.000000.847001.200179"/>
        <s v="847.8470120.1.426610.000000.847001.200179"/>
        <s v="847.8470121.1.421000.000000.847001.200179"/>
        <s v="847.8470121.1.425900.000000.847001.200179"/>
        <s v="847.8470121.1.421700.000000.847001.200179"/>
        <s v="847.8470121.1.426610.000000.847001.200179"/>
        <s v="847.8470150.1.420900.000000.847001.200179"/>
        <s v="847.8470150.1.427710.000000.847001.200179"/>
        <s v="847.8470160.1.425550.000000.847001.200179"/>
        <s v="847.8470160.1.428640.000000.847001.200179"/>
        <s v="847.8470160.1.428090.000000.847001.200179"/>
        <s v="847.8470160.1.425900.000000.847001.200179"/>
        <s v="847.8471160.1.420810.000000.847001.200179"/>
        <s v="847.8471160.1.420811.000000.847001.200179"/>
        <s v="847.8471160.1.426610.000000.847001.200179"/>
        <s v="847.8471160.1.432209.000000.847001.200179"/>
        <s v="847.8471160.1.435508.000000.847001.200179"/>
        <s v="847.8471160.1.492200.000000.847001.300180"/>
        <s v="847.8471160.1.492316.000000.847001.300180"/>
        <s v="847.8471160.1.422100.000000.847001.200179"/>
        <s v="847.8471160.1.430330.000000.847001.200179"/>
        <m/>
      </sharedItems>
    </cacheField>
    <cacheField name="2021Actual" numFmtId="0">
      <sharedItems containsBlank="1" containsMixedTypes="1" containsNumber="1" minValue="-188793.94" maxValue="84701166.200000003"/>
    </cacheField>
    <cacheField name="2022 Budget" numFmtId="0">
      <sharedItems containsBlank="1" containsMixedTypes="1" containsNumber="1" minValue="0" maxValue="110824684"/>
    </cacheField>
    <cacheField name="2022 Estimates Full Year Actual" numFmtId="0">
      <sharedItems containsBlank="1" containsMixedTypes="1" containsNumber="1" minValue="0" maxValue="110824684"/>
    </cacheField>
    <cacheField name="Budget Driver " numFmtId="0">
      <sharedItems containsBlank="1" containsMixedTypes="1" containsNumber="1" containsInteger="1" minValue="0" maxValue="0"/>
    </cacheField>
    <cacheField name="Measruing unit" numFmtId="0">
      <sharedItems containsBlank="1" containsMixedTypes="1" containsNumber="1" containsInteger="1" minValue="1" maxValue="15"/>
    </cacheField>
    <cacheField name="Quantity of measruing units" numFmtId="0">
      <sharedItems containsString="0" containsBlank="1" containsNumber="1" containsInteger="1" minValue="1" maxValue="81669712"/>
    </cacheField>
    <cacheField name="Rate (expected)" numFmtId="0">
      <sharedItems containsString="0" containsBlank="1" containsNumber="1" minValue="1" maxValue="98652604.176784843"/>
    </cacheField>
    <cacheField name="Itemised  Details/Calculation method" numFmtId="0">
      <sharedItems containsBlank="1" longText="1"/>
    </cacheField>
    <cacheField name="2023 Budget " numFmtId="0">
      <sharedItems containsString="0" containsBlank="1" containsNumber="1" minValue="0" maxValue="203750000"/>
    </cacheField>
    <cacheField name="Budget Activity Type" numFmtId="0">
      <sharedItems containsBlank="1"/>
    </cacheField>
    <cacheField name="Expenditure Frequency" numFmtId="0">
      <sharedItems containsBlank="1"/>
    </cacheField>
    <cacheField name="2023 Budget Scenario 90%" numFmtId="43">
      <sharedItems containsString="0" containsBlank="1" containsNumber="1" minValue="0" maxValue="183375000"/>
    </cacheField>
    <cacheField name="2023 Budget Scenario 80%" numFmtId="43">
      <sharedItems containsString="0" containsBlank="1" containsNumber="1" minValue="0" maxValue="163000000"/>
    </cacheField>
    <cacheField name="2023 Budget Scenario 70%" numFmtId="43">
      <sharedItems containsString="0" containsBlank="1" containsNumber="1" minValue="0" maxValue="142625000"/>
    </cacheField>
    <cacheField name="90% Budget Scenario Impact" numFmtId="0">
      <sharedItems containsBlank="1" containsMixedTypes="1" containsNumber="1" containsInteger="1" minValue="2250" maxValue="324000" longText="1"/>
    </cacheField>
    <cacheField name="80% Budget Impact " numFmtId="0">
      <sharedItems containsBlank="1" containsMixedTypes="1" containsNumber="1" containsInteger="1" minValue="2000" maxValue="288000" longText="1"/>
    </cacheField>
    <cacheField name="70% Budget Impact " numFmtId="0">
      <sharedItems containsBlank="1" containsMixedTypes="1" containsNumber="1" containsInteger="1" minValue="1750" maxValue="252000" longText="1"/>
    </cacheField>
    <cacheField name="Jan-23" numFmtId="3">
      <sharedItems containsBlank="1" containsMixedTypes="1" containsNumber="1" minValue="0" maxValue="45119736"/>
    </cacheField>
    <cacheField name="Feb-23" numFmtId="3">
      <sharedItems containsBlank="1" containsMixedTypes="1" containsNumber="1" minValue="0" maxValue="16333942.4"/>
    </cacheField>
    <cacheField name="Mar-23" numFmtId="3">
      <sharedItems containsString="0" containsBlank="1" containsNumber="1" minValue="0" maxValue="36800000"/>
    </cacheField>
    <cacheField name="Apr-23" numFmtId="3">
      <sharedItems containsString="0" containsBlank="1" containsNumber="1" minValue="0" maxValue="24500913.599999998"/>
    </cacheField>
    <cacheField name="May-23" numFmtId="3">
      <sharedItems containsBlank="1" containsMixedTypes="1" containsNumber="1" minValue="0" maxValue="15500000"/>
    </cacheField>
    <cacheField name="Jun-23" numFmtId="3">
      <sharedItems containsBlank="1" containsMixedTypes="1" containsNumber="1" minValue="0" maxValue="15500000"/>
    </cacheField>
    <cacheField name="Jul-23" numFmtId="3">
      <sharedItems containsString="0" containsBlank="1" containsNumber="1" minValue="0" maxValue="13250000"/>
    </cacheField>
    <cacheField name="Aug-23" numFmtId="3">
      <sharedItems containsBlank="1" containsMixedTypes="1" containsNumber="1" minValue="0" maxValue="19500000"/>
    </cacheField>
    <cacheField name="Sep-23" numFmtId="3">
      <sharedItems containsString="0" containsBlank="1" containsNumber="1" minValue="0" maxValue="19500000"/>
    </cacheField>
    <cacheField name="Oct-23" numFmtId="3">
      <sharedItems containsString="0" containsBlank="1" containsNumber="1" minValue="0" maxValue="22181820"/>
    </cacheField>
    <cacheField name="Nov-23" numFmtId="3">
      <sharedItems containsBlank="1" containsMixedTypes="1" containsNumber="1" minValue="0" maxValue="19500000"/>
    </cacheField>
    <cacheField name="Dec-23" numFmtId="3">
      <sharedItems containsBlank="1" containsMixedTypes="1" containsNumber="1" minValue="0" maxValue="19500000"/>
    </cacheField>
    <cacheField name="Total" numFmtId="0">
      <sharedItems containsString="0" containsBlank="1" containsNumber="1" minValue="0" maxValue="203750000"/>
    </cacheField>
    <cacheField name="KU Strategy" numFmtId="0">
      <sharedItems containsBlank="1" containsMixedTypes="1" containsNumber="1" containsInteger="1" minValue="0" maxValue="0"/>
    </cacheField>
    <cacheField name="Comment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Mushtaq Mohammed Sheriff" refreshedDate="44745.479229861114" createdVersion="6" refreshedVersion="6" minRefreshableVersion="3" recordCount="904">
  <cacheSource type="worksheet">
    <worksheetSource ref="E1:AU905" sheet="2023 Detail B-01"/>
  </cacheSource>
  <cacheFields count="43">
    <cacheField name="Cost Center Code" numFmtId="0">
      <sharedItems containsString="0" containsBlank="1" containsNumber="1" containsInteger="1" minValue="8470110" maxValue="8471305"/>
    </cacheField>
    <cacheField name="Cost Center Description" numFmtId="0">
      <sharedItems containsBlank="1"/>
    </cacheField>
    <cacheField name="BG" numFmtId="0">
      <sharedItems containsString="0" containsBlank="1" containsNumber="1" containsInteger="1" minValue="1" maxValue="1"/>
    </cacheField>
    <cacheField name="Account Code" numFmtId="0">
      <sharedItems containsString="0" containsBlank="1" containsNumber="1" containsInteger="1" minValue="413310" maxValue="495140"/>
    </cacheField>
    <cacheField name="Account Code and Description" numFmtId="0">
      <sharedItems containsBlank="1" count="107">
        <s v="413328 - IT Manpower supply-IT Support resources"/>
        <s v="420810-IT Systems &amp; Support expenses"/>
        <s v="420811-IT Systems &amp; Support expenses-Application/Systems Operation"/>
        <s v="421100-Manpower supply"/>
        <s v="426610-Computer software licenses"/>
        <s v="427810-Telephone and telefax charges"/>
        <s v="427850-Data Transmission charges"/>
        <s v="428090-Business Travel - Combined expenses"/>
        <s v="430230-Rental - Equipment"/>
        <s v="430250-Rental - Computer hardware-Rental/Subscription - Computer hardware"/>
        <s v="432205-Computers and peripherals"/>
        <s v="432226-Computers and peripherals-Printers maintenance and support "/>
        <s v="436110-Printing supplies"/>
        <s v="492310-Hardware &amp; peripherals"/>
        <s v="492352-Hardware &amp; peripherals-Network Devices"/>
        <s v="492354-Hardware &amp; peripherals-Peripherals &amp; Infrastructure  Components "/>
        <s v="492356-Hardware &amp; peripherals-Conferencing &amp; AV"/>
        <s v="495110-Computer software"/>
        <s v="495113-Computer software-Application, Platform "/>
        <s v="492316-Laboratory equipment"/>
        <s v="420550-Academic Advisory Service"/>
        <s v="420570-Academic Collaborative Partnership Services"/>
        <s v="421700-Standards certification (e.g. ISO)"/>
        <s v="425510-Conferences, seminars and exhibitions and other events: - Local Events"/>
        <s v="425550-Conferences, seminars and exhibitions and other events: - Overseas event"/>
        <s v="425740-Scholarships &amp; other financial aid"/>
        <s v="425900-Entertainment and hospitality"/>
        <s v="428640-Events - Awards, prizes &amp; gifts"/>
        <s v="436120-Stationery"/>
        <s v="425760-Student activities &amp; field trip expenses"/>
        <s v="425763-Student Project Expenses"/>
        <s v="425770-Academic Missions - Combined expenses"/>
        <s v="432209-Laboratory equipment"/>
        <s v="435350-Academic Publications"/>
        <s v="435508-Laboratory - Scientific"/>
        <s v="436600-Training/Teaching equipment and other educational aid"/>
        <s v="495140-Copyrights, patents and licenses"/>
        <s v="425762-Student Internship"/>
        <s v="425720-Education-Outsourced training service"/>
        <s v="432690-Plant, machinery and heavy equipment, not mentioned elsewhere"/>
        <s v="435340-Text books and library books"/>
        <s v="426610-Computer software licenses-Software License Renewal"/>
        <s v="421000-Management consultancy"/>
        <s v="422100-Waste management service"/>
        <s v="425742-Enrollment expenses"/>
        <s v="425745-Student relocation &amp; travel exps"/>
        <s v="425746-Student Transport"/>
        <s v="425749-Postgraduate Student Salaries"/>
        <s v="425750-Skill assessment service"/>
        <s v="426100-Freight and shipping costs, not included elsewhere under purchase costs"/>
        <s v="426900-Postal, courier and other document delivery expenses"/>
        <s v="427200-Printing and publishing"/>
        <s v="427710-Subscriptions and membership fees: Trade organisations"/>
        <s v="432210-Medical equipment"/>
        <s v="435330-Library books"/>
        <s v="435530-School consumables, not specifically mentioned elsewhere"/>
        <s v="422900-Other specialised professional services, not mentioned elsewhere"/>
        <s v="425100.Advertising Services (General"/>
        <s v="420130-External Audit service"/>
        <s v="422900-Other specialized professional services, not mentioned elsewhere"/>
        <s v="425300-Banking service charges / Fees"/>
        <s v="425350-Fees for processing e-payments"/>
        <s v="425100-Advertising Services (General)"/>
        <s v="427900-Translation and interpretation service"/>
        <s v="435523-Scientific"/>
        <s v="420900-Legal services"/>
        <s v="435310-Newspapers, magazines, journals, etc."/>
        <s v="425761-Student Field trips"/>
        <s v="421600-Security service"/>
        <s v="422400--"/>
        <s v="426220-Insurance - Fire and allied perils"/>
        <s v="428111-Electricity consumption charges"/>
        <s v="428112-Water consumption charges"/>
        <s v="432120-Bldg maintenance-Business premises"/>
        <s v="425741-Student stipend"/>
        <s v="425100-Advertising"/>
        <s v="425710-Higher education and specialisation incentives"/>
        <s v="432170-Bldg decoration &amp; minor improvements"/>
        <s v="425743-Graduation rewards"/>
        <s v="425744-Student medical insurance"/>
        <s v="435310-Newspapers, magazines, journals, etc"/>
        <s v="436600-Training/Teaching Equipments and Other"/>
        <s v="427100-Public relations"/>
        <s v="435519-Photography - Consumable materials /Tools"/>
        <s v="429900-Other services, not specifically mentioned elsewhere"/>
        <s v="428200-Health,safety&amp;environment awareness"/>
        <s v="420310-Cleaning: Business premises"/>
        <s v="430110-Rental - Land"/>
        <s v="430120-Rental - Buildings, other than staff residences"/>
        <s v="421700-Standards Certification Services (e.g. ISO)"/>
        <s v="426250-Insurance - Motor vehicles"/>
        <s v="432320-Residential Furniture and fixtures"/>
        <s v="492200-Capital expense - Buildings"/>
        <s v="492610-Furniture &amp; Fixtures - Offices"/>
        <s v="425747-Student Accommodation"/>
        <s v="426210-Insurance - Cash and fidelity"/>
        <s v="426800-Motor vehicle registration and inspection charges"/>
        <s v="430330-Rental - Motor vehicles"/>
        <s v="432540-Motor vehicles (non-military)"/>
        <s v="436220-Road signs"/>
        <s v="413310-Consolidated cost of  outsourced manpower"/>
        <s v="435410-Catering supplies: Offices"/>
        <s v="435740-Fuel, oil and lubricants: Motor vehicles"/>
        <s v="428400-Sponsorship expenses/contributions"/>
        <s v="420120-Internal Audit service"/>
        <s v="420811--"/>
        <m/>
      </sharedItems>
    </cacheField>
    <cacheField name="Activity" numFmtId="0">
      <sharedItems containsBlank="1"/>
    </cacheField>
    <cacheField name="Future-1 Description" numFmtId="0">
      <sharedItems containsBlank="1" containsMixedTypes="1" containsNumber="1" containsInteger="1" minValue="0" maxValue="0"/>
    </cacheField>
    <cacheField name="Future-1" numFmtId="0">
      <sharedItems containsBlank="1" containsMixedTypes="1" containsNumber="1" containsInteger="1" minValue="847001" maxValue="847951"/>
    </cacheField>
    <cacheField name="Future-2 Description" numFmtId="0">
      <sharedItems containsBlank="1" count="4">
        <s v="FA178-Manpower Expense"/>
        <s v="FA179-Opex Expense"/>
        <s v="FA180-Capex Expense"/>
        <m/>
      </sharedItems>
    </cacheField>
    <cacheField name="Future-2" numFmtId="0">
      <sharedItems containsString="0" containsBlank="1" containsNumber="1" containsInteger="1" minValue="100178" maxValue="300180"/>
    </cacheField>
    <cacheField name="GL Account Combination" numFmtId="0">
      <sharedItems containsBlank="1"/>
    </cacheField>
    <cacheField name="2021Actual" numFmtId="0">
      <sharedItems containsBlank="1" containsMixedTypes="1" containsNumber="1" minValue="-188793.94" maxValue="84701166.200000003"/>
    </cacheField>
    <cacheField name="2022 Budget" numFmtId="0">
      <sharedItems containsBlank="1" containsMixedTypes="1" containsNumber="1" minValue="0" maxValue="110824684"/>
    </cacheField>
    <cacheField name="2022 Estimates Full Year Actual" numFmtId="0">
      <sharedItems containsBlank="1" containsMixedTypes="1" containsNumber="1" minValue="0" maxValue="110824684"/>
    </cacheField>
    <cacheField name="Budget Driver " numFmtId="0">
      <sharedItems containsBlank="1" containsMixedTypes="1" containsNumber="1" containsInteger="1" minValue="0" maxValue="0"/>
    </cacheField>
    <cacheField name="Measruing unit" numFmtId="0">
      <sharedItems containsBlank="1" containsMixedTypes="1" containsNumber="1" containsInteger="1" minValue="1" maxValue="15"/>
    </cacheField>
    <cacheField name="Quantity of measruing units" numFmtId="0">
      <sharedItems containsString="0" containsBlank="1" containsNumber="1" containsInteger="1" minValue="1" maxValue="81669712" count="82">
        <n v="12"/>
        <n v="1"/>
        <m/>
        <n v="6"/>
        <n v="1203"/>
        <n v="145"/>
        <n v="23"/>
        <n v="5"/>
        <n v="26"/>
        <n v="3"/>
        <n v="8"/>
        <n v="2"/>
        <n v="15"/>
        <n v="17"/>
        <n v="10"/>
        <n v="68"/>
        <n v="16"/>
        <n v="4"/>
        <n v="30"/>
        <n v="35"/>
        <n v="20"/>
        <n v="11"/>
        <n v="50"/>
        <n v="40"/>
        <n v="60"/>
        <n v="63"/>
        <n v="9"/>
        <n v="33"/>
        <n v="100"/>
        <n v="7"/>
        <n v="14"/>
        <n v="25"/>
        <n v="21"/>
        <n v="34"/>
        <n v="38"/>
        <n v="90"/>
        <n v="29"/>
        <n v="45"/>
        <n v="43"/>
        <n v="84"/>
        <n v="64"/>
        <n v="4000"/>
        <n v="500"/>
        <n v="4978500"/>
        <n v="36000"/>
        <n v="50001"/>
        <n v="165000"/>
        <n v="50400"/>
        <n v="12000"/>
        <n v="124"/>
        <n v="1000"/>
        <n v="80"/>
        <n v="1250"/>
        <n v="1500"/>
        <n v="1200"/>
        <n v="390"/>
        <n v="130"/>
        <n v="73"/>
        <n v="1700"/>
        <n v="1600"/>
        <n v="800"/>
        <n v="2000"/>
        <n v="350"/>
        <n v="349"/>
        <n v="5190"/>
        <n v="30000"/>
        <n v="200"/>
        <n v="24"/>
        <n v="925"/>
        <n v="987"/>
        <n v="186"/>
        <n v="1063"/>
        <n v="347"/>
        <n v="300"/>
        <n v="70"/>
        <n v="71"/>
        <n v="3000"/>
        <n v="15330"/>
        <n v="17597270"/>
        <n v="14046375"/>
        <n v="865000"/>
        <n v="81669712"/>
      </sharedItems>
    </cacheField>
    <cacheField name="Rate (expected)" numFmtId="0">
      <sharedItems containsString="0" containsBlank="1" containsNumber="1" minValue="1" maxValue="98652604.176784843" count="356">
        <n v="832200"/>
        <m/>
        <n v="3759978"/>
        <n v="1235304"/>
        <n v="856000"/>
        <n v="756066"/>
        <n v="589375"/>
        <n v="617276"/>
        <n v="909500"/>
        <n v="479306"/>
        <n v="400000"/>
        <n v="126098"/>
        <n v="327443"/>
        <n v="240623"/>
        <n v="184964"/>
        <n v="231000"/>
        <n v="182648"/>
        <n v="165600"/>
        <n v="174360"/>
        <n v="107347"/>
        <n v="45000"/>
        <n v="89908"/>
        <n v="158706"/>
        <n v="73813"/>
        <n v="72871"/>
        <n v="64300"/>
        <n v="51519"/>
        <n v="50000"/>
        <n v="38640"/>
        <n v="28950"/>
        <n v="25000"/>
        <n v="20000"/>
        <n v="14046"/>
        <n v="14000"/>
        <n v="11156"/>
        <n v="10000"/>
        <n v="7500"/>
        <n v="4500"/>
        <n v="4000"/>
        <n v="13000"/>
        <n v="12000"/>
        <n v="35000"/>
        <n v="30000"/>
        <n v="38400"/>
        <n v="168169"/>
        <n v="1550"/>
        <n v="300000"/>
        <n v="700000"/>
        <n v="550000"/>
        <n v="90000"/>
        <n v="450000"/>
        <n v="255000"/>
        <n v="1389000"/>
        <n v="3316413"/>
        <n v="702126"/>
        <n v="320000"/>
        <n v="152572"/>
        <n v="2900"/>
        <n v="3000000"/>
        <n v="150000"/>
        <n v="138462"/>
        <n v="10667"/>
        <n v="15000"/>
        <n v="40000"/>
        <n v="2000000"/>
        <n v="1000"/>
        <n v="500"/>
        <n v="5000"/>
        <n v="7824"/>
        <n v="300"/>
        <n v="350"/>
        <n v="2526100"/>
        <n v="7000"/>
        <n v="900"/>
        <n v="3000"/>
        <n v="1200"/>
        <n v="104554"/>
        <n v="200000"/>
        <n v="220000"/>
        <n v="1500"/>
        <n v="33000"/>
        <n v="68000"/>
        <n v="129000"/>
        <n v="87000"/>
        <n v="140000"/>
        <n v="134157"/>
        <n v="325735"/>
        <n v="60000"/>
        <n v="6000"/>
        <n v="12500"/>
        <n v="2500"/>
        <n v="115000"/>
        <n v="38000"/>
        <n v="18000"/>
        <n v="70000"/>
        <n v="135000"/>
        <n v="275000"/>
        <n v="165000"/>
        <n v="24500"/>
        <n v="110000"/>
        <n v="18500"/>
        <n v="325000"/>
        <n v="42000"/>
        <n v="2000"/>
        <n v="1100"/>
        <n v="175000"/>
        <n v="95000"/>
        <n v="174762"/>
        <n v="106000"/>
        <n v="75000"/>
        <n v="6200"/>
        <n v="120000"/>
        <n v="50200"/>
        <n v="670000"/>
        <n v="5500"/>
        <n v="78958"/>
        <n v="151000"/>
        <n v="8000"/>
        <n v="115728"/>
        <n v="6500"/>
        <n v="68500"/>
        <n v="1750"/>
        <n v="145000"/>
        <n v="230000"/>
        <n v="80000"/>
        <n v="185000"/>
        <n v="240000"/>
        <n v="17500"/>
        <n v="59217"/>
        <n v="549184"/>
        <n v="38560"/>
        <n v="2090045.75"/>
        <n v="5200"/>
        <n v="74000"/>
        <n v="9000"/>
        <n v="85000"/>
        <n v="160000"/>
        <n v="14500"/>
        <n v="500000"/>
        <n v="33130272"/>
        <n v="2820"/>
        <n v="2055"/>
        <n v="4180"/>
        <n v="40876000"/>
        <n v="18493"/>
        <n v="114206"/>
        <n v="23345"/>
        <n v="14746"/>
        <n v="8500"/>
        <n v="977363"/>
        <n v="5520"/>
        <n v="1949500"/>
        <n v="600000"/>
        <n v="53492"/>
        <n v="14077987"/>
        <n v="225000"/>
        <n v="125000"/>
        <n v="1098800"/>
        <n v="1800000"/>
        <n v="21822096"/>
        <n v="22500"/>
        <n v="250000"/>
        <n v="236850"/>
        <n v="210000"/>
        <n v="375000"/>
        <n v="2400"/>
        <n v="117000"/>
        <n v="2880"/>
        <n v="1"/>
        <n v="6800"/>
        <n v="1000000"/>
        <n v="100"/>
        <n v="89767"/>
        <n v="14167"/>
        <n v="187323"/>
        <n v="305025"/>
        <n v="81714797.610000014"/>
        <n v="31734062.5"/>
        <n v="2"/>
        <n v="411431.26499999996"/>
        <n v="41667"/>
        <n v="43599.40208870967"/>
        <n v="5545455"/>
        <n v="100000"/>
        <n v="1400"/>
        <n v="14600"/>
        <n v="7250"/>
        <n v="200"/>
        <n v="95"/>
        <n v="35"/>
        <n v="25"/>
        <n v="3400"/>
        <n v="50"/>
        <n v="20"/>
        <n v="40"/>
        <n v="8195"/>
        <n v="11435"/>
        <n v="15455"/>
        <n v="65716"/>
        <n v="142085"/>
        <n v="525"/>
        <n v="1600"/>
        <n v="2334"/>
        <n v="30"/>
        <n v="15"/>
        <n v="250"/>
        <n v="400"/>
        <n v="150"/>
        <n v="60"/>
        <n v="160"/>
        <n v="98652604.176784843"/>
        <n v="11400000"/>
        <n v="361000"/>
        <n v="18750"/>
        <n v="3891"/>
        <n v="12"/>
        <n v="10"/>
        <n v="180000"/>
        <n v="79260"/>
        <n v="120"/>
        <n v="1375"/>
        <n v="880"/>
        <n v="280000"/>
        <n v="26800"/>
        <n v="124384"/>
        <n v="6920"/>
        <n v="4420"/>
        <n v="31902"/>
        <n v="37500"/>
        <n v="3200"/>
        <n v="14800"/>
        <n v="3145"/>
        <n v="163000"/>
        <n v="323"/>
        <n v="19160"/>
        <n v="67"/>
        <n v="1469"/>
        <n v="1681"/>
        <n v="5600"/>
        <n v="21307"/>
        <n v="97617"/>
        <n v="31195"/>
        <n v="25323"/>
        <n v="10827"/>
        <n v="435000"/>
        <n v="750000"/>
        <n v="115395"/>
        <n v="138600"/>
        <n v="391000"/>
        <n v="567000"/>
        <n v="376771"/>
        <n v="27914"/>
        <n v="139734"/>
        <n v="357704"/>
        <n v="41177"/>
        <n v="85027"/>
        <n v="136371"/>
        <n v="142462"/>
        <n v="36272"/>
        <n v="32778"/>
        <n v="304500"/>
        <n v="245000"/>
        <n v="64000"/>
        <n v="39000"/>
        <n v="5700"/>
        <n v="4250"/>
        <n v="37342.5"/>
        <n v="8717.33"/>
        <n v="1575"/>
        <n v="42300"/>
        <n v="36730"/>
        <n v="106850"/>
        <n v="12576"/>
        <n v="89500"/>
        <n v="1200000"/>
        <n v="16000"/>
        <n v="11000"/>
        <n v="287803.14285714284"/>
        <n v="540000"/>
        <n v="551250"/>
        <n v="100500"/>
        <n v="420000"/>
        <n v="855900"/>
        <n v="358388"/>
        <n v="2400000"/>
        <n v="3375"/>
        <n v="2667"/>
        <n v="2333"/>
        <n v="3600"/>
        <n v="126"/>
        <n v="1500000"/>
        <n v="29500"/>
        <n v="4056438.64"/>
        <n v="747242"/>
        <n v="4118107"/>
        <n v="5000000"/>
        <n v="233000"/>
        <n v="4587000"/>
        <n v="4632870"/>
        <n v="8000000"/>
        <n v="3986400"/>
        <n v="2451960"/>
        <n v="2078580"/>
        <n v="398190"/>
        <n v="960437"/>
        <n v="23714"/>
        <n v="13077621"/>
        <n v="43500"/>
        <n v="121000"/>
        <n v="130000"/>
        <n v="8438550"/>
        <n v="98000"/>
        <n v="6954646"/>
        <n v="29000"/>
        <n v="350000"/>
        <n v="460000"/>
        <n v="315252"/>
        <n v="480000"/>
        <n v="11000000"/>
        <n v="1650000"/>
        <n v="2100000"/>
        <n v="610000"/>
        <n v="270440"/>
        <n v="672120"/>
        <n v="78000"/>
        <n v="2500000"/>
        <n v="1750000"/>
        <n v="36800000"/>
        <n v="1600000"/>
        <n v="520000"/>
        <n v="22000"/>
        <n v="6000000"/>
        <n v="1700000"/>
        <n v="299594.40000000002"/>
        <n v="688500"/>
        <n v="554000"/>
        <n v="54500"/>
        <n v="953248"/>
        <n v="421800"/>
        <n v="190000"/>
        <n v="447260"/>
        <n v="900000"/>
        <n v="9664500"/>
        <n v="4615084"/>
        <n v="3976000"/>
        <n v="442627"/>
        <n v="1681399"/>
        <n v="1873450"/>
        <n v="153570"/>
        <n v="44000"/>
        <n v="1100004"/>
        <n v="770120.77"/>
        <n v="840000"/>
        <n v="336000"/>
        <n v="85700"/>
        <n v="24889"/>
      </sharedItems>
    </cacheField>
    <cacheField name="Itemised  Details/Calculation method" numFmtId="0">
      <sharedItems containsBlank="1" count="806" longText="1">
        <s v="Manpower Outsourcing as per DGS contract for 2023 - List Attached"/>
        <m/>
        <s v="Managed IT Services Contract between KU and Ankabut"/>
        <s v="Microsoft Licensing Agreement Renewal (EES - 3 Years) - Licenses for multiple products"/>
        <s v="Learning Management System Blackboard LMS License Renewal and Annual Support (License based on storage and number of users - rate based on 8000 slab limit)"/>
        <s v="Manage Engine subscriptions for ServideskPlus, Desktop Central, OpManager, AD Manager, Exchange Reporter, App Manager and other Infrastructure Monitoring Tools."/>
        <s v="Student Admissions Slate License and Support Renewal (5Y Service Order)- License based on number of applicants for UG/PG"/>
        <s v="Student Information System (SIS) License Renewal and Support from  Elucian Banner"/>
        <s v="Fortinet Systems Subscription Renewals for FortiClient EMS_x000a_FortiEDR, FortiAnalyzer, FortiGate 101F_x000a_FortiGate 40F-3G4G, FortiGate 601E_x000a_FortiGate 61E, FortiManager, FortiSOAR_x000a_and Incident Response Services Subscription"/>
        <s v="Oracle Support Renewal"/>
        <s v="Aruba Wireless Infrastructure Software Subscriptions renewals"/>
        <s v="Vmware Virtualization Infrastructure Software License "/>
        <s v="ElasticSearch Security Operations Analysis Software Subscription Renewal"/>
        <s v="Allienvault SIEM Subscription Renewal"/>
        <s v="Application Virtualization - Software2 AppsAnyWhere"/>
        <s v="Email Archiving solution (Commvault)"/>
        <s v="Symplicity CSM Enterprise yearly license for Student Internship, Career, Alumni, Job portal, Events/Activities and Contract Management Services"/>
        <s v="Gartner Technologies subscription renewal"/>
        <s v="Plagiarism Proofing License renewal - TurnitIn, iThenticate"/>
        <s v="Video Communication Platform License Renewal and Support from Sonifoundry Mediasite"/>
        <s v="Ascertia SigningHub AATL Signing Certificate and Signature Pack Renewal"/>
        <s v="Business Process Management System (BPMS):  Nintex Workflow anf Forms - Enterprise Edition Annual Software Assurance"/>
        <s v="Security Awareness subscription with KnowBe4"/>
        <s v="Qualys Vulnerability Management "/>
        <s v="KU DRIVE File Sharing and Synchronization 1000 concurrent users + Collabora 500 licenses using OwnCloud Ent."/>
        <s v="Virtual Desktop Infrastructure Support with Citrix VDI"/>
        <s v="Pulse secure access - KU VPN tool (Pulse Secure) support renewal"/>
        <s v="Time Attendance Software renewal that includes feaures for remote workers"/>
        <s v="Honeypot Security Service with Canary devices &amp; hosted console"/>
        <s v="RedHat Linux Subscription Renewal "/>
        <s v="Blockchain solution for issuing digital records (Student Tarnscripts) for KU Registrar's Office "/>
        <s v="Subscription to Apple Store, Windows App Store, Google Store and App Development program"/>
        <s v="Threat Intelligence Subscription/Domain Monitoring"/>
        <s v="Server Certificate SSL "/>
        <s v="CIS (Center for Internet Security) Security Baseline Scripts"/>
        <s v="NetCobol"/>
        <s v="CreativeCloud for Communications Team"/>
        <s v="TOAD For Oracle Professional Edition Per Seat Maintenance Renewal"/>
        <s v="Interactive Voice Response - Vocalcom IVR Support"/>
        <s v="Educause subscription"/>
        <s v="Academic Software License Management using OpenLM "/>
        <s v="Code Two Auto Email Signature software license maintenance"/>
        <s v="SMS Credits for KU"/>
        <s v="Anydesk software subscription for 1 year for IT support remotely"/>
        <s v="Library Information Access with Ezproxy "/>
        <s v="Digital Signage Support "/>
        <s v="Autodesk AutoCad for Facilities Management - Space Planning Users"/>
        <s v="Telephoone Line usage and DID extensions  rental "/>
        <s v="Mobile Services for KU eligible"/>
        <s v="Internet Leased Line (1Gbps) and DSL lines for KU Main campus, SAN campus and Student Dorms (12)"/>
        <s v="Travel to DR Site at Al Ain and to IT Conferences outside of Abu Dhabi"/>
        <s v="End User Computing Refresh Laptops - Renewal for remaining years of lease for existing computers and additional lease for refresh program and new joiners (Researchers)"/>
        <s v="Computer Accessories and hardware spare parts and maintenance for computers, audio visual components out of warranty/support"/>
        <s v="Network Cabling and Connectivity Services based on Rate Agreement for network passive components (Agreement attached) "/>
        <s v="Classoom Audio Visual Renovations for merged classrooms in Main and SAN Campuses. _x000a_Part 1: AV Accessories"/>
        <s v="Wireless Access Points Maintenance and Unification for KU Main Campus to be based on Aruba Access Points"/>
        <s v="Network Maintenance for Huawei Equipment out of support (Campus Core/Distribution Switches)"/>
        <s v="Telephony UCS License renewal"/>
        <s v="Printing Charges based on current SLA for Leasing Printers and Maintenance Agreement. (Reference Invoice March 2022 ~40K)"/>
        <s v="Computer Refresh program for Mac/Special Computers for existing users and new Macs for new faculty joiners - Total 30 users @AED8.5K"/>
        <s v="Campus Network Equipment Refresh Program for: _x000a_Distribution Switches in Student Dorms (4 Units)_x000a_Access Network Layer (Out of support lifecycle) _x000a_- Phase 2 (2023): SAN Campus + New Campus (130 switches)_x000a_- Phase 3 (2024): KU Main Campus - New Buildings (120 Switches)"/>
        <s v="Major Classroom Renovations to adopt hybrid learning in classrooms, lecture recording and replace old projectors in SAN and Main campuses. _x000a_Scope for Phase 1 in 2023 and Phase 2 in 2024 is described in attached sheet (Classroom.xls)"/>
        <s v="AV equipment for Merged Classrooms in SAN Campus and Main Campus - Part 2: AV Equipment"/>
        <s v="Mobile App Development Platform Solution for Unified KU Mobile App (e.g Modolabs)"/>
        <s v="Application Integration Platform (API Gateway) for process automations"/>
        <s v="Call Management - Imagicle Applications integrated with KU Telephony System - Quote for USD 124,548 for 3Y"/>
        <s v="External Consultants for 5x  new Programs @ 40000 Each_x000a_External Evaluators for Faculty Promotions (35 faculty x 4 evaluators @ $400 (1600AED) each"/>
        <s v="Twinning &amp; other partnership initiatives"/>
        <s v="23 x CAA reaccrediation of programs @ 150K each + 5 x new Programs @ 150K each"/>
        <s v="Local events/conferences/seminars etc_x000a_Hosting well known faculty researchers/faculty for seminars etc 5 @ 20000 each"/>
        <s v="Provost &amp; 4 Assoc. Provost @ 1 conference each @ 20K"/>
        <s v="6 post docs @ 500K National Post Doc Scheme +_x000a_20 faculty @ 30K for Faculty Development Scheme"/>
        <s v="12 x 1000 per month provost office catering_x000a_2 x Faculty Townhalls @ 20K E_x000a_2 x Faculty Council @ 3K E_x000a_FAC x 2 @ 3000"/>
        <s v="MS Teams Licences for generic accounts, for events etc, Provost office"/>
        <s v="4 business trips for Provost+ _x000a_1 x Biz Travel each per Assoc. Provost , all at 40K each"/>
        <s v="Excellence Awards, Prizes &amp; Plaques "/>
        <s v="Computer Equipment/PCs etc for Provost Office Staff"/>
        <s v="Lab Equipment"/>
        <s v="Office Stationery"/>
        <s v="2 Board meetings of about 10 members. AED 10k per meeting."/>
        <s v="Conferences / Events that KU Aero Department will host"/>
        <s v="Students travel to the US for Design Build Fly competetion"/>
        <s v="Assuming 72 SDP students, with AED 5,000 allocated per student"/>
        <s v="International conference travel and registration fee. 1 Conference per faculty."/>
        <s v="12 Faculty Meetings (one per month) + 5 visits by professional organizations to the department."/>
        <s v="Software renewal as per the CoE list"/>
        <s v="2 business trips by the Chair or a faculty to international universities or organizations to promote the department and KU."/>
        <s v="Aerospace Lab Maintenance"/>
        <s v="Publications in open access Q1 journals $3500 per paper"/>
        <s v="Aero Lab consumables (OPEX)"/>
        <s v="Printing services to the department (brochures, posters, handouts, etc)"/>
        <s v="Training/Teaching equipment and other educational aid"/>
        <s v="Lab equipments and IT iteams, "/>
        <s v="Advisory board meeting expenses (2 hours per meeting, 1meeting per year); invitations from abroad, e.g., Cambridge University."/>
        <s v="INTERACTION series: 7 seminars per year; Students' exhibitions (3 per year)"/>
        <s v="Support for IEEE EMBS Chapter (AED10000)+Field trips to hospital labs; students' support in competitions (the total cost is split in five parts)."/>
        <s v="SDP I and SDP II needs, participation in international competitions (the number of undergraduate Senior students are used for the calculation with a cost of AED3000 per Senior student)."/>
        <s v="Faculty conferences and meetings"/>
        <s v="Retreats, faculty meetings (10 per year) and Invited speakers expenses for seminars caterings"/>
        <s v="Software licences for eduactional software: AnyBody Modeling System; SPSS"/>
        <s v="Addition to department specific development trips"/>
        <s v="Annual Service Contracts for BME Labs Major Units; re-installation to new location B building second floor. "/>
        <s v="Open access publications (one per faculty)"/>
        <s v="Chemicals and biologocal reagents for teaching; LN2 and CO2 gases; Consumables; Cloud based remote Biosignal recording consumables; NI myDAQ systems; Electrophoresis and visualization system"/>
        <s v="Toners/Paper"/>
        <s v="Educational aid for online/blended teaching-learning , tablets "/>
        <s v="Spin Coater "/>
        <s v="DEPtech 3DEP"/>
        <s v="fNIRS"/>
        <s v="Keithley (for electrical measurements)"/>
        <s v="Neurofield X3000"/>
        <s v="Nexus Add on Evoked Potentials"/>
        <s v="5-Tile Standard Resolution Strideway System"/>
        <s v="Somatic Vision and accessories"/>
        <s v="High power Computers "/>
        <s v="The PowerLab 26T data acquisition unit"/>
        <s v="Finapres Nova NC System for blood pressure monitor"/>
        <s v="Annual board meeting and advising service "/>
        <s v="Each event coverage is maximum 6000 for student / staff / faculty"/>
        <s v="AED 2500 per trip towards CESPA and security clearnce"/>
        <s v="Per group per smester at 5000"/>
        <s v="Per faculty conference at AED 15000 "/>
        <s v="Towards staff meeeting and depatmnet related events"/>
        <s v="Renewal of existing softwares  and acquisition of COSMOS - RS "/>
        <s v="AED35000 for a maximum of one bussiness trip"/>
        <s v="Publication cost for faculty"/>
        <s v="For consumables and spares, small instrument and maintennace "/>
        <s v="AED 600 per semster for fcaulty and AED 300 for staff"/>
        <s v="AED 10,000 per staff per activity"/>
        <s v="CAPEX 1 of 14"/>
        <s v="Expense per copyright / patent "/>
        <s v="CAPEx 2 of 14"/>
        <s v="CAPEx 3 of 14"/>
        <s v="CAPEx 4 of 14"/>
        <s v="CAPEx 5 of 14"/>
        <s v="CAPEx 6 of 14"/>
        <s v="CAPEx 7 of 14"/>
        <s v="CAPEx 8 of 14"/>
        <s v="CAPEX 9 of 14"/>
        <s v="CAPEx 10 of 14"/>
        <s v="CAPEx 11 of 14"/>
        <s v="CAPEX 12 of 14"/>
        <s v="CAPEX 13 of 14"/>
        <s v="CAPEx 14 of 14"/>
        <s v="Catering costs for 2 CIVE Dept. Advisory Board meetings at KU campus /  10 attendees at AED 200 per attendee"/>
        <s v="KU Policy for Academic Travel within UAE /  Academics who will need to attend events within UAE "/>
        <s v="Class field trips to construction sites. 1 trip for the course CIVE 338 and 1 trip for CIVE 442"/>
        <s v="Expenses to purchase materials &amp; services for the construction of SDP students' designs / AED 3000 per student"/>
        <s v="Expenses to cover the airticket costs of a PhD student's internship at international Universities"/>
        <s v="AED 20000 per Faculty to address the registration, travel &amp; living costs of 1 international Conference per year"/>
        <s v="Renewal of software: Plaxis 3D_x000a_ETABS, Plaxis 2D_x000a_SimaPro "/>
        <s v="Senior Faculty participation in Board &amp; Executive Council meetings of International Organizations and Q1  Journals"/>
        <s v="Expenses for the yearly maintenance of CIVE labs equipment utilized for teaching purposes. Quotes from individual suppliers are included in the folder Maintenance Quotations"/>
        <s v="Open Access Q1 Journal submissions"/>
        <s v="Consumables for the operation of the CIVE instructional labs.  Quotes from individual suppliers are listed per item in the Excel sheet &quot;CIVE OPEX Lab Scientific list&quot; in the folder &quot;CIVE OPEX Quotations&quot;"/>
        <s v="Data Logger for MTS"/>
        <s v="Pavemix, Automatic Asphalt Mixer, 32 liters "/>
        <s v="ELE Compression Machine Missing Loading Parts "/>
        <s v="Sieves Set of 8&quot; and 12&quot; diameter"/>
        <s v=" Benchtop Hyperspectral System"/>
        <s v="Free and Forced Vortex"/>
        <s v="Dynamic Mechanical Analyzer"/>
        <s v="Academic and Industry advisory board meetings and review"/>
        <s v="membership agreements in Intl Org or consortia"/>
        <s v="CAA 25 programs cluster accreditation"/>
        <s v="Support local and KU events and conferences hosting"/>
        <s v="training of DH, faculty and staff"/>
        <s v="UG student projects and competitions"/>
        <s v="Conference travel, 25% of CoE, 1 conference per faculty"/>
        <s v="Retreats"/>
        <s v="software for college requirements to support multi-department shared software "/>
        <s v="Dean/Assoc Dean travel on KU missions"/>
        <s v="Awards for students and faculty"/>
        <s v="equipment support for multi department usage teaching labs"/>
        <s v="Publications in Open access Q1 texts"/>
        <s v="Upgrade and maintenance for CoE shared facilities"/>
        <s v="Hybrid learning technologies"/>
        <s v="One meeting of the DAB of the deprtment.  Hospitality for 7 members and 5 KU faculty."/>
        <s v="Workshop on High Voltage: AED 10000.  Organizers: Drs. Noureddine and Balanthi Beig . Cost calculation details: International expert travel, Food and Accommodation: AED 1000/person. Participants: 10."/>
        <s v="10 field trips trips @ AED 2000/trip . Also IEEE KU students activities (AED 10000) include common design project, engineering design project, industrial project, and community service project plus the IEEE KU student chapter running costs, including inviting speakers and organizing workshops. Also Competitions, like KPC (AED 5000), GPC (AED 15000), and International overseas ones (AED 25000)"/>
        <s v="Number of students x AED 3000 /student"/>
        <s v="20K/Faculty FTE"/>
        <s v=" 6 Department meetings' hospitality. average # of department participants (45) @ AED 100/faculty/meeting. Also for one speaker from local industry per sementer @ 1000 /speaker."/>
        <s v="TOTAL  710.625 (approx, with an expected 25% increase in price in 2023). _x000a_Altium Designer -  2.312K_x000a_PLECS Combo Academic Concurrent License - 2.812K_x000a_LogixPro 500 - 3.5K                                                                                                                                                                                                                                                           _x000a_Rockwell Automation Toolkit - Studio 5000  23.125K_x000a_ETAP - Educational Licenses -18.125K_x000a_Cadence - 265.75K                                                                                                                                                                                                                                                                       _x000a_GAMS (General Algebraic Modeling System)  76.875K_x000a_Synopsys - 188.375K                                                                                                                                                                                                                                                    LabView Academic Site License Teaching  129.75K _x000a__x000a_"/>
        <s v="Honored faculty * gift cost_x000a_Also (Dr Arif's project: Smart Mobile Application Annual Contest 2022/2023/2024: Total Cost: ~300K _x000a_Awards: 3 teams to win 75K, 50K, 25K (Total 150K) Travel support can be given AED 1.5K-3K per person (depending on region) to shortlisted teams based on receipt of tickets and accommodation (twin or triple rooms) up to 15 shortlisted teams can be supported 1-2 from each country (total cost of ~115K). _x000a_Accommodation: twin-triple room (1 night per team) Max of AED 1K per team. Total Cost: 15 K. Cost of publications and event preparation: AED 10K. Catering 150 attendees: 10K "/>
        <s v="Lab Maintenance/Callibration of equipment -  Number of Lab x AED 5000/Lab"/>
        <s v="one paper or page charges / faculty"/>
        <s v="Lab materials, Course project materials and other Consumables  - Number of Labs x AED 10000/Lab"/>
        <s v="2 servers  @ 8000 each,  =16000.  "/>
        <s v="CAPEX equipment. An average price of AED 81.1K for 9 items and a total of AED 1041.55K (Refer attached quotations) _x000a_Dr. Naoufel - Tensorbook ( 160K), _x000a_Dr. Ahmed - Rotary servo station for feedback lab (260K), _x000a_Dr. Beig - Equipment for SDP lab (205K), _x000a_Dr. Jorge - FPGA development board (15K), _x000a_Nishar - All-in-PCs for Automation Lab (85K) ,_x000a_Dr. Beig - Teledyne LeCroy WAVEPRO 254HD  with accessories 316.55K                                                                                                                                                                                "/>
        <s v="Two advisory board meetings"/>
        <s v="ten Students to regiser into local conferences and intl competitions"/>
        <s v="4 student site visits to industry"/>
        <s v="2000 DH per Senior student"/>
        <s v="20K DHs per faculty trip, one trip per faculty"/>
        <s v="4 scoial departmental meetings and events, and 2 retreats"/>
        <s v="28 software license to renew on avergae 6000/ license; detailed with IT"/>
        <s v="1 business travel mission for DH"/>
        <s v="10 publications in open access Q1 to highlight impact"/>
        <s v="A-NDT equipment upgrade for ISYE 275, B- BioPac for Human Factors lab, C- Synertial motion capture suit for visualization lab, "/>
        <s v="printing supplies to teaching labs and department office"/>
        <s v="training and teaching aids misc."/>
        <s v="A- Augmented reality welding with robotics for the manufacturing lab, B- Human Factors lab rehabilitation driving simulator"/>
        <s v="One meeting of the industrial advisory group of the deprtment.  Hospitality for 10 individuals and 6 KU faculty."/>
        <s v="Support for conferences organized locally by faculty.  Costs of visas for invited speakers.  KU appearing as a co-sponsor of the events"/>
        <s v="One training even for each of our two remaining machinists"/>
        <s v="Field trips to ADNOC, Emirates Global Aluminum, Strata (Mubadala), and Shams power station as part of the courses on Turbomachinery, Materials/Metallurgy, and Applied Thermodynamics/Renewable Energy Systems. Additional support for two activities of the ASME student chapter."/>
        <s v="Support for undergraduate students' senior design projects. 100 students per year x 5000 AED per student.  The amoounts will be released early in the semesters and settled at the end against receipts collected from student reimbursements. "/>
        <s v="One trip per year to a top-quality conference for  each of 35 faculty members x 20,000 AED per trip"/>
        <s v="Two deprtmental retreats a year"/>
        <s v="Please, see itemized list of software that is used for educational purposes in the deprtment.  Annual renewal of software, split in two semesters."/>
        <s v="Please, see attached detailed quote. One maintenance contract for the instructional equipment of the department"/>
        <s v="One open-access publication for each faculty member in a Q1 journal. 35 faculty members x 10000 AED per publication."/>
        <s v="Raw materials for machining, electric and electronic hardware, chemicals, gases, as well as tools and hardware.  Itemized estmates per month:  Workshop (Main and SAN): 6000 AED, Solids, Heat Transfer and Fluids labs: 1000 AED, Material Testing lab: 4000 AED, 3D Printing labs: 5000 AED, _x000a_Mechatronics lab:_x0009_2000 AED, Spare Parts for all labs: 2000 AED"/>
        <s v="CAPEX:  Please, see attached detailed quote. SLS 3D Printer. This printer would replace existing and aging Polyjet, multi-material, OBJECT 260 Connex 3D Printer for which very expensive-to-fix breakdowns are frequently encountered. AMCs are not useful for this current printer as they exclude very expensive spares. Throughput is not efficient and 3d print raw materials are exhorbitantly priced with short expiry dates for this existing resource."/>
        <s v="CAPEX: Please, see attached detailed quote. Conductivity of liquids and gases and natural convection experiments to be incorporated in the heat transfer lab."/>
        <s v="CAPEX: Please, see attached detailed quote. MATLAB/SIMULINK-based feedback control techniques and equipment to be incorporated to the Mechatronis lab"/>
        <s v="2 academic advisor services per year "/>
        <s v="2 workshops organised per year"/>
        <s v="1 field trip per year for 8 students 20k per student"/>
        <s v="1 mission per faculty per year, 20 k per mission"/>
        <s v="6 hospitality per year, expansion internaltional cooperation"/>
        <s v="Yearly subscriptions / Quotations in OPEX RDA Lab"/>
        <s v="2 buisness travel per year"/>
        <s v=" 2 open access Q1 publications per faculty per year"/>
        <s v="According to detailed OPEX documents"/>
        <s v="6 doc print per year "/>
        <s v="Videoconferencing system (quotation)"/>
        <s v="According to detailed CAPEX documents"/>
        <s v="Department seminars and exhibitions, etc."/>
        <s v="SPE Student Chapter Activities"/>
        <s v="Satudent senior design projects"/>
        <s v="Academic mission for international and regional _x000a_conferences for 12 faculty members"/>
        <s v="Biweekly department meetings, Seminars,_x000a_Open &amp; Major days and SPE  Student chapter activities."/>
        <s v="OriginPro Software maintenance"/>
        <s v="Kappa Software Renewal"/>
        <s v="BIOVIA Materials Studio Software Maintenance"/>
        <s v="Thermo Scientific™ PerGeos Software Upgrade"/>
        <s v="QRI Speedwise Software"/>
        <s v="4 Gasometers, 4 Flash separators, 2 Rolling ball viscometers"/>
        <s v="Drilling Simulator  Service Maintenance"/>
        <s v="Vinci He Porosimeter and Gas Permeameaters Service, Maintenance and Spare Parts"/>
        <s v="NER Systems Maintenance and Training"/>
        <s v="Grace Core Flood System Service, Maintenance and Spare Parts"/>
        <s v="Rreference library books for graduate students research"/>
        <s v="Q1 open journal publications for 10 faculty members"/>
        <s v="Helium, Nitrogen, etc Gas Cylinders"/>
        <s v="Salts, Chemicals and Solvents"/>
        <s v="Miscellaneous (Tool boxes, timers, calipers, PPE, workstations hardwares, etc.) "/>
        <s v="PE Staff Training and Development"/>
        <s v="Lab 3135 Workstations"/>
        <s v="Lab 3137 Workstations"/>
        <s v="ITASCA SOFTWARE"/>
        <s v="High Ram Deep Learning Workstations"/>
        <s v="Resistivity Core Holders"/>
        <s v="Dual Acting Syringe Pump with logging software and connection cable to PC"/>
        <s v="Individual Core holder - Hydrostatic_x000a_- Capable of accommodating 1.5” diameter and 3” length samples"/>
        <s v="Individual Core holder - Hydrostatic_x000a_- Capable of accommodating 1.5” diameter and 6” length samples"/>
        <s v="Flow through cleaning unit"/>
        <s v="Dean Stark-6 units"/>
        <s v="Vacuum Pumps"/>
        <s v="iDrillSim Cloudbased Software"/>
        <s v="HT Flow Loop System"/>
        <s v="As per the Signed Agreement for Clinical training for MD students between SSMC-SEHA and KU"/>
        <s v="supplemental learning tool in preparation for the basic science exams from P1 - P4 first year of medical school. This resource focus students on material that will be tested on the USMLE for higher success and increases abilitly for international match in the USA or Canada.  "/>
        <s v="High level consultants to review and evaluate or teach faculty and staff what is required to set plans, evaluation and success of students.  USMLE, CAA, Student Health, coaching, external speakers etc. advisory for curriculumn "/>
        <s v="BLS Certification: for P1/P2 students + staff, ACLC Certification"/>
        <s v="to ensure that contaminated waste removal to include blood products, tissue &amp; science matter as properly removed and destroyed."/>
        <s v="1- hosting, presenting and attending at local conferences, networking and learning to increase the KU CMHS visibilty and ranking. 50/6000AED_x000a_2- Department cermonial expenses 4/10000 AED"/>
        <s v="presenting at international conferences, networking and recruitment. Exposure to move to top 100 universities  24/30000AED"/>
        <s v="KAPLAN,MCAT standardized exams, predicting students success and progession academically and benchmark. Standardized patient exams"/>
        <s v="Added 50 new P1 students to have a total of 145 returning for courses this 2023 -2024 academic year. _x000a_Visa processing and health insurance requirments for students_x000a_"/>
        <s v="Travel for student abroad coming to KU for academic studies."/>
        <s v="transport students to and from accommodation and other activities provided by KU"/>
        <s v="Salaries paid to Emirati and expat students for financial support and the ability to focus on academic  studies in medicine to meet standards at the international level.  To reduce this salary puts the students at a disadvantage for cover of living expenses"/>
        <s v="Required standardized exams NBME exam, IFOM, MCAT, USMLE STEP 1 AND STEP 2, Peer tutor for success for international internships. "/>
        <s v="P4 Student internships for 29 students. internships increase knowledge, skill and competencies required to function as an independent medical (general) practitioner and to facilitate entry into postgraduate medical education. Abillity to enter top academic postgrad sites abroad."/>
        <s v="Ongoing research per individual students and with faculty for a total of 145 students who can utilize this as required."/>
        <s v="12 events during the year to support faculty, staff and students related to recognition, visitors, awards, interal workgroups"/>
        <s v="2500 DHS per academic - shipping samples to collaborators nationally and internationally _x000a_samples collection and shipping cost- others"/>
        <s v=" strategically aligned with the Top Ten university goal, this budget meets student academic excellence.  This applies to academic sequel updates to versions for current practice.  Uworld, Lecturio, and others. "/>
        <s v="1750 DHS per academic - shipping samples or documents to collaborators nationally and internationally "/>
        <s v="publishing in Top Quarter Rated Journals to increase visibility of KU and CMHS, top 100 university goal_x000a_Free standing posters, badges, certificates, embriodery, logo pins_x000a_"/>
        <s v="5520 DHS per academic (membership to professional societies e.g. FENS, IBRO, AAMC, AMEE physiological society, pharmacological society, Alzheimer society, American Neuroscience, ASPET etc…)"/>
        <s v="professional travel for Assoc/Asst Deans, faculty or staff as assigned based on international invitations and meetings with academic sites for potential partnerships. "/>
        <s v="3500/Event for students that engage fellowship, appreciation, extra-academic activities, other reward based on the compititon between studnets"/>
        <s v="to protect our high level investment maintenance and support-is required for the number of hardware devices or warrenty may expire for laboratory and advanced learning systems.  This relates to high level competency of students, staff and external clients.  also expansions, new facluty and staff , Wet/Dry labs, renewal for smart collaborative classrooms., neting rooms and other connections for faculty."/>
        <s v="Maintenance of projectors,interactive screens, cameras at each station and main camera. Similator maintenance and warranty renewals_x000a_Care and function of science and technology for major advances in health and medicine, to reach a Top 100 distinction, to have a significant societal and economic impact and increase recognition in publications. _x000a_"/>
        <s v="development of science and technology for major advances in health and medicine, to reach a Top 100 distinction, to have a significant societal and economic impact and increase recognition in publications. "/>
        <s v="These are electronic platform best practice RESOUCES FOR STUDENTS.resources in library for student use to ensure academic success and improve CMHS and KU rankings. "/>
        <s v="medical reference and medical references, books. Purchase of subject specific books required by the departments as they are essintial resources for lecture preparation, resources in library for student use to ensure academic success and improve CMHS and KU rankings. "/>
        <s v="Required to increase h-ndex by publications in Q1 journals and move the Top 100 goal closer to its goal.  Increase visibility and reputation of KU and CMHS by pulications."/>
        <s v="Laundry service, moulage &amp; props, medical disposables, new laundry, medical gas_x000a_small equipments/consumabales for different lab requirements"/>
        <s v="Student supplies, posters, post it, paper, carboard, creative presentation needs, research items"/>
        <s v="Business cards, research promotion, office based stationary, needs for faculty, staff, postdocs, informtionals at conferences etc.."/>
        <s v="Newley requested software to support new facility areas and are required to ensure area is properly equiped. "/>
        <s v="support the Top Ten Goal for KU for the student learning medical education is essential to access resources such as drug information and clinical scoring systems etc for best practice knowledge, USMLE link to success in exams.  Mandotory of CAA accreditation "/>
        <s v="Simulation requirements to simulate real-life scenarios for student education and also external physicians from SKMC per contract. Allows access to practical “hands-on” applications of their theoretical and pratical care in the coummunity for pateints."/>
        <s v="Teaching and Learning needs for students and faculty "/>
        <s v="Business cards, Research fylers, informtionals, use in conferences or local worships, meetings or networking at formal events to promote KU"/>
        <s v="Top 100 Recognition Media, paper, web, search engine, video, hoto shoots, international media digital/other to promote kU CMHS regionally, and internationally. "/>
        <s v="* yearend AED 90,900 + 50,000 addition _x000a_* midyear AED 35,350_x000a_*internal control (ICFR) AED 60,600"/>
        <s v="Gap assessment for the internal control over financial reporting - COSO framework 1*210000"/>
        <s v="Impairment loss implementation for fixed assets"/>
        <s v="Average AED 200/month"/>
        <s v="as of April (39000/4)*12=117000"/>
        <s v="11 license for Fixed asset SYSTEM * AED 2880"/>
        <s v="printing bank transfer letter"/>
        <s v="finance retreat meeting_x000a_17 staff * AED 400"/>
        <s v="Ads to promote Ku AND ATTRACT MORE STUDENTS"/>
        <s v="to run number of events"/>
        <s v="print ads and event details"/>
        <s v="New implementation of system for Competency Framework"/>
        <s v="Taleo Subscription"/>
        <s v="ERP Solution"/>
        <s v="New implementation of system for Appraisal System"/>
        <s v="New implementation of system for Archiving Solution"/>
        <s v="Attendance system enhancment"/>
        <s v="Engagement  programs  "/>
        <s v="Employee Folders"/>
        <s v="Document Translation"/>
        <s v="Inviting candidates for campus visit, Hosting of events eg IAEE, Invited lectures, Workshops, Conferences etc"/>
        <s v="MEED,Frost &amp; Sullivan,MEES, IAEE,Lux Research "/>
        <s v="Collaboration Trips and other Missions"/>
        <s v="IRB Module"/>
        <s v="Per conference"/>
        <s v="Annual License Fee"/>
        <s v="Per Translation"/>
        <s v="Total Cost"/>
        <s v="Estimated 140 proposals x 3 reviewers each @ $150 per review.   Plus 20 Center proposals x 4 reviewers each @ $250k per review"/>
        <s v="AED 20k per FTE for Training/Conference"/>
        <s v="Each project has a defined budget (split by expense type) which is managed at sub-GL level within the ORACLE Projects Module.  Awards have been made through specific funding call cycles."/>
        <s v="These are projects to be awarded in 2023 via a variety of research funding calls (KURIA/FSU/Centers/International Partnerships/Other).  Award value differs depending on the program type."/>
        <s v="Account Code 420900 – Legal Services - Total is  AED 4,978,500  - Priority Filings :YR 2022, to date, there has been 10 Priority filings (5 add’l authorized) and 29 other filings.  (Year End filing cannot be predicted as filings is fueled by Invention Disclosures received/Research Projects). 25-30 fully filed applications are anticipated 44 x AED@ AED 55,500.00/each) = AED 2,442,000_x000a_Coversheet Provisionals: 20 coversheet Provisionals as priority date space holders for immediate public disclosures @$750/each + fees  (AED 3,000) = AED 60,000._x000a_Additional Cost not anticipated, - Filing first applications in Greece due to Greek Law. Anticipated 5 @$1,200 each (AED 4,416) = AED 22,100_x000a_PCT  and X-US Applications: _x000a_10 PCT Filings @ AED 20,000/each {AED 200,000}; 10 Filings in the EP @ AED 15,350 {AED 153,500}; 10 filings in SA (Saudi Arabia) @AED 25,000/each {AED 250,000} and 25 UAE filings @AED 25,000/each {500,000} AED 1,103,500**_x000a_**(This does not include other countries were filings may be necessary due to commercialization strategy) _x000a_Ongoing Prosecution costs_x000a_Responses to examiners actions is various jurisdictions (US and foreign to include translations costs also). _x000a_KU’s patent portfolio is maturing and as the application ages, there is the likelihood for the application to be examined. Last year there were over 25-30 actions due and is steadily increasing and in complexity – to also include foreign filed applications that are being examined..  This also includes the payment of issued fee for allowed cases_x000a_We anticipate 50 actions @$3000 each (AED 11,010) = AED 550,500_x000a_Anticipated costs for ETO and Official Fees AED 90,000_x000a_ AED 640,900_x000a_Reimbursement to co-owners for filed applications and responses filed, such as UMN (University of Minnesota (YTD anticipated $50K)), UAEU and Emirates Steel AED 25,000 =  AED 210,000_x000a_Annuities_x000a_Maintenance and annuities are due for several applications and patents.  Using this service is at a signification cost reduction to the university. WE anticipate annuities and related costs for All foreign and issued US Patents to be ~$60K (AED 220,000)_x000a_Assessments _x000a_Assessment are done by 3rd party vendor TremMonti_x000a_Cost is dependent on type of service requested _x000a_Commercial Assessment/Development of Marketing materials/Technology marketing and Development of Licensing Comparable_x000a_For each Invention Disclosure received – as assessment is requested. _x000a_34 requests @ AED 5,505 /10 requests @ AED 9,175 = AED 280,000"/>
        <s v="Local outreach to other UAE Universities and institutions - open house and TMI Outreach/ Participation in ADNEC Exhibitions"/>
        <s v="Active participation in AUTM, ATSP, and other Technology Innovation Conferences worldwide"/>
        <s v="Account Code 426610 – Computer Software Licenses - Total is  AED 165,000_x000a_(Increase of 5% yearly to 2024 would be in order but not factored in)_x000a_Wellsprings Worldwide_x000a_License Agreement with Wellsprings for use of the Sophia Database for Intellectual Property Database Management.  This is a specialized Cloud-based Data Management System used for managing research and technology commercialization.  This database is used to track Invention Disclosures, The cycle of patent process from cradle to grave; Research Agreements with an Intellectual Property component, such as Licenses, NDAs, MTAs.  All of KU IP Related matters reside in this database.  We currently have Software for License and Service Agreement where an Annual Fee is required_x000a_Fees for each year is below (AED 75,000)_x000a_KtMine: _x000a_Data Analysis and Business Intelligence (Intellectual Property Data &amp; Analytics Platform) and is used to provide Technology Valuation and IP License Benchmarks - AED 15,000.00/yr_x000a_Frost and Sullivan_x000a_Access to their platform provides us with market intelligence to providing insight in our Invention Assessment and IP Filing Strategy (renewable every 12 months @USD$20,000/yr)– AED 74,600.00/yr"/>
        <s v="Tech Transfer Central _x000a_Business &amp; Operation Development – world leading content provider in Tech Transfer and Research Commercialization. It offers a unique, practical, and advanced strategies, case studies, best practices, and expert guidance on a broad range of challenges and opportunities for technology transfer offices and professionals. _x000a__x000a_Tech Transfer Central’s Distance Learning Module – where KU has access, produces 2-3 live webinars each month and has compiled an archive that includes hundreds of recorded programs. The webinars are expert-led, detailed explorations of topics that are relevant to the tech transfer and related communities. - AED 12,000.00/yr_x000a_"/>
        <s v="Please see attached proposal from Ankabut. Includes hosting charges, backup services, hardware support &amp; maintenance, and IaaS management services"/>
        <s v="Support for HPC management software, workload management software, and parallel filesystem software "/>
        <s v="Estimate of cost of event"/>
        <s v="See attached excel sheet for details all software to be renewed"/>
        <s v="Attendance of 2 major domain specific international conferences, and one regional conference."/>
        <s v="Need to expand HPC resouces by a factor of 4. Estimate based on 4 times cost of HPC purchased in 2020. This is to account for new strategic projects"/>
        <s v="Estimated cost of new software licneses that may be needed"/>
        <s v="Catering for VIP meetings_x000a_Catering for the professional training events - Retreat_x000a_Catering for the inhouse workshops_x000a_- retreat invoices &quot;Work Confirmation 156340&quot; were paid from this account  "/>
        <s v="Business Travel for SVP_x000a_To identify detailed frameworks for cooperation and partnership with foreign intuitions to exchange experiences and develop joint programs for student exchange and research project of comment interest. DTR12/15/2021-522 and BMPA12/7/2021-65"/>
        <s v="Prizes and awards for winners or programs , to support in providing awards and prizes for students winning competitions"/>
        <s v="Office supplies"/>
        <s v="Counseling Day"/>
        <s v="vFairs"/>
        <s v="Student Success Open Day"/>
        <s v="Honors Day"/>
        <s v="Community Service Awareness Day"/>
        <s v="UN-SDG Program"/>
        <s v="Entrepreneurship Bootcamp"/>
        <s v="Golden Key International Honour Society"/>
        <s v="Invite professionals to arrange training sessions related to counseling topics"/>
        <s v="Organize workshops related to students personal needs"/>
        <s v="Personality and educational assessment for ex: learning difficulties, dyslexia"/>
        <s v="Material to deliver one day workshop"/>
        <s v="Student Success External Activities"/>
        <s v="Catering for Student Success events"/>
        <s v="Catering for the professional training events"/>
        <s v="Catering for the inhouse workshops"/>
        <s v="Student Success Management System (EAB Navigate)"/>
        <s v="Business Travel for Manager and Heads"/>
        <s v="Awards, prizes &amp; gifts for events competitions"/>
        <s v="Gifts &amp; awards for the guests who are delivering training sessions for the students"/>
        <s v="Gift items, branded KU merchandise for external partners"/>
        <s v="Books related to counseling topics and issues to be available for the students for, for ex: time management, self esteem,.."/>
        <s v="Printing of Booklets, Guides, Brochures, Flyers, etc."/>
        <s v="Advertising and marketing for student success services, events, and workshops"/>
        <s v="Certificates for the students who attended the workshops"/>
        <s v="Materials &amp; consumables items"/>
        <s v="Folders, pens, papers"/>
        <s v="UG &amp; PG Student Orientation Program"/>
        <s v="National Day Celebrations "/>
        <s v="KU Sport Day "/>
        <s v="Iftar Gathering in Ramadan _ KU Residences (Male &amp; Female) "/>
        <s v="Social Gathering &amp; BBQ Night in KU Residences "/>
        <s v="Daily Shuttle Services - Bus - 34 seaters"/>
        <s v="Weekly Transportation Services - 37 seaters"/>
        <s v="Weekly Transportation Services - 50 seaters"/>
        <s v="Personnel - Heavy Drivers and Lady Attendant"/>
        <s v="Fuel Cost"/>
        <s v="Salik "/>
        <s v="Adhoc Trips - Buses - Recreational and Fields Trips "/>
        <s v="Limousine Services "/>
        <s v="Club Day _ Club Fair _ 25 Student Clubs/Chapters "/>
        <s v="Global Day 2023"/>
        <s v="KU Film Festival "/>
        <s v="KU Bazaar 2023 and Entrepreneurship Talks "/>
        <s v="Recreational/Sports/ Local Trips "/>
        <s v="Clubs/Chapters Events and Activities "/>
        <s v="International Trips "/>
        <s v="Catering for UG &amp; PG Student Orientation Program Fall &amp; Spring "/>
        <s v="Catering/ selected Emirati food items for National Day Event"/>
        <s v="Catering /selected food items from international cuisine For Global Day Event "/>
        <s v="Social Gathering &amp; BBQ Night in KU Residences (Male &amp; Female Residences)  "/>
        <s v="Snacks/light food for events, activities, workshops, seminars..etc. "/>
        <s v="Gift cards &amp; vouchers for winners in different competitions "/>
        <s v="Trophies for winners &amp; participants in sports competitions and other competitions"/>
        <s v="Customized gifts for participants in competitions "/>
        <s v="Tools, Materials &amp; Equipment for Sports Activities (Balls for table tennis, volleyball, basketball..etc)"/>
        <s v="PPE and personal tools for sports teams (racket, knee pads, goalkeeper gloves, drawstring bags..etc)"/>
        <s v="Sports uniforms/jersey/training suits for Sports Teams and Coordinators."/>
        <s v="Certificates of Appreciations/Participations With Solid Cover"/>
        <s v="Rollups/Banners for campaigns and events "/>
        <s v="Registration Office team functional expertise development."/>
        <s v="Student Stipend. Rate is not fixed. Please refer to the atatched calculations. "/>
        <s v="Postal to use for document delivery. And cost of graduation folder"/>
        <s v="Textbooks for students. Essential for education progression"/>
        <s v="Needed supplies to serve the registration office operations. "/>
        <s v="Needed stationary to serve the registration office operations."/>
        <s v="1. RefWorks 2. How to publish a research paper 3. Petent seminar 4. Author workshops 5. OrCid Seminar 6. E-resources workshop 7. EMBASE 8. Web of Science webnar"/>
        <s v="1 SLA conference Sharjah 2. SLA conference UAS 3. IFLA conference , Dublin 4. Harvard Business school leadersip courses 5. E&amp;RL conference U.S.A, AATUL Zayed university"/>
        <s v="Local exhibitions such as Najah Exhibition, Sharjah International Show, KU Open Day, Education Interface, AETEX, GETEX, TVET Week, NAPO Tour..etc"/>
        <s v="International Recruitment Trips for UG and PG"/>
        <s v="Givaways and gifts "/>
        <s v="Number of Projects: Al Nokhba Program, Scholarship Digital Campigan, Abu Dhabi Science Festival, Think Science ….etc"/>
        <s v="Webinars and Placement Tests. "/>
        <s v="200 brochures for AED 2.50"/>
        <s v="20-30 workshops and webinars"/>
        <s v="4 conferences for AED 15,000 each"/>
        <s v="10 Faculty Mini-Grants, and Accreditation &amp; Faculty Fellowship"/>
        <s v="workshop and training for AED 15,000  / symposium for AED 15,000"/>
        <s v="guest speakers, honorarium and  blended courses"/>
        <s v="tools/software for exam, collaborative, survey, assessment, project management, authoring, polling, learners reporting, statistics, awards and management"/>
        <s v="faculty and student competition, activities, and services"/>
        <s v="Upgrade and fix the learning spaces and workshop areas into quiet and individualized environment that meet the minimum standards. "/>
        <s v="Teaching and learning resources including access to as e-books  "/>
        <s v="Stationery supplies and resources not in the store"/>
        <s v="Converting face to face courses to hybrid format (SME, ID, IT) and developing blended online courses (SME, ID, IT)"/>
        <s v="overseas conferences for staff"/>
        <s v="Career Fair, Alumni Reunion, Majors Day and Employer Recognition -  event organization/ venue setup"/>
        <s v="Outsourced: Career Development Course Content"/>
        <s v="International placements: to cover accomodation, travel expenses, air tickets and per diem"/>
        <s v="To cover the various events held during the academic year"/>
        <s v="Systems renewal cost"/>
        <s v="Trophies for participants in major events as an appreciation for their contribution to further students career development "/>
        <s v="branding and collaterals, flyers and handbooks to be printed for events "/>
        <s v="Conference/ seminars for the Manager and to participate in local exhibit to promote the KU Continuing Education activities."/>
        <s v="Outsourced Fee for  57 days @ AED 1384/daily"/>
        <s v="Catering services Expected 20 training &amp; worshop F2F with 20 participants each workshop"/>
        <s v="Printing supplies for students at AED 2000 per training session for 10  trainings/worshop that required printing training materials"/>
        <s v="Training supplies for students attending the 12 trainings/ workshops ( Pens, pencil, note pads, flip chart paper, white board markers and etc."/>
        <s v="Yearly marketing campaign to promote KU-CE to increase visibilty through a digital platform  between  20-25 courses yearly."/>
        <s v="Number of PhD students graduating - Refer to attached Itemised Details"/>
        <s v="Refer to attached Itemised Details"/>
        <s v="Number of students expected to apply for conference funding - Refer to attached Itemised Details"/>
        <s v="Not required - zero MI legacy students eligible for graduation rewards after 2022."/>
        <s v="Number of eligible expat students - Refer to attached Itemised Details"/>
        <s v="2022/2023 new graduate students number 758"/>
        <s v="Number of students expected to apply for field trip - Refer to attached Itemised Details"/>
        <s v="Number of students expected to apply for internship - Refer to attached Itemised Details"/>
        <s v="Number of trips per year - Refer to attached Itemised Details"/>
        <s v="General cost for the office - Refer to attached Itemised Details"/>
        <s v="Number of PhD students - Refer to attached Itemised Details"/>
        <s v="Standard Cost according to policy"/>
        <s v="Academic/missionContinue to build collaborations through networking with world class entities."/>
        <s v="Subscription/MembershipKeep faculty and staff informed of new information and methods"/>
        <s v="Materials/ConsumablesDevelope high quality labs for top teaching"/>
        <s v="Keep faculty and staff informed of new information and methods"/>
        <s v="MCAT registration and travel expenses - estimated at 7000 AED per student"/>
        <s v="PMB teaching resources for instructors"/>
        <s v="Teaching costs for PMB  students"/>
        <s v="Kaplan Contract renewal for PMB preparation courses and resources (Based on signed statement of work) - to be renewed in May 2023"/>
        <s v="one bus"/>
        <s v="each conference"/>
        <s v="one software"/>
        <s v="4 journal subscriptions"/>
        <s v="open source publication costs"/>
        <s v="Standard rate provided. We expect to submit to CAA an updated Masters programme."/>
        <s v="We expect to run two 1 day events. One will be around materials chemistry, one around forensics"/>
        <s v="Advertising new MSc and strengthening PhD knowledge in the market"/>
        <s v="10 visits to schools and related venues for outreach activity."/>
        <s v="Printing of posters for conferences, laboratories, schools' outreach and related activities"/>
        <s v="Strengthen relation of BSc tracks with industrial / professional organisations. 2 trips for each of our four BSc final tracks"/>
        <s v="To support exploratory research for 2 PhD students in the department. Other students will be funded by grants."/>
        <s v="To support exploratory research for 2 MSc students in the department working for 10 months. Other students will be funded by grants."/>
        <s v="12 senior BSc students each working for 5 months"/>
        <s v="24 faculty at 15000 per conference (NB: increase in number of faculty from 2022)"/>
        <s v="Visits for Chair and/or senior staff to potential collaborating institutions to set up research collaborations."/>
        <s v="Chemistry seminar series inviting distinguisjed speakers/visitors to give research lectures."/>
        <s v="Meeting of advisory board for BSc / MSc programmes - rate as circulated"/>
        <s v="Meeting of advisory board for Materials Chemistry Research Centre expected to be established in July 2022"/>
        <s v="Spartan molecular modelling for undergraduate students. Budget taken from CoAS Academic Software list."/>
        <s v="Subscription to Cambridge Crystallographic Data Centre. Important resource of researchers and also used in Sophomore and Senior teaching. Cost GBP6305.80.  Quotation Chem1"/>
        <s v="Chemdraw programme used for all chemistry students (UG &amp; PG)  and faculty. Rising numbers in Chemistry mean an upgrade to Medium licence - up to 300 users. Cost US$8500.  Quotation Chem2."/>
        <s v="Gaussian16 molecular modelling .  New faculty joining ned tis for their work - can also be used in teaching. Cost US$6900.  Quotation Chem 3"/>
        <s v="Molpro molecular modelling .  New faculty joining need this for their work - can also be used in teaching. Cost US$2950 for 3 yr licence.  Quotation Chem 4"/>
        <s v="Gifts etc. for outreach / open day work with prospective students. Based on 2018 (last year pre-covid) expenditure"/>
        <s v="In 2022 chemistry ran 16 courses with laboratories. For 2023, five additional laboratory courses are running due to (a) introduction of more PhD courses, (b) new MSc courses and (c) introduction of two new tracks into the fourth year of the BSc. Undergrad. student numbers will increase from 11 in year 3 to 24.  This budget covers maintenance (only) of instruments, replacement of small items e.g. stirrers, hotplates, thermometers, pH meters). Also, cost inflation for lab. type apparatus is ruinning at around 10%.  So, 2022 budget +10% and multiplied by (16 + 5) /16 to account for new courses."/>
        <s v="There are 6 new faculty members joining chemistry and some modest support will be needed to enable them to get research off the ground."/>
        <s v="Chemistry department is responsible for managing the new Chemical Crystallography Laboratory in Arzanah. There are three high value instruments and a mantenance contract is needed to cover their repair etc in the case of breakdown."/>
        <s v="Publication or open access charges for high quality (Q1, IF&gt;6, top 10%) journals. Average cost is $/€ 3-4000, we aim for 15 papers."/>
        <s v="In 2022 chemistry ran 16 courses with laboratories. For 2023, five additional laboratory courses are running due to (a) introduction of more PhD courses, (b) new MSc courses and (c) introduction of two new tracks into the fourth year of the BSc. Undergrad. student numbers will increase from 11 in year 2 and 3 to 24.  This budget covers consumable chemicals, classware, small items of laboratory use - bottles, sample tubes etc.  Also, cost inflation for lab. type apparatus is ruinning at around 10%.  So, 2022 budget +10% and multiplied by (16 + 5) /16 to account for new courses."/>
        <s v="We moved from the main campus (laboratory capacity 18) to SAN where labs have a higheer capacity - 36. Thus, to maintain the industry standard of education, we need to add workstations (glassware, small items) to accommodate these additional students. The number of freshman course sections is increasing from 10 - 15. Thus a one-off injection of funds to equip the laboratories is needed."/>
        <s v="Chemistry department is responsible for managing the new Chemical Crystallography Laboratory in Arzanah. There is a need for small items of consumable glassware and chemicals to operate the laboratory."/>
        <s v="Small microwave reactor. We are introducing a new course in medicinal chemistry and students need to be able to synthesise compounds. Because of short class times, an accelerated method is needed. These units are widely used for similar purposes in other universities and are also becomomg industrially accepted as good modern practice. Not funded in 2022. Quotation Chem6"/>
        <s v="Photocatalytic reactor set up. This is a major research effort of the department and will support research of several faculty, RAs and research students. It can also be used in teaching an undergraduate experiment and for senior projects.. This model is particularly suited to our needs. Quotation Chem7."/>
        <s v="Not funded in 2022. Multiport Physisorption/Micropore Analyzer. This is needed to support the work of 5-6 faculty as well as newly apointed faculty. Currently, samples have to be sent to other universities for analysis. Also, used in two undergraduate classes. Updated Quotation Chem8"/>
        <s v="Originally scheduled for 2024 but needs to be brought forward due to the state of the current instrument. Chromatography-mass spectrometry system. This is to replace a currently 20+ year old machine which the service engineers say is past its useful lifetime. The quotation is old but advances in technology mean the prices will be similar. Used in undergrad teaching as well as environmental research and projects. Quotation Chem9."/>
        <s v="Semi-preparative HPLC. Used for prepation and purification of biological samples - in research and senior projects. Existing instruments are unsuitable due to the pump requirements. Quotation Chem10"/>
        <s v="Triple block reactor system. Allows acceleration of synthesis by running in triplicate. For teaching and senior projects. Quotation Chem11"/>
        <s v="Benchtop NMR spectrometer.  The main instrument is in BuHasa but researchers need a small instrument to rapidly check their samples in the research building. This is an economical alternative to a second instrument. Quotation Chem12"/>
        <s v="Potentiostat system. Used to investigate electrochemical reactions. Needed for teaching, student projectrs and research - cannor easily be moved between buildiigs, hence the duplicate. Quotation Chem13"/>
        <s v="Electrochemistry workstation (US$11220). Will enhance undergraduate teaching (1 unit) but also support research of new faculty (1 unit) joining Aug. 2022. Quotations Chem14"/>
        <s v="Conducting polymer testing set-up. Will support projects and rsearch of several members of faculty, including new faculty joining Aug. 2022. Quotation Chem15."/>
        <s v="Microscope for traininig students on Forensic science track.  Cost €34700. Quotation Chem16."/>
        <s v="Fluorescence attachment to enhance capabilities of one microscope. Cost €36250. Quotation Chem17."/>
        <s v="Apparatus: As a result of the move to Arzanah, some equipm,ent needs to be duplicated as it can't be used in a different building. Combined Quotation Chem18."/>
        <s v="Photoelectric cell.  Will support research (several faculty) in univesity priority area of photcatalysis. Quotation Chem19."/>
        <s v="Gas chromatograph.  Needed to interface to a research kit. Existing units cannor be used for this purpose as it needs to be set up permanently attached to irradiation systems. Quotation Chem20."/>
        <s v="Faculty participation in local event"/>
        <s v="bring an iternational workshop to our department"/>
        <s v="International conference presentation by faculty"/>
        <s v="Academic mission visit"/>
        <s v="1 visit a year for a high profiles talk+ 4 regional talks "/>
        <s v="Department Retreat"/>
        <s v="Software for teaching MS/PhD optical physics and Advaced computational courses"/>
        <s v="Business travel "/>
        <s v="Research Publication"/>
        <s v="spectroscopy technique for phys 703"/>
        <s v="metal grids type 1 for teaching students phy 705"/>
        <s v="metal grids type 1 and type 2 for teaching students phy 705"/>
        <s v="ACR MRI Phantom, CTDI CTwater Phantom, and Water Equivalent slab phantom , and Ultrasound test phantom     Medical Physics Program"/>
        <s v="Roos Chamber, 2 Semiflex two chambers, and Oley Double sided apron   for Medical Physics Program"/>
        <s v="Equipment for Teaching lab"/>
        <s v="Hardware and computer for teaching students Phys-701 Advanced Computational Physics Course"/>
        <s v="Pump-probe THz set up for MS/PhD optical physics courses"/>
        <s v="portable ultrasound   for Medical Physics Program"/>
        <s v="10-mJ class femtosecond pump laser and the THz setup with supply units (data acquisition and control devices, cryocoolers for THz sources and sample, vacuum pumps for teaching MS/PhD students optical physics courses"/>
        <s v="Radioisotopes Cabinet  for Medical Physics Program"/>
        <s v="Student Field Trips/historical calculations"/>
        <s v="Academic Mission/KU formula"/>
        <s v="estimate - 25 people - "/>
        <s v="existing licenses"/>
        <s v="expenses from 2022"/>
        <s v="Materials consumables/historical calculations"/>
        <s v="Meeting of MSc Advisory Boards 2 per year.  Calculated at Standard Rate"/>
        <s v="Encourage faculty participation in major research organizations"/>
        <s v="CAA Accreditation Visit for MSc I&amp;E; MSc Computational Finance; 3 additional CoAS degree programs.  Calculated at Standard Rate."/>
        <s v="Advertising to UAE and International community the business programs available at the university."/>
        <s v="Represent university at various local conferences such as NAJAH; FINTECH; Host several local conferences to publicize university achievements and opportunities.  Calculated at standard rate."/>
        <s v="Represent university at various internationall conferences such as PRME; AACSB; Host several international conferences to publicize university achievements and opportunities.  Calculated at standard rate."/>
        <s v="Trip to Bloomberg Facility in Dubai. Expand use of local sites as part of diversification of electives and innovations in teaching.  Calculated at standard rate."/>
        <s v="Encourage faculty participation in major research organizations."/>
        <s v="Staff and faculty recognition"/>
        <s v="IBM SPSS Statistical /Modeler Software License"/>
        <s v="Membership subscriptions in professional organizations such as Academy of Management; AACSB; PRME; and others"/>
        <s v="Travel to international institutions to conduct university busienss such as recruitment, collaborations, professional exchange programs.  Calculated at standard rate"/>
        <s v="Support student and faculty excellence.  Provide team building and improve productivity and trust."/>
        <s v="Support faculty and staff"/>
        <s v="Academic Publications such as The Economist; Journal OF Finance; Journal of Leadership"/>
        <s v="Provide training and development to faculty to improve skills.  With such courses as Evelyn Wood Reading Dynamics; Microsoft Office Skills; Computer User Skills."/>
        <s v="Advertising Services/Multiplication"/>
        <s v="Education outsource/Multiplication"/>
        <s v="Student Activity/Multiplication"/>
        <s v="Student Projects/Multiplication"/>
        <s v="Multiplication of number of academic missions by the estimated average"/>
        <s v="Department License of Mathematica"/>
        <s v="expected number of Q1 departmental publications times unit rate of 15000 AED"/>
        <s v="Membership/SubscriptionsFixed part plus a rate for each deparrment faculty 1282 + 42*51 = 3424 USD (for 2023)"/>
        <s v="Monthly seminar and guest"/>
        <s v=" return trips and local expenses for each of the advisory board members (40000AED each)"/>
        <s v="150000 AED are estimated per event, covering organization costs per unit participant of about 15000AED"/>
        <s v="Hardware &amp; peripherals-Peripherals &amp; Infrastructure Components"/>
        <s v="Variable according to the nature of the field trip. Local overnigth (2500 AED per student); international (25000 per student); daily (1000 AED for transportation). Calculated taking into account the number of UG, MS, and PhD students."/>
        <s v="Based on projected number of faculty in 2023; one conference per faculty at 15000 AED"/>
        <s v="Total cost of licences renewal for various software"/>
        <s v="Cost of publication in Q1 journals (c. 10000 per faculty)"/>
        <s v="Maintenance and Consumables for department equipment and teaching labs needed for UG and PG courses, and undergraduate research "/>
        <s v="New Computers for Earth Sciences lab"/>
        <s v="Fumehood to replace old fumehood in 3236 (back corner) - over ten years old, is not actually suitable for any of the chemical work it is used for - acid prep for courses, sample staining etc "/>
        <s v="Isoprime IRMS + acessories and maintenance "/>
        <s v="Elemental Analyser"/>
        <s v="Thin section equipments"/>
        <s v="Terrain Scanner - Leica"/>
        <s v="Centrifuge"/>
        <s v="Replacement for loss of any minor equipments i.e. balance, microbalance, gold coater, heating plates, pH meter, temperture probe etc "/>
        <s v="Deionized water system (Millipore)"/>
        <s v="Student activities &amp; field trip expenses/cost per student"/>
        <s v="Conference Participation/Cost per faculty"/>
        <s v="Departmental &amp; Advisory Board meetings"/>
        <s v="ChemDraw &amp; Prism GraphPad"/>
        <s v="Advisory Board meetings"/>
        <s v="Student Competitions"/>
        <s v="Operational, maintenance &amp; spare parts for LCMSMS &amp; Oxford Nanopore sequencers"/>
        <s v="Open Access Publication/Cost per publication"/>
        <s v="Chemicals and consumables for teaching lab"/>
        <s v="Printers and printer cartridges"/>
        <s v="Capital instruments for teaching and research"/>
        <s v="3 Consultant @AED2000 for 3 months engagement"/>
        <s v="Academic Quality Assurance Software Product @$150k"/>
        <s v=" Attending 8 summits/conferences for the staff @AED1500 for 8 days + tickets@AED15,000 "/>
        <s v="The total spends of this account is U6:U14ona monthly basisi operations which is varies from  (general DM campaign, news content preperation, magazine content development, proffesional photography a dn videography for the uni, daily web content updates including video, photos, infographic)."/>
        <s v="This includes updating content in the website, creating pages, creating websits and new system."/>
        <s v="This includes Storyboard, Style frame, Music, Editing "/>
        <s v="This is to improve the search of rhe university ranking on the google search engen"/>
        <s v="Creative concept, pre production, 3-4 days shoot, filming crew &amp; equipment, "/>
        <s v="This includes Photoshooting secions for Facultty &amp; Staff"/>
        <s v="This includes branding for the university rank"/>
        <s v="This includes monthly basisi operations which is varies from (TV commersials, radio, Social Media)"/>
        <s v="This includes the major conferences partisipation such as (WFES, AQDAR,)"/>
        <s v="This includes the major exhibitions partisipation such as (ADIPEC, IDEX, NAJAH, AD Book Fair)"/>
        <s v="This includes the major Events hosted such as (Graduation,  National Day,KU Century Challenge  )"/>
        <s v="This includes the major Global conferences partisipation such as (ICRA, IROS, IMSH, AMEE,Ottawa Conferences,AAMC Annual conferences,LCI)"/>
        <s v="Use for CSR projects "/>
        <s v="We have a media monitoring subscription, and media management for local and international press distribution and management."/>
        <s v="This includes engagemement with exernal local and international media outlets"/>
        <s v="This includes our printing of all marketing collatorals for conferences, exhibitions, gift items, invitations, marketing documents, KU's general publication, stationar, and items for inperson events"/>
        <s v="Company profile, Window branding stickers, Designing brochures,Magazain "/>
        <s v="Rollups, Brochures, certificates,"/>
        <s v="Posters, Flyers,  leaf let &amp; Agenda, Envelpoes, Cards (Z-card, graduation card, Business cards.) "/>
        <s v="KU Times Magazain, Shopping bags, Notebook (A6, A5,A4), pens"/>
        <s v="This includes gifts for out VIP and non VIP events and visits"/>
        <s v=" Includes the KU's commersial merchandise to be distributed during events and conferences"/>
        <s v="Includes prizes use in Challenges &amp; Competions (medals, tophies, backpack,)"/>
        <s v="Gifts for Ramdan,National day, Eids (Coffee Mugs, Adapter, USB) "/>
        <s v="Our yearly news subscription (magazines, newspapers) locally and globally"/>
        <s v="Items for the omedia office use such us softwares and hardwears like cameras, lenses, lights, tripods, microphones. "/>
        <s v="To purchace MAC supported harwears and application to help the department in development of the ongoing inhouse projects "/>
        <s v="Caterings requests/Meetings/Retreet/Workshop"/>
        <s v="For costs connected to Senior Management business trips within and outside UAE, including travel costs, per diem and registrations"/>
        <s v="Special Projects( Projects that gets assigned by the chairman and the board) Like Khalifa COVID FACE MASK and Satellites."/>
        <s v="For payments made to collaborating institutions, as part of partnership agreements. This would include a potential affilation partnership for the greaduate school of busineess 15M."/>
        <s v="Conferences, seminars and exhibitions and other events: - Local Events"/>
        <s v="Entertainment and hospitality"/>
        <s v="Business Travel - Combined expenses"/>
        <s v="HSE Day and other small events"/>
        <s v="Purchase Requirement"/>
        <s v="Subscriptions and membership"/>
        <s v="OSHAD Requirement"/>
        <s v="Surveillance Audit of ISO Standards &amp; OSHAD Audit"/>
        <s v="IAQ"/>
        <s v="Blanket Contract for Clinic Supplies"/>
        <s v="Blanket Contract for Environment Monitoring"/>
        <s v="Capacity Buiding (Center- IOSH, Safety Courses &amp; NEBOSH)"/>
        <s v="Calibration of EHS &amp; Clinic Instrument"/>
        <s v="Blanket Contract for First Aid Kit Supplies"/>
        <s v="Dosimeter Services"/>
        <s v="Blanket  Contract for EHS Signage"/>
        <s v="3D Evacuation Map"/>
        <s v="Eniscope Software"/>
        <s v="Emergency Notification System"/>
        <s v="EHS Components"/>
        <s v="First Aiders Competency Requirement"/>
        <s v="Soft Service Payment to West Coast against Contract C303."/>
        <s v="Soft Service Payment to West Coast against Contract C 303"/>
        <s v="Soft Service Payment to West Coast against Contract C303"/>
        <s v="movement request"/>
        <s v="Qruin AlAish Masterplan "/>
        <s v="PMO"/>
        <s v="PMO SAN Accommodation (ADIO)"/>
        <s v="SAN Campus-rent temporary land as temporary parking"/>
        <s v="MASDER complex 2022 rental "/>
        <s v="MASDER complex 2023 rental "/>
        <s v="MASDER complex 2023 rental shortage for 275 students - new requirment from student services FY22/23"/>
        <s v="SAN Student Rentail Accommodation 4 month for total of 700 students FY23 (Sep-23 to Dec-23)"/>
        <s v="Security Services Main Campus "/>
        <s v="Security Services SAN Campus Hostels "/>
        <s v="Security Services SAN Campus "/>
        <s v="Security Services MASDAR Leased Hostels "/>
        <s v="ISO - Space planning "/>
        <s v="Insurance - Finance"/>
        <s v="Business Travel"/>
        <s v="FM Hard Services Contract Agreement "/>
        <s v="Spares  for FM hard services above Threshold of AED 2500.00"/>
        <s v="Hassantuk annual renewal fee"/>
        <s v="installtion of Safe access doors for AHU / FCU etc. in student hub / Engg. Building.New building  :HVAC: "/>
        <s v="Upgrade Elevator e-link emergency call phone in  New Building "/>
        <s v="Repainting of classroom in old buildings-."/>
        <s v="Refurbishment of fountain - old buildings "/>
        <s v="Interconnection water supply line from New extension (water tanks)  to old buildings for emergency outage "/>
        <s v="Existing building : Roof shade louvers  painting works -All existing buildings "/>
        <s v="LCP upgradation in Satah"/>
        <s v="LCP upgradation in Ummshaif "/>
        <s v="Repainting of flats for female Accommodation"/>
        <s v="Repainting of flats for Male dorms"/>
        <s v="Repainting of offices "/>
        <s v="Repainting of umm lulu carpark shade structure"/>
        <s v="Repainting of wooden pergolas in Zarkuh and Arzanah"/>
        <s v="Masdar for 12 months Payment -2023 (Cofely) "/>
        <s v="Service charge for MASDER "/>
        <s v="Spares part"/>
        <s v="B04 A1 - Cooling charges"/>
        <s v="B04 B  - Cooling charges"/>
        <s v="Bldg decoration &amp; minor improvements (ECM)"/>
        <s v="Residential furniture and fixtures ( petty cash )"/>
        <s v="mattresses"/>
        <s v="Sports and other recreational supplies: Students"/>
        <s v="Command Centre Main campus"/>
        <s v="Outdoor retail praperation, Food Truck, seating area, hoarding"/>
        <s v="Khalifa University Space Technology and Innovation Center (KUSTIC) phase 2"/>
        <s v="HR Office Layout redesign and implementation"/>
        <s v="Main Campus Markeitng &amp; IPR shared Offices, Building E Level 2"/>
        <s v="Main Campus SPV Office Creation , Building E, Level 4"/>
        <s v="Main Campus Associate Provost Office Creation, Builiding C, Level 3  "/>
        <s v="Data Center chiller operational issue  : Long time solution and upgradation works ( Additional DC units )"/>
        <s v="Modify multipurpose sports hall light with LED lights ( Current CFL light are obsolete )"/>
        <s v="Supply and installation of Package units (15 no's ) "/>
        <s v="Replacement of existing exhaust fan - 4 sets "/>
        <s v="Supply and installation of GRP water tank - old buildings "/>
        <s v="Supply and replacement of Manual Pull station ( 45 no's) -old buildings "/>
        <s v="Supply and replacement of smoke and heat detectors with base ( 160 no's) -old buildings "/>
        <s v="Upgradation of capacitor bank - old buildings "/>
        <s v="Replaement of Emergency light and exit light in old buildings "/>
        <s v="Replaement or Fume hoods replacement( Ductless fume hood )"/>
        <s v="BMS for  existing buildings (Connect existing building HVAC system to AZBIL BMS ) and upgrading new builiding sysgtem to cloud base system"/>
        <s v="Upgrading of Centralized UPS sysem  for L , R &amp; G  Building  (Existing building)"/>
        <s v="Replacement fo 4 feet light fittings with LED light  in  Existing building G"/>
        <s v="Modify the existing street lights with solar LED lights  ( 14 no's ) "/>
        <s v="Supply and installation of split AC units (10 no's )"/>
        <s v="Installation of master clock - old buildings "/>
        <s v="  External  Security Cabin   for  security station ,  at main campus"/>
        <s v="Modificaiton of flush system and exhasut system in the existing builidng "/>
        <s v="Supply and installation glass panel with LOGO – G &amp; L Building at Main campus"/>
        <s v="MEP &amp; CIVIL Configure room A03031 for Academic Affairs collaborative teaching and learning advancement (CMHS)"/>
        <s v="MEP &amp; CIVIL Construction supply and installation of self contained colld store for 8 bodies (CMHS)"/>
        <s v="MEP &amp; CIVIL Classroom Fit Out (6 no.) (CMHS)"/>
        <s v="MEP &amp; CIVIL Supply and installation of Perimeter benhes and under counter cabinets and drawers - 5 x rooms, 4th flr bldg A (CHMS)"/>
        <s v="MEB &amp; CIVIL Staging room &amp; Support spaces - CAVE (CMHS)"/>
        <s v="LECTURE HALL Design, supply and installation - Modification and Functional Upgrade (CMHS)"/>
        <s v="Modification works adding new turnstile gates in Gate no :1 &amp; 2 ,Main campus"/>
        <s v="Habshan Building Renovation"/>
        <s v="Command Centre SAN campus"/>
        <s v="HVDM lab construction fit-out"/>
        <s v="Arzanah convertion to GSO"/>
        <s v="Facilities Upgrade, Tolits Proejct (Bu Hassa, Um Sheif, AlRwuis, Arzanh)"/>
        <s v="Road connection SAN to Arzanah"/>
        <s v="Arzanah Cove light &amp; spot light replacement"/>
        <s v="Supply and installation of chin link fence in KU plot area (unfenced area only)"/>
        <s v="Implementation of LCP in  Buhasa"/>
        <s v="Providing master clock system in  Bu Hasa"/>
        <s v="Providing master clock system in Umm Shaif"/>
        <s v="Supply and Installation of VFD in Ruwais, Schneider 11Kw/17 Units"/>
        <s v="Repalcement of FAHU at Buhasa Building (2 Units)"/>
        <s v="Supply and installation of Access card system for remaining lab and offices"/>
        <s v="Interlocking tile replacement for female hostels including road marking"/>
        <s v=" LCS &amp; LED lights installation at Ruwais building"/>
        <s v=" Pole  lights fittings replacement works with LED at Foot ball field"/>
        <s v=" Pole  lights fittings replacement works with LED at Basket ball field"/>
        <s v="Replacement of lights with LED in Work shops and ware house"/>
        <s v=" LCS &amp; LED lights installation at Bu Hasa building"/>
        <s v="Fase ceiling replacement at Bu Hasa building"/>
        <s v="Replacement of wash basin mixers with sensor mixers"/>
        <s v="Central Gas network for arzanah  lab (Phase 2/1)"/>
        <s v="Mosque renovation with temprary mosque facilities"/>
        <s v="Upgradition of chiller control cables form flat to round type"/>
        <s v="Replacement of Car park fabric  shade and repainting in Arzanah phase 2"/>
        <s v="Replacement of Car park fabric  shade and repainting in Takreer parking"/>
        <s v="Furnishing (Cubical,Chairs,Tables,Lab"/>
        <s v="Medical equipment, High Fedility Simulators, Task Trainers ( MS)"/>
        <s v="Construction supply and installation of self contained colld store for 8 bodies (MS)"/>
        <s v="Configure room A03031 for Academic Affairs collaborative teaching and learning advancement Medical School Furniture"/>
        <s v="Class room fit out  (6 no) MS"/>
        <s v="Supply and installation of Perimeter benhes and under counter cabinets and drawers - 5 x rooms, 4th flr bldg A"/>
        <s v="Fit out  Staging room &amp; Support spaces - CAVE (CMHS)"/>
        <s v="Fit out LECTURE HALL  (CMHS)"/>
        <s v="ANATOMY LAB Plastinated Specimen, Somso 3D models and other pathological specimens for the Museum (CMHS)"/>
        <s v="ANATOMY LAB Office Fuirniture - Coat stand, hooks, cabinets, chairs and Stools (CMHS)"/>
        <s v="Furniture for new Biology labs and office"/>
        <s v="integrated BMS iICCC Platform"/>
        <s v="Clinic - Mnapower"/>
        <s v="AL QUDRA SPORTS MANAGEMENT- Manpower"/>
        <s v="KU Call Centre Manpower"/>
        <s v="Provision of administration services manpower"/>
        <s v="Provision of tea boys and office boys services"/>
        <s v="vehicle registrations in accordance to the new prices and fees"/>
        <s v="Renewal for the mailbox and the senior management courier"/>
        <s v="Electricity consumption"/>
        <s v="Water consumption"/>
        <s v="Clinic Consumables"/>
        <s v="Gov Fees"/>
        <s v="4 Shuttle buses and 4 driver "/>
        <s v="Vehicle Type - Requirement"/>
        <s v="Vehicles regular Maintenance for 14 fleets vehicles which is AED 10,0000"/>
        <s v="Catering - Kitchen Supplies"/>
        <s v="Fuel Consumptions for 14 vehicles at AED 2,000 Each vehicle"/>
        <s v="Full Insurance for 14 vehicles "/>
        <s v="ID Card Printing Supplies"/>
        <s v="For expenses related to Academic boards, including Presidents Advisory Council. This includes travel cost, accommodation and honorarium."/>
        <s v="For payments made to collaborating institutions, as part of partnership agreements. This would include a potential affilation partnership for the greaduate school of busineess 5M"/>
        <s v="Includes all types of consultancy, including academic and research consultancy. This does not include consultancy related directly to a capital asset or consultancy that are advisory in nature."/>
        <s v="Includes all expenses connected with event expenses hosted/participated inside UAE. Does not include faculty conferences."/>
        <s v="Includes all expenses connected with event expenses hosted/participated outside UAE. Does not include faculty conferences."/>
        <s v="Including catering charges &amp; farewell/welcome gatherings"/>
        <s v=" includes University sponsoring out side events/initiatives"/>
        <s v="For costs of gifts including those for VIP guests (excluding those given as part of an event expense)"/>
        <s v="No of SME/staff * No of audits"/>
        <s v="No of SME/staff "/>
        <s v="Renwal Software Each User / year"/>
        <s v="external expert investigators"/>
        <s v="Celebrate malison achievements / catering request for compliance team workshop gathering  "/>
        <s v="Compliance Modules for awareness and training purpose"/>
        <s v="legal Documents Translation"/>
        <s v="Consultancy services"/>
        <s v="Court/membership"/>
        <s v="International Conference on Science, Technology, Engineering and Management 2023-03-20/ International Conference on Recent Innovations in Engineering and Technology"/>
        <s v="Awards given to your employees for performance-related reasons"/>
        <s v=" business mission for support services development / Training"/>
        <s v="Upcoming planned workshop and event for the Support Services"/>
        <s v="Not requested"/>
        <s v="Itemized details based on quotations (refer to tab 2023 budget breakdown)"/>
      </sharedItems>
    </cacheField>
    <cacheField name="2023 Budget " numFmtId="0">
      <sharedItems containsString="0" containsBlank="1" containsNumber="1" minValue="0" maxValue="203750000"/>
    </cacheField>
    <cacheField name="Budget Activity Type" numFmtId="0">
      <sharedItems containsBlank="1"/>
    </cacheField>
    <cacheField name="Expenditure Frequency" numFmtId="0">
      <sharedItems containsBlank="1"/>
    </cacheField>
    <cacheField name="2023 Budget Scenario 90%" numFmtId="43">
      <sharedItems containsString="0" containsBlank="1" containsNumber="1" minValue="0" maxValue="183375000"/>
    </cacheField>
    <cacheField name="2023 Budget Scenario 80%" numFmtId="43">
      <sharedItems containsString="0" containsBlank="1" containsNumber="1" minValue="0" maxValue="163000000"/>
    </cacheField>
    <cacheField name="2023 Budget Scenario 70%" numFmtId="43">
      <sharedItems containsString="0" containsBlank="1" containsNumber="1" minValue="0" maxValue="142625000"/>
    </cacheField>
    <cacheField name="90% Budget Scenario Impact" numFmtId="0">
      <sharedItems containsBlank="1" containsMixedTypes="1" containsNumber="1" containsInteger="1" minValue="2250" maxValue="324000" longText="1"/>
    </cacheField>
    <cacheField name="80% Budget Impact " numFmtId="0">
      <sharedItems containsBlank="1" containsMixedTypes="1" containsNumber="1" containsInteger="1" minValue="2000" maxValue="288000" longText="1"/>
    </cacheField>
    <cacheField name="70% Budget Impact " numFmtId="0">
      <sharedItems containsBlank="1" containsMixedTypes="1" containsNumber="1" containsInteger="1" minValue="1750" maxValue="252000" longText="1"/>
    </cacheField>
    <cacheField name="Jan-23" numFmtId="3">
      <sharedItems containsBlank="1" containsMixedTypes="1" containsNumber="1" minValue="0" maxValue="45119736"/>
    </cacheField>
    <cacheField name="Feb-23" numFmtId="3">
      <sharedItems containsBlank="1" containsMixedTypes="1" containsNumber="1" minValue="0" maxValue="16333942.4"/>
    </cacheField>
    <cacheField name="Mar-23" numFmtId="3">
      <sharedItems containsString="0" containsBlank="1" containsNumber="1" minValue="0" maxValue="36800000"/>
    </cacheField>
    <cacheField name="Apr-23" numFmtId="3">
      <sharedItems containsString="0" containsBlank="1" containsNumber="1" minValue="0" maxValue="24500913.599999998"/>
    </cacheField>
    <cacheField name="May-23" numFmtId="3">
      <sharedItems containsBlank="1" containsMixedTypes="1" containsNumber="1" minValue="0" maxValue="15500000"/>
    </cacheField>
    <cacheField name="Jun-23" numFmtId="3">
      <sharedItems containsBlank="1" containsMixedTypes="1" containsNumber="1" minValue="0" maxValue="15500000"/>
    </cacheField>
    <cacheField name="Jul-23" numFmtId="3">
      <sharedItems containsString="0" containsBlank="1" containsNumber="1" minValue="0" maxValue="13250000"/>
    </cacheField>
    <cacheField name="Aug-23" numFmtId="3">
      <sharedItems containsBlank="1" containsMixedTypes="1" containsNumber="1" minValue="0" maxValue="19500000"/>
    </cacheField>
    <cacheField name="Sep-23" numFmtId="3">
      <sharedItems containsString="0" containsBlank="1" containsNumber="1" minValue="0" maxValue="19500000"/>
    </cacheField>
    <cacheField name="Oct-23" numFmtId="3">
      <sharedItems containsString="0" containsBlank="1" containsNumber="1" minValue="0" maxValue="22181820"/>
    </cacheField>
    <cacheField name="Nov-23" numFmtId="3">
      <sharedItems containsBlank="1" containsMixedTypes="1" containsNumber="1" minValue="0" maxValue="19500000"/>
    </cacheField>
    <cacheField name="Dec-23" numFmtId="3">
      <sharedItems containsBlank="1" containsMixedTypes="1" containsNumber="1" minValue="0" maxValue="19500000"/>
    </cacheField>
    <cacheField name="Total" numFmtId="0">
      <sharedItems containsString="0" containsBlank="1" containsNumber="1" minValue="0" maxValue="203750000"/>
    </cacheField>
    <cacheField name="KU Strategy" numFmtId="0">
      <sharedItems containsBlank="1" containsMixedTypes="1" containsNumber="1" containsInteger="1" minValue="0" maxValue="0"/>
    </cacheField>
    <cacheField name="Comments"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Mushtaq Mohammed Sheriff" refreshedDate="44745.479465856479" createdVersion="6" refreshedVersion="6" minRefreshableVersion="3" recordCount="740">
  <cacheSource type="worksheet">
    <worksheetSource ref="A1:X741" sheet="2019 - 2025 DB Master"/>
  </cacheSource>
  <cacheFields count="25">
    <cacheField name="Cost Center Code - Group" numFmtId="0">
      <sharedItems containsBlank="1" count="13">
        <s v="Chapter-01"/>
        <s v="Academic and Student Services Office"/>
        <s v="College of Arts &amp; Science"/>
        <s v="College of Engineering"/>
        <s v="College of Medicine &amp; Health Sciences"/>
        <s v="Continuing Education"/>
        <s v="Executive Vice President Office"/>
        <s v="President's Office "/>
        <s v="Provost"/>
        <s v="Senior Vice President, Research Office"/>
        <s v="SVP/ Support Services Office"/>
        <m u="1"/>
        <s v="Manpower" u="1"/>
      </sharedItems>
    </cacheField>
    <cacheField name="GL Account Combination" numFmtId="0">
      <sharedItems/>
    </cacheField>
    <cacheField name="Cost Center Code" numFmtId="0">
      <sharedItems containsMixedTypes="1" containsNumber="1" containsInteger="1" minValue="8470110" maxValue="8471305"/>
    </cacheField>
    <cacheField name="Cost Center Description" numFmtId="0">
      <sharedItems count="61">
        <s v="Chapter-01"/>
        <s v="KUST - Graduate Studies"/>
        <s v="KUST - SVP/ Academic &amp; Student Services Office"/>
        <s v="KUST - Registrar"/>
        <s v="KUST - Student Enrollment"/>
        <s v="KUST - Student Success"/>
        <s v="KUST - Career Services"/>
        <s v="KUST - Student Life"/>
        <s v="KUST - Libraries"/>
        <s v="KUST - Center for Teaching &amp; Learning"/>
        <s v="KUST - Dean Of Arts &amp; Science"/>
        <s v="KUST - Institute of International &amp; Civil Security"/>
        <s v="KUST - Chemistry"/>
        <s v="KUST - Physics"/>
        <s v="KUST - Preparatory Program"/>
        <s v="KUST - Department of English"/>
        <s v="KUST - Humanities &amp; Social Sciences"/>
        <s v="KUST - Mathematics"/>
        <s v="KUST - Earth Science"/>
        <s v="KUST – Biology"/>
        <s v="KUST - Dean Of Engineering"/>
        <s v="KUST - Aerospace Engineering"/>
        <s v="KUST - Biomedical Engineering"/>
        <s v="KUST - Chemical Engineering"/>
        <s v="KUST - Civil Engineering"/>
        <s v="KUST - Electrical &amp; Computer Engineering"/>
        <s v="KUST - Industrial &amp; Systems Engineering"/>
        <s v="KUST - Mechanical Engineering"/>
        <s v="KUST - Nuclear Engineering"/>
        <s v="KUST - Petroleum Engineering"/>
        <s v="KUST - Dean Of Medicine"/>
        <s v="KUST - Continuing Education Office"/>
        <s v="KUST - Institutional Research &amp; Planning"/>
        <s v="KUST - Communication"/>
        <s v="KUST - Executive Vice President Office"/>
        <s v="KUST - Office of the President"/>
        <s v="KUST - Audit"/>
        <s v="KUST - Compliance and Risk Management"/>
        <s v="KUST - General Counsel"/>
        <s v="KUST - SVP/ Support Services Office"/>
        <s v="KUST - Office of the Provost"/>
        <s v="KUST - SVP/ Research &amp; Development Office"/>
        <s v="KUST - Research Service"/>
        <s v="KUST - University Sponsored Research"/>
        <s v="KUST - Technology Management &amp; Innovation"/>
        <s v="KUST - Research Computing"/>
        <s v="KUST - VP/ Administration, Facilities &amp; EHS Office"/>
        <s v="KUST - Environment, Health &amp; Safety"/>
        <s v="KUST - Facilities Management"/>
        <s v="KUST - Administration"/>
        <s v="KUST - Finance Operations"/>
        <s v="KUST - Business Development"/>
        <s v="KUST - Human Resources"/>
        <s v="KUST - Ankabut office"/>
        <s v="KUST - Procurement and Contracts"/>
        <s v="KUST - Institute for Automation, Information Science &amp; Communication"/>
        <s v="KUST - Petroleum Institute"/>
        <s v="KUST - Masdar Institute"/>
        <s v="KUST - Research Laboratories"/>
        <s v="KUST - Computer Science"/>
        <s v="Manpower" u="1"/>
      </sharedItems>
    </cacheField>
    <cacheField name="Account Code" numFmtId="0">
      <sharedItems containsMixedTypes="1" containsNumber="1" containsInteger="1" minValue="420120" maxValue="495140"/>
    </cacheField>
    <cacheField name="Account Code and Description" numFmtId="0">
      <sharedItems count="105">
        <s v="Chapter-01"/>
        <s v="420550-Academic Advisory Service"/>
        <s v="425100-Advertising Services (General)"/>
        <s v="425510-Conferences, seminars and exhibitions and other events: - Local Events"/>
        <s v="425550-Conferences, seminars and exhibitions and other events: - Overseas event"/>
        <s v="425743-Graduation rewards"/>
        <s v="425744-Student medical insurance"/>
        <s v="425745-Student relocation &amp; travel exps"/>
        <s v="425749-Postgraduate Student Salaries"/>
        <s v="425761-Student Field trips"/>
        <s v="425762-Student Internship"/>
        <s v="425900-Entertainment and hospitality"/>
        <s v="426610-Computer software licenses-Software License Renewal"/>
        <s v="428090-Business Travel - Combined expenses"/>
        <s v="428640-Events - Awards, prizes &amp; gifts"/>
        <s v="436110-Printing supplies"/>
        <s v="492310-Hardware &amp; peripherals"/>
        <s v="435530-School consumables, not specifically mentioned elsewhere"/>
        <s v="425741-Student stipend"/>
        <s v="426900-Postal, courier and other document delivery expenses"/>
        <s v="435340-Text books and library books"/>
        <s v="436120-Stationery"/>
        <s v="425742-Enrollment expenses"/>
        <s v="425720-Education-Outsourced training service"/>
        <s v="425750-Skill assessment service"/>
        <s v="435330-Library books"/>
        <s v="420310-Cleaning Services: Business premises"/>
        <s v="421600-Security service"/>
        <s v="422400-Medical services"/>
        <s v="425746-Student Transport"/>
        <s v="425760-Student activities &amp; field trip expenses"/>
        <s v="426220-Insurance - Fire and allied perils"/>
        <s v="428111-Electricity consumption charges"/>
        <s v="428112-Water consumption charges"/>
        <s v="430230-Rental - Equipment"/>
        <s v="432120-Bldg maintenance-Business premises"/>
        <s v="425710-Higher education and specialisation incentives"/>
        <s v="425770-Academic Missions - Combined expenses"/>
        <s v="432170-Bldg decoration &amp; minor improvements"/>
        <s v="492316-Laboratory equipment"/>
        <s v="421700-Standards Certification Services (e.g. ISO)"/>
        <s v="425763-Student Project Expenses"/>
        <s v="427710-Subscriptions and membership fees: Trade organisations"/>
        <s v="435350-Academic Publications"/>
        <s v="435508-Laboratory - Scientific"/>
        <s v="435310-Newspapers, magazines, journals, etc"/>
        <s v="427200-Printing and publishing"/>
        <s v="432209-Laboratory equipment"/>
        <s v="436600-Training/Teaching equipment and other educational aid"/>
        <s v="420570-Academic Collaborative Partnership Services"/>
        <s v="492354-Hardware &amp; peripherals-Peripherals &amp; Infrastructure  Components "/>
        <s v="432690-Plant, machinery and heavy equipment, not mentioned elsewhere"/>
        <s v="495140-Copyrights, patents and licenses"/>
        <s v="495110-Computer software"/>
        <s v="420811-IT Systems &amp; Support expenses-Application/Systems Operation"/>
        <s v="421000-Management consultancy"/>
        <s v="422100-Waste management service"/>
        <s v="422900-Other specialised professional services, not mentioned elsewhere"/>
        <s v="426100-Freight and shipping costs, not included elsewhere under purchase costs"/>
        <s v="432205-Computers and peripherals-End user and Infrastructure components maintenance and support"/>
        <s v="432210-Medical equipment"/>
        <s v="495113-Computer software-Application, Platform "/>
        <s v="427100-Public relations"/>
        <s v="435519-Photography - Consumable materials /Tools"/>
        <s v="429900-Other services, not specifically mentioned elsewhere"/>
        <s v="428400-Sponsorship expenses/contributions"/>
        <s v="420120-Internal Audit service"/>
        <s v="420900-Legal services"/>
        <s v="425740-Scholarships &amp; other financial aid"/>
        <s v="427900-Translation and interpretation service"/>
        <s v="435523-Scientific"/>
        <s v="428200-Health,safety&amp;environment awareness"/>
        <s v="425747-Student Accommodation"/>
        <s v="426210-Insurance - Cash and fidelity"/>
        <s v="426250-Insurance - Motor vehicles"/>
        <s v="426800-Motor vehicle registration and inspection charges"/>
        <s v="430110 - Rental - Land"/>
        <s v="430120-Rental - Buildings, other than staff residences"/>
        <s v="430330-Rental - Motor vehicles"/>
        <s v="432320-Residential Furniture and fixtures"/>
        <s v="432540-Motor vehicles (non-military)"/>
        <s v="436220-Road signs"/>
        <s v="492200-Capital expense - Buildings"/>
        <s v="492610-Furniture &amp; Fixtures - Offices"/>
        <s v="435410-Catering supplies: Offices"/>
        <s v="435740-Fuel, oil and lubricants: Motor vehicles"/>
        <s v="420130-External Audit service"/>
        <s v="425300-Banking service charges / Fees"/>
        <s v="425350-Fees for processing e-payments-e-Payment operation"/>
        <s v="420810-IT Systems &amp; Support expenses"/>
        <s v="421100-Manpower supply &quot;Other Than IT Related&quot;"/>
        <s v="427810-Telephone and telefax charges-Telecommunication, Satellite services"/>
        <s v="427850-Data Transmission charges-Data Transmission charges"/>
        <s v="430250-Rental - Computer hardware-Rental/Subscription - Computer hardware"/>
        <s v="432226-Computers and peripherals-Printers maintenance and support "/>
        <s v="492352-Hardware &amp; peripherals-Network Devices"/>
        <s v="492356-Hardware &amp; peripherals-Conferencing &amp; AV"/>
        <s v="436340 -Sports and other recreational supplies: Students"/>
        <s v="435510-Landscaping and other horticulture"/>
        <s v="426290-Insurance - Other"/>
        <s v="Consolidated cost of outsourced employees" u="1"/>
        <s v="Sports and other recreational supplies: Students" u="1"/>
        <s v="IT Manpower supply-IT Support resources" u="1"/>
        <s v="Rental - Land" u="1"/>
        <s v="Manpower" u="1"/>
      </sharedItems>
    </cacheField>
    <cacheField name="Future-01" numFmtId="0">
      <sharedItems containsMixedTypes="1" containsNumber="1" containsInteger="1" minValue="847001" maxValue="847951"/>
    </cacheField>
    <cacheField name="Future-01 Description" numFmtId="0">
      <sharedItems/>
    </cacheField>
    <cacheField name="Future-02" numFmtId="0">
      <sharedItems containsMixedTypes="1" containsNumber="1" containsInteger="1" minValue="200179" maxValue="300180" count="4">
        <s v="Chapter-01"/>
        <n v="200179"/>
        <n v="300180"/>
        <n v="201211"/>
      </sharedItems>
    </cacheField>
    <cacheField name="Future-02 Description" numFmtId="0">
      <sharedItems containsBlank="1" count="5">
        <s v="Chapter-01"/>
        <s v="FA179-Opex Expense"/>
        <s v="FA180-Capex Expense"/>
        <m u="1"/>
        <s v="Manpower" u="1"/>
      </sharedItems>
    </cacheField>
    <cacheField name="2019 Actual" numFmtId="3">
      <sharedItems containsSemiMixedTypes="0" containsString="0" containsNumber="1" containsInteger="1" minValue="-14910" maxValue="734104574"/>
    </cacheField>
    <cacheField name="2020 Actual" numFmtId="3">
      <sharedItems containsSemiMixedTypes="0" containsString="0" containsNumber="1" containsInteger="1" minValue="-493500" maxValue="541385100"/>
    </cacheField>
    <cacheField name="2021 Actual" numFmtId="3">
      <sharedItems containsSemiMixedTypes="0" containsString="0" containsNumber="1" containsInteger="1" minValue="-188794" maxValue="583579295"/>
    </cacheField>
    <cacheField name="2022 Budget" numFmtId="0">
      <sharedItems containsSemiMixedTypes="0" containsString="0" containsNumber="1" containsInteger="1" minValue="-367211" maxValue="622545692"/>
    </cacheField>
    <cacheField name="2022 Estimates Full Year Actual" numFmtId="3">
      <sharedItems containsSemiMixedTypes="0" containsString="0" containsNumber="1" containsInteger="1" minValue="-367211" maxValue="601695721"/>
    </cacheField>
    <cacheField name="2022 - Jun Actual" numFmtId="3">
      <sharedItems containsSemiMixedTypes="0" containsString="0" containsNumber="1" minValue="-367211.82" maxValue="273667080"/>
    </cacheField>
    <cacheField name="2022 PR" numFmtId="3">
      <sharedItems containsSemiMixedTypes="0" containsString="0" containsNumber="1" minValue="0" maxValue="11146925.789999999"/>
    </cacheField>
    <cacheField name="2022 PO" numFmtId="3">
      <sharedItems containsSemiMixedTypes="0" containsString="0" containsNumber="1" minValue="-3749.9999999997699" maxValue="14689537.720000001"/>
    </cacheField>
    <cacheField name="2023 Budget " numFmtId="0">
      <sharedItems containsSemiMixedTypes="0" containsString="0" containsNumber="1" minValue="0" maxValue="696199047.14972389"/>
    </cacheField>
    <cacheField name="2023 Budget Scenario 90%" numFmtId="0">
      <sharedItems containsString="0" containsBlank="1" containsNumber="1" minValue="0" maxValue="183375000"/>
    </cacheField>
    <cacheField name="2023 Budget Scenario 80%" numFmtId="0">
      <sharedItems containsString="0" containsBlank="1" containsNumber="1" minValue="0" maxValue="163000000"/>
    </cacheField>
    <cacheField name="2023 Budget Scenario 70%" numFmtId="0">
      <sharedItems containsString="0" containsBlank="1" containsNumber="1" minValue="0" maxValue="142625000"/>
    </cacheField>
    <cacheField name="2024 Budget" numFmtId="0">
      <sharedItems containsSemiMixedTypes="0" containsString="0" containsNumber="1" containsInteger="1" minValue="0" maxValue="714862760"/>
    </cacheField>
    <cacheField name="2025 Budget" numFmtId="0">
      <sharedItems containsSemiMixedTypes="0" containsString="0" containsNumber="1" containsInteger="1" minValue="0" maxValue="779727079"/>
    </cacheField>
    <cacheField name="2023 budget %" numFmtId="0" formula="('2023 Budget '-'2022 Budget') /'2022 Budget'" databaseField="0"/>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Mushtaq Mohammed Sheriff" refreshedDate="44745.490891319445" createdVersion="6" refreshedVersion="6" minRefreshableVersion="3" recordCount="740">
  <cacheSource type="worksheet">
    <worksheetSource ref="A1:Y741" sheet="2019 - 2025 DB Master"/>
  </cacheSource>
  <cacheFields count="25">
    <cacheField name="Cost Center Code - Group" numFmtId="0">
      <sharedItems/>
    </cacheField>
    <cacheField name="GL Account Combination" numFmtId="0">
      <sharedItems/>
    </cacheField>
    <cacheField name="Cost Center Code" numFmtId="0">
      <sharedItems containsMixedTypes="1" containsNumber="1" containsInteger="1" minValue="8470110" maxValue="8471305"/>
    </cacheField>
    <cacheField name="Cost Center Description" numFmtId="0">
      <sharedItems/>
    </cacheField>
    <cacheField name="Account Code" numFmtId="0">
      <sharedItems containsMixedTypes="1" containsNumber="1" containsInteger="1" minValue="420120" maxValue="495140" count="100">
        <s v="Chapter-01"/>
        <n v="420550"/>
        <n v="425100"/>
        <n v="425510"/>
        <n v="425550"/>
        <n v="425743"/>
        <n v="425744"/>
        <n v="425745"/>
        <n v="425749"/>
        <n v="425761"/>
        <n v="425762"/>
        <n v="425900"/>
        <n v="426610"/>
        <n v="428090"/>
        <n v="428640"/>
        <n v="436110"/>
        <n v="492310"/>
        <n v="435530"/>
        <n v="425741"/>
        <n v="426900"/>
        <n v="435340"/>
        <n v="436120"/>
        <n v="425742"/>
        <n v="425720"/>
        <n v="425750"/>
        <n v="435330"/>
        <n v="420310"/>
        <n v="421600"/>
        <n v="422400"/>
        <n v="425746"/>
        <n v="425760"/>
        <n v="426220"/>
        <n v="428111"/>
        <n v="428112"/>
        <n v="430230"/>
        <n v="432120"/>
        <n v="425710"/>
        <n v="425770"/>
        <n v="432170"/>
        <n v="492316"/>
        <n v="421700"/>
        <n v="425763"/>
        <n v="427710"/>
        <n v="435350"/>
        <n v="435508"/>
        <n v="435310"/>
        <n v="427200"/>
        <n v="432209"/>
        <n v="436600"/>
        <n v="420570"/>
        <n v="492354"/>
        <n v="432690"/>
        <n v="495140"/>
        <n v="495110"/>
        <n v="420811"/>
        <n v="421000"/>
        <n v="422100"/>
        <n v="422900"/>
        <n v="426100"/>
        <n v="432205"/>
        <n v="432210"/>
        <n v="495113"/>
        <n v="427100"/>
        <n v="435519"/>
        <n v="429900"/>
        <n v="428400"/>
        <n v="420120"/>
        <n v="420900"/>
        <n v="425740"/>
        <n v="427900"/>
        <n v="435523"/>
        <n v="428200"/>
        <n v="425747"/>
        <n v="426210"/>
        <n v="426250"/>
        <n v="426800"/>
        <n v="430110"/>
        <n v="430120"/>
        <n v="430330"/>
        <n v="432320"/>
        <n v="432540"/>
        <n v="436220"/>
        <n v="492200"/>
        <n v="492610"/>
        <n v="435410"/>
        <n v="435740"/>
        <n v="420130"/>
        <n v="425300"/>
        <n v="425350"/>
        <n v="420810"/>
        <n v="421100"/>
        <n v="427810"/>
        <n v="427850"/>
        <n v="430250"/>
        <n v="432226"/>
        <n v="492352"/>
        <n v="492356"/>
        <n v="436340"/>
        <n v="435510"/>
        <n v="426290"/>
      </sharedItems>
    </cacheField>
    <cacheField name="Account Code and Description" numFmtId="0">
      <sharedItems count="100">
        <s v="Chapter-01"/>
        <s v="420550-Academic Advisory Service"/>
        <s v="425100-Advertising Services (General)"/>
        <s v="425510-Conferences, seminars and exhibitions and other events: - Local Events"/>
        <s v="425550-Conferences, seminars and exhibitions and other events: - Overseas event"/>
        <s v="425743-Graduation rewards"/>
        <s v="425744-Student medical insurance"/>
        <s v="425745-Student relocation &amp; travel exps"/>
        <s v="425749-Postgraduate Student Salaries"/>
        <s v="425761-Student Field trips"/>
        <s v="425762-Student Internship"/>
        <s v="425900-Entertainment and hospitality"/>
        <s v="426610-Computer software licenses-Software License Renewal"/>
        <s v="428090-Business Travel - Combined expenses"/>
        <s v="428640-Events - Awards, prizes &amp; gifts"/>
        <s v="436110-Printing supplies"/>
        <s v="492310-Hardware &amp; peripherals"/>
        <s v="435530-School consumables, not specifically mentioned elsewhere"/>
        <s v="425741-Student stipend"/>
        <s v="426900-Postal, courier and other document delivery expenses"/>
        <s v="435340-Text books and library books"/>
        <s v="436120-Stationery"/>
        <s v="425742-Enrollment expenses"/>
        <s v="425720-Education-Outsourced training service"/>
        <s v="425750-Skill assessment service"/>
        <s v="435330-Library books"/>
        <s v="420310-Cleaning Services: Business premises"/>
        <s v="421600-Security service"/>
        <s v="422400-Medical services"/>
        <s v="425746-Student Transport"/>
        <s v="425760-Student activities &amp; field trip expenses"/>
        <s v="426220-Insurance - Fire and allied perils"/>
        <s v="428111-Electricity consumption charges"/>
        <s v="428112-Water consumption charges"/>
        <s v="430230-Rental - Equipment"/>
        <s v="432120-Bldg maintenance-Business premises"/>
        <s v="425710-Higher education and specialisation incentives"/>
        <s v="425770-Academic Missions - Combined expenses"/>
        <s v="432170-Bldg decoration &amp; minor improvements"/>
        <s v="492316-Laboratory equipment"/>
        <s v="421700-Standards Certification Services (e.g. ISO)"/>
        <s v="425763-Student Project Expenses"/>
        <s v="427710-Subscriptions and membership fees: Trade organisations"/>
        <s v="435350-Academic Publications"/>
        <s v="435508-Laboratory - Scientific"/>
        <s v="435310-Newspapers, magazines, journals, etc"/>
        <s v="427200-Printing and publishing"/>
        <s v="432209-Laboratory equipment"/>
        <s v="436600-Training/Teaching equipment and other educational aid"/>
        <s v="420570-Academic Collaborative Partnership Services"/>
        <s v="492354-Hardware &amp; peripherals-Peripherals &amp; Infrastructure  Components "/>
        <s v="432690-Plant, machinery and heavy equipment, not mentioned elsewhere"/>
        <s v="495140-Copyrights, patents and licenses"/>
        <s v="495110-Computer software"/>
        <s v="420811-IT Systems &amp; Support expenses-Application/Systems Operation"/>
        <s v="421000-Management consultancy"/>
        <s v="422100-Waste management service"/>
        <s v="422900-Other specialised professional services, not mentioned elsewhere"/>
        <s v="426100-Freight and shipping costs, not included elsewhere under purchase costs"/>
        <s v="432205-Computers and peripherals-End user and Infrastructure components maintenance and support"/>
        <s v="432210-Medical equipment"/>
        <s v="495113-Computer software-Application, Platform "/>
        <s v="427100-Public relations"/>
        <s v="435519-Photography - Consumable materials /Tools"/>
        <s v="429900-Other services, not specifically mentioned elsewhere"/>
        <s v="428400-Sponsorship expenses/contributions"/>
        <s v="420120-Internal Audit service"/>
        <s v="420900-Legal services"/>
        <s v="425740-Scholarships &amp; other financial aid"/>
        <s v="427900-Translation and interpretation service"/>
        <s v="435523-Scientific"/>
        <s v="428200-Health,safety&amp;environment awareness"/>
        <s v="425747-Student Accommodation"/>
        <s v="426210-Insurance - Cash and fidelity"/>
        <s v="426250-Insurance - Motor vehicles"/>
        <s v="426800-Motor vehicle registration and inspection charges"/>
        <s v="430110 - Rental - Land"/>
        <s v="430120-Rental - Buildings, other than staff residences"/>
        <s v="430330-Rental - Motor vehicles"/>
        <s v="432320-Residential Furniture and fixtures"/>
        <s v="432540-Motor vehicles (non-military)"/>
        <s v="436220-Road signs"/>
        <s v="492200-Capital expense - Buildings"/>
        <s v="492610-Furniture &amp; Fixtures - Offices"/>
        <s v="435410-Catering supplies: Offices"/>
        <s v="435740-Fuel, oil and lubricants: Motor vehicles"/>
        <s v="420130-External Audit service"/>
        <s v="425300-Banking service charges / Fees"/>
        <s v="425350-Fees for processing e-payments-e-Payment operation"/>
        <s v="420810-IT Systems &amp; Support expenses"/>
        <s v="421100-Manpower supply &quot;Other Than IT Related&quot;"/>
        <s v="427810-Telephone and telefax charges-Telecommunication, Satellite services"/>
        <s v="427850-Data Transmission charges-Data Transmission charges"/>
        <s v="430250-Rental - Computer hardware-Rental/Subscription - Computer hardware"/>
        <s v="432226-Computers and peripherals-Printers maintenance and support "/>
        <s v="492352-Hardware &amp; peripherals-Network Devices"/>
        <s v="492356-Hardware &amp; peripherals-Conferencing &amp; AV"/>
        <s v="436340 -Sports and other recreational supplies: Students"/>
        <s v="435510-Landscaping and other horticulture"/>
        <s v="426290-Insurance - Other"/>
      </sharedItems>
    </cacheField>
    <cacheField name="Future-01" numFmtId="0">
      <sharedItems containsMixedTypes="1" containsNumber="1" containsInteger="1" minValue="847001" maxValue="847951"/>
    </cacheField>
    <cacheField name="Future-01 Description" numFmtId="0">
      <sharedItems/>
    </cacheField>
    <cacheField name="Future-02" numFmtId="0">
      <sharedItems containsMixedTypes="1" containsNumber="1" containsInteger="1" minValue="200179" maxValue="300180" count="4">
        <s v="Chapter-01"/>
        <n v="200179"/>
        <n v="300180"/>
        <n v="201211"/>
      </sharedItems>
    </cacheField>
    <cacheField name="Future-02 Description" numFmtId="0">
      <sharedItems count="3">
        <s v="Chapter-01"/>
        <s v="FA179-Opex Expense"/>
        <s v="FA180-Capex Expense"/>
      </sharedItems>
    </cacheField>
    <cacheField name="2019 Actual" numFmtId="3">
      <sharedItems containsSemiMixedTypes="0" containsString="0" containsNumber="1" containsInteger="1" minValue="-14910" maxValue="734104574"/>
    </cacheField>
    <cacheField name="2020 Actual" numFmtId="3">
      <sharedItems containsSemiMixedTypes="0" containsString="0" containsNumber="1" containsInteger="1" minValue="-493500" maxValue="541385100"/>
    </cacheField>
    <cacheField name="2021 Actual" numFmtId="3">
      <sharedItems containsSemiMixedTypes="0" containsString="0" containsNumber="1" containsInteger="1" minValue="-188794" maxValue="583579295"/>
    </cacheField>
    <cacheField name="2022 Budget" numFmtId="0">
      <sharedItems containsSemiMixedTypes="0" containsString="0" containsNumber="1" containsInteger="1" minValue="-367211" maxValue="622545692"/>
    </cacheField>
    <cacheField name="2022 Estimates Full Year Actual" numFmtId="3">
      <sharedItems containsSemiMixedTypes="0" containsString="0" containsNumber="1" containsInteger="1" minValue="-367211" maxValue="601695721"/>
    </cacheField>
    <cacheField name="2022 - Jun Actual" numFmtId="3">
      <sharedItems containsSemiMixedTypes="0" containsString="0" containsNumber="1" minValue="-367211.82" maxValue="273667080" count="257">
        <n v="273667080"/>
        <n v="0"/>
        <n v="22420.5"/>
        <n v="240000"/>
        <n v="588624.56999999995"/>
        <n v="817645"/>
        <n v="55768459.640000001"/>
        <n v="13795"/>
        <n v="38326679.57"/>
        <n v="4279841.18"/>
        <n v="52000"/>
        <n v="251892.61"/>
        <n v="51401.25"/>
        <n v="101641.63"/>
        <n v="1816.5"/>
        <n v="128025"/>
        <n v="4400"/>
        <n v="18873.75"/>
        <n v="-58814.48"/>
        <n v="278706"/>
        <n v="44428.44"/>
        <n v="6975.25"/>
        <n v="650"/>
        <n v="1505.95"/>
        <n v="6717744.7300000004"/>
        <n v="5707"/>
        <n v="3630.61"/>
        <n v="178854.68"/>
        <n v="64718.46"/>
        <n v="61934.26"/>
        <n v="4967"/>
        <n v="13957.9"/>
        <n v="15471.72"/>
        <n v="20174.88"/>
        <n v="28033.25"/>
        <n v="21450"/>
        <n v="1612"/>
        <n v="12957.33"/>
        <n v="1500"/>
        <n v="3365"/>
        <n v="46842.96"/>
        <n v="7839.73"/>
        <n v="30164.11"/>
        <n v="39104"/>
        <n v="5138"/>
        <n v="89206.58"/>
        <n v="11830"/>
        <n v="21287.77"/>
        <n v="35280"/>
        <n v="242437.3"/>
        <n v="5500"/>
        <n v="7462.28"/>
        <n v="35900.18"/>
        <n v="29889.1"/>
        <n v="4195"/>
        <n v="825"/>
        <n v="12955.67"/>
        <n v="12040.74"/>
        <n v="28120.06"/>
        <n v="87286.74"/>
        <n v="36310"/>
        <n v="2200"/>
        <n v="4093.92"/>
        <n v="309.52"/>
        <n v="1800"/>
        <n v="119.56"/>
        <n v="25142.2"/>
        <n v="9208.4500000000007"/>
        <n v="92165.34"/>
        <n v="32000"/>
        <n v="5286"/>
        <n v="20000"/>
        <n v="51565"/>
        <n v="2625"/>
        <n v="3874.85"/>
        <n v="35796.32"/>
        <n v="20510.169999999998"/>
        <n v="5330"/>
        <n v="160000"/>
        <n v="14375.27"/>
        <n v="8895.2800000000007"/>
        <n v="23762.18"/>
        <n v="31585"/>
        <n v="269624.7"/>
        <n v="1496.04"/>
        <n v="44702.59"/>
        <n v="14384.66"/>
        <n v="8004"/>
        <n v="6253.28"/>
        <n v="24646.04"/>
        <n v="103819.54"/>
        <n v="210696"/>
        <n v="65000"/>
        <n v="16654"/>
        <n v="4750"/>
        <n v="54466.92"/>
        <n v="13797.64"/>
        <n v="12485"/>
        <n v="2550"/>
        <n v="202824.33"/>
        <n v="11251"/>
        <n v="92722"/>
        <n v="8517"/>
        <n v="11489.42"/>
        <n v="136875"/>
        <n v="50000"/>
        <n v="23648.639999999999"/>
        <n v="17333.8"/>
        <n v="45465.919999999998"/>
        <n v="30000"/>
        <n v="27284.28"/>
        <n v="68753.19"/>
        <n v="5617.51"/>
        <n v="73398.899999999994"/>
        <n v="11500"/>
        <n v="11026.05"/>
        <n v="190000"/>
        <n v="43966.75"/>
        <n v="8800"/>
        <n v="48399.35"/>
        <n v="88904.72"/>
        <n v="140267.41"/>
        <n v="6485"/>
        <n v="4972.7700000000004"/>
        <n v="25723.59"/>
        <n v="992.62"/>
        <n v="22395.83"/>
        <n v="1859.35"/>
        <n v="3328"/>
        <n v="62000"/>
        <n v="4017"/>
        <n v="682"/>
        <n v="24060.78"/>
        <n v="1782"/>
        <n v="23675.11"/>
        <n v="14966.9"/>
        <n v="862373.2"/>
        <n v="100000"/>
        <n v="43531.6"/>
        <n v="45221"/>
        <n v="32900"/>
        <n v="682810.28"/>
        <n v="78512.25"/>
        <n v="24000"/>
        <n v="10862000.02"/>
        <n v="92850.06"/>
        <n v="2940"/>
        <n v="9397.15"/>
        <n v="703112.39"/>
        <n v="235"/>
        <n v="756"/>
        <n v="523.75"/>
        <n v="1519.75"/>
        <n v="16072.41"/>
        <n v="182938.65"/>
        <n v="314264.18"/>
        <n v="80"/>
        <n v="1538887.74"/>
        <n v="20760"/>
        <n v="1650"/>
        <n v="1140555.96"/>
        <n v="1818994.97"/>
        <n v="2942.71"/>
        <n v="42319.6"/>
        <n v="17150.009999999998"/>
        <n v="4594"/>
        <n v="43812"/>
        <n v="5302.5"/>
        <n v="31960"/>
        <n v="21073.82"/>
        <n v="13750"/>
        <n v="5835"/>
        <n v="19500"/>
        <n v="6320"/>
        <n v="3526.08"/>
        <n v="171712.75"/>
        <n v="115469.15"/>
        <n v="64153.81"/>
        <n v="2605.5"/>
        <n v="35469465.460000001"/>
        <n v="1809835.12"/>
        <n v="11745"/>
        <n v="82234.149999999994"/>
        <n v="138508.82999999999"/>
        <n v="3329.25"/>
        <n v="201859.97"/>
        <n v="1134089.6599999999"/>
        <n v="1666659.12"/>
        <n v="1289661.42"/>
        <n v="795109.05"/>
        <n v="470781.74"/>
        <n v="413460.88"/>
        <n v="44981.51"/>
        <n v="14718"/>
        <n v="2703015.05"/>
        <n v="606730.89"/>
        <n v="861135.61"/>
        <n v="342982.58"/>
        <n v="7416"/>
        <n v="5024"/>
        <n v="4786548.21"/>
        <n v="6540434.4000000004"/>
        <n v="53100"/>
        <n v="31488"/>
        <n v="848"/>
        <n v="3000"/>
        <n v="2048875.12"/>
        <n v="1050780.82"/>
        <n v="1097838.3999999999"/>
        <n v="298125.19"/>
        <n v="448324.25"/>
        <n v="430172.97"/>
        <n v="41250"/>
        <n v="20576.84"/>
        <n v="194173.19"/>
        <n v="266719.75"/>
        <n v="36618.78"/>
        <n v="171100"/>
        <n v="62415"/>
        <n v="246.14"/>
        <n v="44854.42"/>
        <n v="19047.55"/>
        <n v="-246835.07"/>
        <n v="2779121.38"/>
        <n v="718525.65"/>
        <n v="744317"/>
        <n v="578553.93999999994"/>
        <n v="109115.62"/>
        <n v="162000"/>
        <n v="-23360"/>
        <n v="352238.57"/>
        <n v="42239.5"/>
        <n v="1220301.8"/>
        <n v="114759"/>
        <n v="18095.900000000001"/>
        <n v="1156"/>
        <n v="199212.79999999999"/>
        <n v="168512.62"/>
        <n v="-367211.82"/>
        <n v="-242103.6"/>
        <n v="31000"/>
        <n v="8268.2900000000009"/>
        <n v="132395.32"/>
        <n v="163340.39000000001"/>
        <n v="112763.08"/>
        <n v="69286"/>
        <n v="2000"/>
        <n v="12490"/>
        <n v="8000"/>
        <n v="2998678.09"/>
        <n v="336314.5"/>
        <n v="68000"/>
        <n v="1772372.92"/>
        <n v="44444.41"/>
        <n v="350147.24"/>
        <n v="2281711.5"/>
        <n v="509222"/>
      </sharedItems>
    </cacheField>
    <cacheField name="2022 PR" numFmtId="3">
      <sharedItems containsSemiMixedTypes="0" containsString="0" containsNumber="1" minValue="0" maxValue="11146925.789999999"/>
    </cacheField>
    <cacheField name="2022 PO" numFmtId="3">
      <sharedItems containsSemiMixedTypes="0" containsString="0" containsNumber="1" minValue="-3749.9999999997699" maxValue="14689537.720000001"/>
    </cacheField>
    <cacheField name="2023 Budget " numFmtId="0">
      <sharedItems containsSemiMixedTypes="0" containsString="0" containsNumber="1" minValue="0" maxValue="696199047.14972389"/>
    </cacheField>
    <cacheField name="2023 Budget Scenario 90%" numFmtId="0">
      <sharedItems containsString="0" containsBlank="1" containsNumber="1" minValue="0" maxValue="183375000"/>
    </cacheField>
    <cacheField name="2023 Budget Scenario 80%" numFmtId="0">
      <sharedItems containsString="0" containsBlank="1" containsNumber="1" minValue="0" maxValue="163000000"/>
    </cacheField>
    <cacheField name="2023 Budget Scenario 70%" numFmtId="0">
      <sharedItems containsString="0" containsBlank="1" containsNumber="1" minValue="0" maxValue="142625000"/>
    </cacheField>
    <cacheField name="2024 Budget" numFmtId="0">
      <sharedItems containsSemiMixedTypes="0" containsString="0" containsNumber="1" containsInteger="1" minValue="0" maxValue="714862760"/>
    </cacheField>
    <cacheField name="2025 Budget" numFmtId="0">
      <sharedItems containsSemiMixedTypes="0" containsString="0" containsNumber="1" containsInteger="1" minValue="0" maxValue="779727079"/>
    </cacheField>
    <cacheField name="Diff" numFmtId="0">
      <sharedItems containsSemiMixedTypes="0" containsString="0" containsNumber="1" minValue="-2998678" maxValue="9292531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57">
  <r>
    <s v="-"/>
    <s v="-"/>
    <s v="SVP/ Support Services Office"/>
    <n v="847"/>
    <n v="8470810"/>
    <s v="KUST - Ankabut office"/>
    <n v="1"/>
    <n v="413328"/>
    <s v="413328 - IT Manpower supply-IT Support resources"/>
    <s v="000000"/>
    <s v="KUST - General"/>
    <n v="847001"/>
    <s v="FA180-Manpower"/>
    <n v="100180"/>
    <x v="0"/>
    <s v="Manpower Resources as per DGS Contract"/>
    <s v="Months"/>
    <n v="12"/>
    <n v="850000"/>
    <s v="Manpower Outsourcing as per DGS contract for 2023 - List Attached"/>
    <n v="10200000"/>
    <s v="KU Regular operations"/>
    <s v="Recurring"/>
    <s v="Utilize state-of-the-art technologies and facilities in an optimal and efficient manner"/>
    <n v="0"/>
  </r>
  <r>
    <s v="IT"/>
    <s v="Director, Technology Development"/>
    <s v="SVP/ Support Services Office"/>
    <n v="847"/>
    <n v="8470810"/>
    <s v="KUST - Ankabut office"/>
    <n v="1"/>
    <n v="420811"/>
    <s v="420811-IT Systems &amp; Support expenses-Application/Systems Operation"/>
    <s v="000000"/>
    <s v="KUST - General"/>
    <n v="847001"/>
    <s v="FA179-Opex Expense"/>
    <n v="200179"/>
    <x v="1"/>
    <s v="420811.IT Systems &amp; Support expenses-Application/Systems Operation-professional services scope/deliverables-Month"/>
    <s v="Month"/>
    <n v="12"/>
    <n v="3947977"/>
    <s v="Managed IT Services Contract between KU and Ankabut"/>
    <n v="47375724"/>
    <s v="KU Regular operations"/>
    <s v="Recurring"/>
    <s v="Utilize state-of-the-art technologies and facilities in an optimal and efficient manner"/>
    <n v="0"/>
  </r>
  <r>
    <s v="HR"/>
    <s v="No Applicable"/>
    <s v="SVP/ Support Services Office"/>
    <n v="847"/>
    <n v="8470810"/>
    <s v="KUST - Ankabut office"/>
    <n v="1"/>
    <n v="421100"/>
    <s v="421100-Manpower supply"/>
    <s v="000000"/>
    <s v="KUST - General"/>
    <n v="847001"/>
    <s v="FA179-Opex Expense"/>
    <n v="200179"/>
    <x v="2"/>
    <m/>
    <s v="-_"/>
    <m/>
    <m/>
    <m/>
    <n v="0"/>
    <m/>
    <m/>
    <m/>
    <n v="0"/>
  </r>
  <r>
    <s v="IT"/>
    <s v="Director, Technology Development"/>
    <s v="SVP/ Support Services Office"/>
    <n v="847"/>
    <n v="8470810"/>
    <s v="KUST - Ankabut office"/>
    <n v="1"/>
    <n v="426610"/>
    <s v="426610-Computer software licenses"/>
    <s v="000000"/>
    <s v="KUST - General"/>
    <n v="847001"/>
    <s v="FA179-Opex Expense"/>
    <n v="200179"/>
    <x v="3"/>
    <s v="426610.Computer software licenses-Software License Renewal-service level agreement-Service"/>
    <s v="Service"/>
    <n v="1"/>
    <n v="9390501"/>
    <s v="Business Applications and Infrastructure Software Renewals"/>
    <n v="9390501"/>
    <s v="KU Regular operations"/>
    <s v="Recurring"/>
    <s v="Utilize state-of-the-art technologies and facilities in an optimal and efficient manner"/>
    <n v="0"/>
  </r>
  <r>
    <s v="IT"/>
    <s v="No Applicable"/>
    <s v="SVP/ Support Services Office"/>
    <n v="847"/>
    <n v="8470810"/>
    <s v="KUST - Ankabut office"/>
    <n v="1"/>
    <n v="427810"/>
    <s v="427810-Telephone and telefax charges"/>
    <s v="000000"/>
    <s v="KUST - General"/>
    <n v="847001"/>
    <s v="FA179-Opex Expense"/>
    <n v="200179"/>
    <x v="4"/>
    <s v="427810.Telephone and telefax charges-Telecommunication, Satellite services-number of telephone lines-Month"/>
    <s v="Month"/>
    <n v="12"/>
    <n v="60000"/>
    <s v="Telphone Lines and mobile servcies"/>
    <n v="720000"/>
    <s v="KU Regular operations"/>
    <s v="Recurring"/>
    <s v="Utilize state-of-the-art technologies and facilities in an optimal and efficient manner"/>
    <n v="0"/>
  </r>
  <r>
    <s v="IT"/>
    <s v="No Applicable"/>
    <s v="SVP/ Support Services Office"/>
    <n v="847"/>
    <n v="8470810"/>
    <s v="KUST - Ankabut office"/>
    <n v="1"/>
    <n v="427850"/>
    <s v="427850-Data Transmission charges"/>
    <s v="000000"/>
    <s v="KUST - General"/>
    <n v="847001"/>
    <s v="FA179-Opex Expense"/>
    <n v="200179"/>
    <x v="5"/>
    <s v="427850.Data Transmission charges-Data Transmission charges-number of connection (ADSL/Broadband, etc) lines-Month"/>
    <s v="Month"/>
    <n v="12"/>
    <n v="171169"/>
    <s v="Internet Leased Line (1Gbps) and DSL lines for KU Main campus, SAN campus and Student Dorms (12)"/>
    <n v="2054028"/>
    <s v="KU Regular operations"/>
    <s v="Recurring"/>
    <s v="Utilize state-of-the-art technologies and facilities in an optimal and efficient manner"/>
    <n v="0"/>
  </r>
  <r>
    <s v="Academic "/>
    <s v="No Applicable"/>
    <s v="SVP/ Support Services Office"/>
    <n v="847"/>
    <n v="8470810"/>
    <s v="KUST - Ankabut office"/>
    <n v="1"/>
    <n v="428090"/>
    <s v="428090-Business Travel - Combined expenses"/>
    <s v="000000"/>
    <s v="KUST - General"/>
    <n v="847001"/>
    <s v="FA179-Opex Expense"/>
    <n v="200179"/>
    <x v="6"/>
    <s v="428090.Business Travel - Combined expenses-Number of Staff-Number"/>
    <s v="Number"/>
    <n v="10"/>
    <n v="40000"/>
    <s v="Travel expenses for Conferences and within UAE"/>
    <n v="400000"/>
    <s v="KU Regular operations"/>
    <s v="Recurring"/>
    <s v="Utilize state-of-the-art technologies and facilities in an optimal and efficient manner"/>
    <n v="0"/>
  </r>
  <r>
    <s v="Facilities "/>
    <s v="Director, Technology Development"/>
    <s v="SVP/ Support Services Office"/>
    <n v="847"/>
    <n v="8470810"/>
    <s v="KUST - Ankabut office"/>
    <n v="1"/>
    <n v="430250"/>
    <s v="430250-Rental - Computer hardware-Rental/Subscription - Computer hardware"/>
    <s v="000000"/>
    <s v="KUST - General"/>
    <n v="847001"/>
    <s v="FA179-Opex Expense"/>
    <n v="200179"/>
    <x v="7"/>
    <s v="430250.Rental - Computer hardware-Rental/Subscription - Computer hardware-Number of Laptop-Number"/>
    <s v="Number"/>
    <n v="1444"/>
    <n v="1550"/>
    <s v="End User Computing Refresh Laptops - Renewal for remaining years of lease for existing computers and additional lease for refresh program and new joiners (Researchers)"/>
    <n v="2238200"/>
    <s v="KU Regular operations"/>
    <s v="Recurring"/>
    <s v="Utilize state-of-the-art technologies and facilities in an optimal and efficient manner"/>
    <n v="0"/>
  </r>
  <r>
    <s v="IT"/>
    <s v="Director, Technology Development"/>
    <s v="SVP/ Support Services Office"/>
    <n v="847"/>
    <n v="8470810"/>
    <s v="KUST - Ankabut office"/>
    <n v="1"/>
    <n v="432205"/>
    <s v="432205-Computers and peripherals"/>
    <s v="000000"/>
    <s v="KUST - General"/>
    <n v="847001"/>
    <s v="FA179-Opex Expense"/>
    <n v="200179"/>
    <x v="8"/>
    <s v="432205.Computers and peripherals-End user and Infrastructure components maintenance and support-service level agreement-Service"/>
    <s v="Service"/>
    <n v="1"/>
    <n v="2376600"/>
    <s v="Maintenance for hardware, spare parts, network infrastructure, wireless infrastructure, cabling and passive components and Telephony UCS licenses subscription"/>
    <n v="2376600"/>
    <s v="KU Regular operations"/>
    <s v="Recurring"/>
    <s v="Utilize state-of-the-art technologies and facilities in an optimal and efficient manner"/>
    <n v="0"/>
  </r>
  <r>
    <s v="IT"/>
    <s v="No Applicable"/>
    <s v="SVP/ Support Services Office"/>
    <n v="847"/>
    <n v="8470810"/>
    <s v="KUST - Ankabut office"/>
    <n v="1"/>
    <n v="432226"/>
    <s v="432226-Computers and peripherals-Printers maintenance and support "/>
    <s v="000000"/>
    <s v="KUST - General"/>
    <n v="847001"/>
    <s v="FA179-Opex Expense"/>
    <n v="200179"/>
    <x v="9"/>
    <s v="432226.Computers and peripherals-Printers maintenance and support-Number of paper printing-Month"/>
    <s v="Month"/>
    <n v="12"/>
    <n v="48000"/>
    <s v="Printing Charges based on current SLA for Leasing Printers and Maintenance Agreement. (Reference Invoice March 2022 ~40K)"/>
    <n v="576000"/>
    <s v="KU Regular operations"/>
    <s v="Recurring"/>
    <s v="Utilize state-of-the-art technologies and facilities in an optimal and efficient manner"/>
    <n v="0"/>
  </r>
  <r>
    <s v="IT"/>
    <s v="Director, Technology Development"/>
    <s v="SVP/ Support Services Office"/>
    <n v="847"/>
    <n v="8470810"/>
    <s v="KUST - Ankabut office"/>
    <n v="1"/>
    <n v="492310"/>
    <s v="492310-Hardware &amp; peripherals"/>
    <s v="000000"/>
    <s v="KUST - General"/>
    <n v="847001"/>
    <s v="FA180-Capex Expense"/>
    <n v="300180"/>
    <x v="10"/>
    <s v="492310.Hardware &amp; peripherals-warranty period-Warranty"/>
    <s v="Warranty"/>
    <n v="1"/>
    <n v="340000"/>
    <s v="Computer Refresh program for Mac/Special Computers for existing users and new Macs for new faculty joiners - Total 40 users @AED8.5K"/>
    <n v="340000"/>
    <s v="KU Regular operations"/>
    <s v="Recurring"/>
    <s v="Utilize state-of-the-art technologies and facilities in an optimal and efficient manner"/>
    <n v="0"/>
  </r>
  <r>
    <s v="IT"/>
    <s v="Director, Technology Development"/>
    <s v="SVP/ Support Services Office"/>
    <n v="847"/>
    <n v="8470810"/>
    <s v="KUST - Ankabut office"/>
    <n v="1"/>
    <n v="492352"/>
    <s v="492352-Hardware &amp; peripherals-Network Devices"/>
    <s v="000000"/>
    <s v="KUST - General"/>
    <n v="847001"/>
    <s v="FA180-Capex Expense"/>
    <n v="300180"/>
    <x v="11"/>
    <s v="492352.Hardware &amp; peripherals-Network Devices-TBD-TBD"/>
    <s v="TBD"/>
    <n v="1"/>
    <n v="1164000"/>
    <s v="Campus Network Equipment Refresh Program for: _x000a_Access Network Layer (Out of support lifecycle) _x000a_- Phase 3 (2024): KU Main Campus - New Buildings (120 Switches)"/>
    <n v="1164000"/>
    <s v="KU Regular operations"/>
    <s v="Recurring"/>
    <s v="Utilize state-of-the-art technologies and facilities in an optimal and efficient manner"/>
    <n v="0"/>
  </r>
  <r>
    <s v="IT"/>
    <s v="Director, Technology Development"/>
    <s v="SVP/ Support Services Office"/>
    <n v="847"/>
    <n v="8470810"/>
    <s v="KUST - Ankabut office"/>
    <n v="1"/>
    <n v="492356"/>
    <s v="492356-Hardware &amp; peripherals-Conferencing &amp; AV"/>
    <s v="000000"/>
    <s v="KUST - General"/>
    <n v="847001"/>
    <s v="FA180-Capex Expense"/>
    <n v="300180"/>
    <x v="12"/>
    <s v="492356.Hardware &amp; peripherals-Conferencing &amp; AV-TBD-TBD"/>
    <s v="TBD"/>
    <n v="1"/>
    <n v="1195750"/>
    <s v="Major Classroom Renovations to adopt hybrid learning in classrooms, lecture recording and replace old projectors in SAN and Main campuses. _x000a_Scope for Phase 1 in 2023 and Phase 2 in 2024 is described in attached sheet (Classroom.xls)"/>
    <n v="1195750"/>
    <s v="KU Regular operations"/>
    <s v="Recurring"/>
    <s v="Utilize state-of-the-art technologies and facilities in an optimal and efficient manner"/>
    <n v="0"/>
  </r>
  <r>
    <s v="IT"/>
    <s v="Director, Technology Development"/>
    <s v="SVP/ Support Services Office"/>
    <n v="847"/>
    <n v="8470810"/>
    <s v="KUST - Ankabut office"/>
    <n v="1"/>
    <n v="495113"/>
    <s v="495113-Computer software-Application, Platform "/>
    <s v="000000"/>
    <s v="KUST - General"/>
    <n v="847001"/>
    <s v="FA180-Capex Expense"/>
    <n v="300180"/>
    <x v="13"/>
    <s v="495113.Computer software-Application, Platform -number of licenses-Number"/>
    <s v="Number"/>
    <n v="1"/>
    <n v="750000"/>
    <s v="New Business Applications and related IT tools to meet KU requirements "/>
    <n v="750000"/>
    <s v="KU Regular operations"/>
    <s v="Recurring"/>
    <s v="Utilize state-of-the-art technologies and facilities in an optimal and efficient manner"/>
    <n v="0"/>
  </r>
  <r>
    <s v="Academic"/>
    <s v="No Applicable"/>
    <s v="Provost"/>
    <n v="847"/>
    <n v="8470220"/>
    <s v="KUST - Office of the Provost"/>
    <n v="1"/>
    <n v="420550"/>
    <s v="420550-Academic Advisory Service"/>
    <s v="000000"/>
    <s v="KUST - General"/>
    <n v="847001"/>
    <s v="FA179-Opex Expense"/>
    <n v="200179"/>
    <x v="14"/>
    <s v="420550.Academic Advisory Service-Number of Services-Number"/>
    <m/>
    <n v="145"/>
    <n v="3190"/>
    <s v="External Consultants for 5x  new Programs @ 47710 Each_x000a_External Evaluators for Faculty Promotions (35 faculty x 4 evaluators @ $400 (1600AED) each"/>
    <n v="462550"/>
    <s v="KU Regular operations"/>
    <s v="Recurring"/>
    <s v="Align academic programs with the local and global labor market needs"/>
    <n v="0"/>
  </r>
  <r>
    <s v="Academic"/>
    <s v="No Applicable"/>
    <s v="Provost"/>
    <n v="847"/>
    <n v="8470220"/>
    <s v="KUST - Office of the Provost"/>
    <n v="1"/>
    <n v="420570"/>
    <s v="420570-Academic Collaborative Partnership Services"/>
    <s v="000000"/>
    <s v="KUST - General"/>
    <n v="847001"/>
    <s v="FA179-Opex Expense"/>
    <n v="200179"/>
    <x v="15"/>
    <s v="420570.Academic Collaborative Partnership Services-Partnership Agreement or Academic Collaboration -No of Partneship/collaboration Agreement"/>
    <s v="No of Partneship/collaboration Agreement"/>
    <n v="1"/>
    <n v="3300000"/>
    <s v="Twinning &amp; other partnership initiatives"/>
    <n v="3300000"/>
    <s v="KU Regular operations"/>
    <s v="Recurring"/>
    <s v="Build partnerships with local and international universities"/>
    <n v="0"/>
  </r>
  <r>
    <s v="Academic"/>
    <s v="Director, Institutional Research and Planning"/>
    <s v="Provost"/>
    <n v="847"/>
    <n v="8470220"/>
    <s v="KUST - Office of the Provost"/>
    <n v="1"/>
    <n v="421700"/>
    <s v="421700-Standards certification (e.g. ISO)"/>
    <s v="000000"/>
    <s v="KUST - General"/>
    <n v="847001"/>
    <s v="FA179-Opex Expense"/>
    <n v="200179"/>
    <x v="16"/>
    <s v="421700.Standards Certification Services (e.g. ISO)-Number of Academic programs-Number"/>
    <s v="Number"/>
    <n v="1"/>
    <n v="150000"/>
    <s v="CAA reaccrediation of programs @ 150K each"/>
    <n v="150000"/>
    <s v="KU Regular operations"/>
    <s v="Non-recurring"/>
    <s v="Develop a multidimensional program to attract and retain diverse outstanding students"/>
    <n v="0"/>
  </r>
  <r>
    <s v="Communiction &amp; Marketing"/>
    <s v="Director, Marketing and Communication"/>
    <s v="Provost"/>
    <n v="847"/>
    <n v="8470220"/>
    <s v="KUST - Office of the Provost"/>
    <n v="1"/>
    <n v="425510"/>
    <s v="425510-Conferences, seminars and exhibitions and other events: - Local Events"/>
    <s v="000000"/>
    <s v="KUST - General"/>
    <n v="847001"/>
    <s v="FA179-Opex Expense"/>
    <n v="200179"/>
    <x v="17"/>
    <s v="425510.Conferences, seminars and exhibitions and other events: - Local Events-Seminars-Number of Seminars"/>
    <s v="Number of Seminars"/>
    <n v="5"/>
    <n v="22000"/>
    <s v="Local events/conferences/seminars etc_x000a_Hosting well known faculty researchers/faculty for seminars etc 5 @ 22000 each"/>
    <n v="110000"/>
    <s v="KU Regular operations"/>
    <s v="Recurring"/>
    <s v="Recruit and retain high caliber faculty, researchers and staff"/>
    <n v="0"/>
  </r>
  <r>
    <s v="Communiction &amp; Marketing"/>
    <s v="No Applicable"/>
    <s v="Provost"/>
    <n v="847"/>
    <n v="8470220"/>
    <s v="KUST - Office of the Provost"/>
    <n v="1"/>
    <n v="425550"/>
    <s v="425550-Conferences, seminars and exhibitions and other events: - Overseas event"/>
    <s v="000000"/>
    <s v="KUST - General"/>
    <n v="847001"/>
    <s v="FA179-Opex Expense"/>
    <n v="200179"/>
    <x v="18"/>
    <s v="425550.Conferences, seminars and exhibitions and other events: - Overseas event-Conferences-Number of Conferences"/>
    <s v="Number of Conferences"/>
    <n v="5"/>
    <n v="22000"/>
    <s v="Provost &amp; 4 Assoc. Provost @ 1 conference each @ 22K"/>
    <n v="110000"/>
    <s v="KU Regular operations"/>
    <s v="Recurring"/>
    <s v="Recruit and retain high caliber faculty, researchers and staff"/>
    <n v="0"/>
  </r>
  <r>
    <s v="Student"/>
    <s v="No Applicable"/>
    <s v="Provost"/>
    <n v="847"/>
    <n v="8470220"/>
    <s v="KUST - Office of the Provost"/>
    <n v="1"/>
    <n v="425740"/>
    <s v="425740-Scholarships &amp; other financial aid"/>
    <s v="000000"/>
    <s v="KUST - General"/>
    <n v="847001"/>
    <s v="FA179-Opex Expense"/>
    <n v="200179"/>
    <x v="19"/>
    <s v="425740.Scholarships &amp; other financial aid-Students-No of Students"/>
    <s v="No of Students"/>
    <n v="26"/>
    <n v="152510"/>
    <s v="6 post docs @ 550K National Post Doc Scheme +_x000a_20 faculty @ 33K for Faculty Development Scheme"/>
    <n v="3965260"/>
    <s v="KU Regular operations"/>
    <s v="Recurring"/>
    <s v="Design and implement professional development programs for researchers, faculty, and  staff to contribute to the university strategic plan"/>
    <n v="0"/>
  </r>
  <r>
    <s v="Other support"/>
    <s v="Director, Human Resources"/>
    <s v="Provost"/>
    <n v="847"/>
    <n v="8470220"/>
    <s v="KUST - Office of the Provost"/>
    <n v="1"/>
    <n v="425900"/>
    <s v="425900-Entertainment and hospitality"/>
    <s v="000000"/>
    <s v="KUST - General"/>
    <n v="847001"/>
    <s v="FA179-Opex Expense"/>
    <n v="200179"/>
    <x v="20"/>
    <s v="425900.Entertainment and hospitality-1. No of events/workshops planned-count"/>
    <s v="count"/>
    <n v="12"/>
    <n v="11735"/>
    <s v="12 x 1100 per month provost office catering_x000a_2 x Retreat _x000a_2 x Faculty Townhalls @ 22K E_x000a_2 x Faculty Council @ 3.3K E_x000a_FAC x 2 @ 3300"/>
    <n v="140820"/>
    <s v="KU Regular operations"/>
    <s v="Recurring"/>
    <s v="Promote a working culture of excellence and accountability"/>
    <n v="0"/>
  </r>
  <r>
    <s v="IT"/>
    <s v="Director, Technology Development"/>
    <s v="Provost"/>
    <n v="847"/>
    <n v="8470220"/>
    <s v="KUST - Office of the Provost"/>
    <n v="1"/>
    <n v="426610"/>
    <s v="426610-Computer software licenses"/>
    <s v="000000"/>
    <s v="KUST - General"/>
    <n v="847001"/>
    <s v="FA179-Opex Expense"/>
    <n v="200179"/>
    <x v="21"/>
    <s v="426610.Computer software licenses-Software License Renewal-number of licenses-Number"/>
    <s v="Number"/>
    <n v="1"/>
    <n v="50000"/>
    <n v="50000"/>
    <n v="50000"/>
    <s v="KU Regular operations"/>
    <s v="Non-recurring"/>
    <s v="Utilize state-of-the-art technologies and facilities in an optimal and efficient manner"/>
    <n v="0"/>
  </r>
  <r>
    <s v="Academic "/>
    <s v="No Applicable"/>
    <s v="Provost"/>
    <n v="847"/>
    <n v="8470220"/>
    <s v="KUST - Office of the Provost"/>
    <n v="1"/>
    <n v="428090"/>
    <s v="428090-Business Travel - Combined expenses"/>
    <s v="000000"/>
    <s v="KUST - General"/>
    <n v="847001"/>
    <s v="FA179-Opex Expense"/>
    <n v="200179"/>
    <x v="22"/>
    <s v="428090.Business Travel - Combined expenses-Number of Staff-Number"/>
    <s v="Number"/>
    <n v="9"/>
    <n v="44000"/>
    <s v="4 business trips for Provost+ _x000a_1 x Biz Travel each per Assoc. Provost , all at 40K each"/>
    <n v="396000"/>
    <s v="KU Strategic New Initiative"/>
    <s v="Non-recurring"/>
    <s v="Build partnerships with local and international universities"/>
    <n v="0"/>
  </r>
  <r>
    <s v="Communiction &amp; Marketing"/>
    <s v="Director, Marketing and Communication"/>
    <s v="Provost"/>
    <n v="847"/>
    <n v="8470220"/>
    <s v="KUST - Office of the Provost"/>
    <n v="1"/>
    <n v="428640"/>
    <s v="428640-Events - Awards, prizes &amp; gifts"/>
    <s v="000000"/>
    <s v="KUST - General"/>
    <n v="847001"/>
    <s v="FA179-Opex Expense"/>
    <n v="200179"/>
    <x v="23"/>
    <s v="428640.Events - Awards, prizes &amp; gifts-Number of Events-count"/>
    <s v="count"/>
    <n v="1"/>
    <n v="2200000"/>
    <s v="Excellence Awards, Prizes &amp; Plaques "/>
    <n v="2200000"/>
    <s v="KU Regular operations"/>
    <s v="Non-recurring"/>
    <s v="Promote a working culture of excellence and accountability"/>
    <n v="0"/>
  </r>
  <r>
    <s v="IT"/>
    <s v="Director, Technology Development"/>
    <s v="Provost"/>
    <n v="847"/>
    <n v="8470220"/>
    <s v="KUST - Office of the Provost"/>
    <n v="1"/>
    <n v="432205"/>
    <s v="432205-Computers and peripherals"/>
    <s v="000000"/>
    <s v="KUST - General"/>
    <n v="847001"/>
    <s v="FA179-Opex Expense"/>
    <n v="200179"/>
    <x v="24"/>
    <s v="432205.Computers and peripherals-End user and Infrastructure components maintenance and support-service level agreement-Service"/>
    <s v="Service"/>
    <n v="6"/>
    <n v="11000"/>
    <s v="Computer Equipment/PCs etc for Provost Office Staff"/>
    <n v="66000"/>
    <s v="KU Regular operations"/>
    <s v="Non-recurring"/>
    <s v="Utilize state-of-the-art technologies and facilities in an optimal and efficient manner"/>
    <n v="0"/>
  </r>
  <r>
    <s v="Facilities "/>
    <s v="Director, Research Laboratories"/>
    <s v="Provost"/>
    <n v="847"/>
    <n v="8470220"/>
    <s v="KUST - Office of the Provost"/>
    <n v="1"/>
    <n v="492316"/>
    <s v="492316-Laboratory equipment"/>
    <s v="000000"/>
    <s v="KUST - General"/>
    <n v="847001"/>
    <s v="FA180-Capex Expense"/>
    <n v="300180"/>
    <x v="25"/>
    <s v="432209.Laboratory equipment-Number of Faculty-Number"/>
    <s v="Number"/>
    <n v="1"/>
    <n v="330000"/>
    <s v="Lab Equipment"/>
    <n v="330000"/>
    <s v="KU Strategic New Initiative"/>
    <s v="Recurring"/>
    <s v="Utilize state-of-the-art technologies and facilities in an optimal and efficient manner"/>
    <n v="0"/>
  </r>
  <r>
    <s v="-"/>
    <s v="-"/>
    <s v="Provost"/>
    <n v="847"/>
    <n v="8470220"/>
    <s v="KUST - Office of the Provost"/>
    <n v="1"/>
    <n v="436120"/>
    <s v="436120-Stationery"/>
    <s v="000000"/>
    <s v="KUST - General"/>
    <n v="847001"/>
    <s v="FA179-Opex Expense"/>
    <n v="200179"/>
    <x v="26"/>
    <s v="436120.Stationery-Number of Staff-Number"/>
    <s v="Number"/>
    <n v="6"/>
    <n v="1100"/>
    <s v="Office Stationery"/>
    <n v="6600"/>
    <s v="KU Regular operations"/>
    <s v="Recurring"/>
    <s v="Provide reliable, accurate and timely reports to different stakeholders"/>
    <n v="0"/>
  </r>
  <r>
    <s v="Academic"/>
    <s v="No Applicable"/>
    <s v="College of Engineering"/>
    <n v="847"/>
    <n v="8470305"/>
    <s v="KUST - Dean Of Engineering"/>
    <n v="1"/>
    <n v="420550"/>
    <s v="420550-Academic Advisory Service"/>
    <s v="000000"/>
    <s v="KUST - General"/>
    <n v="847001"/>
    <s v="FA179-Opex Expense"/>
    <n v="200179"/>
    <x v="27"/>
    <s v="420550.Academic Advisory Service-Number of Services-Number"/>
    <s v="Number"/>
    <n v="2"/>
    <n v="50000"/>
    <s v="Academic and Industry advisory board meetings and review"/>
    <n v="100000"/>
    <n v="100000"/>
    <n v="0"/>
    <s v="KU Regular operations"/>
    <n v="0"/>
  </r>
  <r>
    <s v="Academic"/>
    <s v="No Applicable"/>
    <s v="College of Engineering"/>
    <n v="847"/>
    <n v="8470305"/>
    <s v="KUST - Dean Of Engineering"/>
    <n v="1"/>
    <n v="420570"/>
    <s v="420570-Academic Collaborative Partnership Services"/>
    <s v="000000"/>
    <s v="KUST - General"/>
    <n v="847001"/>
    <s v="FA179-Opex Expense"/>
    <n v="200179"/>
    <x v="28"/>
    <s v="420570.Academic Collaborative Partnership Services- Research Projects Agreements-No of Research Projects Agreement"/>
    <s v="No of Research Projects Agreement"/>
    <n v="2"/>
    <n v="5000"/>
    <s v="membership agreements in Intl Org or consortia"/>
    <n v="10000"/>
    <n v="10000"/>
    <n v="0"/>
    <s v="KU Regular operations"/>
    <n v="0"/>
  </r>
  <r>
    <s v="Academic"/>
    <s v="Director, Institutional Research and Planning"/>
    <s v="College of Engineering"/>
    <n v="847"/>
    <n v="8470305"/>
    <s v="KUST - Dean Of Engineering"/>
    <n v="1"/>
    <n v="421700"/>
    <s v="421700-Standards certification (e.g. ISO)"/>
    <s v="000000"/>
    <s v="KUST - General"/>
    <n v="847001"/>
    <s v="FA179-Opex Expense"/>
    <n v="200179"/>
    <x v="29"/>
    <s v="421700.Standards Certification Services (e.g. ISO)-Number of Academic programs-Number"/>
    <s v="Number"/>
    <n v="9"/>
    <n v="10000"/>
    <s v="ABET 9 UG programs Accreditation"/>
    <n v="90000"/>
    <n v="90000"/>
    <n v="0"/>
    <s v="KU Regular operations"/>
    <n v="0"/>
  </r>
  <r>
    <s v="Communiction &amp; Marketing"/>
    <s v="Director, Marketing and Communication"/>
    <s v="College of Engineering"/>
    <n v="847"/>
    <n v="8470305"/>
    <s v="KUST - Dean Of Engineering"/>
    <n v="1"/>
    <n v="425510"/>
    <s v="425510-Conferences, seminars and exhibitions and other events: - Local Events"/>
    <s v="000000"/>
    <s v="KUST - General"/>
    <n v="847001"/>
    <s v="FA179-Opex Expense"/>
    <n v="200179"/>
    <x v="30"/>
    <s v="425500.Conferences, seminars and exhibitions and other events:-Number of events &amp; attendees-Number of Number of events &amp; attendees"/>
    <s v="Number of Number of events &amp; attendees"/>
    <n v="3"/>
    <n v="10000"/>
    <s v="Support local and KU events and conferences hosting"/>
    <n v="30000"/>
    <n v="30000"/>
    <n v="0"/>
    <s v="KU Regular operations"/>
    <n v="0"/>
  </r>
  <r>
    <s v="Student"/>
    <s v="No Applicable"/>
    <s v="College of Engineering"/>
    <n v="847"/>
    <n v="8470305"/>
    <s v="KUST - Dean Of Engineering"/>
    <n v="1"/>
    <n v="425763"/>
    <s v="425763-Student Project Expenses"/>
    <s v="000000"/>
    <s v="KUST - General"/>
    <n v="847001"/>
    <s v="FA179-Opex Expense"/>
    <n v="200179"/>
    <x v="31"/>
    <s v="425763.Student Project Expenses-Number of Students UG-Month"/>
    <s v="Month"/>
    <n v="8"/>
    <n v="15000"/>
    <s v="UG student projects and competitions"/>
    <n v="120000"/>
    <n v="120000"/>
    <n v="0"/>
    <s v="KU Regular operations"/>
    <n v="0"/>
  </r>
  <r>
    <s v="Academic"/>
    <s v="No Applicable"/>
    <s v="College of Engineering"/>
    <n v="847"/>
    <n v="8470305"/>
    <s v="KUST - Dean Of Engineering"/>
    <n v="1"/>
    <n v="425770"/>
    <s v="425770-Academic Missions - Combined expenses"/>
    <s v="000000"/>
    <s v="KUST - General"/>
    <n v="847001"/>
    <s v="FA179-Opex Expense"/>
    <n v="200179"/>
    <x v="32"/>
    <s v="425770.Academic Missions - Combined expenses-Number of Conference-Number"/>
    <s v="Number"/>
    <n v="58"/>
    <n v="20000"/>
    <s v="Conference travel, 25% of CoE, 1 conference per faculty"/>
    <n v="1160000"/>
    <n v="1160000"/>
    <n v="0"/>
    <s v="KU Regular operations"/>
    <n v="0"/>
  </r>
  <r>
    <s v="Other support"/>
    <s v="Director, Human Resources"/>
    <s v="College of Engineering"/>
    <n v="847"/>
    <n v="8470305"/>
    <s v="KUST - Dean Of Engineering"/>
    <n v="1"/>
    <n v="425900"/>
    <s v="425900-Entertainment and hospitality"/>
    <s v="000000"/>
    <s v="KUST - General"/>
    <n v="847001"/>
    <s v="FA179-Opex Expense"/>
    <n v="200179"/>
    <x v="33"/>
    <s v="425900.Entertainment and hospitality-1. No of events/workshops planned-count"/>
    <s v="count"/>
    <n v="4"/>
    <n v="10000"/>
    <s v="Retreats"/>
    <n v="40000"/>
    <n v="40000"/>
    <n v="0"/>
    <s v="KU Regular operations"/>
    <n v="0"/>
  </r>
  <r>
    <s v="IT"/>
    <s v="Director, Technology Development"/>
    <s v="College of Engineering"/>
    <n v="847"/>
    <n v="8470305"/>
    <s v="KUST - Dean Of Engineering"/>
    <n v="1"/>
    <n v="426610"/>
    <s v="426610-Computer software licenses"/>
    <s v="000000"/>
    <s v="KUST - General"/>
    <n v="847001"/>
    <s v="FA179-Opex Expense"/>
    <n v="200179"/>
    <x v="34"/>
    <s v="426610.Computer software licenses-Software License Renewal-service level agreement-Service"/>
    <s v="Service"/>
    <n v="1"/>
    <n v="150000"/>
    <s v="software for college requirements to support multi-department shared software "/>
    <n v="150000"/>
    <n v="150000"/>
    <n v="0"/>
    <s v="KU Regular operations"/>
    <n v="0"/>
  </r>
  <r>
    <s v="Academic "/>
    <s v="No Applicable"/>
    <s v="College of Engineering"/>
    <n v="847"/>
    <n v="8470305"/>
    <s v="KUST - Dean Of Engineering"/>
    <n v="1"/>
    <n v="428090"/>
    <s v="428090-Business Travel - Combined expenses"/>
    <s v="000000"/>
    <s v="KUST - General"/>
    <n v="847001"/>
    <s v="FA179-Opex Expense"/>
    <n v="200179"/>
    <x v="35"/>
    <s v="428090.Business Travel - Combined expenses-Number of Staff-Number"/>
    <s v="Number"/>
    <n v="3"/>
    <n v="30000"/>
    <s v="Dean/Assoc Dean travel on KU missions"/>
    <n v="90000"/>
    <n v="90000"/>
    <n v="0"/>
    <s v="KU Regular operations"/>
    <n v="0"/>
  </r>
  <r>
    <s v="Communiction &amp; Marketing"/>
    <s v="Director, Marketing and Communication"/>
    <s v="College of Engineering"/>
    <n v="847"/>
    <n v="8470305"/>
    <s v="KUST - Dean Of Engineering"/>
    <n v="1"/>
    <n v="428640"/>
    <s v="428640-Events - Awards, prizes &amp; gifts"/>
    <s v="000000"/>
    <s v="KUST - General"/>
    <n v="847001"/>
    <s v="FA179-Opex Expense"/>
    <n v="200179"/>
    <x v="36"/>
    <s v="428640.Events - Awards, prizes &amp; gifts-Number of awards-count"/>
    <s v="count"/>
    <n v="20"/>
    <n v="1800"/>
    <s v="Awards for students and faculty"/>
    <n v="36000"/>
    <n v="36000"/>
    <n v="0"/>
    <s v="KU Regular operations"/>
    <n v="0"/>
  </r>
  <r>
    <s v="Academic"/>
    <s v="No Applicable"/>
    <s v="College of Engineering"/>
    <n v="847"/>
    <n v="8470305"/>
    <s v="KUST - Dean Of Engineering"/>
    <n v="1"/>
    <n v="432209"/>
    <s v="432209-Laboratory equipment"/>
    <s v="000000"/>
    <s v="KUST - General"/>
    <n v="847001"/>
    <s v="FA179-Opex Expense"/>
    <n v="200179"/>
    <x v="37"/>
    <s v="432209.Laboratory equipment-Number of Faculty-Number"/>
    <s v="Number"/>
    <n v="58"/>
    <n v="5500"/>
    <s v="equipment support for multi department usage teaching labs"/>
    <n v="319000"/>
    <n v="319000"/>
    <n v="0"/>
    <s v="KU Regular operations"/>
    <n v="0"/>
  </r>
  <r>
    <s v="Academic"/>
    <s v="No Applicable"/>
    <s v="College of Engineering"/>
    <n v="847"/>
    <n v="8470305"/>
    <s v="KUST - Dean Of Engineering"/>
    <n v="1"/>
    <n v="435350"/>
    <s v="435350-Academic Publications"/>
    <s v="000000"/>
    <s v="KUST - General"/>
    <n v="847001"/>
    <s v="FA179-Opex Expense"/>
    <n v="200179"/>
    <x v="38"/>
    <s v="435350.Academic Publications-Number of Publications-Number"/>
    <s v="Number"/>
    <n v="80"/>
    <n v="4500"/>
    <s v="Publications in Open access Q1 texts"/>
    <n v="360000"/>
    <n v="360000"/>
    <n v="0"/>
    <s v="KU Regular operations"/>
    <n v="0"/>
  </r>
  <r>
    <s v="Academic"/>
    <s v="Director, Research Laboratories"/>
    <s v="College of Engineering"/>
    <n v="847"/>
    <n v="8470305"/>
    <s v="KUST - Dean Of Engineering"/>
    <n v="1"/>
    <n v="435508"/>
    <s v="435508-Laboratory - Scientific"/>
    <s v="000000"/>
    <s v="KUST - General"/>
    <n v="847001"/>
    <s v="FA179-Opex Expense"/>
    <n v="200179"/>
    <x v="39"/>
    <s v="435508.Laboratory - Scientific-Number of Faculty-Number"/>
    <s v="Number"/>
    <n v="3"/>
    <n v="60000"/>
    <s v="Upgrade and maintenance for CoE shared facilities"/>
    <n v="180000"/>
    <n v="180000"/>
    <n v="0"/>
    <s v="KU Regular operations"/>
    <n v="0"/>
  </r>
  <r>
    <s v="Academic"/>
    <s v="No Applicable"/>
    <s v="College of Engineering"/>
    <n v="847"/>
    <n v="8470305"/>
    <s v="KUST - Dean Of Engineering"/>
    <n v="1"/>
    <n v="436600"/>
    <s v="436600-Training/Teaching equipment and other educational aid"/>
    <s v="000000"/>
    <s v="KUST - General"/>
    <n v="847001"/>
    <s v="FA179-Opex Expense"/>
    <n v="200179"/>
    <x v="40"/>
    <s v="436600.Training/Teaching equipment and other educational aid-Number of Faculty-Number"/>
    <s v="Number"/>
    <n v="3"/>
    <n v="20000"/>
    <s v="Hybrid learning technologies"/>
    <n v="60000"/>
    <n v="60000"/>
    <n v="0"/>
    <s v="KU Regular operations"/>
    <n v="0"/>
  </r>
  <r>
    <s v="Student"/>
    <s v="No Applicable"/>
    <s v="College of Engineering"/>
    <n v="847"/>
    <n v="8470305"/>
    <s v="KUST - Dean Of Engineering"/>
    <n v="1"/>
    <n v="425720"/>
    <s v="425720-Education-Outsourced training service"/>
    <s v="000000"/>
    <s v="KUST - General"/>
    <n v="847001"/>
    <s v="FA179-Opex Expense"/>
    <n v="200179"/>
    <x v="41"/>
    <s v="425720.Education-Outsourced training service-Activities-No of Activities"/>
    <s v="No of Activities"/>
    <n v="4"/>
    <n v="20000"/>
    <s v="training of DH, faculty and staff"/>
    <n v="80000"/>
    <n v="80000"/>
    <n v="0"/>
    <s v="KU Regular operations"/>
    <n v="0"/>
  </r>
  <r>
    <s v="Facilities "/>
    <s v="Director, Research Laboratories"/>
    <s v="College of Engineering"/>
    <n v="847"/>
    <n v="8470305"/>
    <s v="KUST - Dean Of Engineering"/>
    <n v="1"/>
    <n v="432690"/>
    <s v="432690-Plant, machinery and heavy equipment, not mentioned elsewhere"/>
    <s v="000000"/>
    <s v="KUST - General"/>
    <n v="847001"/>
    <s v="FA179-Opex Expense"/>
    <n v="200179"/>
    <x v="42"/>
    <m/>
    <s v="-_"/>
    <m/>
    <m/>
    <m/>
    <n v="0"/>
    <n v="0"/>
    <n v="0"/>
    <m/>
    <n v="0"/>
  </r>
  <r>
    <s v="Academic"/>
    <s v="No Applicable"/>
    <s v="College of Engineering"/>
    <n v="847"/>
    <n v="8470305"/>
    <s v="KUST - Dean Of Engineering"/>
    <n v="1"/>
    <n v="435340"/>
    <s v="435340-Text books and library books"/>
    <s v="000000"/>
    <s v="KUST - General"/>
    <n v="847001"/>
    <s v="FA179-Opex Expense"/>
    <n v="200179"/>
    <x v="43"/>
    <m/>
    <s v="-_"/>
    <m/>
    <m/>
    <m/>
    <n v="0"/>
    <n v="0"/>
    <n v="0"/>
    <m/>
    <n v="0"/>
  </r>
  <r>
    <s v="Academic"/>
    <s v="No Applicable"/>
    <s v="College of Engineering"/>
    <n v="847"/>
    <n v="8470310"/>
    <s v="KUST - Aerospace Engineering"/>
    <n v="1"/>
    <n v="420550"/>
    <s v="420550-Academic Advisory Service"/>
    <s v="000000"/>
    <s v="KUST - General"/>
    <n v="847001"/>
    <s v="FA179-Opex Expense"/>
    <n v="200179"/>
    <x v="44"/>
    <s v="420550.Academic Advisory Service-Number of Students-Number"/>
    <s v="Number"/>
    <n v="2"/>
    <n v="10000"/>
    <s v="2 Board meetings of about 10 members. AED 10k per meeting."/>
    <n v="20000"/>
    <n v="20000"/>
    <n v="0"/>
    <s v="KU Regular operations"/>
    <n v="0"/>
  </r>
  <r>
    <s v="Communiction &amp; Marketing"/>
    <s v="Director, Marketing and Communication"/>
    <s v="College of Engineering"/>
    <n v="847"/>
    <n v="8470310"/>
    <s v="KUST - Aerospace Engineering"/>
    <n v="1"/>
    <n v="425510"/>
    <s v="425510-Conferences, seminars and exhibitions and other events: - Local Events"/>
    <s v="000000"/>
    <s v="KUST - General"/>
    <n v="847001"/>
    <s v="FA179-Opex Expense"/>
    <n v="200179"/>
    <x v="45"/>
    <s v="425510.Conferences, seminars and exhibitions and other events: - Local Events-Conferences-Number of Conferences"/>
    <s v="Number of Conferences"/>
    <n v="3"/>
    <n v="10000"/>
    <s v="Conferences / Events that KU Aero Department will host"/>
    <n v="30000"/>
    <n v="30000"/>
    <n v="0"/>
    <s v="KU Regular operations"/>
    <n v="0"/>
  </r>
  <r>
    <s v="Student"/>
    <s v="Director, Student Services"/>
    <s v="College of Engineering"/>
    <n v="847"/>
    <n v="8470310"/>
    <s v="KUST - Aerospace Engineering"/>
    <n v="1"/>
    <n v="425760"/>
    <s v="425760-Student activities &amp; field trip expenses"/>
    <s v="000000"/>
    <s v="KUST - General"/>
    <n v="847001"/>
    <s v="FA179-Opex Expense"/>
    <n v="200179"/>
    <x v="46"/>
    <s v="425760.Student activities &amp; field trip expenses-Students-No of Students"/>
    <s v="No of Students"/>
    <n v="15"/>
    <n v="10000"/>
    <s v="Students travel to the US for Design Build Fly competetion"/>
    <n v="150000"/>
    <n v="150000"/>
    <n v="0"/>
    <s v="KU Regular operations"/>
    <n v="0"/>
  </r>
  <r>
    <s v="Student"/>
    <s v="No Applicable"/>
    <s v="College of Engineering"/>
    <n v="847"/>
    <n v="8470310"/>
    <s v="KUST - Aerospace Engineering"/>
    <n v="1"/>
    <n v="425763"/>
    <s v="425763-Student Project Expenses"/>
    <s v="000000"/>
    <s v="KUST - General"/>
    <n v="847001"/>
    <s v="FA179-Opex Expense"/>
    <n v="200179"/>
    <x v="47"/>
    <s v="425763.Student Project Expenses-Number of Students UG-Month"/>
    <s v="Month"/>
    <n v="12"/>
    <n v="30000"/>
    <s v="Assuming 72 SDP students, with AED 5,000 allocated per student"/>
    <n v="360000"/>
    <n v="360000"/>
    <n v="0"/>
    <s v="KU Regular operations"/>
    <n v="0"/>
  </r>
  <r>
    <s v="Academic"/>
    <s v="No Applicable"/>
    <s v="College of Engineering"/>
    <n v="847"/>
    <n v="8470310"/>
    <s v="KUST - Aerospace Engineering"/>
    <n v="1"/>
    <n v="425770"/>
    <s v="425770-Academic Missions - Combined expenses"/>
    <s v="000000"/>
    <s v="KUST - General"/>
    <n v="847001"/>
    <s v="FA179-Opex Expense"/>
    <n v="200179"/>
    <x v="48"/>
    <s v="425770.Academic Missions - Combined expenses-Number of Conference-Number"/>
    <s v="Number"/>
    <n v="17"/>
    <n v="20000"/>
    <s v="International conference travel and registration fee. 1 Conference per faculty."/>
    <n v="340000"/>
    <n v="340000"/>
    <n v="0"/>
    <s v="KU Regular operations"/>
    <n v="0"/>
  </r>
  <r>
    <s v="Other support"/>
    <s v="Director, Human Resources"/>
    <s v="College of Engineering"/>
    <n v="847"/>
    <n v="8470310"/>
    <s v="KUST - Aerospace Engineering"/>
    <n v="1"/>
    <n v="425900"/>
    <s v="425900-Entertainment and hospitality"/>
    <s v="000000"/>
    <s v="KUST - General"/>
    <n v="847001"/>
    <s v="FA179-Opex Expense"/>
    <n v="200179"/>
    <x v="49"/>
    <s v="425900.Entertainment and hospitality-1. No of events/workshops planned-count"/>
    <s v="count"/>
    <n v="17"/>
    <n v="500"/>
    <s v="12 Faculty Meetings (one per month) + 5 visits by professional organizations to the department."/>
    <n v="8500"/>
    <n v="8500"/>
    <n v="0"/>
    <s v="KU Regular operations"/>
    <n v="0"/>
  </r>
  <r>
    <s v="IT"/>
    <s v="Director, Technology Development"/>
    <s v="College of Engineering"/>
    <n v="847"/>
    <n v="8470310"/>
    <s v="KUST - Aerospace Engineering"/>
    <n v="1"/>
    <n v="426610"/>
    <s v="426610-Computer software licenses"/>
    <s v="000000"/>
    <s v="KUST - General"/>
    <n v="847001"/>
    <s v="FA179-Opex Expense"/>
    <n v="200179"/>
    <x v="50"/>
    <s v="426610.Computer software licenses-Software License Renewal-number of licenses-Number"/>
    <s v="Number"/>
    <n v="1"/>
    <n v="10000"/>
    <s v="Software renewal as per the CoE list"/>
    <n v="10000"/>
    <n v="10000"/>
    <n v="0"/>
    <s v="KU Regular operations"/>
    <n v="0"/>
  </r>
  <r>
    <s v="Academic "/>
    <s v="No Applicable"/>
    <s v="College of Engineering"/>
    <n v="847"/>
    <n v="8470310"/>
    <s v="KUST - Aerospace Engineering"/>
    <n v="1"/>
    <n v="428090"/>
    <s v="428090-Business Travel - Combined expenses"/>
    <s v="000000"/>
    <s v="KUST - General"/>
    <n v="847001"/>
    <s v="FA179-Opex Expense"/>
    <n v="200179"/>
    <x v="51"/>
    <s v="428090.Business Travel - Combined expenses-Number of Faculty-Number"/>
    <s v="Number"/>
    <n v="17"/>
    <n v="20000"/>
    <s v="2 business trips by the Chair or a faculty to international universities or organizations to promote the department and KU."/>
    <n v="340000"/>
    <n v="340000"/>
    <n v="0"/>
    <s v="KU Regular operations"/>
    <n v="0"/>
  </r>
  <r>
    <s v="Academic"/>
    <s v="No Applicable"/>
    <s v="College of Engineering"/>
    <n v="847"/>
    <n v="8470310"/>
    <s v="KUST - Aerospace Engineering"/>
    <n v="1"/>
    <n v="432209"/>
    <s v="432209-Laboratory equipment"/>
    <s v="000000"/>
    <s v="KUST - General"/>
    <n v="847001"/>
    <s v="FA179-Opex Expense"/>
    <n v="200179"/>
    <x v="52"/>
    <s v="432209.Laboratory equipment-Number of Faculty-Number"/>
    <s v="Number"/>
    <n v="17"/>
    <n v="5000"/>
    <s v="Aerospace Lab Maintenance"/>
    <n v="85000"/>
    <n v="85000"/>
    <n v="0"/>
    <s v="KU Regular operations"/>
    <n v="0"/>
  </r>
  <r>
    <s v="Academic"/>
    <s v="No Applicable"/>
    <s v="College of Engineering"/>
    <n v="847"/>
    <n v="8470310"/>
    <s v="KUST - Aerospace Engineering"/>
    <n v="1"/>
    <n v="435350"/>
    <s v="435350-Academic Publications"/>
    <s v="000000"/>
    <s v="KUST - General"/>
    <n v="847001"/>
    <s v="FA179-Opex Expense"/>
    <n v="200179"/>
    <x v="53"/>
    <s v="435350.Academic Publications-Number of Publications-Number"/>
    <s v="Number"/>
    <n v="17"/>
    <n v="13000"/>
    <s v="Publications in open access Q1 journals $3500 per paper"/>
    <n v="221000"/>
    <n v="221000"/>
    <n v="0"/>
    <s v="KU Regular operations"/>
    <n v="0"/>
  </r>
  <r>
    <s v="Academic"/>
    <s v="Director, Research Laboratories"/>
    <s v="College of Engineering"/>
    <n v="847"/>
    <n v="8470310"/>
    <s v="KUST - Aerospace Engineering"/>
    <n v="1"/>
    <n v="435508"/>
    <s v="435508-Laboratory - Scientific"/>
    <s v="000000"/>
    <s v="KUST - General"/>
    <n v="847001"/>
    <s v="FA179-Opex Expense"/>
    <n v="200179"/>
    <x v="54"/>
    <s v="435508.Laboratory - Scientific-Number of Faculty-Number"/>
    <s v="Number"/>
    <n v="17"/>
    <n v="15000"/>
    <s v="Aero Lab consumables (OPEX)"/>
    <n v="255000"/>
    <n v="255000"/>
    <n v="0"/>
    <s v="KU Regular operations"/>
    <n v="0"/>
  </r>
  <r>
    <s v="Other support"/>
    <s v="No Applicable"/>
    <s v="College of Engineering"/>
    <n v="847"/>
    <n v="8470310"/>
    <s v="KUST - Aerospace Engineering"/>
    <n v="1"/>
    <n v="436110"/>
    <s v="436110-Printing supplies"/>
    <s v="000000"/>
    <s v="KUST - General"/>
    <n v="847001"/>
    <s v="FA179-Opex Expense"/>
    <n v="200179"/>
    <x v="55"/>
    <s v="436110.Printing supplies-Number of Faculty-Number"/>
    <s v="Number"/>
    <n v="17"/>
    <n v="300"/>
    <s v="Printing services to the department (brochures, posters, handouts, etc)"/>
    <n v="5100"/>
    <n v="5100"/>
    <n v="0"/>
    <s v="KU Regular operations"/>
    <n v="0"/>
  </r>
  <r>
    <s v="Academic"/>
    <s v="No Applicable"/>
    <s v="College of Engineering"/>
    <n v="847"/>
    <n v="8470310"/>
    <s v="KUST - Aerospace Engineering"/>
    <n v="1"/>
    <n v="436600"/>
    <s v="436600-Training/Teaching equipment and other educational aid"/>
    <s v="000000"/>
    <s v="KUST - General"/>
    <n v="847001"/>
    <s v="FA179-Opex Expense"/>
    <n v="200179"/>
    <x v="56"/>
    <s v="436600.Training/Teaching equipment and other educational aid-Number of Faculty-Number"/>
    <s v="Number"/>
    <n v="17"/>
    <n v="350"/>
    <s v="Training/Teaching equipment and other educational aid"/>
    <n v="5950"/>
    <n v="5950"/>
    <n v="0"/>
    <s v="KU Regular operations"/>
    <n v="0"/>
  </r>
  <r>
    <s v="Facilities "/>
    <s v="Director, Research Laboratories"/>
    <s v="College of Engineering"/>
    <n v="847"/>
    <n v="8470310"/>
    <s v="KUST - Aerospace Engineering"/>
    <n v="1"/>
    <n v="492316"/>
    <s v="492316-Laboratory equipment"/>
    <s v="000000"/>
    <s v="KUST - General"/>
    <n v="847001"/>
    <s v="FA180-Capex Expense"/>
    <n v="300180"/>
    <x v="57"/>
    <s v="492316.Laboratory equipment-Number of Faculty-Number"/>
    <s v="Number"/>
    <n v="1"/>
    <n v="2500000"/>
    <s v="Total CAPEX budget"/>
    <n v="2500000"/>
    <n v="2500000"/>
    <n v="0"/>
    <s v="KU Regular operations"/>
    <n v="0"/>
  </r>
  <r>
    <s v="Academic"/>
    <s v="No Applicable"/>
    <s v="College of Engineering"/>
    <n v="847"/>
    <n v="8470315"/>
    <s v="KUST - Biomedical Engineering"/>
    <n v="1"/>
    <n v="420550"/>
    <s v="420550-Academic Advisory Service"/>
    <s v="000000"/>
    <s v="KUST - General"/>
    <n v="847001"/>
    <s v="FA179-Opex Expense"/>
    <n v="200179"/>
    <x v="58"/>
    <s v="420550.Academic Advisory Service-Number of Services-Number"/>
    <s v="Number"/>
    <n v="1"/>
    <n v="7000"/>
    <s v="Advisory board meeting expenses (2 hours per meeting, 1meeting per year); invitations from abroad, e.g., Cambridge University."/>
    <n v="7000"/>
    <n v="7000"/>
    <n v="0"/>
    <s v="KU Regular operations"/>
    <n v="0"/>
  </r>
  <r>
    <s v="Communiction &amp; Marketing"/>
    <s v="Director, Marketing and Communication"/>
    <s v="College of Engineering"/>
    <n v="847"/>
    <n v="8470315"/>
    <s v="KUST - Biomedical Engineering"/>
    <n v="1"/>
    <n v="425510"/>
    <s v="425510-Conferences, seminars and exhibitions and other events: - Local Events"/>
    <s v="000000"/>
    <s v="KUST - General"/>
    <n v="847001"/>
    <s v="FA179-Opex Expense"/>
    <n v="200179"/>
    <x v="59"/>
    <s v="425510.Conferences, seminars and exhibitions and other events: - Local Events-Events-Number of Events"/>
    <s v="Number of Events"/>
    <n v="10"/>
    <n v="1000"/>
    <s v="INTERACTION series: 7 seminars per year; Students' exhibitions (3 per year)"/>
    <n v="10000"/>
    <n v="10000"/>
    <n v="0"/>
    <s v="KU Regular operations"/>
    <n v="0"/>
  </r>
  <r>
    <s v="Student"/>
    <s v="Director, Student Services"/>
    <s v="College of Engineering"/>
    <n v="847"/>
    <n v="8470315"/>
    <s v="KUST - Biomedical Engineering"/>
    <n v="1"/>
    <n v="425760"/>
    <s v="425760-Student activities &amp; field trip expenses"/>
    <s v="000000"/>
    <s v="KUST - General"/>
    <n v="847001"/>
    <s v="FA179-Opex Expense"/>
    <n v="200179"/>
    <x v="60"/>
    <s v="425760.Student activities &amp; field trip expenses-Events-No of Events"/>
    <s v="No of Events"/>
    <n v="6"/>
    <n v="4000"/>
    <s v="Support for IEEE EMBS Chapter (AED10000)+Field trips to hospital labs; students' support in competitions (the total cost is split in five parts)."/>
    <n v="24000"/>
    <n v="24000"/>
    <n v="0"/>
    <s v="KU Regular operations"/>
    <n v="0"/>
  </r>
  <r>
    <s v="Student"/>
    <s v="No Applicable"/>
    <s v="College of Engineering"/>
    <n v="847"/>
    <n v="8470315"/>
    <s v="KUST - Biomedical Engineering"/>
    <n v="1"/>
    <n v="425763"/>
    <s v="425763-Student Project Expenses"/>
    <s v="000000"/>
    <s v="KUST - General"/>
    <n v="847001"/>
    <s v="FA179-Opex Expense"/>
    <n v="200179"/>
    <x v="61"/>
    <s v="425763.Student Project Expenses-Number of Students UG-Month"/>
    <s v="Month"/>
    <n v="68"/>
    <n v="3000"/>
    <s v="SDP I and SDP II needs, participation in international competitions (the number of undergraduate Senior students are used for the calculation with a cost of AED3000 per Senior student)."/>
    <n v="204000"/>
    <n v="204000"/>
    <n v="0"/>
    <s v="KU Regular operations"/>
    <n v="0"/>
  </r>
  <r>
    <s v="Academic"/>
    <s v="No Applicable"/>
    <s v="College of Engineering"/>
    <n v="847"/>
    <n v="8470315"/>
    <s v="KUST - Biomedical Engineering"/>
    <n v="1"/>
    <n v="425770"/>
    <s v="425770-Academic Missions - Combined expenses"/>
    <s v="000000"/>
    <s v="KUST - General"/>
    <n v="847001"/>
    <s v="FA179-Opex Expense"/>
    <n v="200179"/>
    <x v="62"/>
    <s v="425770.Academic Missions - Combined expenses-Number of Meeting-Number"/>
    <s v="Number"/>
    <n v="16"/>
    <n v="20000"/>
    <s v="Faculty conferences and meetings"/>
    <n v="320000"/>
    <n v="320000"/>
    <n v="0"/>
    <s v="KU Regular operations"/>
    <n v="0"/>
  </r>
  <r>
    <s v="Other support"/>
    <s v="Director, Human Resources"/>
    <s v="College of Engineering"/>
    <n v="847"/>
    <n v="8470315"/>
    <s v="KUST - Biomedical Engineering"/>
    <n v="1"/>
    <n v="425900"/>
    <s v="425900-Entertainment and hospitality"/>
    <s v="000000"/>
    <s v="KUST - General"/>
    <n v="847001"/>
    <s v="FA179-Opex Expense"/>
    <n v="200179"/>
    <x v="63"/>
    <s v="425900.Entertainment and hospitality-1. No of events/workshops planned-count"/>
    <s v="count"/>
    <n v="16"/>
    <n v="1500"/>
    <s v="Retreats, faculty meetings (10 per year) and Invited speakers expenses for seminars caterings"/>
    <n v="24000"/>
    <n v="24000"/>
    <n v="0"/>
    <s v="KU Regular operations"/>
    <n v="0"/>
  </r>
  <r>
    <s v="IT"/>
    <s v="Director, Technology Development"/>
    <s v="College of Engineering"/>
    <n v="847"/>
    <n v="8470315"/>
    <s v="KUST - Biomedical Engineering"/>
    <n v="1"/>
    <n v="426610"/>
    <s v="426610-Computer software licenses"/>
    <s v="000000"/>
    <s v="KUST - General"/>
    <n v="847001"/>
    <s v="FA179-Opex Expense"/>
    <n v="200179"/>
    <x v="64"/>
    <s v="426610.Computer software licenses-Software License Renewal-number of licenses-Number"/>
    <s v="Number"/>
    <n v="1"/>
    <n v="105000"/>
    <s v="Software licences for eduactional software: AnyBody Modeling System; SPSS"/>
    <n v="105000"/>
    <n v="105000"/>
    <n v="0"/>
    <s v="KU Regular operations"/>
    <n v="0"/>
  </r>
  <r>
    <s v="Academic "/>
    <s v="No Applicable"/>
    <s v="College of Engineering"/>
    <n v="847"/>
    <n v="8470315"/>
    <s v="KUST - Biomedical Engineering"/>
    <n v="1"/>
    <n v="428090"/>
    <s v="428090-Business Travel - Combined expenses"/>
    <s v="000000"/>
    <s v="KUST - General"/>
    <n v="847001"/>
    <s v="FA179-Opex Expense"/>
    <n v="200179"/>
    <x v="65"/>
    <s v="428090.Business Travel - Combined expenses-Number of Faculty-Number"/>
    <s v="Number"/>
    <n v="2"/>
    <n v="10000"/>
    <s v="Addition to department specific development trips"/>
    <n v="20000"/>
    <n v="20000"/>
    <n v="0"/>
    <s v="KU Regular operations"/>
    <n v="0"/>
  </r>
  <r>
    <s v="Academic"/>
    <s v="No Applicable"/>
    <s v="College of Engineering"/>
    <n v="847"/>
    <n v="8470315"/>
    <s v="KUST - Biomedical Engineering"/>
    <n v="1"/>
    <n v="432209"/>
    <s v="432209-Laboratory equipment"/>
    <s v="000000"/>
    <s v="KUST - General"/>
    <n v="847001"/>
    <s v="FA179-Opex Expense"/>
    <n v="200179"/>
    <x v="66"/>
    <s v="432209.Laboratory equipment-Number of Students-Number"/>
    <s v="Number"/>
    <n v="1"/>
    <n v="150000"/>
    <s v="Annual Service Contracts for BME Labs Major Units"/>
    <n v="150000"/>
    <n v="150000"/>
    <n v="0"/>
    <s v="KU Regular operations"/>
    <n v="0"/>
  </r>
  <r>
    <s v="Academic"/>
    <s v="No Applicable"/>
    <s v="College of Engineering"/>
    <n v="847"/>
    <n v="8470315"/>
    <s v="KUST - Biomedical Engineering"/>
    <n v="1"/>
    <n v="435350"/>
    <s v="435350-Academic Publications"/>
    <s v="000000"/>
    <s v="KUST - General"/>
    <n v="847001"/>
    <s v="FA179-Opex Expense"/>
    <n v="200179"/>
    <x v="67"/>
    <s v="435350.Academic Publications-Number of Publications-Number"/>
    <s v="Number"/>
    <n v="16"/>
    <n v="5000"/>
    <s v="Open access publications (one per faculty)"/>
    <n v="80000"/>
    <n v="80000"/>
    <n v="0"/>
    <s v="KU Regular operations"/>
    <n v="0"/>
  </r>
  <r>
    <s v="Academic"/>
    <s v="Director, Research Laboratories"/>
    <s v="College of Engineering"/>
    <n v="847"/>
    <n v="8470315"/>
    <s v="KUST - Biomedical Engineering"/>
    <n v="1"/>
    <n v="435508"/>
    <s v="435508-Laboratory - Scientific"/>
    <s v="000000"/>
    <s v="KUST - General"/>
    <n v="847001"/>
    <s v="FA179-Opex Expense"/>
    <n v="200179"/>
    <x v="68"/>
    <s v="435508.Laboratory - Scientific-Number of Students-Number"/>
    <s v="Number"/>
    <n v="1"/>
    <n v="220000"/>
    <s v="Chemicals and biologocal reagents for teaching; LN2 and CO2 gases; Consumables; Cloud based remote Biosignal recording consumables "/>
    <n v="220000"/>
    <n v="220000"/>
    <n v="0"/>
    <s v="KU Regular operations"/>
    <n v="0"/>
  </r>
  <r>
    <s v="Other support"/>
    <s v="No Applicable"/>
    <s v="College of Engineering"/>
    <n v="847"/>
    <n v="8470315"/>
    <s v="KUST - Biomedical Engineering"/>
    <n v="1"/>
    <n v="436110"/>
    <s v="436110-Printing supplies"/>
    <s v="000000"/>
    <s v="KUST - General"/>
    <n v="847001"/>
    <s v="FA179-Opex Expense"/>
    <n v="200179"/>
    <x v="69"/>
    <s v="436110.Printing supplies-Number of Employees-Number"/>
    <s v="Number"/>
    <n v="5"/>
    <n v="500"/>
    <s v="Toners/Paper"/>
    <n v="2500"/>
    <n v="2500"/>
    <n v="0"/>
    <s v="KU Regular operations"/>
    <n v="0"/>
  </r>
  <r>
    <s v="Academic"/>
    <s v="No Applicable"/>
    <s v="College of Engineering"/>
    <n v="847"/>
    <n v="8470315"/>
    <s v="KUST - Biomedical Engineering"/>
    <n v="1"/>
    <n v="436600"/>
    <s v="436600-Training/Teaching equipment and other educational aid"/>
    <s v="000000"/>
    <s v="KUST - General"/>
    <n v="847001"/>
    <s v="FA179-Opex Expense"/>
    <n v="200179"/>
    <x v="70"/>
    <s v="436600.Training/Teaching equipment and other educational aid-Number of Staff-Number"/>
    <s v="Number"/>
    <n v="16"/>
    <n v="2000"/>
    <s v="Educational aid for online/blended teaching-learning "/>
    <n v="32000"/>
    <n v="32000"/>
    <n v="0"/>
    <s v="KU Regular operations"/>
    <n v="0"/>
  </r>
  <r>
    <s v="Facilities "/>
    <s v="Director, Research Laboratories"/>
    <s v="College of Engineering"/>
    <n v="847"/>
    <n v="8470315"/>
    <s v="KUST - Biomedical Engineering"/>
    <n v="1"/>
    <n v="492316"/>
    <s v="492316-Laboratory equipment"/>
    <s v="000000"/>
    <s v="KUST - General"/>
    <n v="847001"/>
    <s v="FA180-Capex Expense"/>
    <n v="300180"/>
    <x v="71"/>
    <s v="492316.Laboratory equipment-Number of Students-Number"/>
    <s v="Number"/>
    <n v="3"/>
    <n v="65000"/>
    <s v="Biological Safety cabinets "/>
    <n v="195000"/>
    <n v="195000"/>
    <n v="0"/>
    <s v="KU Strategic New Initiative"/>
    <n v="0"/>
  </r>
  <r>
    <s v="-"/>
    <s v="-"/>
    <s v="College of Engineering"/>
    <n v="847"/>
    <n v="8470315"/>
    <s v="KUST - Biomedical Engineering"/>
    <n v="1"/>
    <n v="492316"/>
    <s v="492316-Laboratory equipment"/>
    <s v="000000"/>
    <s v="KUST - General"/>
    <n v="847001"/>
    <s v="FA180-Capex Expense"/>
    <n v="300180"/>
    <x v="71"/>
    <s v="492316.Laboratory equipment-Number of Students-Number"/>
    <s v="Number"/>
    <n v="4"/>
    <n v="37728"/>
    <s v="Wearable Equivital system for vital physiological signal monitoring and recording"/>
    <n v="150912"/>
    <n v="150912"/>
    <n v="0"/>
    <s v="KU Strategic New Initiative"/>
    <n v="0"/>
  </r>
  <r>
    <s v="-"/>
    <s v="-"/>
    <s v="College of Engineering"/>
    <n v="847"/>
    <n v="8470315"/>
    <s v="KUST - Biomedical Engineering"/>
    <n v="1"/>
    <n v="492316"/>
    <s v="492316-Laboratory equipment"/>
    <s v="000000"/>
    <s v="KUST - General"/>
    <n v="847001"/>
    <s v="FA180-Capex Expense"/>
    <n v="300180"/>
    <x v="71"/>
    <s v="492316.Laboratory equipment-Number of Students-Number"/>
    <s v="Number"/>
    <n v="2"/>
    <n v="25000"/>
    <s v="High power Computers "/>
    <n v="50000"/>
    <n v="50000"/>
    <n v="0"/>
    <s v="KU Strategic New Initiative"/>
    <n v="0"/>
  </r>
  <r>
    <s v="-"/>
    <s v="-"/>
    <s v="College of Engineering"/>
    <n v="847"/>
    <n v="8470315"/>
    <s v="KUST - Biomedical Engineering"/>
    <n v="1"/>
    <n v="492316"/>
    <s v="492316-Laboratory equipment"/>
    <s v="000000"/>
    <s v="KUST - General"/>
    <n v="847001"/>
    <s v="FA180-Capex Expense"/>
    <n v="300180"/>
    <x v="71"/>
    <s v="492316.Laboratory equipment-Number of Students-Number"/>
    <s v="Number"/>
    <n v="30"/>
    <n v="6000"/>
    <s v="Desktop Computers"/>
    <n v="180000"/>
    <n v="180000"/>
    <n v="0"/>
    <s v="KU Strategic New Initiative"/>
    <n v="0"/>
  </r>
  <r>
    <s v="-"/>
    <s v="-"/>
    <s v="College of Engineering"/>
    <n v="847"/>
    <n v="8470315"/>
    <s v="KUST - Biomedical Engineering"/>
    <n v="1"/>
    <n v="492316"/>
    <s v="492316-Laboratory equipment"/>
    <s v="000000"/>
    <s v="KUST - General"/>
    <n v="847001"/>
    <s v="FA180-Capex Expense"/>
    <n v="300180"/>
    <x v="71"/>
    <s v="492316.Laboratory equipment-Number of Students-Number"/>
    <s v="Number"/>
    <n v="1"/>
    <n v="198000"/>
    <s v="Freeze dryer (for drug delivery and tissue engineering) "/>
    <n v="198000"/>
    <n v="198000"/>
    <n v="0"/>
    <s v="KU Strategic New Initiative"/>
    <n v="0"/>
  </r>
  <r>
    <s v="-"/>
    <s v="-"/>
    <s v="College of Engineering"/>
    <n v="847"/>
    <n v="8470315"/>
    <s v="KUST - Biomedical Engineering"/>
    <n v="1"/>
    <n v="492316"/>
    <s v="492316-Laboratory equipment"/>
    <s v="000000"/>
    <s v="KUST - General"/>
    <n v="847001"/>
    <s v="FA180-Capex Expense"/>
    <n v="300180"/>
    <x v="71"/>
    <s v="492316.Laboratory equipment-Number of Students-Number"/>
    <s v="Number"/>
    <n v="1"/>
    <n v="237490"/>
    <s v="Ultracentrifuge"/>
    <n v="237490"/>
    <n v="237490"/>
    <n v="0"/>
    <s v="KU Strategic New Initiative"/>
    <n v="0"/>
  </r>
  <r>
    <s v="-"/>
    <s v="-"/>
    <s v="College of Engineering"/>
    <n v="847"/>
    <n v="8470315"/>
    <s v="KUST - Biomedical Engineering"/>
    <n v="1"/>
    <n v="492316"/>
    <s v="492316-Laboratory equipment"/>
    <s v="000000"/>
    <s v="KUST - General"/>
    <n v="847001"/>
    <s v="FA180-Capex Expense"/>
    <n v="300180"/>
    <x v="71"/>
    <s v="492316.Laboratory equipment-Number of Students-Number"/>
    <s v="Number"/>
    <n v="1"/>
    <n v="41000"/>
    <s v="NEON System Starter PACK Transfection System"/>
    <n v="41000"/>
    <n v="41000"/>
    <n v="0"/>
    <s v="KU Strategic New Initiative"/>
    <n v="0"/>
  </r>
  <r>
    <s v="-"/>
    <s v="-"/>
    <s v="College of Engineering"/>
    <n v="847"/>
    <n v="8470315"/>
    <s v="KUST - Biomedical Engineering"/>
    <n v="1"/>
    <n v="492316"/>
    <s v="492316-Laboratory equipment"/>
    <s v="000000"/>
    <s v="KUST - General"/>
    <n v="847001"/>
    <s v="FA180-Capex Expense"/>
    <n v="300180"/>
    <x v="71"/>
    <s v="492316.Laboratory equipment-Number of Students-Number"/>
    <s v="Number"/>
    <n v="1"/>
    <n v="163400"/>
    <s v="Confocal Microscope upgrade "/>
    <n v="163400"/>
    <n v="163400"/>
    <n v="0"/>
    <s v="KU Strategic New Initiative"/>
    <n v="0"/>
  </r>
  <r>
    <s v="-"/>
    <s v="-"/>
    <s v="College of Engineering"/>
    <n v="847"/>
    <n v="8470315"/>
    <s v="KUST - Biomedical Engineering"/>
    <n v="1"/>
    <n v="492316"/>
    <s v="492316-Laboratory equipment"/>
    <s v="000000"/>
    <s v="KUST - General"/>
    <n v="847001"/>
    <s v="FA180-Capex Expense"/>
    <n v="300180"/>
    <x v="71"/>
    <s v="492316.Laboratory equipment-Number of Students-Number"/>
    <s v="Number"/>
    <n v="1"/>
    <n v="36000"/>
    <s v="EVOS XL Core Imaging System"/>
    <n v="36000"/>
    <n v="36000"/>
    <n v="0"/>
    <s v="KU Strategic New Initiative"/>
    <n v="0"/>
  </r>
  <r>
    <s v="-"/>
    <s v="-"/>
    <s v="College of Engineering"/>
    <n v="847"/>
    <n v="8470315"/>
    <s v="KUST - Biomedical Engineering"/>
    <n v="1"/>
    <n v="492316"/>
    <s v="492316-Laboratory equipment"/>
    <s v="000000"/>
    <s v="KUST - General"/>
    <n v="847001"/>
    <s v="FA180-Capex Expense"/>
    <n v="300180"/>
    <x v="71"/>
    <s v="492316.Laboratory equipment-Number of Students-Number"/>
    <s v="Number"/>
    <n v="1"/>
    <n v="885500"/>
    <s v="Flow Cytometer "/>
    <n v="885500"/>
    <n v="885500"/>
    <n v="0"/>
    <s v="KU Strategic New Initiative"/>
    <n v="0"/>
  </r>
  <r>
    <s v="-"/>
    <s v="-"/>
    <s v="College of Engineering"/>
    <n v="847"/>
    <n v="8470315"/>
    <s v="KUST - Biomedical Engineering"/>
    <n v="1"/>
    <n v="492316"/>
    <s v="492316-Laboratory equipment"/>
    <s v="000000"/>
    <s v="KUST - General"/>
    <n v="847001"/>
    <s v="FA180-Capex Expense"/>
    <n v="300180"/>
    <x v="71"/>
    <s v="492316.Laboratory equipment-Number of Students-Number"/>
    <s v="Number"/>
    <m/>
    <m/>
    <m/>
    <n v="0"/>
    <n v="0"/>
    <n v="0"/>
    <m/>
    <n v="0"/>
  </r>
  <r>
    <s v="Academic"/>
    <s v="No Applicable"/>
    <s v="College of Engineering"/>
    <n v="847"/>
    <n v="8470320"/>
    <s v="KUST - Chemical Engineering"/>
    <n v="1"/>
    <n v="420550"/>
    <s v="420550-Academic Advisory Service"/>
    <s v="000000"/>
    <s v="KUST - General"/>
    <n v="847001"/>
    <s v="FA179-Opex Expense"/>
    <n v="200179"/>
    <x v="72"/>
    <s v="420550.Academic Advisory Service-Number of Services-Number"/>
    <s v="Number"/>
    <n v="1"/>
    <n v="60000"/>
    <s v="Annual board meeting and advising service "/>
    <n v="60000"/>
    <n v="60000"/>
    <n v="0"/>
    <s v="KU Regular operations"/>
    <n v="0"/>
  </r>
  <r>
    <s v="Communiction &amp; Marketing"/>
    <s v="Director, Marketing and Communication"/>
    <s v="College of Engineering"/>
    <n v="847"/>
    <n v="8470320"/>
    <s v="KUST - Chemical Engineering"/>
    <n v="1"/>
    <n v="425510"/>
    <s v="425510-Conferences, seminars and exhibitions and other events: - Local Events"/>
    <s v="000000"/>
    <s v="KUST - General"/>
    <n v="847001"/>
    <s v="FA179-Opex Expense"/>
    <n v="200179"/>
    <x v="73"/>
    <s v="425510.Conferences, seminars and exhibitions and other events: - Local Events-The area of rented halls for events, seminars, and exhibition.-2m"/>
    <s v="2m"/>
    <n v="5"/>
    <n v="6000"/>
    <s v="Each event coverage is maximum 6000 for student / staff / faculty"/>
    <n v="30000"/>
    <n v="30000"/>
    <n v="0"/>
    <s v="KU Regular operations"/>
    <n v="0"/>
  </r>
  <r>
    <s v="Student"/>
    <s v="Director, Student Services"/>
    <s v="College of Engineering"/>
    <n v="847"/>
    <n v="8470320"/>
    <s v="KUST - Chemical Engineering"/>
    <n v="1"/>
    <n v="425760"/>
    <s v="425760-Student activities &amp; field trip expenses"/>
    <s v="000000"/>
    <s v="KUST - General"/>
    <n v="847001"/>
    <s v="FA179-Opex Expense"/>
    <n v="200179"/>
    <x v="74"/>
    <s v="425760.Student activities &amp; field trip expenses-Students-No of Students"/>
    <s v="No of Students"/>
    <n v="2"/>
    <n v="12500"/>
    <s v="AED 2500 per trip towards CESPA and security clearnce"/>
    <n v="25000"/>
    <n v="25000"/>
    <n v="0"/>
    <s v="KU Regular operations"/>
    <n v="0"/>
  </r>
  <r>
    <s v="Student"/>
    <s v="No Applicable"/>
    <s v="College of Engineering"/>
    <n v="847"/>
    <n v="8470320"/>
    <s v="KUST - Chemical Engineering"/>
    <n v="1"/>
    <n v="425763"/>
    <s v="425763-Student Project Expenses"/>
    <s v="000000"/>
    <s v="KUST - General"/>
    <n v="847001"/>
    <s v="FA179-Opex Expense"/>
    <n v="200179"/>
    <x v="75"/>
    <s v="425763.Student Project Expenses-Number of Students UG-Month"/>
    <s v="Month"/>
    <n v="12"/>
    <n v="10000"/>
    <s v="Per group per smester at 5000"/>
    <n v="120000"/>
    <n v="120000"/>
    <n v="0"/>
    <s v="KU Regular operations"/>
    <n v="0"/>
  </r>
  <r>
    <s v="Academic"/>
    <s v="No Applicable"/>
    <s v="College of Engineering"/>
    <n v="847"/>
    <n v="8470320"/>
    <s v="KUST - Chemical Engineering"/>
    <n v="1"/>
    <n v="425770"/>
    <s v="425770-Academic Missions - Combined expenses"/>
    <s v="000000"/>
    <s v="KUST - General"/>
    <n v="847001"/>
    <s v="FA179-Opex Expense"/>
    <n v="200179"/>
    <x v="76"/>
    <s v="425770.Academic Missions - Combined expenses-Number of Conference-Number"/>
    <s v="Number"/>
    <n v="30"/>
    <n v="15000"/>
    <s v="Per faculty conference at AED 15000 "/>
    <n v="450000"/>
    <n v="450000"/>
    <n v="0"/>
    <s v="KU Regular operations"/>
    <n v="0"/>
  </r>
  <r>
    <s v="Other support"/>
    <s v="Director, Human Resources"/>
    <s v="College of Engineering"/>
    <n v="847"/>
    <n v="8470320"/>
    <s v="KUST - Chemical Engineering"/>
    <n v="1"/>
    <n v="425900"/>
    <s v="425900-Entertainment and hospitality"/>
    <s v="000000"/>
    <s v="KUST - General"/>
    <n v="847001"/>
    <s v="FA179-Opex Expense"/>
    <n v="200179"/>
    <x v="77"/>
    <s v="425900.Entertainment and hospitality-1. No of events/workshops planned-count"/>
    <s v="count"/>
    <n v="10"/>
    <n v="2500"/>
    <s v="Towards staff meeeting and depatmnet related events"/>
    <n v="25000"/>
    <n v="25000"/>
    <n v="0"/>
    <s v="KU Regular operations"/>
    <n v="0"/>
  </r>
  <r>
    <s v="IT"/>
    <s v="Director, Technology Development"/>
    <s v="College of Engineering"/>
    <n v="847"/>
    <n v="8470320"/>
    <s v="KUST - Chemical Engineering"/>
    <n v="1"/>
    <n v="426610"/>
    <s v="426610-Computer software licenses"/>
    <s v="000000"/>
    <s v="KUST - General"/>
    <n v="847001"/>
    <s v="FA179-Opex Expense"/>
    <n v="200179"/>
    <x v="78"/>
    <s v="426610.Computer software licenses-Software License Renewal-number of licenses-Number"/>
    <s v="Number"/>
    <n v="1"/>
    <n v="115000"/>
    <s v="Renewal of existing softwares  and acquisition of COSMOS - RS "/>
    <n v="115000"/>
    <n v="115000"/>
    <n v="0"/>
    <s v="KU Regular operations"/>
    <n v="0"/>
  </r>
  <r>
    <s v="Academic "/>
    <s v="No Applicable"/>
    <s v="College of Engineering"/>
    <n v="847"/>
    <n v="8470320"/>
    <s v="KUST - Chemical Engineering"/>
    <n v="1"/>
    <n v="428090"/>
    <s v="428090-Business Travel - Combined expenses"/>
    <s v="000000"/>
    <s v="KUST - General"/>
    <n v="847001"/>
    <s v="FA179-Opex Expense"/>
    <n v="200179"/>
    <x v="79"/>
    <s v="428090.Business Travel - Combined expenses-Number of Staff-Number"/>
    <s v="Number"/>
    <n v="1"/>
    <n v="35000"/>
    <s v="AED35000 for a maximum of one bussiness trip"/>
    <n v="35000"/>
    <n v="35000"/>
    <n v="0"/>
    <s v="KU Regular operations"/>
    <n v="0"/>
  </r>
  <r>
    <s v="Academic"/>
    <s v="No Applicable"/>
    <s v="College of Engineering"/>
    <n v="847"/>
    <n v="8470320"/>
    <s v="KUST - Chemical Engineering"/>
    <n v="1"/>
    <n v="435350"/>
    <s v="435350-Academic Publications"/>
    <s v="000000"/>
    <s v="KUST - General"/>
    <n v="847001"/>
    <s v="FA179-Opex Expense"/>
    <n v="200179"/>
    <x v="80"/>
    <s v="435350.Academic Publications-Number of Publications-Number"/>
    <s v="Number"/>
    <n v="10"/>
    <n v="6000"/>
    <s v="Publication cost for faculty"/>
    <n v="60000"/>
    <n v="60000"/>
    <n v="0"/>
    <s v="KU Regular operations"/>
    <n v="0"/>
  </r>
  <r>
    <s v="Academic"/>
    <s v="Director, Research Laboratories"/>
    <s v="College of Engineering"/>
    <n v="847"/>
    <n v="8470320"/>
    <s v="KUST - Chemical Engineering"/>
    <n v="1"/>
    <n v="435508"/>
    <s v="435508-Laboratory - Scientific"/>
    <s v="000000"/>
    <s v="KUST - General"/>
    <n v="847001"/>
    <s v="FA179-Opex Expense"/>
    <n v="200179"/>
    <x v="81"/>
    <s v="435508.Laboratory - Scientific-Number of Faculty-Number"/>
    <s v="Number"/>
    <n v="1"/>
    <n v="175000"/>
    <s v="For consumables and spares, small instrument and maintennace "/>
    <n v="175000"/>
    <n v="175000"/>
    <n v="0"/>
    <s v="KU Regular operations"/>
    <n v="0"/>
  </r>
  <r>
    <s v="Other support"/>
    <s v="No Applicable"/>
    <s v="College of Engineering"/>
    <n v="847"/>
    <n v="8470320"/>
    <s v="KUST - Chemical Engineering"/>
    <n v="1"/>
    <n v="436110"/>
    <s v="436110-Printing supplies"/>
    <s v="000000"/>
    <s v="KUST - General"/>
    <n v="847001"/>
    <s v="FA179-Opex Expense"/>
    <n v="200179"/>
    <x v="82"/>
    <s v="436110.Printing supplies-Number of Faculty-Number"/>
    <s v="Number"/>
    <n v="35"/>
    <n v="1000"/>
    <s v="AED 600 per semster for fcaulty and AED 300 for staff"/>
    <n v="35000"/>
    <n v="35000"/>
    <n v="0"/>
    <s v="KU Regular operations"/>
    <n v="0"/>
  </r>
  <r>
    <s v="Academic"/>
    <s v="No Applicable"/>
    <s v="College of Engineering"/>
    <n v="847"/>
    <n v="8470320"/>
    <s v="KUST - Chemical Engineering"/>
    <n v="1"/>
    <n v="436600"/>
    <s v="436600-Training/Teaching equipment and other educational aid"/>
    <s v="000000"/>
    <s v="KUST - General"/>
    <n v="847001"/>
    <s v="FA179-Opex Expense"/>
    <n v="200179"/>
    <x v="83"/>
    <s v="436600.Training/Teaching equipment and other educational aid-Number of Staff-Number"/>
    <s v="Number"/>
    <n v="3"/>
    <n v="15000"/>
    <s v="AED 10,000 per staff per activity"/>
    <n v="45000"/>
    <n v="45000"/>
    <n v="0"/>
    <s v="KU Regular operations"/>
    <n v="0"/>
  </r>
  <r>
    <s v="Facilities "/>
    <s v="Director, Research Laboratories"/>
    <s v="College of Engineering"/>
    <n v="847"/>
    <n v="8470320"/>
    <s v="KUST - Chemical Engineering"/>
    <n v="1"/>
    <n v="492316"/>
    <s v="492316-Laboratory equipment"/>
    <s v="000000"/>
    <s v="KUST - General"/>
    <n v="847001"/>
    <s v="FA180-Capex Expense"/>
    <n v="300180"/>
    <x v="84"/>
    <s v="492316.Laboratory equipment-Number of Students-Number"/>
    <s v="Number"/>
    <n v="1"/>
    <n v="155000"/>
    <s v="CAPEX 1 of 5"/>
    <n v="155000"/>
    <n v="155000"/>
    <n v="0"/>
    <s v="KU Regular operations"/>
    <n v="0"/>
  </r>
  <r>
    <s v="Other support"/>
    <s v="No Applicable"/>
    <s v="College of Engineering"/>
    <n v="847"/>
    <n v="8470320"/>
    <s v="KUST - Chemical Engineering"/>
    <n v="1"/>
    <n v="495140"/>
    <s v="495140-Copyrights, patents and licenses"/>
    <s v="000000"/>
    <s v="KUST - General"/>
    <n v="847001"/>
    <s v="FA180-Capex Expense"/>
    <n v="300180"/>
    <x v="85"/>
    <s v="495140.Copyrights, patents and licenses-Number of Patents-Number"/>
    <s v="Number"/>
    <n v="1"/>
    <n v="18000"/>
    <s v="Expense per copyright / patent "/>
    <n v="18000"/>
    <n v="18000"/>
    <n v="0"/>
    <s v="KU Regular operations"/>
    <n v="0"/>
  </r>
  <r>
    <s v="Facilities "/>
    <s v="Director, Research Laboratories"/>
    <s v="College of Engineering"/>
    <n v="847"/>
    <n v="8470320"/>
    <s v="KUST - Chemical Engineering"/>
    <n v="1"/>
    <n v="492316"/>
    <s v="492316-Laboratory equipment"/>
    <s v="000000"/>
    <s v="KUST - General"/>
    <n v="847001"/>
    <s v="FA180-Capex Expense"/>
    <n v="300180"/>
    <x v="84"/>
    <s v="492316.Laboratory equipment-Number of Students-Number"/>
    <s v="Number"/>
    <n v="1"/>
    <n v="55000"/>
    <s v="CAPEX 2 of 5"/>
    <n v="55000"/>
    <n v="55000"/>
    <n v="0"/>
    <s v="KU Regular operations"/>
    <n v="0"/>
  </r>
  <r>
    <s v="Facilities "/>
    <s v="Director, Research Laboratories"/>
    <s v="College of Engineering"/>
    <n v="847"/>
    <n v="8470320"/>
    <s v="KUST - Chemical Engineering"/>
    <n v="1"/>
    <n v="492316"/>
    <s v="492316-Laboratory equipment"/>
    <s v="000000"/>
    <s v="KUST - General"/>
    <n v="847001"/>
    <s v="FA180-Capex Expense"/>
    <n v="300180"/>
    <x v="84"/>
    <s v="492316.Laboratory equipment-Number of Students-Number"/>
    <s v="Number"/>
    <n v="1"/>
    <n v="295000"/>
    <s v="CAPEX 3 of 5"/>
    <n v="295000"/>
    <n v="295000"/>
    <n v="0"/>
    <s v="KU Regular operations"/>
    <n v="0"/>
  </r>
  <r>
    <s v="Facilities "/>
    <s v="Director, Research Laboratories"/>
    <s v="College of Engineering"/>
    <n v="847"/>
    <n v="8470320"/>
    <s v="KUST - Chemical Engineering"/>
    <n v="1"/>
    <n v="492316"/>
    <s v="492316-Laboratory equipment"/>
    <s v="000000"/>
    <s v="KUST - General"/>
    <n v="847001"/>
    <s v="FA180-Capex Expense"/>
    <n v="300180"/>
    <x v="84"/>
    <s v="492316.Laboratory equipment-Number of Students-Number"/>
    <s v="Number"/>
    <n v="1"/>
    <n v="25000"/>
    <s v="CAPEX 4 of 5"/>
    <n v="25000"/>
    <n v="25000"/>
    <n v="0"/>
    <s v="KU Regular operations"/>
    <n v="0"/>
  </r>
  <r>
    <s v="Facilities "/>
    <s v="Director, Research Laboratories"/>
    <s v="College of Engineering"/>
    <n v="847"/>
    <n v="8470320"/>
    <s v="KUST - Chemical Engineering"/>
    <n v="1"/>
    <n v="492316"/>
    <s v="492316-Laboratory equipment"/>
    <s v="000000"/>
    <s v="KUST - General"/>
    <n v="847001"/>
    <s v="FA180-Capex Expense"/>
    <n v="300180"/>
    <x v="84"/>
    <s v="492316.Laboratory equipment-Number of Students-Number"/>
    <s v="Number"/>
    <n v="1"/>
    <n v="14000"/>
    <s v="CAPEX 5 of 5"/>
    <n v="14000"/>
    <n v="14000"/>
    <n v="0"/>
    <s v="KU Regular operations"/>
    <n v="0"/>
  </r>
  <r>
    <s v="Academic"/>
    <s v="No Applicable"/>
    <s v="College of Engineering"/>
    <n v="847"/>
    <n v="8470325"/>
    <s v="KUST - Civil Engineering"/>
    <n v="1"/>
    <n v="420550"/>
    <s v="420550-Academic Advisory Service"/>
    <s v="000000"/>
    <s v="KUST - General"/>
    <n v="847001"/>
    <s v="FA179-Opex Expense"/>
    <n v="200179"/>
    <x v="86"/>
    <s v="420550.Academic Advisory Service-Number of Services-Number"/>
    <s v="-_"/>
    <n v="2"/>
    <n v="2000"/>
    <s v="Catering costs for 2 CIVE Dept. Advisory Board meetings at KU campus /  10 attendees at AED 200 per attendee"/>
    <n v="4000"/>
    <n v="4000"/>
    <n v="0"/>
    <s v="KU Regular operations"/>
    <n v="0"/>
  </r>
  <r>
    <s v="Communiction &amp; Marketing"/>
    <s v="Director, Marketing and Communication"/>
    <s v="College of Engineering"/>
    <n v="847"/>
    <n v="8470325"/>
    <s v="KUST - Civil Engineering"/>
    <n v="1"/>
    <n v="425510"/>
    <s v="425510-Conferences, seminars and exhibitions and other events: - Local Events"/>
    <s v="000000"/>
    <s v="KUST - General"/>
    <n v="847001"/>
    <s v="FA179-Opex Expense"/>
    <n v="200179"/>
    <x v="87"/>
    <s v="425510.Conferences, seminars and exhibitions and other events: - Local Events-Events-Number of Events"/>
    <s v="-_"/>
    <n v="6"/>
    <n v="1100"/>
    <s v="KU Policy for Academic Travel within UAE /  Academics who will need to attend events within UAE "/>
    <n v="6600"/>
    <n v="6600"/>
    <n v="0"/>
    <s v="KU Regular operations"/>
    <n v="0"/>
  </r>
  <r>
    <s v="Student"/>
    <s v="Director, Student Services"/>
    <s v="College of Engineering"/>
    <n v="847"/>
    <n v="8470325"/>
    <s v="KUST - Civil Engineering"/>
    <n v="1"/>
    <n v="425760"/>
    <s v="425760-Student activities &amp; field trip expenses"/>
    <s v="000000"/>
    <s v="KUST - General"/>
    <n v="847001"/>
    <s v="FA179-Opex Expense"/>
    <n v="200179"/>
    <x v="88"/>
    <s v="425760.Student activities &amp; field trip expenses-Events-No of Events"/>
    <s v="-_"/>
    <n v="2"/>
    <n v="2500"/>
    <s v="Class field trips to construction sites. 1 trip for the course CIVE 338 and 1 trip for CIVE 442"/>
    <n v="5000"/>
    <n v="5000"/>
    <n v="0"/>
    <s v="KU Regular operations"/>
    <n v="0"/>
  </r>
  <r>
    <s v="Student"/>
    <s v="No Applicable"/>
    <s v="College of Engineering"/>
    <n v="847"/>
    <n v="8470325"/>
    <s v="KUST - Civil Engineering"/>
    <n v="1"/>
    <n v="425763"/>
    <s v="425763-Student Project Expenses"/>
    <s v="000000"/>
    <s v="KUST - General"/>
    <n v="847001"/>
    <s v="FA179-Opex Expense"/>
    <n v="200179"/>
    <x v="89"/>
    <s v="425763.Student Project Expenses-Number of Students UG-Month"/>
    <s v="-_"/>
    <n v="20"/>
    <n v="3000"/>
    <s v="Expenses to purchase materials &amp; services for the construction of SDP students' designs / AED 3000 per student"/>
    <n v="60000"/>
    <n v="60000"/>
    <n v="0"/>
    <s v="KU Regular operations"/>
    <n v="0"/>
  </r>
  <r>
    <s v="-"/>
    <s v="-"/>
    <s v="College of Engineering"/>
    <n v="847"/>
    <n v="8470325"/>
    <s v="KUST - Civil Engineering"/>
    <n v="1"/>
    <n v="425762"/>
    <s v="425762-Student Internship"/>
    <s v="000000"/>
    <s v="KUST - General"/>
    <n v="847001"/>
    <s v="FA179-Opex Expense"/>
    <n v="200179"/>
    <x v="90"/>
    <s v="425762.Student Internship-Number Student Phd-Number"/>
    <s v="-_"/>
    <n v="4"/>
    <n v="10000"/>
    <s v="Expenses to cover the airticket costs of a PhD student's internship at international Universities"/>
    <n v="40000"/>
    <n v="40000"/>
    <n v="0"/>
    <s v="KU Strategic New Initiative"/>
    <n v="0"/>
  </r>
  <r>
    <s v="Academic"/>
    <s v="No Applicable"/>
    <s v="College of Engineering"/>
    <n v="847"/>
    <n v="8470325"/>
    <s v="KUST - Civil Engineering"/>
    <n v="1"/>
    <n v="425770"/>
    <s v="425770-Academic Missions - Combined expenses"/>
    <s v="000000"/>
    <s v="KUST - General"/>
    <n v="847001"/>
    <s v="FA179-Opex Expense"/>
    <n v="200179"/>
    <x v="91"/>
    <s v="425770.Academic Missions - Combined expenses-Number of Meeting-Number"/>
    <s v="-_"/>
    <n v="11"/>
    <n v="20000"/>
    <s v="AED 20000 per Faculty to address the registration, travel &amp; living costs of 1 international Conference per year"/>
    <n v="220000"/>
    <n v="220000"/>
    <n v="0"/>
    <s v="KU Regular operations"/>
    <n v="0"/>
  </r>
  <r>
    <s v="IT"/>
    <s v="Director, Technology Development"/>
    <s v="College of Engineering"/>
    <n v="847"/>
    <n v="8470325"/>
    <s v="KUST - Civil Engineering"/>
    <n v="1"/>
    <n v="426610"/>
    <s v="426610-Computer software licenses"/>
    <s v="000000"/>
    <s v="KUST - General"/>
    <n v="847001"/>
    <s v="FA179-Opex Expense"/>
    <n v="200179"/>
    <x v="92"/>
    <s v="426610.Computer software licenses-Software License Renewal-number of licenses-Number"/>
    <s v="-_"/>
    <n v="1"/>
    <n v="45000"/>
    <s v="Renewal of software: Plaxis 3D_x000a_ETABS, Plaxis 2D_x000a_SimaPro "/>
    <n v="45000"/>
    <n v="45000"/>
    <n v="0"/>
    <s v="KU Regular operations"/>
    <n v="0"/>
  </r>
  <r>
    <s v="Academic "/>
    <s v="No Applicable"/>
    <s v="College of Engineering"/>
    <n v="847"/>
    <n v="8470325"/>
    <s v="KUST - Civil Engineering"/>
    <n v="1"/>
    <n v="428090"/>
    <s v="428090-Business Travel - Combined expenses"/>
    <s v="000000"/>
    <s v="KUST - General"/>
    <n v="847001"/>
    <s v="FA179-Opex Expense"/>
    <n v="200179"/>
    <x v="93"/>
    <s v="428090.Business Travel - Combined expenses-Number of Faculty-Number"/>
    <s v="-_"/>
    <n v="1"/>
    <n v="20000"/>
    <s v="Senior Faculty participation in Board &amp; Executive Council meetings of International Organizations and Q1  Journals"/>
    <n v="20000"/>
    <n v="20000"/>
    <n v="0"/>
    <s v="KU Regular operations"/>
    <n v="0"/>
  </r>
  <r>
    <s v="Academic"/>
    <s v="No Applicable"/>
    <s v="College of Engineering"/>
    <n v="847"/>
    <n v="8470325"/>
    <s v="KUST - Civil Engineering"/>
    <n v="1"/>
    <n v="432209"/>
    <s v="432209-Laboratory equipment"/>
    <s v="000000"/>
    <s v="KUST - General"/>
    <n v="847001"/>
    <s v="FA179-Opex Expense"/>
    <n v="200179"/>
    <x v="94"/>
    <s v="432209.Laboratory equipment-Number of Students-Number"/>
    <s v="-_"/>
    <n v="1"/>
    <n v="200000"/>
    <s v="Expenses for the yearly maintenance of CIVE labs equipment utilized for teaching purposes. Quotes from individual suppliers are included in the folder Maintenance Quotations"/>
    <n v="200000"/>
    <n v="200000"/>
    <n v="0"/>
    <s v="KU Regular operations"/>
    <n v="0"/>
  </r>
  <r>
    <s v="Academic"/>
    <s v="No Applicable"/>
    <s v="College of Engineering"/>
    <n v="847"/>
    <n v="8470325"/>
    <s v="KUST - Civil Engineering"/>
    <n v="1"/>
    <n v="435350"/>
    <s v="435350-Academic Publications"/>
    <s v="000000"/>
    <s v="KUST - General"/>
    <n v="847001"/>
    <s v="FA179-Opex Expense"/>
    <n v="200179"/>
    <x v="95"/>
    <s v="435350.Academic Publications-Number of Publications-Number"/>
    <s v="-_"/>
    <n v="8"/>
    <n v="10000"/>
    <s v="Open Access Q1 Journal submissions"/>
    <n v="80000"/>
    <n v="80000"/>
    <n v="0"/>
    <s v="KU Regular operations"/>
    <n v="0"/>
  </r>
  <r>
    <s v="Academic"/>
    <s v="Director, Research Laboratories"/>
    <s v="College of Engineering"/>
    <n v="847"/>
    <n v="8470325"/>
    <s v="KUST - Civil Engineering"/>
    <n v="1"/>
    <n v="435508"/>
    <s v="435508-Laboratory - Scientific"/>
    <s v="000000"/>
    <s v="KUST - General"/>
    <n v="847001"/>
    <s v="FA179-Opex Expense"/>
    <n v="200179"/>
    <x v="96"/>
    <s v="435508.Laboratory - Scientific-Number of Students-Number"/>
    <s v="-_"/>
    <n v="1"/>
    <n v="110000"/>
    <s v="Consumables for the operation of the CIVE instructional labs.  Quotes from individual suppliers are listed per item in the Excel sheet &quot;CIVE OPEX Lab Scientific list&quot; in the folder &quot;CIVE OPEX Quotations&quot;"/>
    <n v="110000"/>
    <n v="110000"/>
    <n v="0"/>
    <s v="KU Regular operations"/>
    <n v="0"/>
  </r>
  <r>
    <s v="Facilities "/>
    <s v="Director, Research Laboratories"/>
    <s v="College of Engineering"/>
    <n v="847"/>
    <n v="8470325"/>
    <s v="KUST - Civil Engineering"/>
    <n v="1"/>
    <n v="492316"/>
    <s v="492316-Laboratory equipment"/>
    <s v="000000"/>
    <s v="KUST - General"/>
    <n v="847001"/>
    <s v="FA180-Capex Expense"/>
    <n v="300180"/>
    <x v="97"/>
    <s v="492316.Laboratory equipment-Number of Students-Number"/>
    <s v="-_"/>
    <n v="1"/>
    <n v="775000"/>
    <s v=" Hollow Cylinder Apparatus - 2Hz/10kN/100Nm 60-100mm diameter"/>
    <n v="775000"/>
    <n v="775000"/>
    <n v="0"/>
    <s v="KU Strategic New Initiative"/>
    <n v="0"/>
  </r>
  <r>
    <s v="-"/>
    <s v="-"/>
    <s v="College of Engineering"/>
    <n v="847"/>
    <n v="8470325"/>
    <s v="KUST - Civil Engineering"/>
    <n v="1"/>
    <n v="492316"/>
    <s v="492316-Laboratory equipment"/>
    <s v="000000"/>
    <s v="KUST - General"/>
    <n v="847001"/>
    <s v="FA180-Capex Expense"/>
    <n v="300180"/>
    <x v="97"/>
    <s v="492316.Laboratory equipment-Number of Students-Number"/>
    <s v="-_"/>
    <n v="1"/>
    <n v="45000"/>
    <s v="Coredry Machine"/>
    <n v="45000"/>
    <n v="45000"/>
    <n v="0"/>
    <m/>
    <n v="0"/>
  </r>
  <r>
    <s v="-"/>
    <s v="-"/>
    <s v="College of Engineering"/>
    <n v="847"/>
    <n v="8470325"/>
    <s v="KUST - Civil Engineering"/>
    <n v="1"/>
    <n v="492316"/>
    <s v="492316-Laboratory equipment"/>
    <s v="000000"/>
    <s v="KUST - General"/>
    <n v="847001"/>
    <s v="FA180-Capex Expense"/>
    <n v="300180"/>
    <x v="97"/>
    <s v="492316.Laboratory equipment-Number of Students-Number"/>
    <s v="-_"/>
    <n v="1"/>
    <s v="465000"/>
    <s v="3Flex Physisorption Chemisorption Analyzer"/>
    <n v="465000"/>
    <n v="465000"/>
    <n v="0"/>
    <m/>
    <n v="0"/>
  </r>
  <r>
    <s v="Academic"/>
    <s v="No Applicable"/>
    <s v="College of Engineering"/>
    <n v="847"/>
    <n v="8470330"/>
    <s v="KUST - Electrical &amp; Computer Engineering"/>
    <n v="1"/>
    <n v="420550"/>
    <s v="420550-Academic Advisory Service"/>
    <s v="000000"/>
    <s v="KUST - General"/>
    <n v="847001"/>
    <s v="FA179-Opex Expense"/>
    <n v="200179"/>
    <x v="98"/>
    <s v="420550.Academic Advisory Service-Number of Services-Number"/>
    <s v="Number"/>
    <n v="1"/>
    <n v="3000"/>
    <s v="One meeting of the DAB of the deprtment.  Hospitality for 7 members and 5 KU faculty."/>
    <n v="3000"/>
    <n v="3000"/>
    <n v="0"/>
    <s v="KU Regular operations"/>
    <n v="0"/>
  </r>
  <r>
    <s v="Communiction &amp; Marketing"/>
    <s v="Director, Marketing and Communication"/>
    <s v="College of Engineering"/>
    <n v="847"/>
    <n v="8470330"/>
    <s v="KUST - Electrical &amp; Computer Engineering"/>
    <n v="1"/>
    <n v="425510"/>
    <s v="425510-Conferences, seminars and exhibitions and other events: - Local Events"/>
    <s v="000000"/>
    <s v="KUST - General"/>
    <n v="847001"/>
    <s v="FA179-Opex Expense"/>
    <n v="200179"/>
    <x v="99"/>
    <s v="425510.Conferences, seminars and exhibitions and other events: - Local Events-Exhibitions-Number of Exhibitions"/>
    <s v="Number of Exhibitions"/>
    <n v="1"/>
    <n v="10000"/>
    <s v="Workshop on High Voltage: AED 10000.  Organizers: Drs. Noureddine and Balanthi Beig . Cost calculation details: International expert travel, Food and Accommodation: AED 1000/person. Participants: 10."/>
    <n v="10000"/>
    <n v="10000"/>
    <n v="0"/>
    <s v="KU Regular operations"/>
    <n v="0"/>
  </r>
  <r>
    <s v="Student"/>
    <s v="Director, Student Services"/>
    <s v="College of Engineering"/>
    <n v="847"/>
    <n v="8470330"/>
    <s v="KUST - Electrical &amp; Computer Engineering"/>
    <n v="1"/>
    <n v="425760"/>
    <s v="425760-Student activities &amp; field trip expenses"/>
    <s v="000000"/>
    <s v="KUST - General"/>
    <n v="847001"/>
    <s v="FA179-Opex Expense"/>
    <n v="200179"/>
    <x v="100"/>
    <s v="425760.Student activities &amp; field trip expenses-Events-No of Events"/>
    <s v="No of Events"/>
    <n v="10"/>
    <n v="7500"/>
    <s v="10 field trips trips @ AED 2000/trip . Also IEEE KU students activities (AED 10000) include common design project, engineering design project, industrial project, and community service project plus the IEEE KU student chapter running costs, including inviting speakers and organizing workshops. Also Competitions, like KPC (AED 5000), GPC (AED 15000), and International overseas ones (AED 25000)"/>
    <n v="75000"/>
    <n v="75000"/>
    <n v="0"/>
    <s v="KU Regular operations"/>
    <n v="0"/>
  </r>
  <r>
    <s v="Student"/>
    <s v="No Applicable"/>
    <s v="College of Engineering"/>
    <n v="847"/>
    <n v="8470330"/>
    <s v="KUST - Electrical &amp; Computer Engineering"/>
    <n v="1"/>
    <n v="425763"/>
    <s v="425763-Student Project Expenses"/>
    <s v="000000"/>
    <s v="KUST - General"/>
    <n v="847001"/>
    <s v="FA179-Opex Expense"/>
    <n v="200179"/>
    <x v="101"/>
    <s v="425763.Student Project Expenses-Number of Students UG-Month"/>
    <s v="Month"/>
    <n v="145"/>
    <n v="3000"/>
    <s v="Number of students x AED 3000 /student"/>
    <n v="435000"/>
    <n v="435000"/>
    <n v="0"/>
    <s v="KU Regular operations"/>
    <n v="0"/>
  </r>
  <r>
    <s v="Academic"/>
    <s v="No Applicable"/>
    <s v="College of Engineering"/>
    <n v="847"/>
    <n v="8470330"/>
    <s v="KUST - Electrical &amp; Computer Engineering"/>
    <n v="1"/>
    <n v="425770"/>
    <s v="425770-Academic Missions - Combined expenses"/>
    <s v="000000"/>
    <s v="KUST - General"/>
    <n v="847001"/>
    <s v="FA179-Opex Expense"/>
    <n v="200179"/>
    <x v="102"/>
    <s v="425770-Academic Missions - Combined expenses"/>
    <s v="-_"/>
    <n v="63"/>
    <n v="20000"/>
    <s v="20K/Faculty FTE"/>
    <n v="1260000"/>
    <n v="1260000"/>
    <n v="0"/>
    <s v="KU Regular operations"/>
    <n v="0"/>
  </r>
  <r>
    <s v="Other support"/>
    <s v="Director, Human Resources"/>
    <s v="College of Engineering"/>
    <n v="847"/>
    <n v="8470330"/>
    <s v="KUST - Electrical &amp; Computer Engineering"/>
    <n v="1"/>
    <n v="425900"/>
    <s v="425900-Entertainment and hospitality"/>
    <s v="000000"/>
    <s v="KUST - General"/>
    <n v="847001"/>
    <s v="FA179-Opex Expense"/>
    <n v="200179"/>
    <x v="103"/>
    <s v="425900-Entertainment and hospitality"/>
    <s v="-_"/>
    <n v="6"/>
    <n v="5000"/>
    <s v=" 6 Department meetings' hospitality. average # of department participants (45) @ AED 100/faculty/meeting. Also for one speaker from local industry per sementer @ 1000 /speaker."/>
    <n v="30000"/>
    <n v="30000"/>
    <n v="0"/>
    <s v="KU Regular operations"/>
    <n v="0"/>
  </r>
  <r>
    <s v="IT"/>
    <s v="Director, Technology Development"/>
    <s v="College of Engineering"/>
    <n v="847"/>
    <n v="8470330"/>
    <s v="KUST - Electrical &amp; Computer Engineering"/>
    <n v="1"/>
    <n v="426610"/>
    <s v="426610-Computer software licenses"/>
    <s v="000000"/>
    <s v="KUST - General"/>
    <n v="847001"/>
    <s v="FA179-Opex Expense"/>
    <n v="200179"/>
    <x v="104"/>
    <s v="426610-Computer software licenses-Software License Renewal"/>
    <s v="-_"/>
    <n v="9"/>
    <n v="78958"/>
    <s v="average cost of SW licenses* # of licenses (expected 25% increase in price in 2023)_x000a_Altium Designer -  2.312K_x000a_PLECS Combo Academic Concurrent License - 2.812K_x000a_LogixPro 500 - 3.5K                                                                                                                                                                                                                                                           Rockwell Automation Toolkit - Studio 5000  23.125K_x000a_ETAP - Educational Licenses -18.125K_x000a_Cadence - 265.75K                                                                                                                                                                                                                                                                       _x000a_GAMS (General Algebraic Modeling System)  76.875K_x000a_Synopsys - 188.375K                                                                                                                                                                                                                                                    LabView Academic Site License Teaching  129.75K _x000a_TOTAL  710.625_x000a_"/>
    <n v="710622"/>
    <n v="710622"/>
    <n v="0"/>
    <s v="KU Regular operations"/>
    <n v="0"/>
  </r>
  <r>
    <s v="Communiction &amp; Marketing"/>
    <s v="Director, Marketing and Communication"/>
    <s v="College of Engineering"/>
    <n v="847"/>
    <n v="8470330"/>
    <s v="KUST - Electrical &amp; Computer Engineering"/>
    <n v="1"/>
    <n v="428640"/>
    <s v="428640-Events - Awards, prizes &amp; gifts"/>
    <s v="000000"/>
    <s v="KUST - General"/>
    <n v="847001"/>
    <s v="FA179-Opex Expense"/>
    <n v="200179"/>
    <x v="105"/>
    <s v="428640-Events - Awards, prizes &amp; gifts"/>
    <s v="-_"/>
    <n v="2"/>
    <n v="151000"/>
    <s v="Honored faculty * gift cost_x000a_Also (Dr Arif's project: Smart Mobile Application Annual Contest 2022/2023/2024: Total Cost: ~300K _x000a_Awards: 3 teams to win 75K, 50K, 25K (Total 150K) Travel support can be given AED 1.5K-3K per person (depending on region) to shortlisted teams based on receipt of tickets and accommodation (twin or triple rooms) up to 15 shortlisted teams can be supported 1-2 from each country (total cost of ~115K). _x000a_Accommodation: twin-triple room (1 night per team) Max of AED 1K per team. Total Cost: 15 K. Cost of publications and event preparation: AED 10K. Catering 150 attendees: 10K "/>
    <n v="302000"/>
    <n v="302000"/>
    <n v="0"/>
    <s v="KU Regular operations"/>
    <n v="0"/>
  </r>
  <r>
    <s v="Academic"/>
    <s v="No Applicable"/>
    <s v="College of Engineering"/>
    <n v="847"/>
    <n v="8470330"/>
    <s v="KUST - Electrical &amp; Computer Engineering"/>
    <n v="1"/>
    <n v="432209"/>
    <s v="432209-Laboratory equipment"/>
    <s v="000000"/>
    <s v="KUST - General"/>
    <n v="847001"/>
    <s v="FA179-Opex Expense"/>
    <n v="200179"/>
    <x v="106"/>
    <s v="432209-Laboratory equipment"/>
    <s v="-_"/>
    <n v="10"/>
    <n v="5000"/>
    <s v="Lab Maintenance/Callibration of equipment -  Number of Lab x AED 5000/Lab"/>
    <n v="50000"/>
    <n v="50000"/>
    <n v="0"/>
    <s v="KU Regular operations"/>
    <n v="0"/>
  </r>
  <r>
    <s v="Academic"/>
    <s v="No Applicable"/>
    <s v="College of Engineering"/>
    <n v="847"/>
    <n v="8470330"/>
    <s v="KUST - Electrical &amp; Computer Engineering"/>
    <n v="1"/>
    <n v="435350"/>
    <s v="435350-Academic Publications"/>
    <s v="000000"/>
    <s v="KUST - General"/>
    <n v="847001"/>
    <s v="FA179-Opex Expense"/>
    <n v="200179"/>
    <x v="107"/>
    <s v="435350-Academic Publications"/>
    <s v="-_"/>
    <n v="63"/>
    <n v="7000"/>
    <s v="one paper or page charges / faculty"/>
    <n v="441000"/>
    <n v="441000"/>
    <n v="0"/>
    <s v="KU Regular operations"/>
    <n v="0"/>
  </r>
  <r>
    <s v="Academic"/>
    <s v="Director, Research Laboratories"/>
    <s v="College of Engineering"/>
    <n v="847"/>
    <n v="8470330"/>
    <s v="KUST - Electrical &amp; Computer Engineering"/>
    <n v="1"/>
    <n v="435508"/>
    <s v="435508-Laboratory - Scientific"/>
    <s v="000000"/>
    <s v="KUST - General"/>
    <n v="847001"/>
    <s v="FA179-Opex Expense"/>
    <n v="200179"/>
    <x v="108"/>
    <s v="435508-Laboratory - Scientific"/>
    <s v="-_"/>
    <n v="8"/>
    <n v="10000"/>
    <s v="Lab materials, Course project materials and other Consumables  - Number of Labs x AED 10000/Lab"/>
    <n v="80000"/>
    <n v="80000"/>
    <n v="0"/>
    <s v="KU Regular operations"/>
    <n v="0"/>
  </r>
  <r>
    <s v="Academic"/>
    <s v="No Applicable"/>
    <s v="College of Engineering"/>
    <n v="847"/>
    <n v="8470330"/>
    <s v="KUST - Electrical &amp; Computer Engineering"/>
    <n v="1"/>
    <n v="436600"/>
    <s v="436600-Training/Teaching equipment and other educational aid"/>
    <s v="000000"/>
    <s v="KUST - General"/>
    <n v="847001"/>
    <s v="FA179-Opex Expense"/>
    <n v="200179"/>
    <x v="109"/>
    <s v="436600-Training/Teaching equipment and other educational aid"/>
    <s v="-_"/>
    <n v="2"/>
    <n v="8000"/>
    <s v="2 servers  @ 8000 each,  =16000.  "/>
    <n v="16000"/>
    <n v="16000"/>
    <n v="0"/>
    <s v="KU Regular operations"/>
    <n v="0"/>
  </r>
  <r>
    <s v="Facilities "/>
    <s v="Director, Research Laboratories"/>
    <s v="College of Engineering"/>
    <n v="847"/>
    <n v="8470330"/>
    <s v="KUST - Electrical &amp; Computer Engineering"/>
    <n v="1"/>
    <n v="492316"/>
    <s v="492316-Laboratory equipment"/>
    <s v="000000"/>
    <s v="KUST - General"/>
    <n v="847001"/>
    <s v="FA180-Capex Expense"/>
    <n v="300180"/>
    <x v="110"/>
    <s v="492316-Laboratory equipment"/>
    <s v="-_"/>
    <n v="1"/>
    <n v="500000"/>
    <s v="CAPEX equipment. Average of CAPEX expenses for the last 3 years (500K/year) - to upgrade the lab facilities/Adding new equipment.                                                                                                           "/>
    <n v="500000"/>
    <n v="500000"/>
    <n v="0"/>
    <s v="KU Regular operations"/>
    <n v="0"/>
  </r>
  <r>
    <s v="Academic"/>
    <s v="No Applicable"/>
    <s v="College of Engineering"/>
    <n v="847"/>
    <n v="8470335"/>
    <s v="KUST - Industrial &amp; Systems Engineering"/>
    <n v="1"/>
    <n v="420550"/>
    <s v="420550-Academic Advisory Service"/>
    <s v="000000"/>
    <s v="KUST - General"/>
    <n v="847001"/>
    <s v="FA179-Opex Expense"/>
    <n v="200179"/>
    <x v="111"/>
    <s v="420550.Academic Advisory Service-Number of Students-Number"/>
    <s v="Number"/>
    <n v="2"/>
    <n v="6500"/>
    <s v="Two advisory board meetings"/>
    <n v="13000"/>
    <n v="13000"/>
    <n v="0"/>
    <s v="KU Regular operations"/>
    <n v="0"/>
  </r>
  <r>
    <s v="Communiction &amp; Marketing"/>
    <s v="Director, Marketing and Communication"/>
    <s v="College of Engineering"/>
    <n v="847"/>
    <n v="8470335"/>
    <s v="KUST - Industrial &amp; Systems Engineering"/>
    <n v="1"/>
    <n v="425510"/>
    <s v="425510-Conferences, seminars and exhibitions and other events: - Local Events"/>
    <s v="000000"/>
    <s v="KUST - General"/>
    <n v="847001"/>
    <s v="FA179-Opex Expense"/>
    <n v="200179"/>
    <x v="112"/>
    <s v="425500.Conferences, seminars and exhibitions and other events:-Number of events &amp; attendees-Number of Number of events &amp; attendees"/>
    <s v="Number of Number of events &amp; attendees"/>
    <n v="10"/>
    <n v="2200"/>
    <s v="ten Students to regiser into local conferences and intl competitions"/>
    <n v="22000"/>
    <n v="22000"/>
    <n v="0"/>
    <s v="KU Regular operations"/>
    <n v="0"/>
  </r>
  <r>
    <s v="Student"/>
    <s v="Director, Student Services"/>
    <s v="College of Engineering"/>
    <n v="847"/>
    <n v="8470335"/>
    <s v="KUST - Industrial &amp; Systems Engineering"/>
    <n v="1"/>
    <n v="425760"/>
    <s v="425760-Student activities &amp; field trip expenses"/>
    <s v="000000"/>
    <s v="KUST - General"/>
    <n v="847001"/>
    <s v="FA179-Opex Expense"/>
    <n v="200179"/>
    <x v="113"/>
    <s v="425761.Student Field trips-Number of Students UG-Month"/>
    <s v="Month"/>
    <n v="4"/>
    <n v="2500"/>
    <s v="4 student site visits to industry"/>
    <n v="10000"/>
    <n v="10000"/>
    <n v="0"/>
    <s v="KU Regular operations"/>
    <n v="0"/>
  </r>
  <r>
    <s v="Student"/>
    <s v="No Applicable"/>
    <s v="College of Engineering"/>
    <n v="847"/>
    <n v="8470335"/>
    <s v="KUST - Industrial &amp; Systems Engineering"/>
    <n v="1"/>
    <n v="425763"/>
    <s v="425763-Student Project Expenses"/>
    <s v="000000"/>
    <s v="KUST - General"/>
    <n v="847001"/>
    <s v="FA179-Opex Expense"/>
    <n v="200179"/>
    <x v="114"/>
    <s v="425763.Student Project Expenses-Number of Students UG-Month"/>
    <s v="Month"/>
    <n v="45"/>
    <n v="2000"/>
    <s v="2000 DH per Senior student"/>
    <n v="90000"/>
    <n v="90000"/>
    <n v="0"/>
    <s v="KU Regular operations"/>
    <n v="0"/>
  </r>
  <r>
    <s v="Academic"/>
    <s v="No Applicable"/>
    <s v="College of Engineering"/>
    <n v="847"/>
    <n v="8470335"/>
    <s v="KUST - Industrial &amp; Systems Engineering"/>
    <n v="1"/>
    <n v="425770"/>
    <s v="425770-Academic Missions - Combined expenses"/>
    <s v="000000"/>
    <s v="KUST - General"/>
    <n v="847001"/>
    <s v="FA179-Opex Expense"/>
    <n v="200179"/>
    <x v="115"/>
    <s v="425770.Academic Missions - Combined expenses-Number of Conference-Number"/>
    <s v="Number"/>
    <n v="22"/>
    <n v="20000"/>
    <s v="20K DHs per faculty trip, one trip per faculty"/>
    <n v="440000"/>
    <n v="440000"/>
    <n v="0"/>
    <s v="KU Regular operations"/>
    <n v="0"/>
  </r>
  <r>
    <s v="Other support"/>
    <s v="Director, Human Resources"/>
    <s v="College of Engineering"/>
    <n v="847"/>
    <n v="8470335"/>
    <s v="KUST - Industrial &amp; Systems Engineering"/>
    <n v="1"/>
    <n v="425900"/>
    <s v="425900-Entertainment and hospitality"/>
    <s v="000000"/>
    <s v="KUST - General"/>
    <n v="847001"/>
    <s v="FA179-Opex Expense"/>
    <n v="200179"/>
    <x v="116"/>
    <s v="425900.Entertainment and hospitality-1. No of events/workshops planned-count"/>
    <s v="count"/>
    <n v="6"/>
    <n v="6000"/>
    <s v="4 scoial departmental meetings and events, and 2 retreats"/>
    <n v="36000"/>
    <n v="36000"/>
    <n v="0"/>
    <s v="KU Regular operations"/>
    <n v="0"/>
  </r>
  <r>
    <s v="IT"/>
    <s v="Director, Technology Development"/>
    <s v="College of Engineering"/>
    <n v="847"/>
    <n v="8470335"/>
    <s v="KUST - Industrial &amp; Systems Engineering"/>
    <n v="1"/>
    <n v="426610"/>
    <s v="426610-Computer software licenses"/>
    <s v="000000"/>
    <s v="KUST - General"/>
    <n v="847001"/>
    <s v="FA179-Opex Expense"/>
    <n v="200179"/>
    <x v="117"/>
    <s v="426610.Computer software licenses-Software License Renewal-service level agreement-Service"/>
    <s v="Service"/>
    <n v="35"/>
    <n v="6000"/>
    <s v="28 software license to renew on avergae 6000/ license; detailed with IT"/>
    <n v="210000"/>
    <n v="210000"/>
    <n v="0"/>
    <s v="KU Regular operations"/>
    <n v="0"/>
  </r>
  <r>
    <s v="Academic "/>
    <s v="No Applicable"/>
    <s v="College of Engineering"/>
    <n v="847"/>
    <n v="8470335"/>
    <s v="KUST - Industrial &amp; Systems Engineering"/>
    <n v="1"/>
    <n v="428090"/>
    <s v="428090-Business Travel - Combined expenses"/>
    <s v="000000"/>
    <s v="KUST - General"/>
    <n v="847001"/>
    <s v="FA179-Opex Expense"/>
    <n v="200179"/>
    <x v="118"/>
    <s v="428090.Business Travel - Combined expenses-Number of Staff-Number"/>
    <s v="Number"/>
    <n v="1"/>
    <n v="45000"/>
    <s v="1 business travel mission for DH"/>
    <n v="45000"/>
    <n v="45000"/>
    <n v="0"/>
    <s v="KU Regular operations"/>
    <n v="0"/>
  </r>
  <r>
    <s v="Academic"/>
    <s v="No Applicable"/>
    <s v="College of Engineering"/>
    <n v="847"/>
    <n v="8470335"/>
    <s v="KUST - Industrial &amp; Systems Engineering"/>
    <n v="1"/>
    <n v="435350"/>
    <s v="435350-Academic Publications"/>
    <s v="000000"/>
    <s v="KUST - General"/>
    <n v="847001"/>
    <s v="FA179-Opex Expense"/>
    <n v="200179"/>
    <x v="119"/>
    <s v="435350.Academic Publications-Number of Publications-Number"/>
    <s v="Number"/>
    <n v="10"/>
    <n v="6500"/>
    <s v="10 publications in open access Q1 to highlight impact"/>
    <n v="65000"/>
    <n v="65000"/>
    <n v="0"/>
    <s v="KU Regular operations"/>
    <n v="0"/>
  </r>
  <r>
    <s v="Academic"/>
    <s v="Director, Research Laboratories"/>
    <s v="College of Engineering"/>
    <n v="847"/>
    <n v="8470335"/>
    <s v="KUST - Industrial &amp; Systems Engineering"/>
    <n v="1"/>
    <n v="435508"/>
    <s v="435508-Laboratory - Scientific"/>
    <s v="000000"/>
    <s v="KUST - General"/>
    <n v="847001"/>
    <s v="FA179-Opex Expense"/>
    <n v="200179"/>
    <x v="120"/>
    <s v="435508.Laboratory - Scientific-Number of Faculty-Number"/>
    <s v="Number"/>
    <n v="2"/>
    <n v="110000"/>
    <s v="upgrade to the Igloo cave system, upgrade the VR welding machine, metaverse education"/>
    <n v="220000"/>
    <n v="220000"/>
    <n v="0"/>
    <s v="KU Strategic New Initiative"/>
    <n v="0"/>
  </r>
  <r>
    <s v="Other support"/>
    <s v="No Applicable"/>
    <s v="College of Engineering"/>
    <n v="847"/>
    <n v="8470335"/>
    <s v="KUST - Industrial &amp; Systems Engineering"/>
    <n v="1"/>
    <n v="436110"/>
    <s v="436110-Printing supplies"/>
    <s v="000000"/>
    <s v="KUST - General"/>
    <n v="847001"/>
    <s v="FA179-Opex Expense"/>
    <n v="200179"/>
    <x v="121"/>
    <s v="427200.Printing and publishing-The printing cost of the department's publications-count"/>
    <s v="count"/>
    <n v="5"/>
    <n v="1750"/>
    <s v="printing supplies to teaching labs and department office"/>
    <n v="8750"/>
    <n v="8750"/>
    <n v="0"/>
    <s v="KU Regular operations"/>
    <n v="0"/>
  </r>
  <r>
    <s v="Academic"/>
    <s v="No Applicable"/>
    <s v="College of Engineering"/>
    <n v="847"/>
    <n v="8470335"/>
    <s v="KUST - Industrial &amp; Systems Engineering"/>
    <n v="1"/>
    <n v="436600"/>
    <s v="436600-Training/Teaching equipment and other educational aid"/>
    <s v="000000"/>
    <s v="KUST - General"/>
    <n v="847001"/>
    <s v="FA179-Opex Expense"/>
    <n v="200179"/>
    <x v="122"/>
    <s v="436600.Training/Teaching equipment and other educational aid-Number of Faculty-Number"/>
    <s v="Number"/>
    <n v="3"/>
    <n v="4000"/>
    <s v="training and teaching aids misc."/>
    <n v="12000"/>
    <n v="12000"/>
    <n v="0"/>
    <s v="KU Regular operations"/>
    <n v="0"/>
  </r>
  <r>
    <s v="Facilities "/>
    <s v="Director, Research Laboratories"/>
    <s v="College of Engineering"/>
    <n v="847"/>
    <n v="8470335"/>
    <s v="KUST - Industrial &amp; Systems Engineering"/>
    <n v="1"/>
    <n v="492316"/>
    <s v="492316-Laboratory equipment"/>
    <s v="000000"/>
    <s v="KUST - General"/>
    <n v="847001"/>
    <s v="FA180-Capex Expense"/>
    <n v="300180"/>
    <x v="123"/>
    <s v="492316.Laboratory equipment-Number of Students-Number"/>
    <m/>
    <n v="1"/>
    <n v="520000"/>
    <s v="A- Hexapod dynamic system for Design and motion simulation"/>
    <n v="520000"/>
    <n v="520000"/>
    <n v="0"/>
    <s v="KU Strategic New Initiative"/>
    <n v="0"/>
  </r>
  <r>
    <s v="Academic"/>
    <s v="No Applicable"/>
    <s v="College of Engineering"/>
    <n v="847"/>
    <n v="8470340"/>
    <s v="KUST - Mechanical Engineering"/>
    <n v="1"/>
    <n v="420550"/>
    <s v="420550-Academic Advisory Service"/>
    <s v="000000"/>
    <s v="KUST - General"/>
    <n v="847001"/>
    <s v="FA179-Opex Expense"/>
    <n v="200179"/>
    <x v="124"/>
    <s v="420550.Academic Advisory Service-Number of Students-Number"/>
    <s v="-_"/>
    <n v="1"/>
    <n v="3000"/>
    <s v="One meeting of the industrial advisory group of the deprtment.  Hospitality for 10 individuals and 6 KU faculty."/>
    <n v="3000"/>
    <n v="3000"/>
    <n v="0"/>
    <s v="KU Regular operations"/>
    <n v="0"/>
  </r>
  <r>
    <s v="Communiction &amp; Marketing"/>
    <s v="Director, Marketing and Communication"/>
    <s v="College of Engineering"/>
    <n v="847"/>
    <n v="8470340"/>
    <s v="KUST - Mechanical Engineering"/>
    <n v="1"/>
    <n v="425510"/>
    <s v="425510-Conferences, seminars and exhibitions and other events: - Local Events"/>
    <s v="000000"/>
    <s v="KUST - General"/>
    <n v="847001"/>
    <s v="FA179-Opex Expense"/>
    <n v="200179"/>
    <x v="125"/>
    <s v="425510.Conferences, seminars and exhibitions and other events: - Local Events-The area of rented halls for events, seminars, and exhibition.-2m"/>
    <s v="-_"/>
    <n v="1"/>
    <n v="10000"/>
    <s v="Support for conferences organized locally by faculty.  Costs of visas for invited speakers.  KU appearing as a co-sponsor of the events"/>
    <n v="10000"/>
    <n v="10000"/>
    <n v="0"/>
    <s v="KU Regular operations"/>
    <n v="0"/>
  </r>
  <r>
    <s v="Student"/>
    <s v="No Applicable"/>
    <s v="College of Engineering"/>
    <n v="847"/>
    <n v="8470340"/>
    <s v="KUST - Mechanical Engineering"/>
    <n v="1"/>
    <n v="425720"/>
    <s v="425720-Education-Outsourced training service"/>
    <s v="000000"/>
    <s v="KUST - General"/>
    <n v="847001"/>
    <s v="FA179-Opex Expense"/>
    <n v="200179"/>
    <x v="126"/>
    <s v="425720.Education-Outsourced training service-Activities-No of Activities"/>
    <s v="-_"/>
    <n v="2"/>
    <n v="5000"/>
    <s v="One training even for each of our two remaining machinists"/>
    <n v="10000"/>
    <n v="10000"/>
    <n v="0"/>
    <m/>
    <n v="0"/>
  </r>
  <r>
    <s v="Student"/>
    <s v="Director, Student Services"/>
    <s v="College of Engineering"/>
    <n v="847"/>
    <n v="8470340"/>
    <s v="KUST - Mechanical Engineering"/>
    <n v="1"/>
    <n v="425760"/>
    <s v="425760-Student activities &amp; field trip expenses"/>
    <s v="000000"/>
    <s v="KUST - General"/>
    <n v="847001"/>
    <s v="FA179-Opex Expense"/>
    <n v="200179"/>
    <x v="127"/>
    <s v="425760.Student activities &amp; field trip expenses-Students-No of Students"/>
    <s v="-_"/>
    <n v="6"/>
    <n v="2000"/>
    <s v="Field trips to ADNOC, Emirates Global Aluminum, Strata (Mubadala), and Shams power station as part of the courses on Turbomachinery, Materials/Metallurgy, and Applied Thermodynamics/Renewable Energy Systems. Additional support for two activities of the ASME student chapter."/>
    <n v="12000"/>
    <n v="12000"/>
    <n v="0"/>
    <s v="KU Regular operations"/>
    <n v="0"/>
  </r>
  <r>
    <s v="Student"/>
    <s v="No Applicable"/>
    <s v="College of Engineering"/>
    <n v="847"/>
    <n v="8470340"/>
    <s v="KUST - Mechanical Engineering"/>
    <n v="1"/>
    <n v="425763"/>
    <s v="425763-Student Project Expenses"/>
    <s v="000000"/>
    <s v="KUST - General"/>
    <n v="847001"/>
    <s v="FA179-Opex Expense"/>
    <n v="200179"/>
    <x v="128"/>
    <s v="425763.Student Project Expenses-Number of Students UG-Month"/>
    <s v="-_"/>
    <n v="110"/>
    <n v="5000"/>
    <s v="Support for undergraduate students' senior design projects. 110 students per year x 5000 AED per student.  The amoounts will be released early in the semesters and settled at the end against receipts collected from student reimbursements. "/>
    <n v="550000"/>
    <n v="550000"/>
    <n v="0"/>
    <s v="KU Regular operations"/>
    <n v="0"/>
  </r>
  <r>
    <s v="Academic"/>
    <s v="No Applicable"/>
    <s v="College of Engineering"/>
    <n v="847"/>
    <n v="8470340"/>
    <s v="KUST - Mechanical Engineering"/>
    <n v="1"/>
    <n v="425770"/>
    <s v="425770-Academic Missions - Combined expenses"/>
    <s v="000000"/>
    <s v="KUST - General"/>
    <n v="847001"/>
    <s v="FA179-Opex Expense"/>
    <n v="200179"/>
    <x v="129"/>
    <s v="425770.Academic Missions - Combined expenses-Number of Conference-Number"/>
    <s v="-_"/>
    <n v="37"/>
    <n v="20000"/>
    <s v="One trip per year to a top-quality conference for  each of 37 faculty members x 20,000 AED per trip"/>
    <n v="740000"/>
    <n v="740000"/>
    <n v="0"/>
    <s v="KU Regular operations"/>
    <n v="0"/>
  </r>
  <r>
    <s v="Other support"/>
    <s v="Director, Human Resources"/>
    <s v="College of Engineering"/>
    <n v="847"/>
    <n v="8470340"/>
    <s v="KUST - Mechanical Engineering"/>
    <n v="1"/>
    <n v="425900"/>
    <s v="425900-Entertainment and hospitality"/>
    <s v="000000"/>
    <s v="KUST - General"/>
    <n v="847001"/>
    <s v="FA179-Opex Expense"/>
    <n v="200179"/>
    <x v="130"/>
    <s v="425900.Entertainment and hospitality-1. No of events/workshops planned-count"/>
    <s v="-_"/>
    <n v="2"/>
    <n v="10000"/>
    <s v="Two deprtmental retreats a year"/>
    <n v="20000"/>
    <n v="20000"/>
    <n v="0"/>
    <s v="KU Regular operations"/>
    <n v="0"/>
  </r>
  <r>
    <s v="IT"/>
    <s v="Director, Technology Development"/>
    <s v="College of Engineering"/>
    <n v="847"/>
    <n v="8470340"/>
    <s v="KUST - Mechanical Engineering"/>
    <n v="1"/>
    <n v="426610"/>
    <s v="426610-Computer software licenses"/>
    <s v="000000"/>
    <s v="KUST - General"/>
    <n v="847001"/>
    <s v="FA179-Opex Expense"/>
    <n v="200179"/>
    <x v="131"/>
    <s v="426610.Computer software licenses-Software License Renewal-number of licenses-Number"/>
    <s v="-_"/>
    <n v="1"/>
    <n v="240000"/>
    <s v="Please, see itemized list of software that is used for educational purposes in the deprtment.  Annual renewal of software, split in two semesters."/>
    <n v="240000"/>
    <n v="240000"/>
    <n v="0"/>
    <s v="KU Regular operations"/>
    <n v="0"/>
  </r>
  <r>
    <s v="Academic"/>
    <s v="No Applicable"/>
    <s v="College of Engineering"/>
    <n v="847"/>
    <n v="8470340"/>
    <s v="KUST - Mechanical Engineering"/>
    <n v="1"/>
    <n v="432209"/>
    <s v="432209-Laboratory equipment"/>
    <s v="000000"/>
    <s v="KUST - General"/>
    <n v="847001"/>
    <s v="FA179-Opex Expense"/>
    <n v="200179"/>
    <x v="132"/>
    <s v="432209.Laboratory equipment-Number of Students-Number"/>
    <s v="-_"/>
    <n v="1"/>
    <n v="80000"/>
    <s v="Please, see attached detailed quote. One maintenance contract for the instructional equipment of the department"/>
    <n v="80000"/>
    <n v="80000"/>
    <n v="0"/>
    <s v="KU Regular operations"/>
    <n v="0"/>
  </r>
  <r>
    <s v="Academic"/>
    <s v="No Applicable"/>
    <s v="College of Engineering"/>
    <n v="847"/>
    <n v="8470340"/>
    <s v="KUST - Mechanical Engineering"/>
    <n v="1"/>
    <n v="435350"/>
    <s v="435350-Academic Publications"/>
    <s v="000000"/>
    <s v="KUST - General"/>
    <n v="847001"/>
    <s v="FA179-Opex Expense"/>
    <n v="200179"/>
    <x v="133"/>
    <s v="427200.Printing and publishing-The printing cost of the department's publications-count"/>
    <s v="-_"/>
    <n v="37"/>
    <n v="11000"/>
    <s v="One open-access publication for each faculty member in a Q1 journal. 37 faculty members x 11000 AED per publication."/>
    <n v="407000"/>
    <n v="407000"/>
    <n v="0"/>
    <s v="KU Regular operations"/>
    <n v="0"/>
  </r>
  <r>
    <s v="Academic"/>
    <s v="Director, Research Laboratories"/>
    <s v="College of Engineering"/>
    <n v="847"/>
    <n v="8470340"/>
    <s v="KUST - Mechanical Engineering"/>
    <n v="1"/>
    <n v="435508"/>
    <s v="435508-Laboratory - Scientific"/>
    <s v="000000"/>
    <s v="KUST - General"/>
    <n v="847001"/>
    <s v="FA179-Opex Expense"/>
    <n v="200179"/>
    <x v="134"/>
    <s v="432209.Laboratory equipment-Number of Students-Number"/>
    <s v="-_"/>
    <n v="12"/>
    <n v="20000"/>
    <s v="Raw materials for machining, electric and electronic hardware, chemicals, gases, as well as tools and hardware.  Itemized estmates per month:  Workshop (Main and SAN): 6000 AED, Solids, Heat Transfer and Fluids labs: 1000 AED, Material Testing lab: 4000 AED, 3D Printing labs: 5000 AED, _x000a_Mechatronics lab:_x0009_2000 AED, Spare Parts for all labs: 2000 AED"/>
    <n v="240000"/>
    <n v="240000"/>
    <n v="0"/>
    <s v="KU Regular operations"/>
    <n v="0"/>
  </r>
  <r>
    <s v="Facilities "/>
    <s v="Director, Research Laboratories"/>
    <s v="College of Engineering"/>
    <n v="847"/>
    <n v="8470340"/>
    <s v="KUST - Mechanical Engineering"/>
    <n v="1"/>
    <n v="492316"/>
    <s v="492316-Laboratory equipment"/>
    <s v="000000"/>
    <s v="KUST - General"/>
    <n v="847001"/>
    <s v="FA180-Capex Expense"/>
    <n v="300180"/>
    <x v="135"/>
    <s v="432209.Laboratory equipment-Number of Students-Number"/>
    <s v="-_"/>
    <n v="1"/>
    <n v="145000"/>
    <s v="Please, see attached detailed quote. 3D-scanner and software in order to be used for reverse engineering in the Machine Element Design and Senior Design project classes."/>
    <n v="145000"/>
    <n v="145000"/>
    <n v="0"/>
    <s v="KU Strategic New Initiative"/>
    <n v="0"/>
  </r>
  <r>
    <s v="-"/>
    <s v="-"/>
    <s v="College of Engineering"/>
    <n v="847"/>
    <n v="8470340"/>
    <s v="KUST - Mechanical Engineering"/>
    <n v="1"/>
    <n v="492316"/>
    <s v="492316-Laboratory equipment"/>
    <s v="000000"/>
    <s v="KUST - General"/>
    <n v="847001"/>
    <s v="FA180-Capex Expense"/>
    <n v="300180"/>
    <x v="135"/>
    <s v="432209.Laboratory equipment-Number of Students-Number"/>
    <s v="-_"/>
    <n v="1"/>
    <n v="150000"/>
    <s v="Please, see attached detailed quote. ANSYS GRANTA EduPack.  An educational materials data-base that wills trengthen our labs in Materials and Machine Element Design"/>
    <n v="150000"/>
    <n v="150000"/>
    <n v="0"/>
    <s v="KU Strategic New Initiative"/>
    <n v="0"/>
  </r>
  <r>
    <s v="Academic"/>
    <s v="No Applicable"/>
    <s v="College of Engineering"/>
    <n v="847"/>
    <n v="8470345"/>
    <s v="KUST - Nuclear Engineering"/>
    <n v="1"/>
    <n v="420550"/>
    <s v="420550-Academic Advisory Service"/>
    <s v="000000"/>
    <s v="KUST - General"/>
    <n v="847001"/>
    <s v="FA179-Opex Expense"/>
    <n v="200179"/>
    <x v="136"/>
    <s v="Time spent"/>
    <n v="10"/>
    <n v="2"/>
    <n v="10000"/>
    <s v="2 academic advisor services per year "/>
    <n v="20000"/>
    <n v="20000"/>
    <n v="0"/>
    <s v="KU Regular operations"/>
    <n v="0"/>
  </r>
  <r>
    <s v="Communiction &amp; Marketing"/>
    <s v="Director, Marketing and Communication"/>
    <s v="College of Engineering"/>
    <n v="847"/>
    <n v="8470345"/>
    <s v="KUST - Nuclear Engineering"/>
    <n v="1"/>
    <n v="425510"/>
    <s v="425510-Conferences, seminars and exhibitions and other events: - Local Events"/>
    <s v="000000"/>
    <s v="KUST - General"/>
    <n v="847001"/>
    <s v="FA179-Opex Expense"/>
    <n v="200179"/>
    <x v="137"/>
    <s v="420550.Academic Advisory Service-Number of Students-Number"/>
    <n v="2"/>
    <n v="2"/>
    <n v="17500"/>
    <s v="2 workshops organised per year"/>
    <n v="35000"/>
    <n v="35000"/>
    <n v="0"/>
    <s v="KU Regular operations"/>
    <n v="0"/>
  </r>
  <r>
    <s v="Student"/>
    <s v="Director, Student Services"/>
    <s v="College of Engineering"/>
    <n v="847"/>
    <n v="8470345"/>
    <s v="KUST - Nuclear Engineering"/>
    <n v="1"/>
    <n v="425760"/>
    <s v="425760-Student activities &amp; field trip expenses"/>
    <s v="000000"/>
    <s v="KUST - General"/>
    <n v="847001"/>
    <s v="FA179-Opex Expense"/>
    <n v="200179"/>
    <x v="138"/>
    <s v="425510.Conferences, seminars and exhibitions and other events: - Local Events-Conferences-Number of Conferences"/>
    <n v="1"/>
    <n v="8"/>
    <n v="20000"/>
    <s v="1 field trip per year for 8 students 20k per student"/>
    <n v="160000"/>
    <n v="160000"/>
    <n v="0"/>
    <s v="KU Regular operations"/>
    <n v="0"/>
  </r>
  <r>
    <s v="Academic"/>
    <s v="No Applicable"/>
    <s v="College of Engineering"/>
    <n v="847"/>
    <n v="8470345"/>
    <s v="KUST - Nuclear Engineering"/>
    <n v="1"/>
    <n v="425770"/>
    <s v="425770-Academic Missions - Combined expenses"/>
    <s v="000000"/>
    <s v="KUST - General"/>
    <n v="847001"/>
    <s v="FA179-Opex Expense"/>
    <n v="200179"/>
    <x v="139"/>
    <s v="425760.Student activities &amp; field trip expenses-Events-No of Events"/>
    <n v="7"/>
    <n v="7"/>
    <n v="20000"/>
    <s v="1 mission per faculty per year, 20 k per mission"/>
    <n v="140000"/>
    <n v="140000"/>
    <n v="0"/>
    <s v="KU Regular operations"/>
    <n v="0"/>
  </r>
  <r>
    <s v="Other support"/>
    <s v="Director, Human Resources"/>
    <s v="College of Engineering"/>
    <n v="847"/>
    <n v="8470345"/>
    <s v="KUST - Nuclear Engineering"/>
    <n v="1"/>
    <n v="425900"/>
    <s v="425900-Entertainment and hospitality"/>
    <s v="000000"/>
    <s v="KUST - General"/>
    <n v="847001"/>
    <s v="FA179-Opex Expense"/>
    <n v="200179"/>
    <x v="140"/>
    <s v="425770.Academic Missions - Combined expenses-Number of Conference-Number"/>
    <n v="6"/>
    <n v="6"/>
    <n v="500"/>
    <s v="6 hospitality per year, expansion internaltional cooperation"/>
    <n v="3000"/>
    <n v="3000"/>
    <n v="0"/>
    <s v="KU Regular operations"/>
    <n v="0"/>
  </r>
  <r>
    <s v="IT"/>
    <s v="Director, Technology Development"/>
    <s v="College of Engineering"/>
    <n v="847"/>
    <n v="8470345"/>
    <s v="KUST - Nuclear Engineering"/>
    <n v="1"/>
    <n v="426610"/>
    <s v="426610-Computer software licenses"/>
    <s v="000000"/>
    <s v="KUST - General"/>
    <n v="847001"/>
    <s v="FA179-Opex Expense"/>
    <n v="200179"/>
    <x v="141"/>
    <s v="425900.Entertainment and hospitality-1. No of events/workshops planned-count"/>
    <n v="1"/>
    <n v="1"/>
    <n v="59217"/>
    <s v="Yearly subscriptions / Quotations in OPEX RDA Lab"/>
    <n v="59217"/>
    <n v="59217"/>
    <n v="0"/>
    <s v="KU Regular operations"/>
    <n v="0"/>
  </r>
  <r>
    <s v="Academic "/>
    <s v="No Applicable"/>
    <s v="College of Engineering"/>
    <n v="847"/>
    <n v="8470345"/>
    <s v="KUST - Nuclear Engineering"/>
    <n v="1"/>
    <n v="428090"/>
    <s v="428090-Business Travel - Combined expenses"/>
    <s v="000000"/>
    <s v="KUST - General"/>
    <n v="847001"/>
    <s v="FA179-Opex Expense"/>
    <n v="200179"/>
    <x v="142"/>
    <s v="426610.Computer software licenses-Software License Renewal-number of licenses-Number"/>
    <n v="2"/>
    <n v="2"/>
    <n v="25000"/>
    <s v="2 buisness travel per year"/>
    <n v="50000"/>
    <n v="50000"/>
    <n v="0"/>
    <s v="KU Regular operations"/>
    <n v="0"/>
  </r>
  <r>
    <s v="Academic"/>
    <s v="No Applicable"/>
    <s v="College of Engineering"/>
    <n v="847"/>
    <n v="8470345"/>
    <s v="KUST - Nuclear Engineering"/>
    <n v="1"/>
    <n v="435350"/>
    <s v="435350-Academic Publications"/>
    <s v="000000"/>
    <s v="KUST - General"/>
    <n v="847001"/>
    <s v="FA179-Opex Expense"/>
    <n v="200179"/>
    <x v="143"/>
    <s v="428090.Business Travel - Combined expenses-Number of Faculty-Number"/>
    <n v="7"/>
    <n v="14"/>
    <n v="12000"/>
    <s v=" 2 open access Q1 publications per faculty per year"/>
    <n v="168000"/>
    <n v="168000"/>
    <n v="0"/>
    <s v="KU Regular operations"/>
    <n v="0"/>
  </r>
  <r>
    <s v="Academic"/>
    <s v="Director, Research Laboratories"/>
    <s v="College of Engineering"/>
    <n v="847"/>
    <n v="8470345"/>
    <s v="KUST - Nuclear Engineering"/>
    <n v="1"/>
    <n v="435508"/>
    <s v="435508-Laboratory - Scientific"/>
    <s v="000000"/>
    <s v="KUST - General"/>
    <n v="847001"/>
    <s v="FA179-Opex Expense"/>
    <n v="200179"/>
    <x v="144"/>
    <s v="435350.Academic Publications-Number of Publications-Number"/>
    <n v="15"/>
    <n v="36612.26"/>
    <n v="15"/>
    <s v="According to detailed OPEX documents"/>
    <n v="549183.9"/>
    <n v="549183.9"/>
    <n v="0"/>
    <s v="KU Regular operations"/>
    <n v="0"/>
  </r>
  <r>
    <s v="Other support"/>
    <s v="No Applicable"/>
    <s v="College of Engineering"/>
    <n v="847"/>
    <n v="8470345"/>
    <s v="KUST - Nuclear Engineering"/>
    <n v="1"/>
    <n v="436110"/>
    <s v="436110-Printing supplies"/>
    <s v="000000"/>
    <s v="KUST - General"/>
    <n v="847001"/>
    <s v="FA179-Opex Expense"/>
    <n v="200179"/>
    <x v="145"/>
    <s v="435508.Laboratory - Scientific-Number of Students-Number"/>
    <n v="5"/>
    <n v="6"/>
    <n v="1000"/>
    <s v="6 doc print per year "/>
    <n v="6000"/>
    <n v="6000"/>
    <n v="0"/>
    <s v="KU Regular operations"/>
    <n v="0"/>
  </r>
  <r>
    <s v="Facilities "/>
    <s v="Director, Research Laboratories"/>
    <s v="College of Engineering"/>
    <n v="847"/>
    <n v="8470345"/>
    <s v="KUST - Nuclear Engineering"/>
    <n v="1"/>
    <n v="492316"/>
    <s v="492316-Laboratory equipment"/>
    <s v="000000"/>
    <s v="KUST - General"/>
    <n v="847001"/>
    <s v="FA180-Capex Expense"/>
    <n v="300180"/>
    <x v="146"/>
    <s v="436110.Printing supplies-Number of Student-Number"/>
    <n v="15"/>
    <n v="1"/>
    <n v="780474"/>
    <s v="According to detailed CAPEX documents"/>
    <n v="780474"/>
    <n v="780474"/>
    <n v="0"/>
    <s v="KU Strategic New Initiative"/>
    <n v="0"/>
  </r>
  <r>
    <s v="Communiction &amp; Marketing"/>
    <s v="Director, Marketing and Communication"/>
    <s v="College of Engineering"/>
    <n v="847"/>
    <n v="8470350"/>
    <s v="KUST - Petroleum Engineering"/>
    <n v="1"/>
    <n v="425510"/>
    <s v="425510-Conferences, seminars and exhibitions and other events: - Local Events"/>
    <s v="000000"/>
    <s v="KUST - General"/>
    <n v="847001"/>
    <s v="FA179-Opex Expense"/>
    <n v="200179"/>
    <x v="147"/>
    <s v="425510.Conferences, seminars and exhibitions and other events: - Local Events-Seminars-Number of Seminars"/>
    <s v="Number of Seminars"/>
    <n v="5"/>
    <n v="5000"/>
    <s v="Department seminars and exhibitions, etc."/>
    <n v="25000"/>
    <n v="25000"/>
    <n v="0"/>
    <s v="KU Regular operations"/>
    <n v="0"/>
  </r>
  <r>
    <s v="Student"/>
    <s v="Director, Student Services"/>
    <s v="College of Engineering"/>
    <n v="847"/>
    <n v="8470350"/>
    <s v="KUST - Petroleum Engineering"/>
    <n v="1"/>
    <n v="425760"/>
    <s v="425760-Student activities &amp; field trip expenses"/>
    <s v="000000"/>
    <s v="KUST - General"/>
    <n v="847001"/>
    <s v="FA179-Opex Expense"/>
    <n v="200179"/>
    <x v="148"/>
    <s v="425760.Student activities &amp; field trip expenses-Events-No of Events"/>
    <s v="No of Events"/>
    <n v="10"/>
    <n v="3000"/>
    <s v="SPE Student Chapter Activities"/>
    <n v="30000"/>
    <n v="30000"/>
    <n v="0"/>
    <s v="KU Regular operations"/>
    <n v="0"/>
  </r>
  <r>
    <s v="Student"/>
    <s v="No Applicable"/>
    <s v="College of Engineering"/>
    <n v="847"/>
    <n v="8470350"/>
    <s v="KUST - Petroleum Engineering"/>
    <n v="1"/>
    <n v="425763"/>
    <s v="425763-Student Project Expenses"/>
    <s v="000000"/>
    <s v="KUST - General"/>
    <n v="847001"/>
    <s v="FA179-Opex Expense"/>
    <n v="200179"/>
    <x v="149"/>
    <s v="425763.Student Project Expenses-Number of Students Master-Month"/>
    <s v="Month"/>
    <n v="10"/>
    <n v="1500"/>
    <s v="Satudent senior design projects"/>
    <n v="15000"/>
    <n v="15000"/>
    <n v="0"/>
    <s v="KU Regular operations"/>
    <n v="0"/>
  </r>
  <r>
    <s v="Academic"/>
    <s v="No Applicable"/>
    <s v="College of Engineering"/>
    <n v="847"/>
    <n v="8470350"/>
    <s v="KUST - Petroleum Engineering"/>
    <n v="1"/>
    <n v="425770"/>
    <s v="425770-Academic Missions - Combined expenses"/>
    <s v="000000"/>
    <s v="KUST - General"/>
    <n v="847001"/>
    <s v="FA179-Opex Expense"/>
    <n v="200179"/>
    <x v="150"/>
    <s v="425770.Academic Missions - Combined expenses-Number of Conference-Number"/>
    <s v="Number"/>
    <n v="12"/>
    <n v="22000"/>
    <s v="Academic mission for international and regional conferences for 12 faculty members"/>
    <n v="264000"/>
    <n v="264000"/>
    <n v="0"/>
    <s v="KU Regular operations"/>
    <n v="0"/>
  </r>
  <r>
    <s v="Other support"/>
    <s v="Director, Human Resources"/>
    <s v="College of Engineering"/>
    <n v="847"/>
    <n v="8470350"/>
    <s v="KUST - Petroleum Engineering"/>
    <n v="1"/>
    <n v="425900"/>
    <s v="425900-Entertainment and hospitality"/>
    <s v="000000"/>
    <s v="KUST - General"/>
    <n v="847001"/>
    <s v="FA179-Opex Expense"/>
    <n v="200179"/>
    <x v="151"/>
    <s v="425900.Entertainment and hospitality-1. No of events/workshops planned-count"/>
    <s v="count"/>
    <n v="20"/>
    <n v="1500"/>
    <s v="Biweekly department meetings, Seminars,_x000a_Open &amp; Major days and SPE  Student chapter activities."/>
    <n v="30000"/>
    <n v="30000"/>
    <n v="0"/>
    <s v="KU Regular operations"/>
    <n v="0"/>
  </r>
  <r>
    <s v="IT"/>
    <s v="Director, Technology Development"/>
    <s v="College of Engineering"/>
    <n v="847"/>
    <n v="8470350"/>
    <s v="KUST - Petroleum Engineering"/>
    <n v="1"/>
    <n v="426610"/>
    <s v="426610-Computer software licenses"/>
    <s v="000000"/>
    <s v="KUST - General"/>
    <n v="847001"/>
    <s v="FA179-Opex Expense"/>
    <n v="200179"/>
    <x v="152"/>
    <s v="426610.Computer software licenses-Software License Renewal-duration of license maintenance/support period-Month"/>
    <s v="Month"/>
    <n v="1"/>
    <n v="100000"/>
    <s v="(2024-2027) CMG Software Renewal"/>
    <n v="100000"/>
    <n v="100000"/>
    <n v="0"/>
    <s v="KU Regular operations"/>
    <n v="0"/>
  </r>
  <r>
    <s v="IT"/>
    <s v="Director, Technology Development"/>
    <s v="College of Engineering"/>
    <n v="847"/>
    <n v="8470350"/>
    <s v="KUST - Petroleum Engineering"/>
    <n v="1"/>
    <n v="426610"/>
    <s v="426610-Computer software licenses"/>
    <s v="000000"/>
    <s v="KUST - General"/>
    <n v="847001"/>
    <s v="FA179-Opex Expense"/>
    <n v="200179"/>
    <x v="152"/>
    <s v="426610.Computer software licenses-Software License Renewal-duration of license maintenance/support period-Month"/>
    <s v="Month"/>
    <n v="1"/>
    <n v="25000"/>
    <s v="iDrillSim Cloud-base Software"/>
    <n v="25000"/>
    <n v="25000"/>
    <n v="0"/>
    <s v="KU Regular operations"/>
    <n v="0"/>
  </r>
  <r>
    <s v="IT"/>
    <s v="Director, Technology Development"/>
    <s v="College of Engineering"/>
    <n v="847"/>
    <n v="8470350"/>
    <s v="KUST - Petroleum Engineering"/>
    <n v="1"/>
    <n v="426610"/>
    <s v="426610-Computer software licenses"/>
    <s v="000000"/>
    <s v="KUST - General"/>
    <n v="847001"/>
    <s v="FA179-Opex Expense"/>
    <n v="200179"/>
    <x v="152"/>
    <s v="426610.Computer software licenses-Software License Renewal-duration of license maintenance/support period-Month"/>
    <s v="Month"/>
    <n v="1"/>
    <n v="8000"/>
    <s v="OriginPro Software maintenance"/>
    <n v="8000"/>
    <n v="8000"/>
    <n v="0"/>
    <s v="KU Regular operations"/>
    <n v="0"/>
  </r>
  <r>
    <s v="IT"/>
    <s v="Director, Technology Development"/>
    <s v="College of Engineering"/>
    <n v="847"/>
    <n v="8470350"/>
    <s v="KUST - Petroleum Engineering"/>
    <n v="1"/>
    <n v="426610"/>
    <s v="426610-Computer software licenses"/>
    <s v="000000"/>
    <s v="KUST - General"/>
    <n v="847001"/>
    <s v="FA179-Opex Expense"/>
    <n v="200179"/>
    <x v="152"/>
    <s v="426610.Computer software licenses-Software License Renewal-duration of license maintenance/support period-Month"/>
    <s v="Month"/>
    <n v="1"/>
    <n v="25000"/>
    <s v="BIOVIA Materials Studio Software Maintenance"/>
    <n v="25000"/>
    <n v="25000"/>
    <n v="0"/>
    <s v="KU Regular operations"/>
    <n v="0"/>
  </r>
  <r>
    <s v="IT"/>
    <s v="Director, Technology Development"/>
    <s v="College of Engineering"/>
    <n v="847"/>
    <n v="8470350"/>
    <s v="KUST - Petroleum Engineering"/>
    <n v="1"/>
    <n v="426610"/>
    <s v="426610-Computer software licenses"/>
    <s v="000000"/>
    <s v="KUST - General"/>
    <n v="847001"/>
    <s v="FA179-Opex Expense"/>
    <n v="200179"/>
    <x v="152"/>
    <s v="426610.Computer software licenses-Software License Renewal-duration of license maintenance/support period-Month"/>
    <s v="Month"/>
    <n v="1"/>
    <n v="10000"/>
    <s v="Kappa Software Renewal"/>
    <n v="10000"/>
    <n v="10000"/>
    <n v="0"/>
    <s v="KU Regular operations"/>
    <n v="0"/>
  </r>
  <r>
    <s v="IT"/>
    <s v="Director, Technology Development"/>
    <s v="College of Engineering"/>
    <n v="847"/>
    <n v="8470350"/>
    <s v="KUST - Petroleum Engineering"/>
    <n v="1"/>
    <n v="426610"/>
    <s v="426610-Computer software licenses"/>
    <s v="000000"/>
    <s v="KUST - General"/>
    <n v="847001"/>
    <s v="FA179-Opex Expense"/>
    <n v="200179"/>
    <x v="152"/>
    <s v="426610.Computer software licenses-Software License Renewal-duration of license maintenance/support period-Month"/>
    <s v="Month"/>
    <n v="1"/>
    <n v="45000"/>
    <s v="QRI Speedwise software"/>
    <n v="45000"/>
    <n v="45000"/>
    <n v="0"/>
    <s v="KU Regular operations"/>
    <n v="0"/>
  </r>
  <r>
    <s v="IT"/>
    <s v="Director, Technology Development"/>
    <s v="College of Engineering"/>
    <n v="847"/>
    <n v="8470350"/>
    <s v="KUST - Petroleum Engineering"/>
    <n v="1"/>
    <n v="426610"/>
    <s v="426610-Computer software licenses"/>
    <s v="000000"/>
    <s v="KUST - General"/>
    <n v="847001"/>
    <s v="FA179-Opex Expense"/>
    <n v="200179"/>
    <x v="152"/>
    <s v="426610.Computer software licenses-Software License Renewal-duration of license maintenance/support period-Month"/>
    <s v="Month"/>
    <n v="1"/>
    <n v="200000"/>
    <s v="Thermo Scientific™ PerGeos Software Upgrade"/>
    <n v="200000"/>
    <n v="200000"/>
    <n v="0"/>
    <s v="KU Regular operations"/>
    <n v="0"/>
  </r>
  <r>
    <s v="Academic"/>
    <s v="No Applicable"/>
    <s v="College of Engineering"/>
    <n v="847"/>
    <n v="8470350"/>
    <s v="KUST - Petroleum Engineering"/>
    <n v="1"/>
    <n v="432209"/>
    <s v="432209-Laboratory equipment"/>
    <s v="000000"/>
    <s v="KUST - General"/>
    <n v="847001"/>
    <s v="FA179-Opex Expense"/>
    <n v="200179"/>
    <x v="153"/>
    <s v="432209.Laboratory equipment-Number of Students-Number"/>
    <s v="Number"/>
    <n v="1"/>
    <n v="80000"/>
    <s v="Drilling Simulator Service Maintenance"/>
    <n v="80000"/>
    <n v="80000"/>
    <n v="0"/>
    <s v="KU Regular operations"/>
    <n v="0"/>
  </r>
  <r>
    <s v="Academic"/>
    <s v="No Applicable"/>
    <s v="College of Engineering"/>
    <n v="847"/>
    <n v="8470350"/>
    <s v="KUST - Petroleum Engineering"/>
    <n v="1"/>
    <n v="432209"/>
    <s v="432209-Laboratory equipment"/>
    <s v="000000"/>
    <s v="KUST - General"/>
    <n v="847001"/>
    <s v="FA179-Opex Expense"/>
    <n v="200179"/>
    <x v="153"/>
    <s v="432209.Laboratory equipment-Number of Students-Number"/>
    <s v="Number"/>
    <n v="40"/>
    <n v="2000"/>
    <s v="Isco Pumps Maintenance"/>
    <n v="80000"/>
    <n v="80000"/>
    <n v="0"/>
    <s v="KU Regular operations"/>
    <n v="0"/>
  </r>
  <r>
    <s v="Academic"/>
    <s v="No Applicable"/>
    <s v="College of Engineering"/>
    <n v="847"/>
    <n v="8470350"/>
    <s v="KUST - Petroleum Engineering"/>
    <n v="1"/>
    <n v="432209"/>
    <s v="432209-Laboratory equipment"/>
    <s v="000000"/>
    <s v="KUST - General"/>
    <n v="847001"/>
    <s v="FA179-Opex Expense"/>
    <n v="200179"/>
    <x v="153"/>
    <s v="432209.Laboratory equipment-Number of Students-Number"/>
    <s v="Number"/>
    <n v="1"/>
    <n v="350000"/>
    <s v="NER Systems Maintenance and Training"/>
    <n v="350000"/>
    <n v="350000"/>
    <n v="0"/>
    <s v="KU Regular operations"/>
    <n v="0"/>
  </r>
  <r>
    <s v="Academic"/>
    <s v="No Applicable"/>
    <s v="College of Engineering"/>
    <n v="847"/>
    <n v="8470350"/>
    <s v="KUST - Petroleum Engineering"/>
    <n v="1"/>
    <n v="435340"/>
    <s v="435340-Text books and library books"/>
    <s v="000000"/>
    <s v="KUST - General"/>
    <n v="847001"/>
    <s v="FA179-Opex Expense"/>
    <n v="200179"/>
    <x v="154"/>
    <s v="435340.Text books and library books-Faculty-Number oF Faculty"/>
    <s v="Number oF Faculty"/>
    <n v="10"/>
    <n v="2000"/>
    <s v="Rreference library books for graduate students research"/>
    <n v="20000"/>
    <n v="20000"/>
    <n v="0"/>
    <s v="KU Regular operations"/>
    <n v="0"/>
  </r>
  <r>
    <s v="Academic"/>
    <s v="No Applicable"/>
    <s v="College of Engineering"/>
    <n v="847"/>
    <n v="8470350"/>
    <s v="KUST - Petroleum Engineering"/>
    <n v="1"/>
    <n v="435350"/>
    <s v="435350-Academic Publications"/>
    <s v="000000"/>
    <s v="KUST - General"/>
    <n v="847001"/>
    <s v="FA179-Opex Expense"/>
    <n v="200179"/>
    <x v="155"/>
    <s v="435350.Academic Publications-Number of Publications-Number"/>
    <s v="Number"/>
    <n v="12"/>
    <n v="10000"/>
    <s v="Q1 open journal publications for 10 faculty members"/>
    <n v="120000"/>
    <n v="120000"/>
    <n v="0"/>
    <s v="KU Regular operations"/>
    <n v="0"/>
  </r>
  <r>
    <s v="Academic"/>
    <s v="Director, Research Laboratories"/>
    <s v="College of Engineering"/>
    <n v="847"/>
    <n v="8470350"/>
    <s v="KUST - Petroleum Engineering"/>
    <n v="1"/>
    <n v="435508"/>
    <s v="435508-Laboratory - Scientific"/>
    <s v="000000"/>
    <s v="KUST - General"/>
    <n v="847001"/>
    <s v="FA179-Opex Expense"/>
    <n v="200179"/>
    <x v="156"/>
    <s v="435508.Laboratory - Scientific-Number of Students-Number"/>
    <s v="Number"/>
    <n v="60"/>
    <n v="500"/>
    <s v="Helium, Nitrogen, etc Gas Cylinders"/>
    <n v="30000"/>
    <n v="30000"/>
    <n v="0"/>
    <s v="KU Regular operations"/>
    <n v="0"/>
  </r>
  <r>
    <s v="Academic"/>
    <s v="Director, Research Laboratories"/>
    <s v="College of Engineering"/>
    <n v="847"/>
    <n v="8470350"/>
    <s v="KUST - Petroleum Engineering"/>
    <n v="1"/>
    <n v="435508"/>
    <s v="435508-Laboratory - Scientific"/>
    <s v="000000"/>
    <s v="KUST - General"/>
    <n v="847001"/>
    <s v="FA179-Opex Expense"/>
    <n v="200179"/>
    <x v="156"/>
    <s v="435508.Laboratory - Scientific-Number of Students-Number"/>
    <s v="Number"/>
    <n v="60"/>
    <n v="500"/>
    <s v="Salts, Chemicals and Solvents"/>
    <n v="30000"/>
    <n v="30000"/>
    <n v="0"/>
    <s v="KU Regular operations"/>
    <n v="0"/>
  </r>
  <r>
    <s v="Academic"/>
    <s v="Director, Research Laboratories"/>
    <s v="College of Engineering"/>
    <n v="847"/>
    <n v="8470350"/>
    <s v="KUST - Petroleum Engineering"/>
    <n v="1"/>
    <n v="435508"/>
    <s v="435508-Laboratory - Scientific"/>
    <s v="000000"/>
    <s v="KUST - General"/>
    <n v="847001"/>
    <s v="FA179-Opex Expense"/>
    <n v="200179"/>
    <x v="156"/>
    <s v="435508.Laboratory - Scientific-Number of Students-Number"/>
    <s v="Number"/>
    <n v="60"/>
    <n v="1200"/>
    <s v="Miscellaneous (Tool boxes, timers, calipers, PPE, workstations hardwares, etc.) "/>
    <n v="72000"/>
    <n v="72000"/>
    <n v="0"/>
    <s v="KU Regular operations"/>
    <n v="0"/>
  </r>
  <r>
    <s v="Other support"/>
    <s v="No Applicable"/>
    <s v="College of Engineering"/>
    <n v="847"/>
    <n v="8470350"/>
    <s v="KUST - Petroleum Engineering"/>
    <n v="1"/>
    <n v="436110"/>
    <s v="436110-Printing supplies"/>
    <s v="000000"/>
    <s v="KUST - General"/>
    <n v="847001"/>
    <s v="FA179-Opex Expense"/>
    <n v="200179"/>
    <x v="157"/>
    <s v="436110.Printing supplies-Number of Employees-Number"/>
    <s v="Number"/>
    <n v="10"/>
    <n v="500"/>
    <s v="Printing and supplies"/>
    <n v="5000"/>
    <n v="5000"/>
    <n v="0"/>
    <s v="KU Regular operations"/>
    <n v="0"/>
  </r>
  <r>
    <s v="Academic"/>
    <s v="No Applicable"/>
    <s v="College of Engineering"/>
    <n v="847"/>
    <n v="8470350"/>
    <s v="KUST - Petroleum Engineering"/>
    <n v="1"/>
    <n v="436600"/>
    <s v="436600-Training/Teaching equipment and other educational aid"/>
    <s v="000000"/>
    <s v="KUST - General"/>
    <n v="847001"/>
    <s v="FA179-Opex Expense"/>
    <n v="200179"/>
    <x v="158"/>
    <s v="436600.Training/Teaching equipment and other educational aid-Number of Staff-Number"/>
    <s v="Number"/>
    <n v="4"/>
    <n v="25000"/>
    <s v="Staff training and development"/>
    <n v="100000"/>
    <n v="100000"/>
    <n v="0"/>
    <s v="KU Regular operations"/>
    <n v="0"/>
  </r>
  <r>
    <s v="Facilities "/>
    <s v="Director, Research Laboratories"/>
    <s v="College of Engineering"/>
    <n v="847"/>
    <n v="8470350"/>
    <s v="KUST - Petroleum Engineering"/>
    <n v="1"/>
    <n v="492316"/>
    <s v="492316-Laboratory equipment"/>
    <s v="000000"/>
    <s v="KUST - General"/>
    <n v="847001"/>
    <s v="FA180-Capex Expense"/>
    <n v="300180"/>
    <x v="159"/>
    <s v="492316.Laboratory equipment-Number of Faculty-Number"/>
    <s v="Number"/>
    <n v="1"/>
    <n v="2000000"/>
    <s v="Ultra Centrifuge"/>
    <n v="2000000"/>
    <n v="2000000"/>
    <n v="0"/>
    <s v="KU Regular operations"/>
    <n v="0"/>
  </r>
  <r>
    <s v="Facilities "/>
    <s v="Director, Research Laboratories"/>
    <s v="College of Engineering"/>
    <n v="847"/>
    <n v="8470350"/>
    <s v="KUST - Petroleum Engineering"/>
    <n v="1"/>
    <n v="492316"/>
    <s v="492316-Laboratory equipment"/>
    <s v="000000"/>
    <s v="KUST - General"/>
    <n v="847001"/>
    <s v="FA180-Capex Expense"/>
    <n v="300180"/>
    <x v="159"/>
    <s v="492316.Laboratory equipment-Number of Research-Number"/>
    <s v="Number"/>
    <n v="4"/>
    <n v="35000"/>
    <s v="Analytical Balance"/>
    <n v="140000"/>
    <n v="140000"/>
    <n v="0"/>
    <s v="KU Regular operations"/>
    <n v="0"/>
  </r>
  <r>
    <s v="Facilities "/>
    <s v="Director, Research Laboratories"/>
    <s v="College of Engineering"/>
    <n v="847"/>
    <n v="8470350"/>
    <s v="KUST - Petroleum Engineering"/>
    <n v="1"/>
    <n v="492316"/>
    <s v="492316-Laboratory equipment"/>
    <s v="000000"/>
    <s v="KUST - General"/>
    <n v="847001"/>
    <s v="FA180-Capex Expense"/>
    <n v="300180"/>
    <x v="159"/>
    <s v="495110.Computer software-TBD-TBD"/>
    <s v="TBD"/>
    <n v="2"/>
    <n v="30000"/>
    <s v="Ph.D. students softwares"/>
    <n v="60000"/>
    <n v="60000"/>
    <n v="0"/>
    <s v="KU Regular operations"/>
    <n v="0"/>
  </r>
  <r>
    <s v="Other support"/>
    <s v="No Applicable"/>
    <s v="SVP/ Support Services Office"/>
    <n v="847"/>
    <n v="8470620"/>
    <s v="KUST - Finance Operations"/>
    <n v="1"/>
    <n v="420130"/>
    <s v="420130-External Audit service"/>
    <s v="000000"/>
    <s v="KUST - General"/>
    <n v="847001"/>
    <s v="FA179-Opex Expense"/>
    <n v="200179"/>
    <x v="160"/>
    <s v="420130.External Audit service-Number of reports to be audited-Number of reports to be audited"/>
    <s v="Number of reports to be audited"/>
    <n v="1"/>
    <n v="236850"/>
    <s v="* yearend AED 90,900+50,000 addition_x000a_* midyear AED 35,350_x000a_*internal control (ICFR) AED 60,600"/>
    <n v="236850"/>
    <s v="KU Regular operations"/>
    <s v="Recurring"/>
    <s v="Promote a working culture of excellence and accountability"/>
    <n v="0"/>
  </r>
  <r>
    <s v="Finance"/>
    <s v="No Applicable"/>
    <s v="SVP/ Support Services Office"/>
    <n v="847"/>
    <n v="8470620"/>
    <s v="KUST - Finance Operations"/>
    <n v="1"/>
    <n v="425300"/>
    <s v="425300-Banking service charges / Fees"/>
    <s v="000000"/>
    <s v="KUST - General"/>
    <n v="847001"/>
    <s v="FA179-Opex Expense"/>
    <n v="200179"/>
    <x v="161"/>
    <s v="425300.Banking service charges / Fees-Number of Transactions-Number"/>
    <s v="Number"/>
    <n v="1"/>
    <n v="3000"/>
    <s v="Monthly average AED 250"/>
    <n v="3000"/>
    <s v="KU Regular operations"/>
    <s v="Recurring"/>
    <s v="Provide reliable, accurate and timely reports to different stakeholders"/>
    <n v="0"/>
  </r>
  <r>
    <s v="Finance"/>
    <s v="No Applicable"/>
    <s v="SVP/ Support Services Office"/>
    <n v="847"/>
    <n v="8470620"/>
    <s v="KUST - Finance Operations"/>
    <n v="1"/>
    <n v="425350"/>
    <s v="425350-Fees for processing e-payments"/>
    <s v="000000"/>
    <s v="KUST - General"/>
    <n v="847001"/>
    <s v="FA179-Opex Expense"/>
    <n v="200179"/>
    <x v="162"/>
    <s v="425350.Fees for processing e-payments-e-Payment operation-Number of Bank Transfers-Number"/>
    <s v="Number"/>
    <n v="1"/>
    <n v="121000"/>
    <s v="monthly average AED 10,000"/>
    <n v="121000"/>
    <s v="KU Regular operations"/>
    <s v="Recurring"/>
    <s v="Provide reliable, accurate and timely reports to different stakeholders"/>
    <n v="0"/>
  </r>
  <r>
    <s v="IT"/>
    <s v="Director, Technology Development"/>
    <s v="SVP/ Support Services Office"/>
    <n v="847"/>
    <n v="8470620"/>
    <s v="KUST - Finance Operations"/>
    <n v="1"/>
    <n v="426610"/>
    <s v="426610-Computer software licenses"/>
    <s v="000000"/>
    <s v="KUST - General"/>
    <n v="847001"/>
    <s v="FA179-Opex Expense"/>
    <n v="200179"/>
    <x v="163"/>
    <s v="426610.Computer software licenses-Software License Renewal-number of licenses-Number"/>
    <s v="Number"/>
    <n v="11"/>
    <n v="2880"/>
    <s v="11 license *AED 2880"/>
    <n v="31680"/>
    <s v="KU Regular operations"/>
    <s v="Recurring"/>
    <s v="Promote a working culture of excellence and accountability"/>
    <n v="0"/>
  </r>
  <r>
    <s v="Other support"/>
    <s v="No Applicable"/>
    <s v="SVP/ Support Services Office"/>
    <n v="847"/>
    <n v="8470620"/>
    <s v="KUST - Finance Operations"/>
    <n v="1"/>
    <n v="436120"/>
    <s v="436120-Stationery"/>
    <s v="000000"/>
    <s v="KUST - General"/>
    <n v="847001"/>
    <s v="FA179-Opex Expense"/>
    <n v="200179"/>
    <x v="164"/>
    <s v="436120.Stationery-Number of Staff-Number"/>
    <s v="Number"/>
    <n v="5000"/>
    <n v="1"/>
    <s v="5000 asset tag * AED 1"/>
    <n v="5000"/>
    <s v="KU Regular operations"/>
    <s v="Recurring"/>
    <s v="Provide reliable, accurate and timely reports to different stakeholders"/>
    <n v="0"/>
  </r>
  <r>
    <s v="Other support"/>
    <s v="Director, Human Resources"/>
    <s v="SVP/ Support Services Office"/>
    <n v="847"/>
    <n v="8470620"/>
    <s v="KUST - Finance Operations"/>
    <n v="1"/>
    <n v="425900"/>
    <s v="425900-Entertainment and hospitality"/>
    <s v="000000"/>
    <s v="KUST - General"/>
    <n v="847001"/>
    <s v="FA179-Opex Expense"/>
    <n v="200179"/>
    <x v="165"/>
    <s v="425900.Entertainment and hospitality-1. No of events/workshops planned-count"/>
    <s v="count"/>
    <n v="1"/>
    <n v="8000"/>
    <s v="finance retreat meeting_x000a_20 staff * AED 400"/>
    <n v="8000"/>
    <s v="KU Regular operations"/>
    <s v="Recurring"/>
    <s v="Promote a working culture of excellence and accountability"/>
    <n v="0"/>
  </r>
  <r>
    <s v="Communiction &amp; Marketing"/>
    <s v="Director, Marketing and Communication"/>
    <s v="SVP/ Support Services Office"/>
    <n v="847"/>
    <n v="8470630"/>
    <s v="KUST- Business Development"/>
    <n v="1"/>
    <n v="425100"/>
    <s v="425100-Advertising Services (General)"/>
    <s v="000000"/>
    <s v="KUST - General"/>
    <n v="847001"/>
    <s v="FA179-Opex Expense"/>
    <n v="200179"/>
    <x v="166"/>
    <s v="425100.Advertising Services (General)-International Publicity-count"/>
    <s v="count"/>
    <n v="4"/>
    <n v="25000"/>
    <s v="Ads to promote Ku AND ATTRACT MORE STUDENTS"/>
    <n v="100000"/>
    <s v="KU Regular operations"/>
    <s v="Recurring"/>
    <s v="Ensure the university sustainability "/>
    <n v="0"/>
  </r>
  <r>
    <s v="Communiction &amp; Marketing"/>
    <s v="No Applicable"/>
    <s v="SVP/ Support Services Office"/>
    <n v="847"/>
    <n v="8470630"/>
    <s v="KUST- Business Development"/>
    <n v="1"/>
    <n v="425550"/>
    <s v="425550-Conferences, seminars and exhibitions and other events: - Overseas event"/>
    <s v="000000"/>
    <s v="KUST - General"/>
    <n v="847001"/>
    <s v="FA179-Opex Expense"/>
    <n v="200179"/>
    <x v="167"/>
    <s v="425500.Conferences, seminars and exhibitions and other events:-Number of events &amp; attendees-Number of Number of events &amp; attendees"/>
    <s v="Number of Number of events &amp; attendees"/>
    <n v="4"/>
    <n v="50000"/>
    <s v="to run number of events"/>
    <n v="200000"/>
    <s v="KU Regular operations"/>
    <s v="Recurring"/>
    <s v="Ensure the university sustainability "/>
    <n v="0"/>
  </r>
  <r>
    <s v="Communiction &amp; Marketing"/>
    <s v="No Applicable"/>
    <s v="SVP/ Support Services Office"/>
    <n v="847"/>
    <n v="8470630"/>
    <s v="KUST- Business Development"/>
    <n v="1"/>
    <n v="427200"/>
    <s v="427200-Printing and publishing"/>
    <s v="000000"/>
    <s v="KUST - General"/>
    <n v="847001"/>
    <s v="FA179-Opex Expense"/>
    <n v="200179"/>
    <x v="168"/>
    <s v="427200.Printing and publishing-The cost of design for the entity's publications to reflect the entity's identity-count"/>
    <s v="count"/>
    <n v="10"/>
    <n v="1000"/>
    <s v="print ads and event details"/>
    <n v="10000"/>
    <s v="KU Regular operations"/>
    <s v="Recurring"/>
    <s v="Ensure the university sustainability "/>
    <n v="0"/>
  </r>
  <r>
    <s v="Academic"/>
    <s v="No Applicable"/>
    <s v="SVP/ Support Services Office"/>
    <n v="847"/>
    <n v="8470630"/>
    <s v="KUST- Business Development"/>
    <n v="1"/>
    <n v="436600"/>
    <s v="436600-Training/Teaching equipment and other educational aid"/>
    <s v="000000"/>
    <s v="KUST - General"/>
    <s v="847001"/>
    <s v="FA179-Opex Expense"/>
    <n v="200179"/>
    <x v="169"/>
    <s v="436600.Training/Teaching equipment and other educational aid-Number of Faculty-Number"/>
    <s v="Number"/>
    <n v="4"/>
    <n v="3000"/>
    <m/>
    <n v="12000"/>
    <s v="KU Strategic New Initiative"/>
    <s v="Recurring"/>
    <s v="Ensure the university sustainability "/>
    <n v="0"/>
  </r>
  <r>
    <s v="Other support"/>
    <s v="Director, Human Resources"/>
    <s v="SVP/ Support Services Office"/>
    <n v="847"/>
    <n v="8470730"/>
    <s v="KUST - Human Resources"/>
    <n v="1"/>
    <n v="425900"/>
    <s v="426610-Computer software licenses"/>
    <s v="000000"/>
    <s v="KUST - General"/>
    <n v="847001"/>
    <s v="FA179-Opex Expense"/>
    <n v="200179"/>
    <x v="170"/>
    <s v="426610.Computer software licenses-Software License Renewal-number of licenses-Number"/>
    <s v="Number"/>
    <n v="1"/>
    <n v="175000"/>
    <s v="Taleo Subscription"/>
    <n v="175000"/>
    <s v="KU Regular operations"/>
    <s v="Recurring"/>
    <s v="Ensure the university sustainability "/>
    <n v="0"/>
  </r>
  <r>
    <s v="IT"/>
    <s v="Director, Technology Development"/>
    <s v="SVP/ Support Services Office"/>
    <n v="847"/>
    <n v="8470730"/>
    <s v="KUST - Human Resources"/>
    <n v="1"/>
    <n v="426610"/>
    <s v="426610-Computer software licenses"/>
    <s v="000000"/>
    <s v="KUST - General"/>
    <n v="847001"/>
    <s v="FA179-Opex Expense"/>
    <n v="200179"/>
    <x v="171"/>
    <s v="426610.Computer software licenses-Software License Renewal-number of licenses-Number"/>
    <s v="Number"/>
    <n v="1"/>
    <n v="300000"/>
    <s v="Attendance system enhancment"/>
    <n v="300000"/>
    <s v="KU Regular operations"/>
    <s v="Recurring"/>
    <s v="Ensure the university sustainability "/>
    <n v="0"/>
  </r>
  <r>
    <s v="Other support"/>
    <s v="No Applicable"/>
    <s v="SVP/ Support Services Office"/>
    <n v="847"/>
    <n v="8470730"/>
    <s v="KUST - Human Resources"/>
    <n v="1"/>
    <n v="427900"/>
    <s v="427900-Translation and interpretation service"/>
    <s v="000000"/>
    <s v="KUST - General"/>
    <n v="847001"/>
    <s v="FA179-Opex Expense"/>
    <n v="200179"/>
    <x v="172"/>
    <s v="427900.Translation and interpretation service-Number of Employees-Number"/>
    <s v="Number"/>
    <n v="100"/>
    <n v="100"/>
    <s v="Document Translation"/>
    <n v="10000"/>
    <s v="KU Regular operations"/>
    <s v="Recurring"/>
    <s v="Ensure the university sustainability "/>
    <n v="0"/>
  </r>
  <r>
    <s v="Communiction &amp; Marketing"/>
    <s v="Director, Marketing and Communication"/>
    <s v="SVP/ Support Services Office"/>
    <n v="847"/>
    <n v="8470730"/>
    <s v="KUST - Human Resources"/>
    <n v="1"/>
    <n v="428640"/>
    <s v="428640-Events - Awards, prizes &amp; gifts"/>
    <s v="000000"/>
    <s v="KUST - General"/>
    <n v="847001"/>
    <s v="FA179-Opex Expense"/>
    <n v="200179"/>
    <x v="173"/>
    <s v="428640.Events - Awards, prizes &amp; gifts-Number of Events-count"/>
    <s v="Number"/>
    <n v="1"/>
    <n v="500000"/>
    <s v="Engagement  programs  "/>
    <n v="500000"/>
    <s v="KU Regular operations"/>
    <s v="Recurring"/>
    <s v="Ensure the university sustainability "/>
    <n v="0"/>
  </r>
  <r>
    <s v="Other support"/>
    <s v="No Applicable"/>
    <s v="SVP/ Support Services Office"/>
    <n v="847"/>
    <n v="8470730"/>
    <s v="KUST - Human Resources"/>
    <n v="1"/>
    <n v="436110"/>
    <s v="436110-Printing supplies"/>
    <s v="000000"/>
    <s v="KUST - General"/>
    <n v="847001"/>
    <s v="FA179-Opex Expense"/>
    <n v="200179"/>
    <x v="174"/>
    <s v="436110.Printing supplies-Number of Employees-Number"/>
    <s v="Number"/>
    <n v="100"/>
    <n v="100"/>
    <s v="Employee Folders"/>
    <n v="10000"/>
    <s v="KU Regular operations"/>
    <s v="Recurring"/>
    <s v="Ensure the university sustainability "/>
    <n v="0"/>
  </r>
  <r>
    <s v="Other support"/>
    <s v="Director, Human Resources"/>
    <s v="Senior Vice President, Research Office"/>
    <n v="847"/>
    <n v="8471110"/>
    <s v="KUST - SVP/ Research &amp; Development Office"/>
    <n v="1"/>
    <n v="425900"/>
    <s v="425900-Entertainment and hospitality"/>
    <s v="000000"/>
    <s v="KUST - General"/>
    <n v="847001"/>
    <s v="FA179-Opex Expense"/>
    <n v="200179"/>
    <x v="175"/>
    <s v="425900.Entertainment and hospitality-1. No of events/workshops planned-count"/>
    <s v="count"/>
    <n v="10"/>
    <n v="3000"/>
    <s v="Inviting candidates for campus visit, Hosting of events eg IAEE, Invited lectures, Workshops, Conferences etc"/>
    <n v="30000"/>
    <s v="KU Regular operations"/>
    <s v="Recurring"/>
    <s v="Attract and organize international conferences and summits"/>
    <n v="0"/>
  </r>
  <r>
    <s v="Academic"/>
    <s v="No Applicable"/>
    <s v="Senior Vice President, Research Office"/>
    <n v="847"/>
    <n v="8471110"/>
    <s v="KUST - SVP/ Research &amp; Development Office"/>
    <n v="1"/>
    <n v="427710"/>
    <s v="427710-Subscriptions and membership fees: Trade organisations"/>
    <s v="000000"/>
    <s v="KUST - General"/>
    <n v="847001"/>
    <s v="FA179-Opex Expense"/>
    <n v="200179"/>
    <x v="176"/>
    <s v="427710.Subscriptions and membership fees: Trade organisations-Number  of Memberships-Number"/>
    <s v="Number"/>
    <n v="5"/>
    <n v="96368"/>
    <s v="MEED,Frost &amp; Sullivan,MEES, IAEE,Lux Research "/>
    <n v="481840"/>
    <s v="KU Regular operations"/>
    <s v="Recurring"/>
    <s v="Diversify and increase external research funds"/>
    <n v="0"/>
  </r>
  <r>
    <s v="Academic "/>
    <s v="No Applicable"/>
    <s v="Senior Vice President, Research Office"/>
    <n v="847"/>
    <n v="8471110"/>
    <s v="KUST - SVP/ Research &amp; Development Office"/>
    <n v="1"/>
    <n v="428090"/>
    <s v="428090-Business Travel - Combined expenses"/>
    <s v="000000"/>
    <s v="KUST - General"/>
    <n v="847001"/>
    <s v="FA179-Opex Expense"/>
    <n v="200179"/>
    <x v="177"/>
    <s v="428090.Business Travel - Combined expenses-Number of Staff-Number"/>
    <s v="Number"/>
    <n v="5"/>
    <n v="30000"/>
    <s v="Collaboration Trips and other Missions"/>
    <n v="150000"/>
    <s v="KU Regular operations"/>
    <s v="Recurring"/>
    <s v="Build partnerships with local and international universities"/>
    <n v="0"/>
  </r>
  <r>
    <s v="IT"/>
    <s v="Director, Technology Development"/>
    <s v="Senior Vice President, Research Office"/>
    <n v="847"/>
    <n v="8471130"/>
    <s v="KUST - Research Service"/>
    <n v="1"/>
    <n v="420811"/>
    <s v="420811-IT Systems &amp; Support expenses-Application/Systems Operation"/>
    <s v="000000"/>
    <s v="KUST - General"/>
    <n v="847001"/>
    <s v="FA179-Opex Expense"/>
    <n v="200179"/>
    <x v="178"/>
    <s v="420811.IT Systems &amp; Support expenses-Application/Systems Operation-professional services scope/deliverables-Month"/>
    <s v="Month"/>
    <n v="12"/>
    <n v="15000"/>
    <s v="Monthly"/>
    <n v="180000"/>
    <s v="KU Regular operations"/>
    <s v="Recurring"/>
    <s v="Strengthen research ethical culture framework across the university"/>
    <n v="0"/>
  </r>
  <r>
    <s v="IT"/>
    <s v="Director, Technology Development"/>
    <s v="Senior Vice President, Research Office"/>
    <n v="847"/>
    <n v="8471130"/>
    <s v="KUST - Research Service"/>
    <n v="1"/>
    <n v="426610"/>
    <s v="426610-Computer software licenses"/>
    <s v="000000"/>
    <s v="KUST - General"/>
    <n v="847001"/>
    <s v="FA179-Opex Expense"/>
    <n v="200179"/>
    <x v="179"/>
    <s v="425500.Conferences, seminars and exhibitions and other events:-Number of events &amp; attendees-Number of Number of events &amp; attendees"/>
    <s v="Number of Number of events &amp; attendees"/>
    <n v="6"/>
    <n v="20000"/>
    <s v="each"/>
    <n v="120000"/>
    <s v="KU Regular operations"/>
    <s v="Recurring"/>
    <s v="Diversify and increase external research funds"/>
    <n v="0"/>
  </r>
  <r>
    <s v="Other support"/>
    <s v="No Applicable"/>
    <s v="Senior Vice President, Research Office"/>
    <n v="847"/>
    <n v="8471130"/>
    <s v="KUST - Research Service"/>
    <n v="1"/>
    <n v="427900"/>
    <s v="427900-Translation and interpretation service"/>
    <s v="000000"/>
    <s v="KUST - General"/>
    <n v="847001"/>
    <s v="FA179-Opex Expense"/>
    <n v="200179"/>
    <x v="180"/>
    <s v="495112.Computer software-Database-number of licenses-Number"/>
    <s v="Number"/>
    <n v="1"/>
    <n v="187500"/>
    <s v="each"/>
    <n v="187500"/>
    <s v="KU Regular operations"/>
    <s v="Recurring"/>
    <s v="Diversify and increase external research funds"/>
    <n v="0"/>
  </r>
  <r>
    <s v="Academic "/>
    <s v="No Applicable"/>
    <s v="Senior Vice President, Research Office"/>
    <n v="847"/>
    <n v="8471130"/>
    <s v="KUST - Research Service"/>
    <n v="1"/>
    <n v="428090"/>
    <s v="428090-Business Travel - Combined expenses"/>
    <s v="000000"/>
    <s v="KUST - General"/>
    <n v="847001"/>
    <s v="FA179-Opex Expense"/>
    <n v="200179"/>
    <x v="181"/>
    <s v="427900.Translation and interpretation service-Number of Employees-Number"/>
    <s v="Number"/>
    <n v="10"/>
    <n v="500"/>
    <m/>
    <n v="5000"/>
    <s v="KU Regular operations"/>
    <s v="Recurring"/>
    <s v="Diversify and increase external research funds"/>
    <n v="0"/>
  </r>
  <r>
    <s v="Research"/>
    <s v="No Applicable"/>
    <s v="Senior Vice President, Research Office"/>
    <n v="847"/>
    <n v="8471130"/>
    <s v="KUST - Research Service"/>
    <n v="1"/>
    <n v="435523"/>
    <s v="435523-Scientific"/>
    <s v="000000"/>
    <s v="KUST - General"/>
    <n v="847001"/>
    <s v="FA179-Opex Expense"/>
    <n v="200179"/>
    <x v="182"/>
    <s v="435523.Scientific-Number of Research-Number"/>
    <s v="Number"/>
    <n v="1"/>
    <n v="200000"/>
    <m/>
    <n v="200000"/>
    <s v="KU Strategic New Initiative"/>
    <s v="Recurring"/>
    <s v="Diversify and increase external research funds"/>
    <n v="0"/>
  </r>
  <r>
    <s v="Academic"/>
    <s v="No Applicable"/>
    <s v="Senior Vice President, Research Office"/>
    <n v="847"/>
    <n v="8471140"/>
    <s v="KUST - University Sponsored Research"/>
    <n v="1"/>
    <n v="420570"/>
    <s v="420570-Academic Collaborative Partnership Services"/>
    <s v="000000"/>
    <s v="KUST - General"/>
    <n v="847001"/>
    <s v="FA179-Opex Expense"/>
    <n v="200179"/>
    <x v="183"/>
    <s v="420570.Academic Collaborative Partnership Services- Research Projects Agreements-No of Research Projects Agreement"/>
    <s v="No of Research Projects Agreement"/>
    <n v="1"/>
    <n v="231525"/>
    <s v="Estimated 140 proposals x 3 reviewers each @ $150 per review. "/>
    <n v="231525"/>
    <s v="KU Regular operations"/>
    <s v="Recurring"/>
    <s v="Develop a comprehensive competitive internal research funding program"/>
    <n v="0"/>
  </r>
  <r>
    <s v="Academic "/>
    <s v="No Applicable"/>
    <s v="Senior Vice President, Research Office"/>
    <n v="847"/>
    <n v="8471140"/>
    <s v="KUST - University Sponsored Research"/>
    <n v="1"/>
    <n v="428090"/>
    <s v="428090-Business Travel - Combined expenses"/>
    <s v="000000"/>
    <s v="KUST - General"/>
    <n v="847001"/>
    <s v="FA179-Opex Expense"/>
    <n v="200179"/>
    <x v="184"/>
    <s v="428090.Business Travel - Combined expenses-Number of Staff-Number"/>
    <s v="-_"/>
    <n v="6"/>
    <n v="20000"/>
    <s v="AED 20k per FTE for Training/Conference"/>
    <n v="120000"/>
    <s v="KU Regular operations"/>
    <s v="Recurring"/>
    <s v="Develop a comprehensive competitive internal research funding program"/>
    <n v="0"/>
  </r>
  <r>
    <s v="Research"/>
    <s v="No Applicable"/>
    <s v="Senior Vice President, Research Office"/>
    <n v="847"/>
    <n v="8471140"/>
    <s v="KUST - University Sponsored Research"/>
    <n v="1"/>
    <n v="435523"/>
    <s v="435523-Scientific"/>
    <s v="000000"/>
    <s v="KUST - General"/>
    <n v="847001"/>
    <s v="FA179-Opex Expense"/>
    <n v="200179"/>
    <x v="185"/>
    <s v="435523.Scientific-Number of Research-Number"/>
    <s v="Number"/>
    <n v="1"/>
    <n v="57684771.469999991"/>
    <s v="Each project has a defined budget (split by expense type) which is managed at sub-GL level within the ORACLE Projects Module.  Awards have been made through specific funding call cycles."/>
    <n v="57684771.469999991"/>
    <s v="KU Regular operations"/>
    <s v="Recurring"/>
    <s v="Develop a comprehensive competitive internal research funding program"/>
    <n v="0"/>
  </r>
  <r>
    <s v="Research"/>
    <s v="No Applicable"/>
    <s v="Senior Vice President, Research Office"/>
    <n v="847"/>
    <n v="8471140"/>
    <s v="KUST - University Sponsored Research"/>
    <n v="1"/>
    <n v="435523"/>
    <s v="435523-Scientific"/>
    <s v="000000"/>
    <s v="KUST - General"/>
    <n v="847001"/>
    <s v="FA179-Opex Expense"/>
    <n v="200179"/>
    <x v="185"/>
    <s v="435523.Scientific-Number of Research-Number"/>
    <s v="Number"/>
    <n v="1"/>
    <n v="73445312.5"/>
    <s v="These are projects to be awarded in 2024 via a variety of research funding calls (KURIA/FSU/International Partnerships/Other).  Award value differs depending on the program type."/>
    <n v="73445312.5"/>
    <s v="KU Regular operations"/>
    <s v="Recurring"/>
    <s v="Develop a comprehensive competitive internal research funding program"/>
    <n v="0"/>
  </r>
  <r>
    <s v="Other support"/>
    <s v="General Counsel"/>
    <s v="Senior Vice President, Research Office"/>
    <n v="847"/>
    <n v="8471150"/>
    <s v="KUST - Technology Management &amp; Innovation"/>
    <n v="1"/>
    <n v="420900"/>
    <s v="420900-Legal services"/>
    <s v="000000"/>
    <s v="KUST - General"/>
    <n v="847001"/>
    <s v="FA179-Opex Expense"/>
    <n v="200179"/>
    <x v="186"/>
    <s v="420900.Legal services-Patent-Number of Patents"/>
    <s v="Number of Patents"/>
    <n v="1"/>
    <n v="5725275"/>
    <s v="Increased Patent Application filings, Increased Provisional Filings, Increased responses filed, increased assessments"/>
    <n v="5725275"/>
    <s v="KU Regular operations"/>
    <s v="Recurring"/>
    <s v="Increase filed and issued patents in USPTO and PCT"/>
    <n v="0"/>
  </r>
  <r>
    <s v="Communiction &amp; Marketing"/>
    <s v="Director, Marketing and Communication"/>
    <s v="Senior Vice President, Research Office"/>
    <n v="847"/>
    <n v="8471150"/>
    <s v="KUST - Technology Management &amp; Innovation"/>
    <n v="1"/>
    <n v="425510"/>
    <s v="425510-Conferences, seminars and exhibitions and other events: - Local Events"/>
    <s v="000000"/>
    <s v="KUST - General"/>
    <n v="847001"/>
    <s v="FA179-Opex Expense"/>
    <n v="200179"/>
    <x v="187"/>
    <s v="425510.Conferences, seminars and exhibitions and other events: - Local Events-The area of rented halls for events, seminars, and exhibition.-2m"/>
    <s v="2m"/>
    <n v="2"/>
    <n v="35000"/>
    <s v="Local outreach to other UAE Universities and institutions - open house and TMI Outreach/ Participation in ADNEC Exhibitions"/>
    <n v="70000"/>
    <s v="KU Regular operations"/>
    <s v="Non-recurring"/>
    <s v="Review and revise as needed the research strategic plan"/>
    <n v="0"/>
  </r>
  <r>
    <s v="Communiction &amp; Marketing"/>
    <s v="No Applicable"/>
    <s v="Senior Vice President, Research Office"/>
    <n v="847"/>
    <n v="8471150"/>
    <s v="KUST - Technology Management &amp; Innovation"/>
    <n v="1"/>
    <n v="425550"/>
    <s v="425550-Conferences, seminars and exhibitions and other events: - Overseas event"/>
    <s v="000000"/>
    <s v="KUST - General"/>
    <n v="847001"/>
    <s v="FA179-Opex Expense"/>
    <n v="200179"/>
    <x v="188"/>
    <s v="425550.Conferences, seminars and exhibitions and other events: - Overseas event-Conferences-Number of Conferences"/>
    <s v="Number of Conferences"/>
    <n v="3"/>
    <n v="34000"/>
    <s v="Active participation in AUTM, ATSP, and other Technology Innovation Conferences worldwide"/>
    <n v="102000"/>
    <s v="KU Regular operations"/>
    <s v="Non-recurring"/>
    <s v="Review and revise as needed the research strategic plan"/>
    <n v="0"/>
  </r>
  <r>
    <s v="IT"/>
    <s v="Director, Technology Development"/>
    <s v="Senior Vice President, Research Office"/>
    <n v="847"/>
    <n v="8471150"/>
    <s v="KUST - Technology Management &amp; Innovation"/>
    <n v="1"/>
    <n v="426610"/>
    <s v="426610-Computer software licenses"/>
    <s v="000000"/>
    <s v="KUST - General"/>
    <n v="847001"/>
    <s v="FA179-Opex Expense"/>
    <n v="200179"/>
    <x v="189"/>
    <s v="495113.Computer software-Application, Platform -duration of license maintenance/support period-Month"/>
    <s v="Month"/>
    <n v="1"/>
    <n v="304000"/>
    <s v="Computer Software needed for Dept. operations and possible moving to another functional platform/.  Moving to Inteum which is similar to Weelssprings but provides better and updated features than  the current system in use. "/>
    <n v="304000"/>
    <s v="KU Regular operations"/>
    <s v="Recurring"/>
    <s v="Review and revise as needed the research strategic plan"/>
    <n v="0"/>
  </r>
  <r>
    <s v="Academic "/>
    <s v="No Applicable"/>
    <s v="Senior Vice President, Research Office"/>
    <n v="847"/>
    <n v="8471150"/>
    <s v="KUST - Technology Management &amp; Innovation"/>
    <n v="1"/>
    <n v="428090"/>
    <s v="428090-Business Travel - Combined expenses"/>
    <s v="000000"/>
    <s v="KUST - General"/>
    <n v="847001"/>
    <s v="FA179-Opex Expense"/>
    <n v="200179"/>
    <x v="190"/>
    <s v="428090.Business Travel - Combined expenses-Number of Staff-Number"/>
    <s v="Number"/>
    <n v="3"/>
    <n v="50000"/>
    <s v="Active participation in AUTM, ATSP, and other Technology Innovation Conferences worldwide"/>
    <n v="150000"/>
    <s v="KU Regular operations"/>
    <s v="Non-recurring"/>
    <s v="Review and revise as needed the research strategic plan"/>
    <n v="0"/>
  </r>
  <r>
    <s v="-"/>
    <s v="-"/>
    <s v="Senior Vice President, Research Office"/>
    <n v="847"/>
    <n v="8471150"/>
    <s v="KUST - Technology Management &amp; Innovation"/>
    <n v="1"/>
    <n v="435310"/>
    <s v="435310-Newspapers, magazines, journals, etc"/>
    <s v="000000"/>
    <s v="KUST - General"/>
    <n v="847001"/>
    <s v="FA179-Opex Expense"/>
    <n v="200179"/>
    <x v="191"/>
    <s v="435310.Newspapers, magazines, journals, etc-Number of Employees-Number"/>
    <s v="Number"/>
    <n v="1"/>
    <n v="15000"/>
    <s v="usiness &amp; Operation Development – world leading content provider in Tech Transfer and Research Commercialization. It offers a unique, practical, and advanced strategies, case studies, best practices, and expert guidance on a broad range of challenges and opportunities for technology transfer offices and professionals"/>
    <n v="15000"/>
    <s v="KU Regular operations"/>
    <s v="Recurring"/>
    <s v="Review and revise as needed the research strategic plan"/>
    <n v="0"/>
  </r>
  <r>
    <s v="IT"/>
    <s v="Director, Technology Development"/>
    <s v="Senior Vice President, Research Office"/>
    <n v="847"/>
    <n v="8471170"/>
    <s v="KUST - Research Computing"/>
    <n v="1"/>
    <n v="420811"/>
    <s v="420811-IT Systems &amp; Support expenses-Application/Systems Operation"/>
    <s v="000000"/>
    <s v="KUST - General"/>
    <n v="847001"/>
    <s v="FA179-Opex Expense"/>
    <n v="200179"/>
    <x v="192"/>
    <s v="420811.IT Systems &amp; Support expenses-Application/Systems Operation-professional services scope/deliverables-Month"/>
    <s v="Month"/>
    <n v="12"/>
    <n v="440231.45354999998"/>
    <s v="Estimate a 7% increase on 2023 to account for expansion, and renewal of hardware support from vendor"/>
    <n v="5282777.4425999997"/>
    <s v="KU Regular operations"/>
    <s v="Recurring"/>
    <s v="Utilize state-of-the-art technologies and facilities in an optimal and efficient manner"/>
    <n v="0"/>
  </r>
  <r>
    <s v="-"/>
    <s v="-"/>
    <s v="Senior Vice President, Research Office"/>
    <n v="847"/>
    <n v="8471170"/>
    <s v="KUST - Research Computing"/>
    <n v="1"/>
    <n v="420811"/>
    <s v="420811-IT Systems &amp; Support expenses-Application/Systems Operation"/>
    <s v="000000"/>
    <s v="KUST - General"/>
    <s v="847001"/>
    <s v="FA179-Opex Expense"/>
    <n v="200179"/>
    <x v="192"/>
    <s v="420811.IT Systems &amp; Support expenses-Application/Systems Operation-professional services scope/deliverables-Month"/>
    <s v="Month"/>
    <n v="12"/>
    <n v="43750.35"/>
    <s v="Support for HPC management software, workload management software, and parallel filesystem software "/>
    <n v="525004.19999999995"/>
    <s v="KU Regular operations"/>
    <s v="Recurring"/>
    <s v="Utilize state-of-the-art technologies and facilities in an optimal and efficient manner"/>
    <n v="0"/>
  </r>
  <r>
    <s v="Other support"/>
    <s v="Director, Human Resources"/>
    <s v="Senior Vice President, Research Office"/>
    <n v="847"/>
    <n v="8471170"/>
    <s v="KUST - Research Computing"/>
    <n v="1"/>
    <n v="425900"/>
    <s v="425900-Entertainment and hospitality"/>
    <s v="000000"/>
    <s v="KUST - General"/>
    <n v="847001"/>
    <s v="FA179-Opex Expense"/>
    <n v="200179"/>
    <x v="193"/>
    <s v="425900.Entertainment and hospitality-1. No of events/workshops planned-count"/>
    <s v="count"/>
    <n v="2"/>
    <n v="5000"/>
    <s v="Estimate of cost of event"/>
    <n v="10000"/>
    <s v="KU Regular operations"/>
    <s v="Recurring"/>
    <s v="Utilize state-of-the-art technologies and facilities in an optimal and efficient manner"/>
    <n v="0"/>
  </r>
  <r>
    <s v="IT"/>
    <s v="Director, Technology Development"/>
    <s v="Senior Vice President, Research Office"/>
    <n v="847"/>
    <n v="8471170"/>
    <s v="KUST - Research Computing"/>
    <n v="1"/>
    <n v="426610"/>
    <s v="426610-Computer software licenses"/>
    <s v="000000"/>
    <s v="KUST - General"/>
    <n v="847001"/>
    <s v="FA179-Opex Expense"/>
    <n v="200179"/>
    <x v="194"/>
    <s v="426610.Computer software licenses-Software License Renewal-number of licenses-Number"/>
    <s v="Number"/>
    <n v="124"/>
    <n v="43599.40208870967"/>
    <s v="See attached excel sheet for details all software to be renewed"/>
    <n v="5406325.8589999992"/>
    <s v="KU Regular operations"/>
    <s v="Recurring"/>
    <s v="Utilize state-of-the-art technologies and facilities in an optimal and efficient manner"/>
    <n v="0"/>
  </r>
  <r>
    <s v="Academic "/>
    <s v="No Applicable"/>
    <s v="Senior Vice President, Research Office"/>
    <n v="847"/>
    <n v="8471170"/>
    <s v="KUST - Research Computing"/>
    <n v="1"/>
    <n v="428090"/>
    <s v="428090-Business Travel - Combined expenses"/>
    <s v="000000"/>
    <s v="KUST - General"/>
    <n v="847001"/>
    <s v="FA179-Opex Expense"/>
    <n v="200179"/>
    <x v="195"/>
    <s v="428090.Business Travel - Combined expenses-Number of Staff-Number"/>
    <s v="Number"/>
    <n v="3"/>
    <n v="15000"/>
    <s v="Attendance of 2 major domain specific international conferences, and one regional conference."/>
    <n v="45000"/>
    <s v="KU Regular operations"/>
    <s v="Recurring"/>
    <s v="Utilize state-of-the-art technologies and facilities in an optimal and efficient manner"/>
    <n v="0"/>
  </r>
  <r>
    <s v="Other support"/>
    <s v="Director, Human Resources"/>
    <s v="Academic and Student Services Office"/>
    <n v="847"/>
    <n v="8471210"/>
    <s v="KUST - SVP/ Academic &amp; Student Services Office"/>
    <n v="1"/>
    <n v="425900"/>
    <s v="425900-Entertainment and hospitality"/>
    <s v="000000"/>
    <s v="KUST - General"/>
    <n v="847001"/>
    <s v="FA179-Opex Expense"/>
    <n v="200179"/>
    <x v="196"/>
    <s v="425900.Entertainment and hospitality-1. No of events/workshops planned-count"/>
    <s v="count"/>
    <n v="5"/>
    <n v="3000"/>
    <s v="Catering for VIP meetings_x000a_Catering for the professional training events - Retreat_x000a_Catering for the inhouse workshops "/>
    <n v="15000"/>
    <s v="KU Regular operations"/>
    <s v="Recurring"/>
    <s v="to support the various events through the year"/>
    <n v="0"/>
  </r>
  <r>
    <s v="Academic "/>
    <s v="No Applicable"/>
    <s v="Academic and Student Services Office"/>
    <n v="847"/>
    <n v="8471210"/>
    <s v="KUST - SVP/ Academic &amp; Student Services Office"/>
    <n v="1"/>
    <n v="428090"/>
    <s v="428090-Business Travel - Combined expenses"/>
    <s v="000000"/>
    <s v="KUST - General"/>
    <n v="847001"/>
    <s v="FA179-Opex Expense"/>
    <n v="200179"/>
    <x v="197"/>
    <s v="428090.Business Travel - Combined expenses-Number of Staff-Number"/>
    <s v="count"/>
    <n v="4"/>
    <n v="40000"/>
    <s v="Business Travel for SVP"/>
    <n v="160000"/>
    <s v="KU Regular operations"/>
    <s v="Recurring"/>
    <s v="To identify detailed frameworks for cooperation and partnership with foreign intuitions to exchange experiences and develop joint programs for student exchange and research project of comment interest"/>
    <n v="0"/>
  </r>
  <r>
    <s v="Communiction &amp; Marketing"/>
    <s v="Director, Marketing and Communication"/>
    <s v="Academic and Student Services Office"/>
    <n v="847"/>
    <n v="8471210"/>
    <s v="KUST - SVP/ Academic &amp; Student Services Office"/>
    <n v="1"/>
    <n v="428640"/>
    <s v="428640-Events - Awards, prizes &amp; gifts"/>
    <s v="000000"/>
    <s v="KUST - General"/>
    <n v="847001"/>
    <s v="FA179-Opex Expense"/>
    <n v="200179"/>
    <x v="198"/>
    <s v="428640.Events - Awards, prizes &amp; gifts-Number of Events-count"/>
    <s v="count"/>
    <n v="5"/>
    <n v="4000"/>
    <s v="providing awards and prizes for students winning competitions"/>
    <n v="20000"/>
    <s v="KU Regular operations"/>
    <s v="Recurring"/>
    <s v="To support in providing awards and prizes for students winning competitions"/>
    <n v="0"/>
  </r>
  <r>
    <s v="Academic"/>
    <s v="No Applicable"/>
    <s v="Academic and Student Services Office"/>
    <n v="847"/>
    <n v="8471210"/>
    <s v="KUST - SVP/ Academic &amp; Student Services Office"/>
    <n v="1"/>
    <n v="435530"/>
    <s v="435530-School consumables, not specifically mentioned elsewhere"/>
    <s v="000000"/>
    <s v="KUST - General"/>
    <n v="847001"/>
    <s v="FA179-Opex Expense"/>
    <n v="200179"/>
    <x v="199"/>
    <s v="435530.School consumables, Numbert specifically mentioned elsewhere-Number of Students-Number"/>
    <s v="count"/>
    <n v="4"/>
    <n v="5000"/>
    <s v="Materials &amp; consumables items"/>
    <n v="20000"/>
    <s v="KU Regular operations"/>
    <s v="Recurring"/>
    <s v="Support office tools"/>
    <n v="0"/>
  </r>
  <r>
    <s v="Communiction &amp; Marketing"/>
    <s v="Director, Marketing and Communication"/>
    <s v="Academic and Student Services Office"/>
    <n v="847"/>
    <n v="8471240"/>
    <s v="KUST - Student Success"/>
    <n v="1"/>
    <n v="425510"/>
    <s v="425510-Conferences, seminars and exhibitions and other events: - Local Events"/>
    <s v="000000"/>
    <s v="KUST - General"/>
    <n v="847001"/>
    <s v="FA179-Opex Expense"/>
    <n v="200179"/>
    <x v="200"/>
    <s v="425510.Conferences, seminars and exhibitions and other events: - Local Events-Events-Number of Events"/>
    <s v="Number of Events"/>
    <n v="1"/>
    <n v="45000"/>
    <s v="Counseling Day"/>
    <n v="45000"/>
    <s v="KU Regular operations"/>
    <s v="Non-recurring"/>
    <s v="Develop a career guidance system"/>
    <n v="0"/>
  </r>
  <r>
    <s v="Communiction &amp; Marketing"/>
    <s v="Director, Marketing and Communication"/>
    <s v="Academic and Student Services Office"/>
    <n v="847"/>
    <n v="8471240"/>
    <s v="KUST - Student Success"/>
    <n v="1"/>
    <n v="425510"/>
    <s v="425510-Conferences, seminars and exhibitions and other events: - Local Events"/>
    <s v="000000"/>
    <s v="KUST - General"/>
    <n v="847001"/>
    <s v="FA179-Opex Expense"/>
    <n v="200179"/>
    <x v="200"/>
    <s v="425510.Conferences, seminars and exhibitions and other events: - Local Events-Events-Number of Events"/>
    <s v="Number of Events"/>
    <n v="1"/>
    <n v="20000"/>
    <s v="vFairs"/>
    <n v="20000"/>
    <s v="KU Regular operations"/>
    <s v="Non-recurring"/>
    <s v="Develop a life-long culture of community service beyond the classroom "/>
    <n v="0"/>
  </r>
  <r>
    <s v="Communiction &amp; Marketing"/>
    <s v="Director, Marketing and Communication"/>
    <s v="Academic and Student Services Office"/>
    <n v="847"/>
    <n v="8471240"/>
    <s v="KUST - Student Success"/>
    <n v="1"/>
    <n v="425510"/>
    <s v="425510-Conferences, seminars and exhibitions and other events: - Local Events"/>
    <s v="000000"/>
    <s v="KUST - General"/>
    <n v="847001"/>
    <s v="FA179-Opex Expense"/>
    <n v="200179"/>
    <x v="200"/>
    <s v="425510.Conferences, seminars and exhibitions and other events: - Local Events-Events-Number of Events"/>
    <s v="Number of Events"/>
    <n v="1"/>
    <n v="5000"/>
    <s v="Student Success Open Day"/>
    <n v="5000"/>
    <s v="KU Regular operations"/>
    <s v="Non-recurring"/>
    <s v="Develop a multidimensional program to attract and retain diverse outstanding students"/>
    <n v="0"/>
  </r>
  <r>
    <s v="Communiction &amp; Marketing"/>
    <s v="Director, Marketing and Communication"/>
    <s v="Academic and Student Services Office"/>
    <n v="847"/>
    <n v="8471240"/>
    <s v="KUST - Student Success"/>
    <n v="1"/>
    <n v="425510"/>
    <s v="425510-Conferences, seminars and exhibitions and other events: - Local Events"/>
    <s v="000000"/>
    <s v="KUST - General"/>
    <n v="847001"/>
    <s v="FA179-Opex Expense"/>
    <n v="200179"/>
    <x v="200"/>
    <s v="425510.Conferences, seminars and exhibitions and other events: - Local Events-Events-Number of Events"/>
    <s v="Number of Events"/>
    <n v="1"/>
    <n v="80000"/>
    <s v="Honors Day"/>
    <n v="80000"/>
    <s v="KU Regular operations"/>
    <s v="Non-recurring"/>
    <s v="Widen access to students with outstanding academic potential"/>
    <n v="0"/>
  </r>
  <r>
    <s v="Communiction &amp; Marketing"/>
    <s v="Director, Marketing and Communication"/>
    <s v="Academic and Student Services Office"/>
    <n v="847"/>
    <n v="8471240"/>
    <s v="KUST - Student Success"/>
    <n v="1"/>
    <n v="425510"/>
    <s v="425510-Conferences, seminars and exhibitions and other events: - Local Events"/>
    <s v="000000"/>
    <s v="KUST - General"/>
    <n v="847001"/>
    <s v="FA179-Opex Expense"/>
    <n v="200179"/>
    <x v="200"/>
    <s v="425510.Conferences, seminars and exhibitions and other events: - Local Events-Events-Number of Events"/>
    <s v="Number of Events"/>
    <n v="1"/>
    <n v="40000"/>
    <s v="Community Service Awareness Day"/>
    <n v="40000"/>
    <s v="KU Regular operations"/>
    <s v="Non-recurring"/>
    <s v="Develop a life-long culture of community service beyond the classroom "/>
    <n v="0"/>
  </r>
  <r>
    <s v="Communiction &amp; Marketing"/>
    <s v="Director, Marketing and Communication"/>
    <s v="Academic and Student Services Office"/>
    <n v="847"/>
    <n v="8471240"/>
    <s v="KUST - Student Success"/>
    <n v="1"/>
    <n v="425510"/>
    <s v="425510-Conferences, seminars and exhibitions and other events: - Local Events"/>
    <s v="000000"/>
    <s v="KUST - General"/>
    <n v="847001"/>
    <s v="FA179-Opex Expense"/>
    <n v="200179"/>
    <x v="200"/>
    <s v="425510.Conferences, seminars and exhibitions and other events: - Local Events-Events-Number of Events"/>
    <s v="Number of Events"/>
    <n v="1"/>
    <n v="30000"/>
    <s v="UN-SDG Program"/>
    <n v="30000"/>
    <s v="KU Regular operations"/>
    <s v="Non-recurring"/>
    <s v="Develop a multidimensional program to attract and retain diverse outstanding students"/>
    <n v="0"/>
  </r>
  <r>
    <s v="Student"/>
    <s v="No Applicable"/>
    <s v="Academic and Student Services Office"/>
    <n v="847"/>
    <n v="8471240"/>
    <s v="KUST - Student Success"/>
    <n v="1"/>
    <n v="425720"/>
    <s v="425720-Education-Outsourced training service"/>
    <s v="000000"/>
    <s v="KUST - General"/>
    <n v="847001"/>
    <s v="FA179-Opex Expense"/>
    <n v="200179"/>
    <x v="201"/>
    <s v="425720.Education-Outsourced training service-Activities-No of Activities"/>
    <s v="No of Activities"/>
    <n v="1"/>
    <n v="75000"/>
    <s v="Entrepreneurship Bootcamp"/>
    <n v="75000"/>
    <s v="KU Regular operations"/>
    <s v="Non-recurring"/>
    <s v="Develop a multidimensional program to attract and retain diverse outstanding students"/>
    <n v="0"/>
  </r>
  <r>
    <s v="Student"/>
    <s v="No Applicable"/>
    <s v="Academic and Student Services Office"/>
    <n v="847"/>
    <n v="8471240"/>
    <s v="KUST - Student Success"/>
    <n v="1"/>
    <n v="425720"/>
    <s v="425720-Education-Outsourced training service"/>
    <s v="000000"/>
    <s v="KUST - General"/>
    <n v="847001"/>
    <s v="FA179-Opex Expense"/>
    <n v="200179"/>
    <x v="201"/>
    <s v="425720.Education-Outsourced training service-Activities-No of Activities"/>
    <s v="No of Activities"/>
    <n v="1"/>
    <n v="30000"/>
    <s v="Golden Key International Honour Society"/>
    <n v="30000"/>
    <s v="KU Regular operations"/>
    <s v="Non-recurring"/>
    <s v="Widen access to students with outstanding academic potential"/>
    <n v="0"/>
  </r>
  <r>
    <s v="Student"/>
    <s v="No Applicable"/>
    <s v="Academic and Student Services Office"/>
    <n v="847"/>
    <n v="8471240"/>
    <s v="KUST - Student Success"/>
    <n v="1"/>
    <n v="425720"/>
    <s v="425720-Education-Outsourced training service"/>
    <s v="000000"/>
    <s v="KUST - General"/>
    <n v="847001"/>
    <s v="FA179-Opex Expense"/>
    <n v="200179"/>
    <x v="201"/>
    <s v="425720.Education-Outsourced training service-Activities-No of Activities"/>
    <s v="No of Activities"/>
    <n v="3"/>
    <n v="6000"/>
    <s v="Invite professionals to arrange training sessions related to counseling topics"/>
    <n v="18000"/>
    <s v="KU Regular operations"/>
    <s v="Recurring"/>
    <s v="Widen access to students with outstanding academic potential"/>
    <n v="0"/>
  </r>
  <r>
    <s v="Student"/>
    <s v="No Applicable"/>
    <s v="Academic and Student Services Office"/>
    <n v="847"/>
    <n v="8471240"/>
    <s v="KUST - Student Success"/>
    <n v="1"/>
    <n v="425720"/>
    <s v="425720-Education-Outsourced training service"/>
    <s v="000000"/>
    <s v="KUST - General"/>
    <n v="847001"/>
    <s v="FA179-Opex Expense"/>
    <n v="200179"/>
    <x v="201"/>
    <s v="425720.Education-Outsourced training service-Activities-No of Activities"/>
    <s v="No of Activities"/>
    <n v="10"/>
    <n v="500"/>
    <s v="Organize workshops related to students personal needs"/>
    <n v="5000"/>
    <s v="KU Regular operations"/>
    <s v="Recurring"/>
    <s v="Develop a multidimensional program to attract and retain diverse outstanding students"/>
    <n v="0"/>
  </r>
  <r>
    <s v="Student"/>
    <s v="No Applicable"/>
    <s v="Academic and Student Services Office"/>
    <n v="847"/>
    <n v="8471240"/>
    <s v="KUST - Student Success"/>
    <n v="1"/>
    <n v="425750"/>
    <s v="425750-Skill assessment service"/>
    <s v="000000"/>
    <s v="KUST - General"/>
    <n v="847001"/>
    <s v="FA179-Opex Expense"/>
    <n v="200179"/>
    <x v="202"/>
    <s v="425750.Skill assessment service-Participating Students-No of Participating Students"/>
    <s v="No of Participating Students"/>
    <n v="6"/>
    <n v="1400"/>
    <s v="Personality and educational assessment for ex: learning difficulties, dyslexia"/>
    <n v="8400"/>
    <s v="KU Regular operations"/>
    <s v="Recurring"/>
    <s v="Develop a multidimensional program to attract and retain diverse outstanding students"/>
    <n v="0"/>
  </r>
  <r>
    <s v="Student"/>
    <s v="No Applicable"/>
    <s v="Academic and Student Services Office"/>
    <n v="847"/>
    <n v="8471240"/>
    <s v="KUST - Student Success"/>
    <n v="1"/>
    <n v="425750"/>
    <s v="425750-Skill assessment service"/>
    <s v="000000"/>
    <s v="KUST - General"/>
    <n v="847001"/>
    <s v="FA179-Opex Expense"/>
    <n v="200179"/>
    <x v="202"/>
    <s v="425750.Skill assessment service-Events-No of Events"/>
    <s v="No of Events"/>
    <n v="1"/>
    <n v="14600"/>
    <s v="Material to deliver one day workshop"/>
    <n v="14600"/>
    <s v="KU Regular operations"/>
    <s v="Non-recurring"/>
    <s v="Develop a multidimensional program to attract and retain diverse outstanding students"/>
    <n v="0"/>
  </r>
  <r>
    <s v="Academic"/>
    <s v="No Applicable"/>
    <s v="Academic and Student Services Office"/>
    <n v="847"/>
    <n v="8471240"/>
    <s v="KUST - Student Success"/>
    <n v="1"/>
    <n v="425761"/>
    <s v="425761-Student Field trips"/>
    <s v="000000"/>
    <s v="KUST - General"/>
    <n v="847001"/>
    <s v="FA179-Opex Expense"/>
    <n v="200179"/>
    <x v="203"/>
    <s v="425761.Student Field trips-Number of Students UG-Month"/>
    <s v="No of Events"/>
    <n v="1"/>
    <n v="1200000"/>
    <s v="Student Success External Activities"/>
    <n v="1200000"/>
    <s v="KU Regular operations"/>
    <s v="Recurring"/>
    <s v="Widen access to students with outstanding academic potential"/>
    <n v="0"/>
  </r>
  <r>
    <s v="Other support"/>
    <s v="Director, Human Resources"/>
    <s v="Academic and Student Services Office"/>
    <n v="847"/>
    <n v="8471240"/>
    <s v="KUST - Student Success"/>
    <n v="1"/>
    <n v="425900"/>
    <s v="425900-Entertainment and hospitality"/>
    <s v="000000"/>
    <s v="KUST - General"/>
    <n v="847001"/>
    <s v="FA179-Opex Expense"/>
    <n v="200179"/>
    <x v="204"/>
    <s v="425900.Entertainment and hospitality-1. No of events/workshops planned-count"/>
    <s v="count"/>
    <n v="2"/>
    <n v="7250"/>
    <s v="Catering for Student Success events"/>
    <n v="14500"/>
    <s v="KU Regular operations"/>
    <s v="Recurring"/>
    <m/>
    <n v="0"/>
  </r>
  <r>
    <s v="Other support"/>
    <s v="Director, Human Resources"/>
    <s v="Academic and Student Services Office"/>
    <n v="847"/>
    <n v="8471240"/>
    <s v="KUST - Student Success"/>
    <n v="1"/>
    <n v="425900"/>
    <s v="425900-Entertainment and hospitality"/>
    <s v="000000"/>
    <s v="KUST - General"/>
    <n v="847001"/>
    <s v="FA179-Opex Expense"/>
    <n v="200179"/>
    <x v="204"/>
    <s v="425900.Entertainment and hospitality-1. No of events/workshops planned-count"/>
    <s v="count"/>
    <n v="3"/>
    <n v="1500"/>
    <s v="Catering for the professional training events"/>
    <n v="4500"/>
    <s v="KU Regular operations"/>
    <s v="Recurring"/>
    <m/>
    <n v="0"/>
  </r>
  <r>
    <s v="Other support"/>
    <s v="Director, Human Resources"/>
    <s v="Academic and Student Services Office"/>
    <n v="847"/>
    <n v="8471240"/>
    <s v="KUST - Student Success"/>
    <n v="1"/>
    <n v="425900"/>
    <s v="425900-Entertainment and hospitality"/>
    <s v="000000"/>
    <s v="KUST - General"/>
    <n v="847001"/>
    <s v="FA179-Opex Expense"/>
    <n v="200179"/>
    <x v="204"/>
    <s v="425900.Entertainment and hospitality-1. No of events/workshops planned-count"/>
    <s v="count"/>
    <n v="10"/>
    <n v="500"/>
    <s v="Catering for the inhouse workshops"/>
    <n v="5000"/>
    <s v="KU Regular operations"/>
    <s v="Recurring"/>
    <m/>
    <n v="0"/>
  </r>
  <r>
    <s v="IT"/>
    <s v="Director, Technology Development"/>
    <s v="Academic and Student Services Office"/>
    <n v="847"/>
    <n v="8471240"/>
    <s v="KUST - Student Success"/>
    <n v="1"/>
    <n v="426610"/>
    <s v="426610-Computer software licenses"/>
    <s v="000000"/>
    <s v="KUST - General"/>
    <n v="847001"/>
    <s v="FA179-Opex Expense"/>
    <n v="200179"/>
    <x v="205"/>
    <s v="426610.Computer software licenses-Software License Renewal-duration of license maintenance/support period-Month"/>
    <s v="Month"/>
    <n v="1"/>
    <n v="400000"/>
    <s v="Student Success Management System (EAB Navigate)"/>
    <n v="400000"/>
    <s v="KU Regular operations"/>
    <s v="Non-recurring"/>
    <s v="Widen access to students with outstanding academic potential"/>
    <n v="0"/>
  </r>
  <r>
    <s v="Academic "/>
    <s v="No Applicable"/>
    <s v="Academic and Student Services Office"/>
    <n v="847"/>
    <n v="8471240"/>
    <s v="KUST - Student Success"/>
    <n v="1"/>
    <n v="428090"/>
    <s v="428090-Business Travel - Combined expenses"/>
    <s v="000000"/>
    <s v="KUST - General"/>
    <n v="847001"/>
    <s v="FA179-Opex Expense"/>
    <n v="200179"/>
    <x v="206"/>
    <s v="428090.Business Travel - Combined expenses-Number of Staff-Number"/>
    <s v="Number"/>
    <n v="2"/>
    <n v="30000"/>
    <s v="Business Travel for Manager and Heads"/>
    <n v="60000"/>
    <s v="KU Regular operations"/>
    <s v="Recurring"/>
    <s v="Establish a mobility program for students, faculty, researchers and staff"/>
    <n v="0"/>
  </r>
  <r>
    <s v="Communiction &amp; Marketing"/>
    <s v="Director, Marketing and Communication"/>
    <s v="Academic and Student Services Office"/>
    <n v="847"/>
    <n v="8471240"/>
    <s v="KUST - Student Success"/>
    <n v="1"/>
    <n v="428640"/>
    <s v="428640-Events - Awards, prizes &amp; gifts"/>
    <s v="000000"/>
    <s v="KUST - General"/>
    <n v="847001"/>
    <s v="FA179-Opex Expense"/>
    <n v="200179"/>
    <x v="207"/>
    <s v="428640.Events - Awards, prizes &amp; gifts-Number of Events-count"/>
    <s v="count"/>
    <n v="2"/>
    <n v="5000"/>
    <s v="Awards, prizes &amp; gifts for events competitions"/>
    <n v="10000"/>
    <s v="KU Regular operations"/>
    <s v="Recurring"/>
    <m/>
    <n v="0"/>
  </r>
  <r>
    <s v="Communiction &amp; Marketing"/>
    <s v="Director, Marketing and Communication"/>
    <s v="Academic and Student Services Office"/>
    <n v="847"/>
    <n v="8471240"/>
    <s v="KUST - Student Success"/>
    <n v="1"/>
    <n v="428640"/>
    <s v="428640-Events - Awards, prizes &amp; gifts"/>
    <s v="000000"/>
    <s v="KUST - General"/>
    <n v="847001"/>
    <s v="FA179-Opex Expense"/>
    <n v="200179"/>
    <x v="207"/>
    <s v="428640.Events - Awards, prizes &amp; gifts-Number of Prizes-count"/>
    <s v="count"/>
    <n v="10"/>
    <n v="200"/>
    <s v="Gifts &amp; awards for the guests who are delivering training sessions for the students"/>
    <n v="2000"/>
    <s v="KU Regular operations"/>
    <s v="Non-recurring"/>
    <m/>
    <n v="0"/>
  </r>
  <r>
    <s v="Communiction &amp; Marketing"/>
    <s v="Director, Marketing and Communication"/>
    <s v="Academic and Student Services Office"/>
    <n v="847"/>
    <n v="8471240"/>
    <s v="KUST - Student Success"/>
    <n v="1"/>
    <n v="428640"/>
    <s v="428640-Events - Awards, prizes &amp; gifts"/>
    <s v="000000"/>
    <s v="KUST - General"/>
    <n v="847001"/>
    <s v="FA179-Opex Expense"/>
    <n v="200179"/>
    <x v="207"/>
    <s v="428640.Events - Awards, prizes &amp; gifts-Number of Prizes-count"/>
    <s v="count"/>
    <n v="10"/>
    <n v="200"/>
    <s v="Gift items, branded KU merchandise for external partners"/>
    <n v="2000"/>
    <s v="KU Regular operations"/>
    <s v="Non-recurring"/>
    <m/>
    <n v="0"/>
  </r>
  <r>
    <s v="Academic"/>
    <s v="No Applicable"/>
    <s v="Academic and Student Services Office"/>
    <n v="847"/>
    <n v="8471240"/>
    <s v="KUST - Student Success"/>
    <n v="1"/>
    <n v="435330"/>
    <s v="435330-Library books"/>
    <s v="000000"/>
    <s v="KUST - General"/>
    <n v="847001"/>
    <s v="FA179-Opex Expense"/>
    <n v="200179"/>
    <x v="208"/>
    <s v="435330.Library books-Number of Students-Number"/>
    <s v="Number"/>
    <n v="50"/>
    <n v="95"/>
    <s v="Books related to counseling topics and issues to be available for the students for, for ex: time management, self esteem,.."/>
    <n v="4750"/>
    <s v="KU Regular operations"/>
    <s v="Non-recurring"/>
    <m/>
    <n v="0"/>
  </r>
  <r>
    <s v="Other support"/>
    <s v="No Applicable"/>
    <s v="Academic and Student Services Office"/>
    <n v="847"/>
    <n v="8471240"/>
    <s v="KUST - Student Success"/>
    <n v="1"/>
    <n v="436110"/>
    <s v="436110-Printing supplies"/>
    <s v="000000"/>
    <s v="KUST - General"/>
    <n v="847001"/>
    <s v="FA179-Opex Expense"/>
    <n v="200179"/>
    <x v="209"/>
    <s v="436110.Printing supplies-Number of Student-Number"/>
    <s v="Number"/>
    <n v="1000"/>
    <n v="35"/>
    <s v="Printing of Booklets, Guides, Brochures, Flyers, etc."/>
    <n v="35000"/>
    <s v="KU Regular operations"/>
    <s v="Non-recurring"/>
    <m/>
    <n v="0"/>
  </r>
  <r>
    <s v="Other support"/>
    <s v="No Applicable"/>
    <s v="Academic and Student Services Office"/>
    <n v="847"/>
    <n v="8471240"/>
    <s v="KUST - Student Success"/>
    <n v="1"/>
    <n v="436110"/>
    <s v="436110-Printing supplies"/>
    <s v="000000"/>
    <s v="KUST - General"/>
    <n v="847001"/>
    <s v="FA179-Opex Expense"/>
    <n v="200179"/>
    <x v="209"/>
    <s v="436110.Printing supplies-Number of Student-Number"/>
    <s v="Number"/>
    <n v="10"/>
    <n v="500"/>
    <s v="Advertising and marketing for student success services, events, and workshops"/>
    <n v="5000"/>
    <s v="KU Regular operations"/>
    <s v="Recurring"/>
    <m/>
    <n v="0"/>
  </r>
  <r>
    <s v="Other support"/>
    <s v="No Applicable"/>
    <s v="Academic and Student Services Office"/>
    <n v="847"/>
    <n v="8471240"/>
    <s v="KUST - Student Success"/>
    <n v="1"/>
    <n v="436110"/>
    <s v="436110-Printing supplies"/>
    <s v="000000"/>
    <s v="KUST - General"/>
    <n v="847001"/>
    <s v="FA179-Opex Expense"/>
    <n v="200179"/>
    <x v="209"/>
    <s v="436110.Printing supplies-Number of Student-Number"/>
    <s v="Number"/>
    <n v="80"/>
    <n v="25"/>
    <s v="Certificates for the students who attended the workshops"/>
    <n v="2000"/>
    <s v="KU Regular operations"/>
    <s v="Non-recurring"/>
    <m/>
    <n v="0"/>
  </r>
  <r>
    <s v="Other support"/>
    <s v="No Applicable"/>
    <s v="Academic and Student Services Office"/>
    <n v="847"/>
    <n v="8471240"/>
    <s v="KUST - Student Success"/>
    <n v="1"/>
    <n v="436120"/>
    <s v="436120-Stationery"/>
    <s v="000000"/>
    <s v="KUST - General"/>
    <n v="847001"/>
    <s v="FA179-Opex Expense"/>
    <n v="200179"/>
    <x v="210"/>
    <s v="436120.Stationery-Number of Staff-Number"/>
    <s v="Number"/>
    <n v="10"/>
    <n v="3400"/>
    <s v="Materials &amp; consumables items"/>
    <n v="34000"/>
    <s v="KU Regular operations"/>
    <s v="Recurring"/>
    <m/>
    <n v="0"/>
  </r>
  <r>
    <s v="Other support"/>
    <s v="No Applicable"/>
    <s v="Academic and Student Services Office"/>
    <n v="847"/>
    <n v="8471240"/>
    <s v="KUST - Student Success"/>
    <n v="1"/>
    <n v="436120"/>
    <s v="436120-Stationery"/>
    <s v="000000"/>
    <s v="KUST - General"/>
    <n v="847001"/>
    <s v="FA179-Opex Expense"/>
    <n v="200179"/>
    <x v="210"/>
    <s v="436120.Stationery-Number of Staff-Number"/>
    <s v="Number"/>
    <n v="10"/>
    <n v="100"/>
    <s v="Folders, pens, papers"/>
    <n v="1000"/>
    <s v="KU Regular operations"/>
    <s v="Non-recurring"/>
    <m/>
    <n v="0"/>
  </r>
  <r>
    <s v="-"/>
    <s v="-"/>
    <s v="Academic and Student Services Office"/>
    <n v="847"/>
    <n v="8471260"/>
    <s v="KUST - Student Life"/>
    <n v="1"/>
    <n v="421100"/>
    <s v="421100-Manpower supply"/>
    <s v="000000"/>
    <s v="KUST - General"/>
    <s v="847001"/>
    <s v="FA179-Opex Expense"/>
    <n v="200179"/>
    <x v="211"/>
    <s v="421100.Manpower supply-Number of employees and type of service provided-Number of Number of employees and type of service provided"/>
    <s v="-_"/>
    <n v="12"/>
    <n v="118000"/>
    <s v="Outsource staff to support Resident Life Office _ (Resident Assistants)"/>
    <n v="1416000"/>
    <s v="KU Regular operations"/>
    <s v="Recurring"/>
    <s v="Utilize state-of-the-art technologies and facilities in an optimal and efficient manner"/>
    <n v="0"/>
  </r>
  <r>
    <s v="HR"/>
    <s v="No Applicable"/>
    <s v="Academic and Student Services Office"/>
    <n v="847"/>
    <n v="8471260"/>
    <s v="KUST - Student Life"/>
    <n v="1"/>
    <n v="421100"/>
    <s v="421100-Manpower supply"/>
    <s v="000000"/>
    <s v="KUST - General"/>
    <n v="847001"/>
    <s v="FA179-Opex Expense"/>
    <n v="200179"/>
    <x v="211"/>
    <s v="421100.Manpower supply-Number of employees and type of service provided-Number of Number of employees and type of service provided"/>
    <s v="-_"/>
    <n v="6"/>
    <n v="99000"/>
    <s v="Sport Coaches for Football, Basketball, Volleyball, Badminton, Martial Art"/>
    <n v="594000"/>
    <s v="KU Regular operations"/>
    <s v="Recurring"/>
    <s v="Utilize state-of-the-art technologies and facilities in an optimal and efficient manner"/>
    <n v="0"/>
  </r>
  <r>
    <s v="-"/>
    <s v="-"/>
    <s v="Academic and Student Services Office"/>
    <n v="847"/>
    <n v="8471260"/>
    <s v="KUST - Student Life"/>
    <n v="1"/>
    <n v="425510"/>
    <s v="425510-Conferences, seminars and exhibitions and other events: - Local Events"/>
    <s v="000000"/>
    <s v="KUST - General"/>
    <s v="847001"/>
    <s v="FA179-Opex Expense"/>
    <n v="200179"/>
    <x v="212"/>
    <s v="425510.Conferences, seminars and exhibitions and other events: - Local Events-Number of attendees-count"/>
    <s v="-_"/>
    <n v="1300"/>
    <n v="100"/>
    <s v="UG &amp; PG Student Orientation Program"/>
    <n v="130000"/>
    <s v="KU Regular operations"/>
    <s v="Recurring"/>
    <s v="Develop a multidimensional program to attract and retain diverse outstanding students"/>
    <n v="0"/>
  </r>
  <r>
    <s v="-"/>
    <s v="-"/>
    <s v="Academic and Student Services Office"/>
    <n v="847"/>
    <n v="8471260"/>
    <s v="KUST - Student Life"/>
    <n v="1"/>
    <n v="425510"/>
    <s v="425510-Conferences, seminars and exhibitions and other events: - Local Events"/>
    <s v="000000"/>
    <s v="KUST - General"/>
    <s v="847001"/>
    <s v="FA179-Opex Expense"/>
    <n v="200179"/>
    <x v="212"/>
    <s v="425510.Conferences, seminars and exhibitions and other events: - Local Events-Number of attendees-count"/>
    <s v="-_"/>
    <n v="1700"/>
    <n v="50"/>
    <s v="National Day Celebrations "/>
    <n v="85000"/>
    <s v="KU Regular operations"/>
    <s v="Recurring"/>
    <s v="Develop a multidimensional program to attract and retain diverse outstanding students"/>
    <n v="0"/>
  </r>
  <r>
    <s v="-"/>
    <s v="-"/>
    <s v="Academic and Student Services Office"/>
    <n v="847"/>
    <n v="8471260"/>
    <s v="KUST - Student Life"/>
    <n v="1"/>
    <n v="425510"/>
    <s v="425510-Conferences, seminars and exhibitions and other events: - Local Events"/>
    <s v="000000"/>
    <s v="KUST - General"/>
    <s v="847001"/>
    <s v="FA179-Opex Expense"/>
    <n v="200179"/>
    <x v="212"/>
    <s v="425510.Conferences, seminars and exhibitions and other events: - Local Events-Number of attendees-count"/>
    <s v="-_"/>
    <n v="700"/>
    <n v="20"/>
    <s v="KU Sport Day "/>
    <n v="14000"/>
    <s v="KU Regular operations"/>
    <s v="Recurring"/>
    <s v="Develop a multidimensional program to attract and retain diverse outstanding students"/>
    <n v="0"/>
  </r>
  <r>
    <s v="-"/>
    <s v="-"/>
    <s v="Academic and Student Services Office"/>
    <n v="847"/>
    <n v="8471260"/>
    <s v="KUST - Student Life"/>
    <n v="1"/>
    <n v="425510"/>
    <s v="425510-Conferences, seminars and exhibitions and other events: - Local Events"/>
    <s v="000000"/>
    <s v="KUST - General"/>
    <s v="847001"/>
    <s v="FA179-Opex Expense"/>
    <n v="200179"/>
    <x v="212"/>
    <s v="425510.Conferences, seminars and exhibitions and other events: - Local Events-Number of attendees-count"/>
    <s v="-_"/>
    <n v="1200"/>
    <n v="20"/>
    <s v="Iftar Gathering in Ramadan _ KU Residences (Male &amp; Female) "/>
    <n v="24000"/>
    <s v="KU Regular operations"/>
    <s v="Recurring"/>
    <s v="Develop a multidimensional program to attract and retain diverse outstanding students"/>
    <n v="0"/>
  </r>
  <r>
    <s v="Communiction &amp; Marketing"/>
    <s v="Director, Marketing and Communication"/>
    <s v="Academic and Student Services Office"/>
    <n v="847"/>
    <n v="8471260"/>
    <s v="KUST - Student Life"/>
    <n v="1"/>
    <n v="425510"/>
    <s v="425510-Conferences, seminars and exhibitions and other events: - Local Events"/>
    <s v="000000"/>
    <s v="KUST - General"/>
    <n v="847001"/>
    <s v="FA179-Opex Expense"/>
    <n v="200179"/>
    <x v="212"/>
    <s v="425510.Conferences, seminars and exhibitions and other events: - Local Events-Number of attendees-count"/>
    <s v="-_"/>
    <n v="1200"/>
    <n v="40"/>
    <s v="Social Gathering &amp; BBQ Night in KU Residences "/>
    <n v="48000"/>
    <s v="KU Regular operations"/>
    <s v="Recurring"/>
    <s v="Develop a multidimensional program to attract and retain diverse outstanding students"/>
    <n v="0"/>
  </r>
  <r>
    <s v="-"/>
    <s v="-"/>
    <s v="Academic and Student Services Office"/>
    <n v="847"/>
    <n v="8471260"/>
    <s v="KUST - Student Life"/>
    <n v="1"/>
    <n v="425746"/>
    <s v="425746-Student Transport"/>
    <s v="000000"/>
    <s v="KUST - General"/>
    <n v="847001"/>
    <s v="FA179-Opex Expense"/>
    <n v="200179"/>
    <x v="213"/>
    <s v="425746.Student Transport-Students_x000a_-No of Students "/>
    <s v="-_"/>
    <n v="390"/>
    <n v="8195"/>
    <s v="Daily Shuttle Services - Bus - 34 seaters"/>
    <n v="3196050"/>
    <s v="KU Regular operations"/>
    <s v="Recurring"/>
    <s v="Utilize state-of-the-art technologies and facilities in an optimal and efficient manner"/>
    <n v="0"/>
  </r>
  <r>
    <s v="-"/>
    <s v="-"/>
    <s v="Academic and Student Services Office"/>
    <n v="847"/>
    <n v="8471260"/>
    <s v="KUST - Student Life"/>
    <n v="1"/>
    <n v="425746"/>
    <s v="425746-Student Transport"/>
    <s v="000000"/>
    <s v="KUST - General"/>
    <n v="847001"/>
    <s v="FA179-Opex Expense"/>
    <n v="200179"/>
    <x v="213"/>
    <s v="425746.Student Transport-Students_x000a_-No of Students "/>
    <s v="-_"/>
    <n v="50"/>
    <n v="11435"/>
    <s v="Weekly Transportation Services - 37 seaters"/>
    <n v="571750"/>
    <s v="KU Regular operations"/>
    <s v="Recurring"/>
    <s v="Utilize state-of-the-art technologies and facilities in an optimal and efficient manner"/>
    <n v="0"/>
  </r>
  <r>
    <s v="-"/>
    <s v="-"/>
    <s v="Academic and Student Services Office"/>
    <n v="847"/>
    <n v="8471260"/>
    <s v="KUST - Student Life"/>
    <n v="1"/>
    <n v="425746"/>
    <s v="425746-Student Transport"/>
    <s v="000000"/>
    <s v="KUST - General"/>
    <n v="847001"/>
    <s v="FA179-Opex Expense"/>
    <n v="200179"/>
    <x v="213"/>
    <s v="425746.Student Transport-Students_x000a_-No of Students "/>
    <s v="-_"/>
    <n v="130"/>
    <n v="15455"/>
    <s v="Weekly Transportation Services - 50 seaters"/>
    <n v="2009150"/>
    <s v="KU Regular operations"/>
    <s v="Recurring"/>
    <s v="Utilize state-of-the-art technologies and facilities in an optimal and efficient manner"/>
    <n v="0"/>
  </r>
  <r>
    <s v="-"/>
    <s v="-"/>
    <s v="Academic and Student Services Office"/>
    <n v="847"/>
    <n v="8471260"/>
    <s v="KUST - Student Life"/>
    <n v="1"/>
    <n v="425746"/>
    <s v="425746-Student Transport"/>
    <s v="000000"/>
    <s v="KUST - General"/>
    <n v="847001"/>
    <s v="FA179-Opex Expense"/>
    <n v="200179"/>
    <x v="213"/>
    <s v="425746.Student Transport-Students_x000a_-No of Students "/>
    <s v="-_"/>
    <n v="73"/>
    <n v="65716"/>
    <s v="Personnel - Heavy Drivers and Lady Attendant"/>
    <n v="4797268"/>
    <s v="KU Regular operations"/>
    <s v="Recurring"/>
    <s v="Utilize state-of-the-art technologies and facilities in an optimal and efficient manner"/>
    <n v="0"/>
  </r>
  <r>
    <s v="-"/>
    <s v="-"/>
    <s v="Academic and Student Services Office"/>
    <n v="847"/>
    <n v="8471260"/>
    <s v="KUST - Student Life"/>
    <n v="1"/>
    <n v="425746"/>
    <s v="425746-Student Transport"/>
    <s v="000000"/>
    <s v="KUST - General"/>
    <n v="847001"/>
    <s v="FA179-Opex Expense"/>
    <n v="200179"/>
    <x v="213"/>
    <s v="425746.Student Transport-Students_x000a_-No of Students "/>
    <s v="-_"/>
    <n v="1"/>
    <n v="142085"/>
    <s v="Fuel Cost"/>
    <n v="142085"/>
    <s v="KU Regular operations"/>
    <s v="Recurring"/>
    <s v="Utilize state-of-the-art technologies and facilities in an optimal and efficient manner"/>
    <n v="0"/>
  </r>
  <r>
    <s v="-"/>
    <s v="-"/>
    <s v="Academic and Student Services Office"/>
    <n v="847"/>
    <n v="8471260"/>
    <s v="KUST - Student Life"/>
    <n v="1"/>
    <n v="425746"/>
    <s v="425746-Student Transport"/>
    <s v="000000"/>
    <s v="KUST - General"/>
    <n v="847001"/>
    <s v="FA179-Opex Expense"/>
    <n v="200179"/>
    <x v="213"/>
    <s v="425746.Student Transport-Students_x000a_-No of Students "/>
    <s v="-_"/>
    <n v="1"/>
    <n v="525"/>
    <s v="Salik "/>
    <n v="525"/>
    <s v="KU Regular operations"/>
    <s v="Recurring"/>
    <s v="Utilize state-of-the-art technologies and facilities in an optimal and efficient manner"/>
    <n v="0"/>
  </r>
  <r>
    <s v="-"/>
    <s v="-"/>
    <s v="Academic and Student Services Office"/>
    <n v="847"/>
    <n v="8471260"/>
    <s v="KUST - Student Life"/>
    <n v="1"/>
    <n v="425746"/>
    <s v="425746-Student Transport"/>
    <s v="000000"/>
    <s v="KUST - General"/>
    <n v="847001"/>
    <s v="FA179-Opex Expense"/>
    <n v="200179"/>
    <x v="213"/>
    <s v="425746.Student Transport-Students_x000a_-No of Students "/>
    <s v="-_"/>
    <n v="10"/>
    <n v="60000"/>
    <s v="Adhoc Trips - Buses - Recreational and Fields Trips "/>
    <n v="600000"/>
    <s v="KU Regular operations"/>
    <s v="Recurring"/>
    <s v="Utilize state-of-the-art technologies and facilities in an optimal and efficient manner"/>
    <n v="0"/>
  </r>
  <r>
    <s v="Student"/>
    <s v="No Applicable"/>
    <s v="Academic and Student Services Office"/>
    <n v="847"/>
    <n v="8471260"/>
    <s v="KUST - Student Life"/>
    <n v="1"/>
    <n v="425746"/>
    <s v="425746-Student Transport"/>
    <s v="000000"/>
    <s v="KUST - General"/>
    <n v="847001"/>
    <s v="FA179-Opex Expense"/>
    <n v="200179"/>
    <x v="213"/>
    <s v="425746.Student Transport-Students_x000a_-No of Students "/>
    <s v="-_"/>
    <n v="10"/>
    <n v="30000"/>
    <s v="Limousine Services "/>
    <n v="300000"/>
    <s v="KU Regular operations"/>
    <s v="Recurring"/>
    <s v="Utilize state-of-the-art technologies and facilities in an optimal and efficient manner"/>
    <n v="0"/>
  </r>
  <r>
    <s v="-"/>
    <s v="-"/>
    <s v="Academic and Student Services Office"/>
    <n v="847"/>
    <n v="8471260"/>
    <s v="KUST - Student Life"/>
    <n v="1"/>
    <n v="425760"/>
    <s v="425760-Student activities &amp; field trip expenses"/>
    <s v="000000"/>
    <s v="KUST - General"/>
    <n v="847001"/>
    <s v="FA179-Opex Expense"/>
    <n v="200179"/>
    <x v="214"/>
    <s v="425760.Student activities &amp; field trip expenses-Students-No of Students"/>
    <s v="-_"/>
    <n v="26"/>
    <n v="1600"/>
    <s v="Club Day _ Club Fair _ 25 Student Clubs/Chapters "/>
    <n v="41600"/>
    <s v="KU Regular operations"/>
    <s v="Recurring"/>
    <s v="Develop a multidimensional program to attract and retain diverse outstanding students"/>
    <n v="0"/>
  </r>
  <r>
    <s v="-"/>
    <s v="-"/>
    <s v="Academic and Student Services Office"/>
    <n v="847"/>
    <n v="8471260"/>
    <s v="KUST - Student Life"/>
    <n v="1"/>
    <n v="425760"/>
    <s v="425760-Student activities &amp; field trip expenses"/>
    <s v="000000"/>
    <s v="KUST - General"/>
    <n v="847001"/>
    <s v="FA179-Opex Expense"/>
    <n v="200179"/>
    <x v="214"/>
    <s v="425760.Student activities &amp; field trip expenses-Students-No of Students"/>
    <s v="-_"/>
    <n v="33"/>
    <n v="2334"/>
    <s v="Global Day 2023"/>
    <n v="77022"/>
    <s v="KU Regular operations"/>
    <s v="Recurring"/>
    <s v="Develop a multidimensional program to attract and retain diverse outstanding students"/>
    <n v="0"/>
  </r>
  <r>
    <s v="-"/>
    <s v="-"/>
    <s v="Academic and Student Services Office"/>
    <n v="847"/>
    <n v="8471260"/>
    <s v="KUST - Student Life"/>
    <n v="1"/>
    <n v="425760"/>
    <s v="425760-Student activities &amp; field trip expenses"/>
    <s v="000000"/>
    <s v="KUST - General"/>
    <n v="847001"/>
    <s v="FA179-Opex Expense"/>
    <n v="200179"/>
    <x v="214"/>
    <s v="425760.Student activities &amp; field trip expenses-Students-No of Students"/>
    <s v="-_"/>
    <n v="15"/>
    <n v="4000"/>
    <s v="KU Film Festival "/>
    <n v="60000"/>
    <s v="KU Regular operations"/>
    <s v="Recurring"/>
    <s v="Develop a multidimensional program to attract and retain diverse outstanding students"/>
    <n v="0"/>
  </r>
  <r>
    <s v="-"/>
    <s v="-"/>
    <s v="Academic and Student Services Office"/>
    <n v="847"/>
    <n v="8471260"/>
    <s v="KUST - Student Life"/>
    <n v="1"/>
    <n v="425760"/>
    <s v="425760-Student activities &amp; field trip expenses"/>
    <s v="000000"/>
    <s v="KUST - General"/>
    <n v="847001"/>
    <s v="FA179-Opex Expense"/>
    <n v="200179"/>
    <x v="214"/>
    <s v="425760.Student activities &amp; field trip expenses-Students-No of Students"/>
    <s v="-_"/>
    <n v="30"/>
    <n v="2000"/>
    <s v="KU Bazaar 2023 and Entrepreneurship Talks "/>
    <n v="60000"/>
    <s v="KU Regular operations"/>
    <s v="Recurring"/>
    <s v="Develop a multidimensional program to attract and retain diverse outstanding students"/>
    <n v="0"/>
  </r>
  <r>
    <s v="-"/>
    <s v="-"/>
    <s v="Academic and Student Services Office"/>
    <n v="847"/>
    <n v="8471260"/>
    <s v="KUST - Student Life"/>
    <n v="1"/>
    <n v="425760"/>
    <s v="425760-Student activities &amp; field trip expenses"/>
    <s v="000000"/>
    <s v="KUST - General"/>
    <n v="847001"/>
    <s v="FA179-Opex Expense"/>
    <n v="200179"/>
    <x v="214"/>
    <s v="425760.Student activities &amp; field trip expenses-Events-No of Events"/>
    <s v="-_"/>
    <n v="40"/>
    <n v="2500"/>
    <s v="Recreational/Sports/ Local Trips "/>
    <n v="100000"/>
    <s v="KU Regular operations"/>
    <s v="Recurring"/>
    <s v="Develop a multidimensional program to attract and retain diverse outstanding students"/>
    <n v="0"/>
  </r>
  <r>
    <s v="-"/>
    <s v="-"/>
    <s v="Academic and Student Services Office"/>
    <n v="847"/>
    <n v="8471260"/>
    <s v="KUST - Student Life"/>
    <n v="1"/>
    <n v="425760"/>
    <s v="425760-Student activities &amp; field trip expenses"/>
    <s v="000000"/>
    <s v="KUST - General"/>
    <n v="847001"/>
    <s v="FA179-Opex Expense"/>
    <n v="200179"/>
    <x v="214"/>
    <s v="425760.Student activities &amp; field trip expenses-Events-No of Events"/>
    <s v="-_"/>
    <n v="25"/>
    <n v="1500"/>
    <s v="Clubs/Chapters Events and Activities "/>
    <n v="37500"/>
    <s v="KU Regular operations"/>
    <s v="Recurring"/>
    <s v="Develop a multidimensional program to attract and retain diverse outstanding students"/>
    <n v="0"/>
  </r>
  <r>
    <s v="Student"/>
    <s v="Director, Student Services"/>
    <s v="Academic and Student Services Office"/>
    <n v="847"/>
    <n v="8471260"/>
    <s v="KUST - Student Life"/>
    <n v="1"/>
    <n v="425760"/>
    <s v="425760-Student activities &amp; field trip expenses"/>
    <s v="000000"/>
    <s v="KUST - General"/>
    <n v="847001"/>
    <s v="FA179-Opex Expense"/>
    <n v="200179"/>
    <x v="214"/>
    <s v="425760.Student activities &amp; field trip expenses-Events-No of Events"/>
    <s v="-_"/>
    <n v="25"/>
    <n v="25000"/>
    <s v="International Trips "/>
    <n v="625000"/>
    <s v="KU Regular operations"/>
    <s v="Recurring"/>
    <s v="Develop a multidimensional program to attract and retain diverse outstanding students"/>
    <n v="0"/>
  </r>
  <r>
    <s v="-"/>
    <s v="-"/>
    <s v="Academic and Student Services Office"/>
    <n v="847"/>
    <n v="8471260"/>
    <s v="KUST - Student Life"/>
    <n v="1"/>
    <n v="425900"/>
    <s v="425900-Entertainment and hospitality"/>
    <s v="000000"/>
    <s v="KUST - General"/>
    <n v="847001"/>
    <s v="FA179-Opex Expense"/>
    <n v="200179"/>
    <x v="215"/>
    <s v="425900.Entertainment and hospitality-1. No of events/workshops planned-count"/>
    <s v="-_"/>
    <n v="1700"/>
    <n v="30"/>
    <s v="Catering for UG &amp; PG Student Orientation Program Fall &amp; Spring "/>
    <n v="51000"/>
    <s v="KU Regular operations"/>
    <s v="Recurring"/>
    <s v="Develop a multidimensional program to attract and retain diverse outstanding students"/>
    <n v="0"/>
  </r>
  <r>
    <s v="-"/>
    <s v="-"/>
    <s v="Academic and Student Services Office"/>
    <n v="847"/>
    <n v="8471260"/>
    <s v="KUST - Student Life"/>
    <n v="1"/>
    <n v="425900"/>
    <s v="425900-Entertainment and hospitality"/>
    <s v="000000"/>
    <s v="KUST - General"/>
    <n v="847001"/>
    <s v="FA179-Opex Expense"/>
    <n v="200179"/>
    <x v="215"/>
    <s v="425900.Entertainment and hospitality-1. No of events/workshops planned-count"/>
    <s v="-_"/>
    <n v="1000"/>
    <n v="20"/>
    <s v="Catering/ selected Emirati food items for National Day Event"/>
    <n v="20000"/>
    <s v="KU Regular operations"/>
    <s v="Recurring"/>
    <s v="Develop a multidimensional program to attract and retain diverse outstanding students"/>
    <n v="0"/>
  </r>
  <r>
    <s v="-"/>
    <s v="-"/>
    <s v="Academic and Student Services Office"/>
    <n v="847"/>
    <n v="8471260"/>
    <s v="KUST - Student Life"/>
    <n v="1"/>
    <n v="425900"/>
    <s v="425900-Entertainment and hospitality"/>
    <s v="000000"/>
    <s v="KUST - General"/>
    <n v="847001"/>
    <s v="FA179-Opex Expense"/>
    <n v="200179"/>
    <x v="215"/>
    <s v="425900.Entertainment and hospitality-1. No of events/workshops planned-count"/>
    <s v="-_"/>
    <n v="1000"/>
    <n v="15"/>
    <s v="Catering /selected food items from international cuisine For Global Day Event "/>
    <n v="15000"/>
    <s v="KU Regular operations"/>
    <s v="Recurring"/>
    <s v="Develop a multidimensional program to attract and retain diverse outstanding students"/>
    <n v="0"/>
  </r>
  <r>
    <s v="-"/>
    <s v="-"/>
    <s v="Academic and Student Services Office"/>
    <n v="847"/>
    <n v="8471260"/>
    <s v="KUST - Student Life"/>
    <n v="1"/>
    <n v="425900"/>
    <s v="425900-Entertainment and hospitality"/>
    <s v="000000"/>
    <s v="KUST - General"/>
    <n v="847001"/>
    <s v="FA179-Opex Expense"/>
    <n v="200179"/>
    <x v="215"/>
    <s v="425900.Entertainment and hospitality-1. No of events/workshops planned-count"/>
    <s v="-_"/>
    <n v="1600"/>
    <n v="20"/>
    <s v="Social Gathering &amp; BBQ Night in KU Residences (Male &amp; Female Residences)  "/>
    <n v="32000"/>
    <s v="KU Regular operations"/>
    <s v="Recurring"/>
    <s v="Develop a multidimensional program to attract and retain diverse outstanding students"/>
    <n v="0"/>
  </r>
  <r>
    <s v="-"/>
    <s v="-"/>
    <s v="Academic and Student Services Office"/>
    <n v="847"/>
    <n v="8471260"/>
    <s v="KUST - Student Life"/>
    <n v="1"/>
    <n v="425900"/>
    <s v="425900-Entertainment and hospitality"/>
    <s v="000000"/>
    <s v="KUST - General"/>
    <n v="847001"/>
    <s v="FA179-Opex Expense"/>
    <n v="200179"/>
    <x v="215"/>
    <s v="425900.Entertainment and hospitality-1. No of events/workshops planned-count"/>
    <s v="-_"/>
    <n v="800"/>
    <n v="15"/>
    <s v="Snacks/light food for events, activities, workshops, seminars..etc. "/>
    <n v="12000"/>
    <s v="KU Regular operations"/>
    <s v="Recurring"/>
    <s v="Develop a multidimensional program to attract and retain diverse outstanding students"/>
    <n v="0"/>
  </r>
  <r>
    <s v="Other support"/>
    <s v="Director, Human Resources"/>
    <s v="Academic and Student Services Office"/>
    <n v="847"/>
    <n v="8471260"/>
    <s v="KUST - Student Life"/>
    <n v="1"/>
    <n v="425900"/>
    <s v="425900-Entertainment and hospitality"/>
    <s v="000000"/>
    <s v="KUST - General"/>
    <n v="847001"/>
    <s v="FA179-Opex Expense"/>
    <n v="200179"/>
    <x v="215"/>
    <s v="425900.Entertainment and hospitality-1. No of events/workshops planned-count"/>
    <s v="-_"/>
    <n v="2000"/>
    <n v="20"/>
    <s v="Iftar Gathering in Ramadan _ KU Residences (Male &amp; Female) "/>
    <n v="40000"/>
    <s v="KU Regular operations"/>
    <s v="Recurring"/>
    <s v="Develop a multidimensional program to attract and retain diverse outstanding students"/>
    <n v="0"/>
  </r>
  <r>
    <s v="-"/>
    <s v="-"/>
    <s v="Academic and Student Services Office"/>
    <n v="847"/>
    <n v="8471260"/>
    <s v="KUST - Student Life"/>
    <n v="1"/>
    <n v="428640"/>
    <s v="428640-Events - Awards, prizes &amp; gifts"/>
    <s v="000000"/>
    <s v="KUST - General"/>
    <n v="847001"/>
    <s v="FA179-Opex Expense"/>
    <n v="200179"/>
    <x v="216"/>
    <s v="428640.Events - Awards, prizes &amp; gifts-Number of gifts-count"/>
    <s v="-_"/>
    <n v="40"/>
    <n v="250"/>
    <s v="Gift cards &amp; vouchers for winners in different competitions "/>
    <n v="10000"/>
    <s v="KU Regular operations"/>
    <s v="Recurring"/>
    <s v="Develop a multidimensional program to attract and retain diverse outstanding students"/>
    <n v="0"/>
  </r>
  <r>
    <s v="-"/>
    <s v="-"/>
    <s v="Academic and Student Services Office"/>
    <n v="847"/>
    <n v="8471260"/>
    <s v="KUST - Student Life"/>
    <n v="1"/>
    <n v="428640"/>
    <s v="428640-Events - Awards, prizes &amp; gifts"/>
    <s v="000000"/>
    <s v="KUST - General"/>
    <n v="847001"/>
    <s v="FA179-Opex Expense"/>
    <n v="200179"/>
    <x v="216"/>
    <s v="428640.Events - Awards, prizes &amp; gifts-Number of gifts-count"/>
    <s v="-_"/>
    <n v="30"/>
    <n v="400"/>
    <s v="Trophies for winners &amp; participants in sports competitions and other competitions"/>
    <n v="12000"/>
    <s v="KU Regular operations"/>
    <s v="Recurring"/>
    <s v="Develop a multidimensional program to attract and retain diverse outstanding students"/>
    <n v="0"/>
  </r>
  <r>
    <s v="Communiction &amp; Marketing"/>
    <s v="Director, Marketing and Communication"/>
    <s v="Academic and Student Services Office"/>
    <n v="847"/>
    <n v="8471260"/>
    <s v="KUST - Student Life"/>
    <n v="1"/>
    <n v="428640"/>
    <s v="428640-Events - Awards, prizes &amp; gifts"/>
    <s v="000000"/>
    <s v="KUST - General"/>
    <n v="847001"/>
    <s v="FA179-Opex Expense"/>
    <n v="200179"/>
    <x v="216"/>
    <s v="428640.Events - Awards, prizes &amp; gifts-Number of gifts-count"/>
    <s v="-_"/>
    <n v="40"/>
    <n v="250"/>
    <s v="Customized gifts for participants in competitions "/>
    <n v="10000"/>
    <s v="KU Regular operations"/>
    <s v="Recurring"/>
    <s v="Develop a multidimensional program to attract and retain diverse outstanding students"/>
    <n v="0"/>
  </r>
  <r>
    <s v="-"/>
    <s v="-"/>
    <s v="Academic and Student Services Office"/>
    <n v="847"/>
    <n v="8471260"/>
    <s v="KUST - Student Life"/>
    <n v="1"/>
    <n v="435530"/>
    <s v="435530-School consumables, not specifically mentioned elsewhere"/>
    <s v="000000"/>
    <s v="KUST - General"/>
    <n v="847001"/>
    <s v="FA179-Opex Expense"/>
    <n v="200179"/>
    <x v="217"/>
    <s v="435530.School consumables, Numbert specifically mentioned elsewhere-Number of Students-Number"/>
    <s v="-_"/>
    <n v="370"/>
    <n v="40"/>
    <s v="Tools, Materials &amp; Equipment for Sports Activities (Balls for table tennis, volleyball, basketball..etc)"/>
    <n v="14800"/>
    <s v="KU Regular operations"/>
    <s v="Recurring"/>
    <s v="Develop a multidimensional program to attract and retain diverse outstanding students"/>
    <n v="0"/>
  </r>
  <r>
    <s v="-"/>
    <s v="-"/>
    <s v="Academic and Student Services Office"/>
    <n v="847"/>
    <n v="8471260"/>
    <s v="KUST - Student Life"/>
    <n v="1"/>
    <n v="435530"/>
    <s v="435530-School consumables, not specifically mentioned elsewhere"/>
    <s v="000000"/>
    <s v="KUST - General"/>
    <n v="847001"/>
    <s v="FA179-Opex Expense"/>
    <n v="200179"/>
    <x v="217"/>
    <s v="435530.School consumables, Numbert specifically mentioned elsewhere-Number of Students-Number"/>
    <s v="-_"/>
    <n v="370"/>
    <n v="40"/>
    <s v="PPE and personal tools for sports teams (racket, knee pads, goalkeeper gloves, drawstring bags..etc)"/>
    <n v="14800"/>
    <s v="KU Regular operations"/>
    <s v="Recurring"/>
    <s v="Develop a multidimensional program to attract and retain diverse outstanding students"/>
    <n v="0"/>
  </r>
  <r>
    <s v="Academic"/>
    <s v="No Applicable"/>
    <s v="Academic and Student Services Office"/>
    <n v="847"/>
    <n v="8471260"/>
    <s v="KUST - Student Life"/>
    <n v="1"/>
    <n v="435530"/>
    <s v="435530-School consumables, not specifically mentioned elsewhere"/>
    <s v="000000"/>
    <s v="KUST - General"/>
    <n v="847001"/>
    <s v="FA179-Opex Expense"/>
    <n v="200179"/>
    <x v="217"/>
    <s v="435530.School consumables, Numbert specifically mentioned elsewhere-Number of Students-Number"/>
    <s v="-_"/>
    <n v="370"/>
    <n v="150"/>
    <s v="Sports uniforms/jersey/training suits for Sports Teams and Coordinators."/>
    <n v="55500"/>
    <s v="KU Regular operations"/>
    <s v="Recurring"/>
    <s v="Develop a multidimensional program to attract and retain diverse outstanding students"/>
    <n v="0"/>
  </r>
  <r>
    <s v="-"/>
    <s v="-"/>
    <s v="Academic and Student Services Office"/>
    <n v="847"/>
    <n v="8471260"/>
    <s v="KUST - Student Life"/>
    <n v="1"/>
    <n v="436110"/>
    <s v="436110-Printing supplies"/>
    <s v="000000"/>
    <s v="KUST - General"/>
    <n v="847001"/>
    <s v="FA179-Opex Expense"/>
    <n v="200179"/>
    <x v="218"/>
    <s v="436110.Printing supplies-Number of Student-Number"/>
    <s v="-_"/>
    <n v="100"/>
    <n v="60"/>
    <s v="Certificates of Appreciations/Participations With Solid Cover"/>
    <n v="6000"/>
    <s v="KU Regular operations"/>
    <s v="Recurring"/>
    <s v="Develop a multidimensional program to attract and retain diverse outstanding students"/>
    <n v="0"/>
  </r>
  <r>
    <s v="Other support"/>
    <s v="No Applicable"/>
    <s v="Academic and Student Services Office"/>
    <n v="847"/>
    <n v="8471260"/>
    <s v="KUST - Student Life"/>
    <n v="1"/>
    <n v="436110"/>
    <s v="436110-Printing supplies"/>
    <s v="000000"/>
    <s v="KUST - General"/>
    <n v="847001"/>
    <s v="FA179-Opex Expense"/>
    <n v="200179"/>
    <x v="218"/>
    <s v="436110.Printing supplies-Number of Student-Number"/>
    <s v="-_"/>
    <n v="40"/>
    <n v="160"/>
    <s v="Rollups/Banners for campaigns and events "/>
    <n v="6400"/>
    <s v="KU Regular operations"/>
    <s v="Recurring"/>
    <s v="Develop a multidimensional program to attract and retain diverse outstanding students"/>
    <n v="0"/>
  </r>
  <r>
    <s v="Communiction &amp; Marketing"/>
    <s v="Director, Marketing and Communication"/>
    <s v="Academic and Student Services Office"/>
    <n v="847"/>
    <n v="8471220"/>
    <s v="KUST - Registrar"/>
    <n v="1"/>
    <n v="425510"/>
    <s v="425510-Conferences, seminars and exhibitions and other events: - Local Events"/>
    <s v="000000"/>
    <s v="KUST - General"/>
    <n v="847001"/>
    <s v="FA179-Opex Expense"/>
    <n v="200179"/>
    <x v="219"/>
    <s v="425510.Conferences, seminars and exhibitions and other events: - Local Events-Events-Number of Events"/>
    <m/>
    <n v="3"/>
    <n v="1600"/>
    <s v="20% increase from last year "/>
    <n v="4800"/>
    <s v="KU Regular operations"/>
    <s v="Recurring"/>
    <s v="Widen access to students with outstanding academic potential"/>
    <n v="0"/>
  </r>
  <r>
    <s v="Student"/>
    <s v="No Applicable"/>
    <s v="Academic and Student Services Office"/>
    <n v="847"/>
    <n v="8471220"/>
    <s v="KUST - Registrar"/>
    <n v="1"/>
    <n v="425741"/>
    <s v="425741-Student stipend"/>
    <s v="000000"/>
    <s v="KUST - General"/>
    <n v="847001"/>
    <s v="FA179-Opex Expense"/>
    <n v="200179"/>
    <x v="220"/>
    <s v="425741.Student stipend-Students-No of Students"/>
    <s v="-_"/>
    <n v="3091"/>
    <n v="38299.296348153286"/>
    <s v="20% increase from last year "/>
    <n v="118383125.01214181"/>
    <s v="KU Regular operations"/>
    <s v="Recurring"/>
    <s v="Widen access to students with outstanding academic potential"/>
    <n v="0"/>
  </r>
  <r>
    <s v="HR"/>
    <s v="No Applicable"/>
    <s v="Academic and Student Services Office"/>
    <n v="847"/>
    <n v="8471220"/>
    <s v="KUST - Registrar"/>
    <n v="1"/>
    <n v="426900"/>
    <s v="426900-Postal, courier and other document delivery expenses"/>
    <s v="000000"/>
    <s v="KUST - General"/>
    <n v="847001"/>
    <s v="FA179-Opex Expense"/>
    <n v="200179"/>
    <x v="221"/>
    <s v="426900.Postal, courier and other document delivery expenses-Number of Staff-Number"/>
    <s v="-_"/>
    <n v="5390"/>
    <n v="1.1554730983302413"/>
    <s v="20% increase from last year "/>
    <n v="6228"/>
    <s v="KU Regular operations"/>
    <s v="Recurring"/>
    <s v="Widen access to students with outstanding academic potential"/>
    <n v="0"/>
  </r>
  <r>
    <s v="Academic"/>
    <s v="No Applicable"/>
    <s v="Academic and Student Services Office"/>
    <n v="847"/>
    <n v="8471220"/>
    <s v="KUST - Registrar"/>
    <n v="1"/>
    <n v="435340"/>
    <s v="435340-Text books and library books"/>
    <s v="000000"/>
    <s v="KUST - General"/>
    <n v="847001"/>
    <s v="FA179-Opex Expense"/>
    <n v="200179"/>
    <x v="222"/>
    <s v="435340.Text books and library books-Students-Number of students"/>
    <s v="-_"/>
    <n v="5390"/>
    <n v="2538.0333951762523"/>
    <s v="20% increase from last year considering the fluctuation in market price and increase in number of students each year. Especially CMHS adding periods in each year"/>
    <n v="13680000"/>
    <s v="KU Regular operations"/>
    <s v="Recurring"/>
    <s v="Widen access to students with outstanding academic potential"/>
    <n v="0"/>
  </r>
  <r>
    <s v="Other support"/>
    <s v="No Applicable"/>
    <s v="Academic and Student Services Office"/>
    <n v="847"/>
    <n v="8471220"/>
    <s v="KUST - Registrar"/>
    <n v="1"/>
    <n v="436110"/>
    <s v="436110-Printing supplies"/>
    <s v="000000"/>
    <s v="KUST - General"/>
    <n v="847001"/>
    <s v="FA179-Opex Expense"/>
    <n v="200179"/>
    <x v="223"/>
    <s v="436110.Printing supplies-Number of Student-Number"/>
    <s v="-_"/>
    <n v="5390"/>
    <n v="80.37105751391465"/>
    <s v="20% increase from last year "/>
    <n v="433200"/>
    <s v="KU Regular operations"/>
    <s v="Recurring"/>
    <s v="Widen access to students with outstanding academic potential"/>
    <n v="0"/>
  </r>
  <r>
    <s v="Other support"/>
    <s v="No Applicable"/>
    <s v="Academic and Student Services Office"/>
    <n v="847"/>
    <n v="8471220"/>
    <s v="KUST - Registrar"/>
    <n v="1"/>
    <n v="436120"/>
    <s v="436120-Stationery"/>
    <s v="000000"/>
    <s v="KUST - General"/>
    <n v="847001"/>
    <s v="FA179-Opex Expense"/>
    <n v="200179"/>
    <x v="224"/>
    <s v="436120.Stationery-Number of Staff-Number"/>
    <s v="-_"/>
    <n v="1"/>
    <n v="2880"/>
    <s v="20% increase from last year "/>
    <n v="2880"/>
    <s v="KU Regular operations"/>
    <s v="Recurring"/>
    <s v="Widen access to students with outstanding academic potential"/>
    <n v="0"/>
  </r>
  <r>
    <s v="Other support"/>
    <s v="Director, Human Resources"/>
    <s v="Academic and Student Services Office"/>
    <n v="847"/>
    <n v="8471270"/>
    <s v="KUST - Libraries"/>
    <n v="1"/>
    <n v="425900"/>
    <s v="425900-Entertainment and hospitality"/>
    <s v="000000"/>
    <s v="KUST - General"/>
    <n v="847001"/>
    <s v="FA179-Opex Expense"/>
    <n v="200179"/>
    <x v="225"/>
    <s v="425900.Entertainment and hospitality-1. No of events/workshops planned-count"/>
    <s v="count"/>
    <n v="1"/>
    <n v="50000"/>
    <s v="1. RefWorks 2. How to publish a research paper 3. Petent seminar 4. Author workshops 5. OrCid Seminar 6. E-resources workshop 7. EMBASE 8. Web of Science webnar"/>
    <n v="50000"/>
    <s v="KU Regular operations"/>
    <s v="Recurring"/>
    <s v="Design and implement professional development programs for researchers, faculty, and  staff to contribute to the university strategic plan"/>
    <n v="0"/>
  </r>
  <r>
    <s v="Academic "/>
    <s v="No Applicable"/>
    <s v="Academic and Student Services Office"/>
    <n v="847"/>
    <n v="8471270"/>
    <s v="KUST - Libraries"/>
    <n v="1"/>
    <n v="428090"/>
    <s v="428090-Business Travel - Combined expenses"/>
    <s v="000000"/>
    <s v="KUST - General"/>
    <n v="847001"/>
    <s v="FA179-Opex Expense"/>
    <n v="200179"/>
    <x v="226"/>
    <s v="428090.Business Travel - Combined expenses-Number of Staff-Number"/>
    <s v="Number"/>
    <n v="16"/>
    <n v="18750"/>
    <s v="1 SLA conference Sharjah 2. SLA conference UAS 3. IFLA conference , Dublin 4. Harvard Business school leadersip courses 5. E&amp;RL conference U.S.A, AATUL Zayed university"/>
    <n v="300000"/>
    <s v="KU Regular operations"/>
    <s v="Recurring"/>
    <s v="Design and implement professional development programs for researchers, faculty, and  staff to contribute to the university strategic plan"/>
    <n v="0"/>
  </r>
  <r>
    <s v="Academic"/>
    <s v="No Applicable"/>
    <s v="Academic and Student Services Office"/>
    <n v="847"/>
    <n v="8471270"/>
    <s v="KUST - Libraries"/>
    <n v="1"/>
    <n v="435330"/>
    <s v="435330-Library books"/>
    <s v="000000"/>
    <s v="KUST - General"/>
    <n v="847001"/>
    <s v="FA179-Opex Expense"/>
    <n v="200179"/>
    <x v="227"/>
    <s v="435330.Library books-Number of Students-Number"/>
    <s v="Number"/>
    <n v="4000"/>
    <n v="4086"/>
    <m/>
    <n v="16344000"/>
    <s v="KU Regular operations"/>
    <s v="Recurring"/>
    <s v="Widen access to students with outstanding academic potential"/>
    <n v="0"/>
  </r>
  <r>
    <s v="Other support"/>
    <s v="No Applicable"/>
    <s v="Academic and Student Services Office"/>
    <n v="847"/>
    <n v="8471270"/>
    <s v="KUST - Libraries"/>
    <n v="1"/>
    <n v="436110"/>
    <s v="436110-Printing supplies"/>
    <s v="000000"/>
    <s v="KUST - General"/>
    <n v="847001"/>
    <s v="FA179-Opex Expense"/>
    <n v="200179"/>
    <x v="228"/>
    <s v="436110.Printing supplies-Number of Student-Number"/>
    <s v="Number"/>
    <n v="4000"/>
    <n v="11"/>
    <m/>
    <n v="44000"/>
    <s v="KU Regular operations"/>
    <s v="Recurring"/>
    <s v="Realize a sustainable , healthy and safe campus environment for all community members"/>
    <n v="0"/>
  </r>
  <r>
    <s v="-"/>
    <s v="-"/>
    <s v="Academic and Student Services Office"/>
    <n v="847"/>
    <n v="8471230"/>
    <s v="KUST - Student Enrollment"/>
    <n v="1"/>
    <n v="425742"/>
    <s v="425742-Enrollment expenses"/>
    <s v="000000"/>
    <s v="KUST - General"/>
    <n v="847001"/>
    <s v="FA179-Opex Expense"/>
    <n v="200179"/>
    <x v="229"/>
    <s v="425510.Conferences, seminars and exhibitions and other events: - Local Events-Conferences-Number of Conferences"/>
    <s v="Number of Conferences"/>
    <n v="12"/>
    <n v="50000"/>
    <s v="Local exhibitions such as Najah Exhibition, Sharjah International Show, KU Open Day, Education Interface, AETEX, GETEX, TVET Week, NAPO Tour..etc"/>
    <n v="600000"/>
    <s v="KU Regular operations"/>
    <s v="Recurring"/>
    <s v="Develop a multidimensional program to attract and retain diverse outstanding students"/>
    <n v="0"/>
  </r>
  <r>
    <s v="-"/>
    <s v="-"/>
    <s v="Academic and Student Services Office"/>
    <n v="847"/>
    <n v="8471230"/>
    <s v="KUST - Student Enrollment"/>
    <n v="1"/>
    <n v="425742"/>
    <s v="425742-Enrollment expenses"/>
    <s v="000000"/>
    <s v="KUST - General"/>
    <n v="847001"/>
    <s v="FA179-Opex Expense"/>
    <n v="200179"/>
    <x v="229"/>
    <s v="425550.Conferences, seminars and exhibitions and other events: - Overseas event-Conferences-Number of Conferences"/>
    <s v="Number of Conferences"/>
    <n v="12"/>
    <n v="50000"/>
    <s v="International Recruitment Trips for UG and PG"/>
    <n v="600000"/>
    <s v="KU Regular operations"/>
    <s v="Recurring"/>
    <s v="Develop a multidimensional program to attract and retain diverse outstanding students"/>
    <n v="0"/>
  </r>
  <r>
    <s v="-"/>
    <s v="-"/>
    <s v="Academic and Student Services Office"/>
    <n v="847"/>
    <n v="8471230"/>
    <s v="KUST - Student Enrollment"/>
    <n v="1"/>
    <n v="425742"/>
    <s v="425742-Enrollment expenses"/>
    <s v="000000"/>
    <s v="KUST - General"/>
    <n v="847001"/>
    <s v="FA179-Opex Expense"/>
    <n v="200179"/>
    <x v="229"/>
    <s v="428640.Events - Awards, prizes &amp; gifts-Number of gifts-count"/>
    <s v="count"/>
    <n v="30000"/>
    <n v="10"/>
    <s v="Givaways and gifts "/>
    <n v="300000"/>
    <s v="KU Regular operations"/>
    <s v="Recurring"/>
    <s v="Develop a multidimensional program to attract and retain diverse outstanding students"/>
    <n v="0"/>
  </r>
  <r>
    <s v="Academic"/>
    <s v="No Applicable"/>
    <s v="Academic and Student Services Office"/>
    <n v="847"/>
    <n v="8471230"/>
    <s v="KUST - Student Enrollment"/>
    <n v="1"/>
    <n v="425742"/>
    <s v="425742-Enrollment expenses"/>
    <s v="000000"/>
    <s v="KUST - General"/>
    <n v="847001"/>
    <s v="FA179-Opex Expense"/>
    <n v="200179"/>
    <x v="229"/>
    <s v="425742.Enrollment expenses-Number of Students-Number"/>
    <s v="Number"/>
    <n v="10"/>
    <n v="70000"/>
    <s v="Number of Projects: Al Nokhba Program, Scholarship Digital Campigan, Abu Dhabi Science Festival, Think Science ….etc"/>
    <n v="700000"/>
    <s v="KU Regular operations"/>
    <s v="Recurring"/>
    <s v="Develop a multidimensional program to attract and retain diverse outstanding students"/>
    <n v="0"/>
  </r>
  <r>
    <s v="IT"/>
    <s v="Director, Technology Development"/>
    <s v="Academic and Student Services Office"/>
    <n v="847"/>
    <n v="8471230"/>
    <s v="KUST - Student Enrollment"/>
    <n v="1"/>
    <n v="426610"/>
    <s v="426610-Computer software licenses"/>
    <s v="000000"/>
    <s v="KUST - General"/>
    <n v="847001"/>
    <s v="FA179-Opex Expense"/>
    <n v="200179"/>
    <x v="230"/>
    <s v="426610.Computer software licenses-Software License Renewal-number of licenses-Number"/>
    <s v="Number"/>
    <n v="1000"/>
    <n v="100"/>
    <s v="Webinars and Placement Tests. "/>
    <n v="100000"/>
    <s v="KU Regular operations"/>
    <s v="Recurring"/>
    <s v="Develop a multidimensional program to attract and retain diverse outstanding students"/>
    <n v="0"/>
  </r>
  <r>
    <s v="Communiction &amp; Marketing"/>
    <s v="Director, Marketing and Communication"/>
    <s v="Academic and Student Services Office"/>
    <n v="847"/>
    <n v="8471280"/>
    <s v="KUST - Center for Teaching &amp; Learning"/>
    <n v="1"/>
    <n v="425100"/>
    <s v="425100-Advertising"/>
    <s v="000000"/>
    <s v="KUST - General"/>
    <n v="847001"/>
    <s v="FA179-Opex Expense"/>
    <n v="200179"/>
    <x v="231"/>
    <s v="425100.Advertising Services (General)-Digital Marketing Campaigns-count"/>
    <s v="count"/>
    <n v="2"/>
    <n v="1875"/>
    <s v="Digital/hardcopy publication banner/poster/brochures"/>
    <n v="3750"/>
    <s v="KU Regular operations"/>
    <s v="Recurring"/>
    <s v="Widen access to students with outstanding academic potential"/>
    <n v="0"/>
  </r>
  <r>
    <s v="Communiction &amp; Marketing"/>
    <s v="Director, Marketing and Communication"/>
    <s v="Academic and Student Services Office"/>
    <n v="847"/>
    <n v="8471280"/>
    <s v="KUST - Center for Teaching &amp; Learning"/>
    <n v="1"/>
    <n v="425510"/>
    <s v="425510-Conferences, seminars and exhibitions and other events: - Local Events"/>
    <s v="000000"/>
    <s v="KUST - General"/>
    <n v="847001"/>
    <s v="FA179-Opex Expense"/>
    <n v="200179"/>
    <x v="232"/>
    <s v="425510.Conferences, seminars and exhibitions and other events: - Local Events-Conferences-Number of Conferences"/>
    <s v="Number of Conferences"/>
    <n v="30"/>
    <n v="1500"/>
    <s v="20-30 workshops and seminars"/>
    <n v="45000"/>
    <s v="KU Regular operations"/>
    <s v="Recurring"/>
    <s v="Design and implement professional development programs for researchers, faculty, and  staff to contribute to the university strategic plan"/>
    <n v="0"/>
  </r>
  <r>
    <s v="Communiction &amp; Marketing"/>
    <s v="No Applicable"/>
    <s v="Academic and Student Services Office"/>
    <n v="847"/>
    <n v="8471280"/>
    <s v="KUST - Center for Teaching &amp; Learning"/>
    <n v="1"/>
    <n v="425550"/>
    <s v="425550-Conferences, seminars and exhibitions and other events: - Overseas event"/>
    <s v="000000"/>
    <s v="KUST - General"/>
    <n v="847001"/>
    <s v="FA179-Opex Expense"/>
    <n v="200179"/>
    <x v="233"/>
    <s v="425550.Conferences, seminars and exhibitions and other events: - Overseas event-Conferences-Number of Conferences"/>
    <s v="Number of Conferences"/>
    <n v="4"/>
    <n v="22500"/>
    <s v="4 conferences for AED 15,000 each"/>
    <n v="90000"/>
    <s v="KU Regular operations"/>
    <s v="Recurring"/>
    <s v="Build partnerships with local and international universities"/>
    <n v="0"/>
  </r>
  <r>
    <n v="0"/>
    <s v="No Applicable"/>
    <s v="Academic and Student Services Office"/>
    <n v="847"/>
    <n v="8471280"/>
    <s v="KUST - Center for Teaching &amp; Learning"/>
    <n v="1"/>
    <n v="425710"/>
    <s v="425710-Higher education and specialisation incentives"/>
    <s v="000000"/>
    <s v="KUST - General"/>
    <n v="847001"/>
    <s v="FA179-Opex Expense"/>
    <n v="200179"/>
    <x v="234"/>
    <s v="425710.Higher education and specialisation incentives-number of faculty-number"/>
    <s v="number"/>
    <n v="2"/>
    <n v="225000"/>
    <s v="10 Faculty Mini-Grants, and Accreditation &amp; Faculty Fellowship"/>
    <n v="450000"/>
    <s v="KU Regular operations"/>
    <s v="Recurring"/>
    <s v="Develop a new learning outcomes assessment framework at the course, programs, and institutional levels"/>
    <n v="0"/>
  </r>
  <r>
    <s v="Student"/>
    <s v="Director, Student Services"/>
    <s v="Academic and Student Services Office"/>
    <n v="847"/>
    <n v="8471280"/>
    <s v="KUST - Center for Teaching &amp; Learning"/>
    <n v="1"/>
    <n v="425760"/>
    <s v="425760-Student activities &amp; field trip expenses"/>
    <s v="000000"/>
    <s v="KUST - General"/>
    <n v="847001"/>
    <s v="FA179-Opex Expense"/>
    <n v="200179"/>
    <x v="235"/>
    <s v="425760.Student activities &amp; field trip expenses-Events-No of Events"/>
    <s v="No of Events"/>
    <n v="2"/>
    <n v="22500"/>
    <s v="workshop and training for AED 15,000  / symposium for AED 15,000"/>
    <n v="45000"/>
    <s v="KU Regular operations"/>
    <s v="Recurring"/>
    <s v="Develop a life-long culture of community service beyond the classroom "/>
    <n v="0"/>
  </r>
  <r>
    <s v="Academic"/>
    <s v="No Applicable"/>
    <s v="Academic and Student Services Office"/>
    <n v="847"/>
    <n v="8471280"/>
    <s v="KUST - Center for Teaching &amp; Learning"/>
    <n v="1"/>
    <n v="425770"/>
    <s v="425770-Academic Missions - Combined expenses"/>
    <s v="000000"/>
    <s v="KUST - General"/>
    <n v="847001"/>
    <s v="FA179-Opex Expense"/>
    <n v="200179"/>
    <x v="236"/>
    <s v="425770.Academic Missions - Combined expenses-Number of Conference-Number"/>
    <s v="Number"/>
    <n v="4"/>
    <n v="75000"/>
    <s v="guest speakers, honorarium and  blended courses"/>
    <n v="300000"/>
    <s v="KU Regular operations"/>
    <s v="Recurring"/>
    <s v="Attract and organize international conferences and summits"/>
    <n v="0"/>
  </r>
  <r>
    <s v="IT"/>
    <s v="Director, Technology Development"/>
    <s v="Academic and Student Services Office"/>
    <n v="847"/>
    <n v="8471280"/>
    <s v="KUST - Center for Teaching &amp; Learning"/>
    <n v="1"/>
    <n v="426610"/>
    <s v="426610-Computer software licenses"/>
    <s v="000000"/>
    <s v="KUST - General"/>
    <n v="847001"/>
    <s v="FA179-Opex Expense"/>
    <n v="200179"/>
    <x v="237"/>
    <s v="426610.Computer software licenses-Software License Renewal-number of licenses-Number"/>
    <s v="Number"/>
    <n v="20"/>
    <n v="95102"/>
    <s v="tools/software for exam, collaborative, survey, assessment, project management, authoring, polling, learners reporting, statistics, awards and management"/>
    <n v="1902040"/>
    <s v="KU Regular operations"/>
    <s v="Recurring"/>
    <s v="Utilize state-of-the-art technologies and facilities in an optimal and efficient manner"/>
    <n v="0"/>
  </r>
  <r>
    <s v="Communiction &amp; Marketing"/>
    <s v="Director, Marketing and Communication"/>
    <s v="Academic and Student Services Office"/>
    <n v="847"/>
    <n v="8471280"/>
    <s v="KUST - Center for Teaching &amp; Learning"/>
    <n v="1"/>
    <n v="428640"/>
    <s v="428640-Events - Awards, prizes &amp; gifts"/>
    <s v="000000"/>
    <s v="KUST - General"/>
    <n v="847001"/>
    <s v="FA179-Opex Expense"/>
    <n v="200179"/>
    <x v="238"/>
    <s v="428640.Events - Awards, prizes &amp; gifts-Number of awards-count"/>
    <s v="count"/>
    <n v="5"/>
    <n v="4500"/>
    <s v="faculty and student competition, activities, and services"/>
    <n v="22500"/>
    <s v="KU Regular operations"/>
    <s v="Recurring"/>
    <s v="Enhance the communication plan and outreach activities"/>
    <n v="0"/>
  </r>
  <r>
    <s v="Facilities"/>
    <s v="No Applicable"/>
    <s v="Academic and Student Services Office"/>
    <n v="847"/>
    <n v="8471280"/>
    <s v="KUST - Center for Teaching &amp; Learning"/>
    <n v="1"/>
    <n v="432170"/>
    <s v="432170-Bldg decoration &amp; minor improvements"/>
    <s v="000000"/>
    <s v="KUST - General"/>
    <n v="847001"/>
    <s v="FA179-Opex Expense"/>
    <n v="200179"/>
    <x v="239"/>
    <s v="432170.Bldg decoration &amp; miNumberr improvements-Number of Buildings-Number"/>
    <s v="Number"/>
    <n v="3"/>
    <n v="100000"/>
    <s v="Upgrade and fix the learning spaces and workshop areas into quiet and individualized environment that meet the minimum standards."/>
    <n v="300000"/>
    <s v="KU Regular operations"/>
    <s v="Recurring"/>
    <s v="Utilize state-of-the-art technologies and facilities in an optimal and efficient manner"/>
    <n v="0"/>
  </r>
  <r>
    <s v="Academic"/>
    <s v="No Applicable"/>
    <s v="Academic and Student Services Office"/>
    <n v="847"/>
    <n v="8471280"/>
    <s v="KUST - Center for Teaching &amp; Learning"/>
    <n v="1"/>
    <n v="435340"/>
    <s v="435340-Text books and library books"/>
    <s v="000000"/>
    <s v="KUST - General"/>
    <n v="847001"/>
    <s v="FA179-Opex Expense"/>
    <n v="200179"/>
    <x v="240"/>
    <s v="435340.Text books and library books-Design cost of the book-Number of pages"/>
    <s v="Number of pages"/>
    <n v="40"/>
    <n v="375"/>
    <s v="Teaching and learning resources including access to as e-books  "/>
    <n v="15000"/>
    <s v="KU Regular operations"/>
    <s v="Recurring"/>
    <s v="Establish a mobility program for students, faculty, researchers and staff"/>
    <n v="0"/>
  </r>
  <r>
    <s v="Academic"/>
    <s v="No Applicable"/>
    <s v="Academic and Student Services Office"/>
    <n v="847"/>
    <n v="8471280"/>
    <s v="KUST - Center for Teaching &amp; Learning"/>
    <n v="1"/>
    <n v="435530"/>
    <s v="435530-School consumables, not specifically mentioned elsewhere"/>
    <s v="000000"/>
    <s v="KUST - General"/>
    <n v="847001"/>
    <s v="FA179-Opex Expense"/>
    <n v="200179"/>
    <x v="241"/>
    <s v="435530.School consumables, Numbert specifically mentioned elsewhere-Number of Faculty-Number"/>
    <s v="Number"/>
    <n v="50"/>
    <n v="150"/>
    <s v="Stationery supplies and resources not in the store"/>
    <n v="7500"/>
    <s v="KU Regular operations"/>
    <s v="Recurring"/>
    <s v="Ensure the university sustainability "/>
    <n v="0"/>
  </r>
  <r>
    <s v="Facilities "/>
    <s v="Director, Research Laboratories"/>
    <s v="Academic and Student Services Office"/>
    <n v="847"/>
    <n v="8471280"/>
    <s v="KUST - Center for Teaching &amp; Learning"/>
    <n v="1"/>
    <n v="492316"/>
    <s v="492316-Laboratory equipment"/>
    <s v="000000"/>
    <s v="KUST - General"/>
    <n v="847001"/>
    <s v="FA180-Capex Expense"/>
    <n v="300180"/>
    <x v="242"/>
    <s v="492316.Laboratory equipment-Number of Research-Number"/>
    <s v="Number"/>
    <n v="5"/>
    <n v="2000"/>
    <s v="Converting face to face courses to hybrid format (SME, ID, IT) and developing blended online courses (SME, ID, IT)"/>
    <n v="10000"/>
    <s v="KU Regular operations"/>
    <s v="Recurring"/>
    <s v="Utilize state-of-the-art technologies and facilities in an optimal and efficient manner"/>
    <n v="0"/>
  </r>
  <r>
    <s v="Academic "/>
    <s v="No Applicable"/>
    <s v="Academic and Student Services Office"/>
    <n v="847"/>
    <n v="8471280"/>
    <s v="KUST - Center for Teaching &amp; Learning"/>
    <n v="1"/>
    <n v="428090"/>
    <s v="428090-Business Travel - Combined expenses"/>
    <s v="000000"/>
    <s v="KUST - General"/>
    <n v="847001"/>
    <s v="FA179-Opex Expense"/>
    <n v="200179"/>
    <x v="243"/>
    <s v="428090.Business Travel - Combined expenses-Number of Staff-Number"/>
    <s v="Number"/>
    <n v="3"/>
    <n v="1100"/>
    <s v="overseas conferences for staff"/>
    <n v="3300"/>
    <s v="KU Regular operations"/>
    <s v="Recurring"/>
    <s v="Align academic programs with the local and global labor market needs"/>
    <n v="0"/>
  </r>
  <r>
    <s v="Communiction &amp; Marketing"/>
    <s v="Director, Marketing and Communication"/>
    <s v="Academic and Student Services Office"/>
    <n v="847"/>
    <n v="8471250"/>
    <s v="KUST - Career Services"/>
    <n v="1"/>
    <n v="425510"/>
    <s v="425510-Conferences, seminars and exhibitions and other events: - Local Events"/>
    <s v="000000"/>
    <s v="KUST - General"/>
    <n v="847001"/>
    <s v="FA179-Opex Expense"/>
    <n v="200179"/>
    <x v="244"/>
    <s v="425510.Conferences, seminars and exhibitions and other events: - Local Events-Number of Event-Number"/>
    <s v="Number"/>
    <n v="5"/>
    <n v="200000"/>
    <s v="Career Fair, Alumni Reunion, Majors Day and Employer Recognition -  event organization/ venue setup"/>
    <n v="1000000"/>
    <s v="KU Strategic New Initiative"/>
    <s v="Recurring"/>
    <s v="Develop a career guidance system"/>
    <n v="0"/>
  </r>
  <r>
    <s v="Student"/>
    <s v="No Applicable"/>
    <s v="Academic and Student Services Office"/>
    <n v="847"/>
    <n v="8471250"/>
    <s v="KUST - Career Services"/>
    <n v="1"/>
    <n v="425720"/>
    <s v="425720-Education-Outsourced training service"/>
    <s v="000000"/>
    <s v="KUST - General"/>
    <n v="847001"/>
    <s v="FA179-Opex Expense"/>
    <n v="200179"/>
    <x v="245"/>
    <s v="425720.Education-Outsourced training service-Activities-No of Activities"/>
    <s v="Number"/>
    <n v="2"/>
    <n v="280000"/>
    <s v="Outsourced: Career Development Course Content"/>
    <n v="560000"/>
    <s v="KU Strategic New Initiative"/>
    <s v="Recurring"/>
    <s v="Develop a career guidance system"/>
    <n v="0"/>
  </r>
  <r>
    <s v="Student"/>
    <s v="No Applicable"/>
    <s v="Academic and Student Services Office"/>
    <n v="847"/>
    <n v="8471250"/>
    <s v="KUST - Career Services"/>
    <n v="1"/>
    <n v="425762"/>
    <s v="425762-Student Internship"/>
    <s v="000000"/>
    <s v="KUST - General"/>
    <n v="847001"/>
    <s v="FA179-Opex Expense"/>
    <n v="200179"/>
    <x v="246"/>
    <s v="425762.Student Internship-Number of Students UG-Month"/>
    <s v="Number"/>
    <n v="80"/>
    <n v="26800"/>
    <s v="International placements: to cover accomodation, travel expenses, air tickets and per diem"/>
    <n v="2144000"/>
    <s v="KU Strategic New Initiative"/>
    <s v="Recurring"/>
    <s v="Develop holistic internship programs "/>
    <n v="0"/>
  </r>
  <r>
    <s v="Other support"/>
    <s v="Director, Human Resources"/>
    <s v="Academic and Student Services Office"/>
    <n v="847"/>
    <n v="8471250"/>
    <s v="KUST - Career Services"/>
    <n v="1"/>
    <n v="425900"/>
    <s v="425900-Entertainment and hospitality"/>
    <s v="000000"/>
    <s v="KUST - General"/>
    <n v="847001"/>
    <s v="FA179-Opex Expense"/>
    <n v="200179"/>
    <x v="247"/>
    <s v="425900.Entertainment and hospitality-1. No of events/workshops planned-count"/>
    <s v="count"/>
    <n v="5"/>
    <n v="15000"/>
    <s v="To cover the various events held during the academic year"/>
    <n v="75000"/>
    <s v="KU Regular operations"/>
    <s v="Recurring"/>
    <m/>
    <n v="0"/>
  </r>
  <r>
    <s v="IT"/>
    <s v="Director, Technology Development"/>
    <s v="Academic and Student Services Office"/>
    <n v="847"/>
    <n v="8471250"/>
    <s v="KUST - Career Services"/>
    <n v="1"/>
    <n v="426610"/>
    <s v="426610-Computer software licenses"/>
    <s v="000000"/>
    <s v="KUST - General"/>
    <n v="847001"/>
    <s v="FA179-Opex Expense"/>
    <n v="200179"/>
    <x v="248"/>
    <s v="426610.Computer software licenses-Software License Renewal-number of licenses-Number"/>
    <s v="number"/>
    <n v="3"/>
    <n v="373152"/>
    <s v="Systems renewal cost"/>
    <n v="1119456"/>
    <s v="KU Regular operations"/>
    <s v="Recurring"/>
    <m/>
    <n v="0"/>
  </r>
  <r>
    <s v="Academic "/>
    <s v="No Applicable"/>
    <s v="Academic and Student Services Office"/>
    <n v="847"/>
    <n v="8471250"/>
    <s v="KUST - Career Services"/>
    <n v="1"/>
    <n v="428090"/>
    <s v="428090-Business Travel - Combined expenses"/>
    <s v="000000"/>
    <s v="KUST - General"/>
    <n v="847001"/>
    <s v="FA179-Opex Expense"/>
    <n v="200179"/>
    <x v="249"/>
    <s v="428090.Business Travel - Combined expenses-Number of Staff-Number"/>
    <s v="number"/>
    <m/>
    <m/>
    <m/>
    <n v="0"/>
    <s v="KU Regular operations"/>
    <s v="Recurring"/>
    <m/>
    <n v="0"/>
  </r>
  <r>
    <s v="Communiction &amp; Marketing"/>
    <s v="Director, Marketing and Communication"/>
    <s v="Academic and Student Services Office"/>
    <n v="847"/>
    <n v="8471250"/>
    <s v="KUST - Career Services"/>
    <n v="1"/>
    <n v="428640"/>
    <s v="428640-Events - Awards, prizes &amp; gifts"/>
    <s v="000000"/>
    <s v="KUST - General"/>
    <n v="847001"/>
    <s v="FA179-Opex Expense"/>
    <n v="200179"/>
    <x v="250"/>
    <s v="428640.Events - Awards, prizes &amp; gifts-Number of gifts-count"/>
    <s v="count"/>
    <n v="200"/>
    <n v="400"/>
    <s v="Trophies for participants in major events as an appreciation for their contribution to further students career development "/>
    <n v="80000"/>
    <s v="KU Regular operations"/>
    <s v="Recurring"/>
    <m/>
    <n v="0"/>
  </r>
  <r>
    <s v="Other support"/>
    <s v="No Applicable"/>
    <s v="Academic and Student Services Office"/>
    <n v="847"/>
    <n v="8471250"/>
    <s v="KUST - Career Services"/>
    <n v="1"/>
    <n v="436110"/>
    <s v="436110-Printing supplies"/>
    <s v="000000"/>
    <s v="KUST - General"/>
    <n v="847001"/>
    <s v="FA179-Opex Expense"/>
    <n v="200179"/>
    <x v="251"/>
    <s v="436110.Printing supplies-Number of Employees-Number"/>
    <s v="number"/>
    <n v="5"/>
    <n v="2000"/>
    <s v="branding and collaterals, flyers and handbooks to be printed for events "/>
    <n v="10000"/>
    <s v="KU Regular operations"/>
    <s v="Recurring"/>
    <m/>
    <n v="0"/>
  </r>
  <r>
    <s v="Communiction &amp; Marketing"/>
    <s v="Director, Marketing and Communication"/>
    <s v="Continuing Education"/>
    <n v="847"/>
    <n v="8471010"/>
    <s v="KUST - Continuing Education Office"/>
    <n v="1"/>
    <n v="425100"/>
    <s v="425100-Advertising"/>
    <s v="000000"/>
    <s v="KUST - General"/>
    <n v="847001"/>
    <s v="FA179-Opex Expense"/>
    <n v="200179"/>
    <x v="252"/>
    <s v="425100.Advertising Services (General)-Digital Marketing Campaigns-count"/>
    <s v="count"/>
    <n v="2"/>
    <n v="65000"/>
    <s v="Digital Marketing campaign to increase visibility and to _x000a_promote the KU-CE trainings and other related activities."/>
    <n v="130000"/>
    <s v="KU Regular operations"/>
    <s v="Recurring"/>
    <s v="Enhance the communication plan and outreach activities"/>
    <n v="0"/>
  </r>
  <r>
    <s v="Communiction &amp; Marketing"/>
    <s v="Director, Marketing and Communication"/>
    <s v="Continuing Education"/>
    <n v="847"/>
    <n v="8471010"/>
    <s v="KUST - Continuing Education Office"/>
    <n v="1"/>
    <n v="425510"/>
    <s v="425510-Conferences, seminars and exhibitions and other events: - Local Events"/>
    <s v="000000"/>
    <s v="KUST - General"/>
    <n v="847001"/>
    <s v="FA179-Opex Expense"/>
    <n v="200179"/>
    <x v="253"/>
    <s v="425510.Conferences, seminars and exhibitions and other events: - Local Events-Seminars-Number of Seminars"/>
    <s v="Number of Seminars"/>
    <n v="2"/>
    <n v="50000"/>
    <s v="To participate in the local / regional seminars, conferences &amp; exhibits to expand the network."/>
    <n v="100000"/>
    <s v="KU Regular operations"/>
    <s v="Recurring"/>
    <s v="Attract and organize international conferences and summits"/>
    <n v="0"/>
  </r>
  <r>
    <s v="Student"/>
    <s v="No Applicable"/>
    <s v="Continuing Education"/>
    <n v="847"/>
    <n v="8471010"/>
    <s v="KUST - Continuing Education Office"/>
    <n v="1"/>
    <n v="425720"/>
    <s v="425720-Education-Outsourced training service"/>
    <s v="000000"/>
    <s v="KUST - General"/>
    <n v="847001"/>
    <s v="FA179-Opex Expense"/>
    <n v="200179"/>
    <x v="254"/>
    <s v="425720.Education-Outsourced training service-Activities-No of Activities"/>
    <s v="No of Activities"/>
    <n v="21"/>
    <n v="6920"/>
    <s v="Payment for the outsourced logistics as per the signed agreement."/>
    <n v="145320"/>
    <s v="KU Regular operations"/>
    <s v="Recurring"/>
    <s v="Build partnerships with local and international universities"/>
    <n v="0"/>
  </r>
  <r>
    <s v="Other support"/>
    <s v="Director, Human Resources"/>
    <s v="Continuing Education"/>
    <n v="847"/>
    <n v="8471010"/>
    <s v="KUST - Continuing Education Office"/>
    <n v="1"/>
    <n v="425900"/>
    <s v="425900-Entertainment and hospitality"/>
    <s v="000000"/>
    <s v="KUST - General"/>
    <n v="847001"/>
    <s v="FA179-Opex Expense"/>
    <n v="200179"/>
    <x v="255"/>
    <s v="425900.Entertainment and hospitality-1. No of events/workshops planned-count"/>
    <s v="count"/>
    <n v="15"/>
    <n v="6500"/>
    <s v="Catering services for the students/ participants of the face to face trainings and other related activities."/>
    <n v="97500"/>
    <s v="KU Regular operations"/>
    <s v="Recurring"/>
    <s v="Ensure the university sustainability "/>
    <n v="0"/>
  </r>
  <r>
    <s v="Other support"/>
    <s v="No Applicable"/>
    <s v="Continuing Education"/>
    <n v="847"/>
    <n v="8471010"/>
    <s v="KUST - Continuing Education Office"/>
    <n v="1"/>
    <n v="436110"/>
    <s v="436110-Printing supplies"/>
    <s v="000000"/>
    <s v="KUST - General"/>
    <n v="847001"/>
    <s v="FA179-Opex Expense"/>
    <n v="200179"/>
    <x v="256"/>
    <s v="436110.Printing supplies-Number of Student-Number"/>
    <s v="Number"/>
    <n v="8"/>
    <n v="4000"/>
    <s v="Printing training_x000a_materials (Students' training manual)._x000a_"/>
    <n v="32000"/>
    <s v="KU Regular operations"/>
    <s v="Recurring"/>
    <s v="Ensure the university sustainability "/>
    <n v="0"/>
  </r>
  <r>
    <s v="Other support"/>
    <s v="No Applicable"/>
    <s v="Continuing Education"/>
    <n v="847"/>
    <n v="8471010"/>
    <s v="KUST - Continuing Education Office"/>
    <n v="1"/>
    <n v="436120"/>
    <s v="436120-Stationery"/>
    <s v="000000"/>
    <s v="KUST - General"/>
    <n v="847001"/>
    <s v="FA179-Opex Expense"/>
    <n v="200179"/>
    <x v="257"/>
    <s v="436120.Stationery-Number of Employees-Number"/>
    <s v="Number"/>
    <n v="12"/>
    <n v="500"/>
    <s v="Students' training supplies/ stationeries  pens, note pads and etc._x000a_Faculty training supplies, whiteboard markers, flip charts paper and etc."/>
    <n v="6000"/>
    <s v="KU Regular operations"/>
    <s v="Recurring"/>
    <s v="Ensure the university sustainability "/>
    <n v="0"/>
  </r>
  <r>
    <s v="Academic"/>
    <s v="No Applicable"/>
    <s v="Academic and Student Services Office"/>
    <n v="847"/>
    <n v="8470230"/>
    <s v="KUST - Graduate Studies"/>
    <n v="1"/>
    <n v="420550"/>
    <s v="420550-Academic Advisory Service"/>
    <s v="000000"/>
    <s v="KUST - General"/>
    <n v="847001"/>
    <s v="FA179-Opex Expense"/>
    <n v="200179"/>
    <x v="258"/>
    <s v="420550.Academic Advisory Service-Number of Students-Number"/>
    <s v="Number"/>
    <n v="88"/>
    <n v="31420"/>
    <s v="Number of PhD students graduating - Refer to attached Itemised Details"/>
    <n v="2764960"/>
    <s v="KU Regular operations"/>
    <s v="Recurring"/>
    <s v="Align the postgraduates programs with the research strategy"/>
    <n v="0"/>
  </r>
  <r>
    <s v="Communiction &amp; Marketing"/>
    <s v="Director, Marketing and Communication"/>
    <s v="Academic and Student Services Office"/>
    <n v="847"/>
    <n v="8470230"/>
    <s v="KUST - Graduate Studies"/>
    <n v="1"/>
    <n v="425100"/>
    <s v="425100-Advertising"/>
    <s v="000000"/>
    <s v="KUST - General"/>
    <n v="847001"/>
    <s v="FA179-Opex Expense"/>
    <n v="200179"/>
    <x v="259"/>
    <s v="425100.Advertising Services (General)-Digital Marketing Campaigns-count"/>
    <s v="count"/>
    <n v="8"/>
    <n v="37500"/>
    <s v="Refer to attached Itemised Details"/>
    <n v="300000"/>
    <s v="KU Regular operations"/>
    <s v="Recurring"/>
    <s v="Increase number of postgraduate students"/>
    <n v="0"/>
  </r>
  <r>
    <s v="Communiction &amp; Marketing"/>
    <s v="Director, Marketing and Communication"/>
    <s v="Academic and Student Services Office"/>
    <n v="847"/>
    <n v="8470230"/>
    <s v="KUST - Graduate Studies"/>
    <n v="1"/>
    <n v="425510"/>
    <s v="425510-Conferences, seminars and exhibitions and other events: - Local Events"/>
    <s v="000000"/>
    <s v="KUST - General"/>
    <n v="847001"/>
    <s v="FA179-Opex Expense"/>
    <n v="200179"/>
    <x v="260"/>
    <s v="425510.Conferences, seminars and exhibitions and other events: - Local Events-Number of attendees-count"/>
    <s v="count"/>
    <n v="15"/>
    <n v="3200"/>
    <s v="Number of students expected to apply for conference funding - Refer to attached Itemised Details"/>
    <n v="48000"/>
    <s v="KU Regular operations"/>
    <s v="Recurring"/>
    <s v="Increase publications in journals with high impact factor"/>
    <n v="0"/>
  </r>
  <r>
    <s v="Communiction &amp; Marketing"/>
    <s v="No Applicable"/>
    <s v="Academic and Student Services Office"/>
    <n v="847"/>
    <n v="8470230"/>
    <s v="KUST - Graduate Studies"/>
    <n v="1"/>
    <n v="425550"/>
    <s v="425550-Conferences, seminars and exhibitions and other events: - Overseas event"/>
    <s v="000000"/>
    <s v="KUST - General"/>
    <n v="847001"/>
    <s v="FA179-Opex Expense"/>
    <n v="200179"/>
    <x v="261"/>
    <s v="425550.Conferences, seminars and exhibitions and other events: - Overseas event-Conferences-Number of Conferences"/>
    <s v="Number of Conferences"/>
    <n v="30"/>
    <n v="14800"/>
    <s v="Number of students expected to apply for conference funding - Refer to attached Itemised Details"/>
    <n v="444000"/>
    <s v="KU Regular operations"/>
    <s v="Recurring"/>
    <s v="Increase publications in journals with high impact factor"/>
    <n v="0"/>
  </r>
  <r>
    <s v="Student"/>
    <s v="No Applicable"/>
    <s v="Academic and Student Services Office"/>
    <n v="847"/>
    <n v="8470230"/>
    <s v="KUST - Graduate Studies"/>
    <n v="1"/>
    <n v="425743"/>
    <s v="425743-Graduation rewards"/>
    <s v="000000"/>
    <s v="KUST - General"/>
    <n v="847001"/>
    <s v="FA179-Opex Expense"/>
    <n v="200179"/>
    <x v="262"/>
    <m/>
    <s v="-_"/>
    <m/>
    <m/>
    <s v="Not required - zero MI legacy students eligible for graduation rewards after 2022."/>
    <n v="0"/>
    <m/>
    <m/>
    <m/>
    <n v="0"/>
  </r>
  <r>
    <s v="Student"/>
    <s v="No Applicable"/>
    <s v="Academic and Student Services Office"/>
    <n v="847"/>
    <n v="8470230"/>
    <s v="KUST - Graduate Studies"/>
    <n v="1"/>
    <n v="425744"/>
    <s v="425744-Student medical insurance"/>
    <s v="000000"/>
    <s v="KUST - General"/>
    <n v="847001"/>
    <s v="FA179-Opex Expense"/>
    <n v="200179"/>
    <x v="263"/>
    <s v="425744.Student medical insurance-Number Student Phd-Number"/>
    <s v="Number"/>
    <n v="1095"/>
    <n v="4000"/>
    <s v="Number of eligible expat students - Refer to attached Itemised Details"/>
    <n v="4380000"/>
    <s v="KU Regular operations"/>
    <s v="Recurring"/>
    <s v="Increase number of postgraduate students"/>
    <n v="0"/>
  </r>
  <r>
    <s v="Student"/>
    <s v="No Applicable"/>
    <s v="Academic and Student Services Office"/>
    <n v="847"/>
    <n v="8470230"/>
    <s v="KUST - Graduate Studies"/>
    <n v="1"/>
    <n v="425745"/>
    <s v="425745-Student relocation &amp; travel exps"/>
    <s v="000000"/>
    <s v="KUST - General"/>
    <n v="847001"/>
    <s v="FA179-Opex Expense"/>
    <n v="200179"/>
    <x v="264"/>
    <s v="425745.Student relocation &amp; travel exps-Number of Students Phd-Month"/>
    <s v="Month"/>
    <n v="1165"/>
    <n v="3145"/>
    <s v="Number of eligible expat students - Refer to attached Itemised Details"/>
    <n v="3663925"/>
    <s v="KU Regular operations"/>
    <s v="Recurring"/>
    <s v="Increase number of postgraduate students"/>
    <n v="0"/>
  </r>
  <r>
    <s v="Student"/>
    <s v="No Applicable"/>
    <s v="Academic and Student Services Office"/>
    <n v="847"/>
    <n v="8470230"/>
    <s v="KUST - Graduate Studies"/>
    <n v="1"/>
    <n v="425749"/>
    <s v="425749-Postgraduate Student Salaries"/>
    <s v="000000"/>
    <s v="KUST - General"/>
    <n v="847001"/>
    <s v="FA179-Opex Expense"/>
    <n v="200179"/>
    <x v="265"/>
    <s v="425749.Postgraduate Student Salaries-Post Graduate students-No of Post Graduate Students"/>
    <s v="No of Post Graduate Students"/>
    <n v="1400"/>
    <n v="178000"/>
    <s v="Refer to attached Itemised Details"/>
    <n v="249200000"/>
    <s v="KU Regular operations"/>
    <s v="Recurring"/>
    <s v="Increase number of postgraduate students"/>
    <n v="0"/>
  </r>
  <r>
    <s v="Academic"/>
    <s v="No Applicable"/>
    <s v="Academic and Student Services Office"/>
    <n v="847"/>
    <n v="8470230"/>
    <s v="KUST - Graduate Studies"/>
    <n v="1"/>
    <n v="425761"/>
    <s v="425761-Student Field trips"/>
    <s v="000000"/>
    <s v="KUST - General"/>
    <n v="847001"/>
    <s v="FA179-Opex Expense"/>
    <n v="200179"/>
    <x v="266"/>
    <s v="425761.Student Field trips-Number Student Phd-Number"/>
    <s v="Number"/>
    <n v="15"/>
    <n v="15000"/>
    <s v="Number of students expected to apply for field trip - Refer to attached Itemised Details"/>
    <n v="225000"/>
    <s v="KU Regular operations"/>
    <s v="Recurring"/>
    <s v="Establish a mobility program for students, faculty, researchers and staff"/>
    <n v="0"/>
  </r>
  <r>
    <s v="Student"/>
    <s v="No Applicable"/>
    <s v="Academic and Student Services Office"/>
    <n v="847"/>
    <n v="8470230"/>
    <s v="KUST - Graduate Studies"/>
    <n v="1"/>
    <n v="425762"/>
    <s v="425762-Student Internship"/>
    <s v="000000"/>
    <s v="KUST - General"/>
    <n v="847001"/>
    <s v="FA179-Opex Expense"/>
    <n v="200179"/>
    <x v="267"/>
    <s v="425762.Student Internship-Number Student Phd-Number"/>
    <s v="Number"/>
    <n v="15"/>
    <n v="15000"/>
    <s v="Number of students expected to apply for internship - Refer to attached Itemised Details"/>
    <n v="225000"/>
    <s v="KU Regular operations"/>
    <s v="Recurring"/>
    <s v="Establish a mobility program for students, faculty, researchers and staff"/>
    <n v="0"/>
  </r>
  <r>
    <s v="Other support"/>
    <s v="Director, Human Resources"/>
    <s v="Academic and Student Services Office"/>
    <n v="847"/>
    <n v="8470230"/>
    <s v="KUST - Graduate Studies"/>
    <n v="1"/>
    <n v="425900"/>
    <s v="425900-Entertainment and hospitality"/>
    <s v="000000"/>
    <s v="KUST - General"/>
    <n v="847001"/>
    <s v="FA179-Opex Expense"/>
    <n v="200179"/>
    <x v="268"/>
    <s v="425900.Entertainment and hospitality-1. No of events/workshops planned-count"/>
    <s v="count"/>
    <n v="240"/>
    <n v="268"/>
    <s v="Refer to attached Itemised Details"/>
    <n v="64320"/>
    <s v="KU Regular operations"/>
    <s v="Recurring"/>
    <m/>
    <n v="0"/>
  </r>
  <r>
    <s v="IT"/>
    <s v="Director, Technology Development"/>
    <s v="Academic and Student Services Office"/>
    <n v="847"/>
    <n v="8470230"/>
    <s v="KUST - Graduate Studies"/>
    <n v="1"/>
    <n v="426610"/>
    <s v="426610-Computer software licenses"/>
    <s v="000000"/>
    <s v="KUST - General"/>
    <n v="847001"/>
    <s v="FA179-Opex Expense"/>
    <n v="200179"/>
    <x v="269"/>
    <s v="426610.Computer software licenses-Software License Renewal-number of licenses-Number"/>
    <s v="Number"/>
    <n v="1"/>
    <n v="10000"/>
    <s v="Refer to attached Itemised Details"/>
    <n v="10000"/>
    <s v="KU Regular operations"/>
    <s v="Recurring"/>
    <m/>
    <n v="0"/>
  </r>
  <r>
    <s v="Academic "/>
    <s v="No Applicable"/>
    <s v="Academic and Student Services Office"/>
    <n v="847"/>
    <n v="8470230"/>
    <s v="KUST - Graduate Studies"/>
    <n v="1"/>
    <n v="428090"/>
    <s v="428090-Business Travel - Combined expenses"/>
    <s v="000000"/>
    <s v="KUST - General"/>
    <n v="847001"/>
    <s v="FA179-Opex Expense"/>
    <n v="200179"/>
    <x v="270"/>
    <s v="428090.Business Travel - Combined expenses-Number of Staff-Number"/>
    <s v="Number"/>
    <n v="5"/>
    <n v="19160"/>
    <s v="Number of trips per year - Refer to attached Itemised Details"/>
    <n v="95800"/>
    <s v="KU Regular operations"/>
    <s v="Recurring"/>
    <s v="Increase number of postgraduate students"/>
    <n v="0"/>
  </r>
  <r>
    <s v="Communiction &amp; Marketing"/>
    <s v="Director, Marketing and Communication"/>
    <s v="Academic and Student Services Office"/>
    <n v="847"/>
    <n v="8470230"/>
    <s v="KUST - Graduate Studies"/>
    <n v="1"/>
    <n v="428640"/>
    <s v="428640-Events - Awards, prizes &amp; gifts"/>
    <s v="000000"/>
    <s v="KUST - General"/>
    <n v="847001"/>
    <s v="FA179-Opex Expense"/>
    <n v="200179"/>
    <x v="271"/>
    <s v="428640.Events - Awards, prizes &amp; gifts-Number of prizes-count"/>
    <s v="count"/>
    <n v="1088"/>
    <n v="78"/>
    <s v="Refer to attached Itemised Details"/>
    <n v="84864"/>
    <s v="KU Regular operations"/>
    <s v="Recurring"/>
    <m/>
    <n v="0"/>
  </r>
  <r>
    <s v="Other support"/>
    <s v="No Applicable"/>
    <s v="Academic and Student Services Office"/>
    <n v="847"/>
    <n v="8470230"/>
    <s v="KUST - Graduate Studies"/>
    <n v="1"/>
    <n v="436110"/>
    <s v="436110-Printing supplies"/>
    <s v="000000"/>
    <s v="KUST - General"/>
    <n v="847001"/>
    <s v="FA179-Opex Expense"/>
    <n v="200179"/>
    <x v="272"/>
    <s v="436110.Printing supplies-Number of Employees-Number"/>
    <s v="Number"/>
    <n v="1"/>
    <n v="5000"/>
    <s v="General cost for the office - Refer to attached Itemised Details"/>
    <n v="5000"/>
    <s v="KU Regular operations"/>
    <s v="Recurring"/>
    <m/>
    <n v="0"/>
  </r>
  <r>
    <s v="IT"/>
    <s v="Director, Technology Development"/>
    <s v="Academic and Student Services Office"/>
    <n v="847"/>
    <n v="8470230"/>
    <s v="KUST - Graduate Studies"/>
    <n v="1"/>
    <n v="492310"/>
    <s v="492310-Hardware &amp; peripherals"/>
    <s v="000000"/>
    <s v="KUST - General"/>
    <n v="847001"/>
    <s v="FA180-Capex Expense"/>
    <n v="300180"/>
    <x v="273"/>
    <s v="492310.Hardware &amp; peripherals-number of hardware devices-Month"/>
    <s v="Month"/>
    <n v="207"/>
    <n v="4500"/>
    <s v="Number of PhD students - Refer to attached Itemised Details"/>
    <n v="931500"/>
    <s v="KU Regular operations"/>
    <s v="Recurring"/>
    <s v="Develop competitive fellowship programs for students"/>
    <n v="0"/>
  </r>
  <r>
    <s v="Academic"/>
    <s v="No Applicable"/>
    <s v="College of Medicine &amp; Health Sciences"/>
    <n v="847"/>
    <n v="8471305"/>
    <s v="KUST - Dean Of Medicine"/>
    <n v="1"/>
    <n v="420570"/>
    <s v="420570-Academic Collaborative Partnership Services"/>
    <s v="000000"/>
    <s v="KUST - General"/>
    <n v="847001"/>
    <s v="FA179-Opex Expense"/>
    <n v="200179"/>
    <x v="274"/>
    <s v="420550.Academic Advisory Service-Number of Students-Number"/>
    <s v="Number"/>
    <n v="1"/>
    <n v="34786785.600000001"/>
    <s v="As per the Signed Agreement for Clinical training for MD students between SSMC-SEHA and KU"/>
    <n v="34786785.600000001"/>
    <s v="Recurring"/>
    <s v="Widen access to students with outstanding academic potential"/>
    <m/>
    <n v="0"/>
  </r>
  <r>
    <s v="IT"/>
    <s v="Director, Technology Development"/>
    <s v="College of Medicine &amp; Health Sciences"/>
    <n v="847"/>
    <n v="8471305"/>
    <s v="KUST - Dean Of Medicine"/>
    <n v="1"/>
    <n v="420811"/>
    <s v="420811-IT Systems &amp; Support expenses-Application/Systems Operation"/>
    <s v="000000"/>
    <s v="KUST - General"/>
    <n v="847001"/>
    <s v="FA179-Opex Expense"/>
    <n v="200179"/>
    <x v="275"/>
    <s v="420811.IT Systems &amp; Support expenses-Application/Systems Operation-Number of Students-Number"/>
    <s v="Number"/>
    <n v="145"/>
    <n v="2961"/>
    <s v="Learning platforms to support new P1  class of 50 students plus  P 2,3, and 4 matriculation students for learning platform resouces, required to be successful on international exam performance. "/>
    <n v="429355.5"/>
    <s v="Recurring"/>
    <s v="Widen access to students with outstanding academic potential"/>
    <m/>
    <n v="-10.5"/>
  </r>
  <r>
    <s v="HR"/>
    <s v="Manager, Business Development"/>
    <s v="College of Medicine &amp; Health Sciences"/>
    <n v="847"/>
    <n v="8471305"/>
    <s v="KUST - Dean Of Medicine"/>
    <n v="1"/>
    <n v="421000"/>
    <s v="421000-Management consultancy"/>
    <s v="000000"/>
    <s v="KUST - General"/>
    <n v="847001"/>
    <s v="FA179-Opex Expense"/>
    <n v="200179"/>
    <x v="276"/>
    <s v="421000.Management consultancy-Number of contracted consultations -count"/>
    <s v="count"/>
    <n v="10"/>
    <n v="42000"/>
    <s v="High level consultants to review and evaluate or teach faculty and staff what is required to set plans, evaluation and success of students.  USMLE, CAA, Student Health, coaching, external speakers etc. advisory for curriculumn "/>
    <n v="420000"/>
    <s v="Recurring"/>
    <s v="Promote a working culture of excellence and accountability"/>
    <m/>
    <n v="0"/>
  </r>
  <r>
    <s v="Academic"/>
    <s v="Director, Institutional Research and Planning"/>
    <s v="College of Medicine &amp; Health Sciences"/>
    <n v="847"/>
    <n v="8471305"/>
    <s v="KUST - Dean Of Medicine"/>
    <n v="1"/>
    <n v="421700"/>
    <s v="421700-Standards certification (e.g. ISO)"/>
    <s v="000000"/>
    <s v="KUST - General"/>
    <n v="847001"/>
    <s v="FA179-Opex Expense"/>
    <n v="200179"/>
    <x v="277"/>
    <s v="421700.Standards Certification Services (e.g. ISO)-professional services scope/deliverables-Number"/>
    <s v="Number"/>
    <n v="10"/>
    <n v="37800"/>
    <s v="BLS Certification: for P1/P2 students + staff, ACLC Certification"/>
    <n v="378000"/>
    <s v="Recurring"/>
    <s v="Develop and implement of performance management system across the university"/>
    <m/>
    <n v="0"/>
  </r>
  <r>
    <s v="Facilities "/>
    <s v="No Applicable"/>
    <s v="College of Medicine &amp; Health Sciences"/>
    <n v="847"/>
    <n v="8471305"/>
    <s v="KUST - Dean Of Medicine"/>
    <n v="1"/>
    <n v="422100"/>
    <s v="422100-Waste management service"/>
    <s v="000000"/>
    <s v="KUST - General"/>
    <n v="847001"/>
    <s v="FA179-Opex Expense"/>
    <n v="200179"/>
    <x v="278"/>
    <s v="422100.Waste management service-Number of Services-Number"/>
    <s v="Number"/>
    <n v="4"/>
    <n v="3150"/>
    <s v="to ensure that contaminated waste removal to include blood products, tissue &amp; science matter as properly removed and destroyed."/>
    <n v="12600"/>
    <s v="Recurring"/>
    <s v="Realize a sustainable , healthy and safe campus environment for all community members"/>
    <m/>
    <n v="0"/>
  </r>
  <r>
    <s v="Communiction &amp; Marketing"/>
    <s v="Director, Marketing and Communication"/>
    <s v="College of Medicine &amp; Health Sciences"/>
    <n v="847"/>
    <n v="8471305"/>
    <s v="KUST - Dean Of Medicine"/>
    <n v="1"/>
    <n v="425510"/>
    <s v="425510-Conferences, seminars and exhibitions and other events: - Local Events"/>
    <s v="000000"/>
    <s v="KUST - General"/>
    <n v="847001"/>
    <s v="FA179-Opex Expense"/>
    <n v="200179"/>
    <x v="279"/>
    <s v="425510.Conferences, seminars and exhibitions and other events: - Local Events-Events-Number of Events"/>
    <s v="Number of Events"/>
    <n v="34"/>
    <n v="31500"/>
    <s v="1- hosting, presenting and attending at local conferences, networking and learning to increase the KU CMHS visibilty and ranking. 50/6000AED_x000a_2- Department cermonial expenses 4/10000 AED"/>
    <n v="1071000"/>
    <s v="Recurring"/>
    <s v="Strengthen research ethical culture framework across the university"/>
    <m/>
    <n v="0"/>
  </r>
  <r>
    <s v="Communiction &amp; Marketing"/>
    <s v="No Applicable"/>
    <s v="College of Medicine &amp; Health Sciences"/>
    <n v="847"/>
    <n v="8471305"/>
    <s v="KUST - Dean Of Medicine"/>
    <n v="1"/>
    <n v="425550"/>
    <s v="425550-Conferences, seminars and exhibitions and other events: - Overseas event"/>
    <s v="000000"/>
    <s v="KUST - General"/>
    <n v="847001"/>
    <s v="FA179-Opex Expense"/>
    <n v="200179"/>
    <x v="280"/>
    <s v="425550.Conferences, seminars and exhibitions and other events: - Overseas event-Conferences-Number of Conferences"/>
    <s v="Number of Conferences"/>
    <n v="38"/>
    <n v="31500"/>
    <s v="presenting at international conferences, networking and recruitment. Exposure to move to top 100 universities  24/30000AED"/>
    <n v="1197000"/>
    <s v="Recurring"/>
    <s v="Build partnerships with local and international universities"/>
    <m/>
    <n v="0"/>
  </r>
  <r>
    <s v="Student"/>
    <s v="No Applicable"/>
    <s v="College of Medicine &amp; Health Sciences"/>
    <n v="847"/>
    <n v="8471305"/>
    <s v="KUST - Dean Of Medicine"/>
    <n v="1"/>
    <n v="425720"/>
    <s v="425720-Education-Outsourced training service"/>
    <s v="000000"/>
    <s v="KUST - General"/>
    <n v="847001"/>
    <s v="FA179-Opex Expense"/>
    <n v="200179"/>
    <x v="281"/>
    <s v="425720.Education-Outsourced training service-Activities-No of Activities"/>
    <s v="No of Activities"/>
    <n v="10"/>
    <n v="315000"/>
    <s v="KAPLAN,MCAT standardized exams, predicting students success and progession academically and benchmark. Standardized patient exams"/>
    <n v="3150000"/>
    <s v="Recurring"/>
    <s v="Widen access to students with outstanding academic potential"/>
    <m/>
    <n v="0"/>
  </r>
  <r>
    <s v="Academic"/>
    <s v="No Applicable"/>
    <s v="College of Medicine &amp; Health Sciences"/>
    <n v="847"/>
    <n v="8471305"/>
    <s v="KUST - Dean Of Medicine"/>
    <n v="1"/>
    <n v="425742"/>
    <s v="425742-Enrollment expenses"/>
    <s v="000000"/>
    <s v="KUST - General"/>
    <n v="847001"/>
    <s v="FA179-Opex Expense"/>
    <n v="200179"/>
    <x v="282"/>
    <s v="425742.Enrollment expenses-Number of Students-Number"/>
    <s v="Number"/>
    <n v="145"/>
    <n v="2157.75"/>
    <s v="Added 50 new P1 students to have a total of 145 returning for courses this 2023 -2024 academic year. _x000a_Visa processing and health insurance requirments for students_x000a_"/>
    <n v="312873.75"/>
    <s v="Recurring"/>
    <s v="Widen access to students with outstanding academic potential"/>
    <m/>
    <n v="0"/>
  </r>
  <r>
    <s v="Student"/>
    <s v="No Applicable"/>
    <s v="College of Medicine &amp; Health Sciences"/>
    <n v="847"/>
    <n v="8471305"/>
    <s v="KUST - Dean Of Medicine"/>
    <n v="1"/>
    <n v="425745"/>
    <s v="425745-Student relocation &amp; travel exps"/>
    <s v="000000"/>
    <s v="KUST - General"/>
    <n v="847001"/>
    <s v="FA179-Opex Expense"/>
    <n v="200179"/>
    <x v="283"/>
    <s v="425745.Student relocation &amp; travel exps-Number of Students UG-Month"/>
    <s v="Month"/>
    <n v="25"/>
    <n v="34650"/>
    <s v="Travel for student abroad coming to KU for academic studies."/>
    <n v="866250"/>
    <s v="Recurring"/>
    <s v="Widen access to students with outstanding academic potential"/>
    <m/>
    <n v="0"/>
  </r>
  <r>
    <s v="Student"/>
    <s v="No Applicable"/>
    <s v="College of Medicine &amp; Health Sciences"/>
    <n v="847"/>
    <n v="8471305"/>
    <s v="KUST - Dean Of Medicine"/>
    <n v="1"/>
    <n v="425746"/>
    <s v="425746-Student Transport"/>
    <s v="000000"/>
    <s v="KUST - General"/>
    <n v="847001"/>
    <s v="FA179-Opex Expense"/>
    <n v="200179"/>
    <x v="284"/>
    <s v="425746.Student Transport-Students_x000a_-No of Students "/>
    <s v="No of Students "/>
    <n v="90"/>
    <n v="4389"/>
    <s v="transport students to and from accommodation and other activities provided by KU"/>
    <n v="395010"/>
    <s v="Recurring"/>
    <s v="Widen access to students with outstanding academic potential"/>
    <m/>
    <n v="0"/>
  </r>
  <r>
    <s v="Student"/>
    <s v="No Applicable"/>
    <s v="College of Medicine &amp; Health Sciences"/>
    <n v="847"/>
    <n v="8471305"/>
    <s v="KUST - Dean Of Medicine"/>
    <n v="1"/>
    <n v="425749"/>
    <s v="425749-Postgraduate Student Salaries"/>
    <s v="000000"/>
    <s v="KUST - General"/>
    <n v="847001"/>
    <s v="FA179-Opex Expense"/>
    <n v="200179"/>
    <x v="285"/>
    <s v="425749.Postgraduate Student Salaries-Post Graduate students-No of Post Graduate Students"/>
    <s v="No of Post Graduate Students"/>
    <n v="1"/>
    <n v="42919800"/>
    <s v="Salaries paid to Emirati and expat students for financial support and the ability to focus on academic  studies in medicine to meet standards at the international level.  To reduce this salary puts the students at a disadvantage for cover of living expenses"/>
    <n v="42919800"/>
    <s v="Recurring"/>
    <s v="Increase number of postgraduate students"/>
    <m/>
    <n v="0"/>
  </r>
  <r>
    <s v="Student"/>
    <s v="No Applicable"/>
    <s v="College of Medicine &amp; Health Sciences"/>
    <n v="847"/>
    <n v="8471305"/>
    <s v="KUST - Dean Of Medicine"/>
    <n v="1"/>
    <n v="425750"/>
    <s v="425750-Skill assessment service"/>
    <s v="000000"/>
    <s v="KUST - General"/>
    <n v="847001"/>
    <s v="FA179-Opex Expense"/>
    <n v="200179"/>
    <x v="286"/>
    <s v="425750.Skill assessment service-Events-No of Events"/>
    <s v="No of Events"/>
    <n v="145"/>
    <n v="19417.650000000001"/>
    <s v="Required standardized exams NBME exam, IFOM, MCAT, USMLE STEP 1 AND STEP 2, Peer tutor for success for international internships. "/>
    <n v="2815559.25"/>
    <s v="Recurring"/>
    <s v="Widen access to students with outstanding academic potential"/>
    <m/>
    <n v="0"/>
  </r>
  <r>
    <s v="Student"/>
    <s v="No Applicable"/>
    <s v="College of Medicine &amp; Health Sciences"/>
    <n v="847"/>
    <n v="8471305"/>
    <s v="KUST - Dean Of Medicine"/>
    <n v="1"/>
    <n v="425762"/>
    <s v="425762-Student Internship"/>
    <s v="000000"/>
    <s v="KUST - General"/>
    <n v="847001"/>
    <s v="FA179-Opex Expense"/>
    <n v="200179"/>
    <x v="287"/>
    <s v="425762.Student Internship-Number of Students UG-Month"/>
    <s v="Month"/>
    <n v="29"/>
    <n v="119916.3"/>
    <s v="P4 Student internships for 29 students. internships increase knowledge, skill and competencies required to function as an independent medical (general) practitioner and to facilitate entry into postgraduate medical education. Abillity to enter top academic postgrad sites abroad."/>
    <n v="3477572.7"/>
    <s v="Recurring"/>
    <s v="Widen access to students with outstanding academic potential"/>
    <m/>
    <n v="0"/>
  </r>
  <r>
    <s v="Student"/>
    <s v="No Applicable"/>
    <s v="College of Medicine &amp; Health Sciences"/>
    <n v="847"/>
    <n v="8471305"/>
    <s v="KUST - Dean Of Medicine"/>
    <n v="1"/>
    <n v="425763"/>
    <s v="425763-Student Project Expenses"/>
    <s v="000000"/>
    <s v="KUST - General"/>
    <n v="847001"/>
    <s v="FA179-Opex Expense"/>
    <n v="200179"/>
    <x v="288"/>
    <s v="425763.Student Project Expenses-Number of Students UG-Month"/>
    <s v="Month"/>
    <n v="11"/>
    <n v="24512.25"/>
    <s v="Ongoing research per individual students and with faculty for a total of 145 students who can utilize this as required."/>
    <n v="269634.75"/>
    <s v="Recurring"/>
    <s v="Widen access to students with outstanding academic potential"/>
    <m/>
    <n v="0"/>
  </r>
  <r>
    <s v="Other support"/>
    <s v="Director, Human Resources"/>
    <s v="College of Medicine &amp; Health Sciences"/>
    <n v="847"/>
    <n v="8471305"/>
    <s v="KUST - Dean Of Medicine"/>
    <n v="1"/>
    <n v="425900"/>
    <s v="425900-Entertainment and hospitality"/>
    <s v="000000"/>
    <s v="KUST - General"/>
    <n v="847001"/>
    <s v="FA179-Opex Expense"/>
    <n v="200179"/>
    <x v="289"/>
    <s v="425900.Entertainment and hospitality-1. No of events/workshops planned-count"/>
    <s v="count"/>
    <n v="25"/>
    <n v="15483.3"/>
    <s v="12 events during the year to support faculty, staff and students related to recognition, visitors, awards, interal workgroups"/>
    <n v="387082.5"/>
    <s v="Recurring"/>
    <s v="Develop and implement of performance management system across the university"/>
    <m/>
    <n v="0"/>
  </r>
  <r>
    <s v="Facilities "/>
    <s v="No Applicable"/>
    <s v="College of Medicine &amp; Health Sciences"/>
    <n v="847"/>
    <n v="8471305"/>
    <s v="KUST - Dean Of Medicine"/>
    <n v="1"/>
    <n v="426100"/>
    <s v="426100-Freight and shipping costs, not included elsewhere under purchase costs"/>
    <s v="000000"/>
    <s v="KUST - General"/>
    <n v="847001"/>
    <s v="FA179-Opex Expense"/>
    <n v="200179"/>
    <x v="290"/>
    <s v="426100.Freight and shipping costs, Numbert included elsewhere under purchase costs-Number of items-Number"/>
    <s v="Number"/>
    <n v="12"/>
    <n v="8925"/>
    <s v="2500 DHS per academic - shipping samples to collaborators nationally and internationally _x000a_samples collection and shipping cost- others"/>
    <n v="107100"/>
    <s v="Recurring"/>
    <s v="Attract and organize international conferences and summits"/>
    <m/>
    <n v="0"/>
  </r>
  <r>
    <s v="IT"/>
    <s v="Director, Technology Development"/>
    <s v="College of Medicine &amp; Health Sciences"/>
    <n v="847"/>
    <n v="8471305"/>
    <s v="KUST - Dean Of Medicine"/>
    <n v="1"/>
    <n v="426610"/>
    <s v="426610-Computer software licenses"/>
    <s v="000000"/>
    <s v="KUST - General"/>
    <n v="847001"/>
    <s v="FA179-Opex Expense"/>
    <n v="200179"/>
    <x v="291"/>
    <s v="426610.Computer software licenses-Software License Renewal-number of licenses-Number"/>
    <s v="Number"/>
    <n v="1"/>
    <n v="1026231.15"/>
    <s v=" strategically aligned with student academic excellence.  This applies to academic sequel updates to versions for current practice.  One45, Lecturio, and others to underpin USMLE scores and content knowledge.  Top 10 recognition. "/>
    <n v="1026231.15"/>
    <s v="Recurring"/>
    <s v="Widen access to students with outstanding academic potential"/>
    <m/>
    <n v="0"/>
  </r>
  <r>
    <s v="HR"/>
    <s v="No Applicable"/>
    <s v="College of Medicine &amp; Health Sciences"/>
    <n v="847"/>
    <n v="8471305"/>
    <s v="KUST - Dean Of Medicine"/>
    <n v="1"/>
    <n v="426900"/>
    <s v="426900-Postal, courier and other document delivery expenses"/>
    <s v="000000"/>
    <s v="KUST - General"/>
    <n v="847001"/>
    <s v="FA179-Opex Expense"/>
    <n v="200179"/>
    <x v="292"/>
    <s v="426900.Postal, courier and other document delivery expenses-Number of Faculty-Number"/>
    <s v="Number"/>
    <n v="12"/>
    <n v="1837.5"/>
    <s v="1750 DHS per academic - shipping samples or documents to collaborators nationally and internationally "/>
    <n v="22050"/>
    <s v="Recurring"/>
    <s v="Provide reliable, accurate and timely reports to different stakeholders"/>
    <m/>
    <n v="0"/>
  </r>
  <r>
    <s v="Communiction &amp; Marketing"/>
    <s v="No Applicable"/>
    <s v="College of Medicine &amp; Health Sciences"/>
    <n v="847"/>
    <n v="8471305"/>
    <s v="KUST - Dean Of Medicine"/>
    <n v="1"/>
    <n v="427200"/>
    <s v="427200-Printing and publishing"/>
    <s v="000000"/>
    <s v="KUST - General"/>
    <n v="847001"/>
    <s v="FA179-Opex Expense"/>
    <n v="200179"/>
    <x v="293"/>
    <s v="427200.Printing and publishing-The cost of design for the entity's publications to reflect the entity's identity-count"/>
    <s v="count"/>
    <n v="45"/>
    <n v="15750"/>
    <s v="publishing in Top Quarter Rated Journals to increase visibility of KU and CMHS, top 100 university goal_x000a_Free standing posters, badges, certificates, embriodery, logo pins_x000a_"/>
    <n v="708750"/>
    <s v="Recurring"/>
    <s v="Increase publications in journals with high impact factor"/>
    <m/>
    <n v="0"/>
  </r>
  <r>
    <s v="Academic"/>
    <s v="No Applicable"/>
    <s v="College of Medicine &amp; Health Sciences"/>
    <n v="847"/>
    <n v="8471305"/>
    <s v="KUST - Dean Of Medicine"/>
    <n v="1"/>
    <n v="427710"/>
    <s v="427710-Subscriptions and membership fees: Trade organisations"/>
    <s v="000000"/>
    <s v="KUST - General"/>
    <n v="847001"/>
    <s v="FA179-Opex Expense"/>
    <n v="200179"/>
    <x v="294"/>
    <s v="427710.Subscriptions and membership fees: Trade organisations-Number  of Memberships-Number"/>
    <s v="Number"/>
    <n v="43"/>
    <n v="5796"/>
    <s v="5796 DHS per academic (membership to professional societies e.g. FENS, IBRO, AAMC, AMEE physiological society, pharmacological society, Alzheimer society, American Neuroscience, ASPET etc…)"/>
    <n v="249228"/>
    <s v="Recurring"/>
    <s v="Increase publications in journals with high impact factor"/>
    <m/>
    <n v="0"/>
  </r>
  <r>
    <s v="Academic "/>
    <s v="No Applicable"/>
    <s v="College of Medicine &amp; Health Sciences"/>
    <n v="847"/>
    <n v="8471305"/>
    <s v="KUST - Dean Of Medicine"/>
    <n v="1"/>
    <n v="428090"/>
    <s v="428090-Business Travel - Combined expenses"/>
    <s v="000000"/>
    <s v="KUST - General"/>
    <n v="847001"/>
    <s v="FA179-Opex Expense"/>
    <n v="200179"/>
    <x v="295"/>
    <s v="428090.Business Travel - Combined expenses-Number of Staff-Number"/>
    <s v="Number"/>
    <n v="35"/>
    <n v="30000"/>
    <s v="professional travel for Assoc/Asst Deans, faculty or staff as assigned based on international invitations and meetings with academic sites for potential partnerships. "/>
    <n v="1050000"/>
    <s v="Recurring"/>
    <s v="Build partnerships with local and international universities"/>
    <m/>
    <n v="0"/>
  </r>
  <r>
    <s v="Communiction &amp; Marketing"/>
    <s v="Director, Marketing and Communication"/>
    <s v="College of Medicine &amp; Health Sciences"/>
    <n v="847"/>
    <n v="8471305"/>
    <s v="KUST - Dean Of Medicine"/>
    <n v="1"/>
    <n v="428640"/>
    <s v="428640-Events - Awards, prizes &amp; gifts"/>
    <s v="000000"/>
    <s v="KUST - General"/>
    <n v="847001"/>
    <s v="FA179-Opex Expense"/>
    <n v="200179"/>
    <x v="296"/>
    <s v="428640.Events - Awards, prizes &amp; gifts-Number of Events-count"/>
    <s v="count"/>
    <n v="30"/>
    <n v="15750"/>
    <s v="3500/Events for students that engage fellowship, appreciation, extra-academic activities"/>
    <n v="472500"/>
    <s v="Recurring"/>
    <s v="Widen access to students with outstanding academic potential"/>
    <m/>
    <n v="0"/>
  </r>
  <r>
    <s v="IT"/>
    <s v="Director, Technology Development"/>
    <s v="College of Medicine &amp; Health Sciences"/>
    <n v="847"/>
    <n v="8471305"/>
    <s v="KUST - Dean Of Medicine"/>
    <n v="1"/>
    <n v="432205"/>
    <s v="432205-Computers and peripherals"/>
    <s v="000000"/>
    <s v="KUST - General"/>
    <n v="847001"/>
    <s v="FA179-Opex Expense"/>
    <n v="200179"/>
    <x v="297"/>
    <s v="432205.Computers and peripherals-End user and Infrastructure components maintenance and support-number of hardware devices-Month"/>
    <s v="Month"/>
    <n v="4"/>
    <n v="26250"/>
    <s v="to protect our high level investment maintenance and support-is required for the number of hardware devices or warrenty may expire for laboratory and advanced learning systems.  This relates to high level competency of students, staff and external clients.  "/>
    <n v="105000"/>
    <s v="Recurring"/>
    <s v="Widen access to students with outstanding academic potential"/>
    <m/>
    <n v="0"/>
  </r>
  <r>
    <s v="Academic"/>
    <s v="No Applicable"/>
    <s v="College of Medicine &amp; Health Sciences"/>
    <n v="847"/>
    <n v="8471305"/>
    <s v="KUST - Dean Of Medicine"/>
    <n v="1"/>
    <n v="432209"/>
    <s v="432209-Laboratory equipment"/>
    <s v="000000"/>
    <s v="KUST - General"/>
    <n v="847001"/>
    <s v="FA179-Opex Expense"/>
    <n v="200179"/>
    <x v="298"/>
    <s v="432209.Laboratory equipment-Number of Students-Number"/>
    <s v="Number"/>
    <n v="1"/>
    <n v="2046975"/>
    <s v="Maintenance of Similation laboratory equiement  and warranty renewals_x000a_Care and function of science and technology for major advances in health and medicine, to reach a Top 100 distinction, to have a significant societal and economic impact and increase recognition in publications. _x000a_"/>
    <n v="2046975"/>
    <s v="Recurring"/>
    <s v="Align the postgraduates programs with the research strategy"/>
    <m/>
    <n v="0"/>
  </r>
  <r>
    <s v="-"/>
    <s v="-"/>
    <s v="College of Medicine &amp; Health Sciences"/>
    <n v="847"/>
    <n v="8471305"/>
    <s v="KUST - Dean Of Medicine"/>
    <n v="1"/>
    <n v="432210"/>
    <s v="432210-Medical equipment"/>
    <s v="000000"/>
    <s v="KUST - General"/>
    <n v="847001"/>
    <s v="FA179-Opex Expense"/>
    <n v="200179"/>
    <x v="299"/>
    <s v="432210-Medical equipment"/>
    <s v="Number"/>
    <n v="1"/>
    <n v="630000"/>
    <s v="development of science and technology for major advances in health and medicine, to reach a Top 100 distinction, to have a significant societal and economic impact and increase recognition in publications. "/>
    <n v="630000"/>
    <s v="Recurring"/>
    <s v="Widen access to students with outstanding academic potential"/>
    <m/>
    <n v="0"/>
  </r>
  <r>
    <s v="Academic"/>
    <s v="No Applicable"/>
    <s v="College of Medicine &amp; Health Sciences"/>
    <n v="847"/>
    <n v="8471305"/>
    <s v="KUST - Dean Of Medicine"/>
    <n v="1"/>
    <n v="435330"/>
    <s v="435330-Library books"/>
    <s v="000000"/>
    <s v="KUST - General"/>
    <n v="847001"/>
    <s v="FA179-Opex Expense"/>
    <n v="200179"/>
    <x v="300"/>
    <s v="435330.Library books-Number of Students-Number"/>
    <s v="Number"/>
    <n v="4"/>
    <n v="52500"/>
    <s v="These are electronic platform best practice RESOUCES FOR STUDENTS.resources in library for student use to ensure academic success and improve CMHS and KU rankings. "/>
    <n v="210000"/>
    <s v="Recurring"/>
    <s v="Widen access to students with outstanding academic potential"/>
    <m/>
    <n v="0"/>
  </r>
  <r>
    <s v="Academic"/>
    <s v="No Applicable"/>
    <s v="College of Medicine &amp; Health Sciences"/>
    <n v="847"/>
    <n v="8471305"/>
    <s v="KUST - Dean Of Medicine"/>
    <n v="1"/>
    <n v="435340"/>
    <s v="435340-Text books and library books"/>
    <s v="000000"/>
    <s v="KUST - General"/>
    <n v="847001"/>
    <s v="FA179-Opex Expense"/>
    <n v="200179"/>
    <x v="301"/>
    <s v="435340.Text books and library books-The cost of printing a book-Number of pages"/>
    <s v="Number of pages"/>
    <n v="12"/>
    <n v="56166.600000000006"/>
    <s v="medical reference and medical references, books. Purchase of subject specific books required by the departments as they are essintial resources for lecture preparation, resources in library for student use to ensure academic success and improve CMHS and KU rankings. "/>
    <n v="673999.20000000007"/>
    <s v="Recurring"/>
    <s v="Widen access to students with outstanding academic potential"/>
    <m/>
    <n v="0"/>
  </r>
  <r>
    <s v="Academic"/>
    <s v="No Applicable"/>
    <s v="College of Medicine &amp; Health Sciences"/>
    <n v="847"/>
    <n v="8471305"/>
    <s v="KUST - Dean Of Medicine"/>
    <n v="1"/>
    <n v="435350"/>
    <s v="435350-Academic Publications"/>
    <s v="000000"/>
    <s v="KUST - General"/>
    <n v="847001"/>
    <s v="FA179-Opex Expense"/>
    <n v="200179"/>
    <x v="302"/>
    <s v="435350.Academic Publications-Number of Publications-Number"/>
    <s v="Number"/>
    <n v="1"/>
    <n v="315000"/>
    <s v="Required to increase h-ndex by publications in Q1 journals and move the Top 100 goal closer to its goal.  Increase visibility and reputation of KU and CMHS by pulications."/>
    <n v="315000"/>
    <s v="Recurring"/>
    <s v="Increase publications in journals with high impact factor"/>
    <m/>
    <n v="0"/>
  </r>
  <r>
    <s v="Academic"/>
    <s v="Director, Research Laboratories"/>
    <s v="College of Medicine &amp; Health Sciences"/>
    <n v="847"/>
    <n v="8471305"/>
    <s v="KUST - Dean Of Medicine"/>
    <n v="1"/>
    <n v="435508"/>
    <s v="435508-Laboratory - Scientific"/>
    <s v="000000"/>
    <s v="KUST - General"/>
    <n v="847001"/>
    <s v="FA179-Opex Expense"/>
    <n v="200179"/>
    <x v="303"/>
    <s v="435508.Laboratory - Scientific-Number of Faculty-Number"/>
    <s v="Number"/>
    <n v="84"/>
    <n v="15750"/>
    <s v="Laundry service, moulage &amp; props, medical disposables, new laundry, medical gas_x000a_small equipments/consumabales for different lab requirements"/>
    <n v="1323000"/>
    <s v="Recurring"/>
    <s v="Strengthen research ethical culture framework across the university"/>
    <m/>
    <n v="0"/>
  </r>
  <r>
    <s v="Academic"/>
    <s v="No Applicable"/>
    <s v="College of Medicine &amp; Health Sciences"/>
    <n v="847"/>
    <n v="8471305"/>
    <s v="KUST - Dean Of Medicine"/>
    <n v="1"/>
    <n v="435530"/>
    <s v="435530-School consumables, not specifically mentioned elsewhere"/>
    <s v="000000"/>
    <s v="KUST - General"/>
    <n v="847001"/>
    <s v="FA179-Opex Expense"/>
    <n v="200179"/>
    <x v="304"/>
    <s v="435530.School consumables, Numbert specifically mentioned elsewhere-Number of Students-Number"/>
    <s v="Number"/>
    <n v="1"/>
    <n v="14781886.350000001"/>
    <s v="Student supplies, posters, post it, paper, carboard, creative presentation needs, research items"/>
    <n v="14781886.350000001"/>
    <s v="Recurring"/>
    <s v="Widen access to students with outstanding academic potential"/>
    <m/>
    <n v="0"/>
  </r>
  <r>
    <s v="Other support"/>
    <s v="No Applicable"/>
    <s v="College of Medicine &amp; Health Sciences"/>
    <n v="847"/>
    <n v="8471305"/>
    <s v="KUST - Dean Of Medicine"/>
    <n v="1"/>
    <n v="436120"/>
    <s v="436120-Stationery"/>
    <s v="000000"/>
    <s v="KUST - General"/>
    <n v="847001"/>
    <s v="FA179-Opex Expense"/>
    <n v="200179"/>
    <x v="305"/>
    <s v="436120.Stationery-Number of Faculty-Number"/>
    <s v="Number"/>
    <n v="1"/>
    <n v="236250"/>
    <s v="Business cards, research promotion, office based stationary, needs for faculty, staff, postdocs, informtionals at conferences etc.."/>
    <n v="236250"/>
    <s v="Recurring"/>
    <s v="Build partnerships with local and international universities"/>
    <m/>
    <n v="0"/>
  </r>
  <r>
    <s v="Other support"/>
    <s v="No Applicable"/>
    <s v="College of Medicine &amp; Health Sciences"/>
    <n v="847"/>
    <n v="8471305"/>
    <s v="KUST - Dean Of Medicine"/>
    <n v="1"/>
    <n v="422900"/>
    <s v="422900-Other specialised professional services, not mentioned elsewhere"/>
    <s v="000000"/>
    <s v="KUST - General"/>
    <n v="847001"/>
    <s v="FA179-Opex Expense"/>
    <n v="200179"/>
    <x v="306"/>
    <s v="422900.Other specialised professional services, not mentioned elsewhere-Assets Verification-Number of assets"/>
    <s v="Number of assets"/>
    <n v="1"/>
    <n v="236250"/>
    <s v="Teaching and Learning needs for students and faculty "/>
    <n v="236250"/>
    <s v="Recurring"/>
    <s v="Build partnerships with local and international universities"/>
    <m/>
    <n v="0"/>
  </r>
  <r>
    <s v="-"/>
    <s v="-"/>
    <s v="College of Medicine &amp; Health Sciences"/>
    <n v="847"/>
    <n v="8471305"/>
    <s v="KUST - Dean Of Medicine"/>
    <n v="1"/>
    <n v="436110"/>
    <s v="436110-Printing supplies"/>
    <s v="000000"/>
    <s v="KUST - General"/>
    <n v="847001"/>
    <s v="FA179-Opex Expense"/>
    <n v="200179"/>
    <x v="307"/>
    <s v="436110.Printing supplies-Number of Employees-Number"/>
    <s v="Number"/>
    <n v="10"/>
    <n v="23625"/>
    <s v="Business cards, Research fylers, informtionals, use in conferences or local worships, meetings or networking at formal events to promote KU"/>
    <n v="236250"/>
    <s v="Recurring"/>
    <s v="Widen access to students with outstanding academic potential"/>
    <m/>
    <n v="0"/>
  </r>
  <r>
    <s v="Academic"/>
    <s v="No Applicable"/>
    <s v="College of Arts &amp; Science"/>
    <n v="847"/>
    <n v="8470405"/>
    <s v="KUST - Dean Of Arts &amp; Science"/>
    <n v="1"/>
    <n v="420550"/>
    <s v="420550-Academic Advisory Service"/>
    <s v="000000"/>
    <s v="KUST - General"/>
    <n v="847001"/>
    <s v="FA179-Opex Expense"/>
    <n v="200179"/>
    <x v="308"/>
    <s v="420550.Academic Advisory Service-Number of Services-Number"/>
    <s v="count"/>
    <n v="16"/>
    <n v="1469"/>
    <s v="standard cost according to policy"/>
    <n v="23504"/>
    <s v="KU Regular operations"/>
    <s v="Recurring"/>
    <s v="Design and implement professional development programs for researchers, faculty, and  staff to contribute to the university strategic plan"/>
    <m/>
  </r>
  <r>
    <s v="Academic"/>
    <s v="Director, Institutional Research and Planning"/>
    <s v="College of Arts &amp; Science"/>
    <n v="847"/>
    <n v="8470405"/>
    <s v="KUST - Dean Of Arts &amp; Science"/>
    <n v="1"/>
    <n v="421700"/>
    <s v="421700-Standards certification (e.g. ISO)"/>
    <s v="000000"/>
    <s v="KUST - General"/>
    <n v="847001"/>
    <s v="FA179-Opex Expense"/>
    <n v="200179"/>
    <x v="309"/>
    <s v="421700.Standards Certification Services (e.g. ISO)-Number of Academic programs-Number"/>
    <s v="count"/>
    <n v="2"/>
    <n v="140000"/>
    <s v="standard cost according to policy"/>
    <n v="280000"/>
    <s v="KU Regular operations"/>
    <s v="Non-recurring"/>
    <s v="Increase number of postgraduate students"/>
    <m/>
  </r>
  <r>
    <s v="Communiction &amp; Marketing"/>
    <s v="Director, Marketing and Communication"/>
    <s v="College of Arts &amp; Science"/>
    <n v="847"/>
    <n v="8470405"/>
    <s v="KUST - Dean Of Arts &amp; Science"/>
    <n v="1"/>
    <n v="425510"/>
    <s v="425510-Conferences, seminars and exhibitions and other events: - Local Events"/>
    <s v="000000"/>
    <s v="KUST - General"/>
    <n v="847001"/>
    <s v="FA179-Opex Expense"/>
    <n v="200179"/>
    <x v="310"/>
    <s v="425510.Conferences, seminars and exhibitions and other events: - Local Events-Number of attendees-count"/>
    <s v="count"/>
    <n v="1"/>
    <n v="15000"/>
    <s v="standard cost according to policy"/>
    <n v="15000"/>
    <s v="KU Regular operations"/>
    <s v="Recurring"/>
    <s v="Increase publications in journals with high impact factor"/>
    <m/>
  </r>
  <r>
    <s v="Communiction &amp; Marketing"/>
    <s v="No Applicable"/>
    <s v="College of Arts &amp; Science"/>
    <n v="847"/>
    <n v="8470405"/>
    <s v="KUST - Dean Of Arts &amp; Science"/>
    <n v="1"/>
    <n v="425550"/>
    <s v="425550-Conferences, seminars and exhibitions and other events: - Overseas event"/>
    <s v="000000"/>
    <s v="KUST - General"/>
    <n v="847001"/>
    <s v="FA179-Opex Expense"/>
    <n v="200179"/>
    <x v="311"/>
    <s v="425550.Conferences, seminars and exhibitions and other events: - Overseas event-Events-Number of Events"/>
    <s v="Number of Events"/>
    <n v="1"/>
    <n v="15000"/>
    <s v="standard cost according to policy"/>
    <n v="15000"/>
    <s v="KU Regular operations"/>
    <s v="Recurring"/>
    <s v="Attract and organize international conferences and summits"/>
    <m/>
  </r>
  <r>
    <s v="Academic"/>
    <s v="No Applicable"/>
    <s v="College of Arts &amp; Science"/>
    <n v="847"/>
    <n v="8470405"/>
    <s v="KUST - Dean Of Arts &amp; Science"/>
    <n v="1"/>
    <n v="425770"/>
    <s v="425770-Academic Missions - Combined expenses"/>
    <s v="000000"/>
    <s v="KUST - General"/>
    <n v="847001"/>
    <s v="FA179-Opex Expense"/>
    <n v="200179"/>
    <x v="312"/>
    <s v="425770.Academic Missions - Combined expenses-Number of Meeting-Number"/>
    <s v="Number"/>
    <n v="10"/>
    <n v="5000"/>
    <s v="Academic Mission/Continue to build collaborations through networking with world class entities"/>
    <n v="50000"/>
    <s v="KU Regular operations"/>
    <s v="Recurring"/>
    <s v="Recruit and retain high caliber faculty, researchers and staff"/>
    <m/>
  </r>
  <r>
    <s v="Academic"/>
    <s v="No Applicable"/>
    <s v="College of Arts &amp; Science"/>
    <n v="847"/>
    <n v="8470405"/>
    <s v="KUST - Dean Of Arts &amp; Science"/>
    <n v="1"/>
    <n v="427710"/>
    <s v="427710-Subscriptions and membership fees: Trade organisations"/>
    <s v="000000"/>
    <s v="KUST - General"/>
    <n v="847001"/>
    <s v="FA179-Opex Expense"/>
    <n v="200179"/>
    <x v="313"/>
    <s v="427710.Subscriptions and membership fees: Trade organisations-Number  of Memberships-Number"/>
    <s v="Number"/>
    <n v="20"/>
    <n v="1681"/>
    <s v="Membership/Subscriptions Keep faculty and staff informed of new information and methods"/>
    <n v="33620"/>
    <s v="KU Regular operations"/>
    <s v="Recurring"/>
    <s v="Increase publications in journals with high impact factor"/>
    <m/>
  </r>
  <r>
    <s v="Academic"/>
    <s v="Director, Research Laboratories"/>
    <s v="College of Arts &amp; Science"/>
    <n v="847"/>
    <n v="8470405"/>
    <s v="KUST - Dean Of Arts &amp; Science"/>
    <n v="1"/>
    <n v="435508"/>
    <s v="435508-Laboratory - Scientific"/>
    <s v="000000"/>
    <s v="KUST - General"/>
    <n v="847001"/>
    <s v="FA179-Opex Expense"/>
    <n v="200179"/>
    <x v="314"/>
    <s v="435508.Laboratory - Scientific-Number of Students-Number"/>
    <s v="Number"/>
    <n v="5"/>
    <n v="40000"/>
    <s v="Materials/Consumables develop high quality labs for top teaching"/>
    <n v="200000"/>
    <s v="KU Regular operations"/>
    <s v="Recurring"/>
    <s v="Align the postgraduates programs with the research strategy"/>
    <m/>
  </r>
  <r>
    <s v="Academic"/>
    <s v="No Applicable"/>
    <s v="College of Arts &amp; Science"/>
    <n v="847"/>
    <n v="8470405"/>
    <s v="KUST - Dean Of Arts &amp; Science"/>
    <n v="1"/>
    <n v="435350"/>
    <s v="435350-Academic Publications"/>
    <s v="000000"/>
    <s v="KUST - General"/>
    <n v="847001"/>
    <s v="FA179-Opex Expense"/>
    <n v="200179"/>
    <x v="315"/>
    <s v="435350.Academic Publications-Number of Publications-Number"/>
    <s v="Number"/>
    <n v="20"/>
    <n v="1500"/>
    <s v="Academic Publications Keep faculty and staff informed of new information and methods"/>
    <n v="30000"/>
    <s v="KU Regular operations"/>
    <s v="Recurring"/>
    <s v="Increase publications in journals with high impact factor"/>
    <m/>
  </r>
  <r>
    <s v="Academic"/>
    <s v="No Applicable"/>
    <s v="College of Arts &amp; Science"/>
    <n v="847"/>
    <n v="8470410"/>
    <s v="KUST - Institute of International &amp; Civil Security"/>
    <n v="1"/>
    <n v="425761"/>
    <s v="425761-Student Field trips"/>
    <s v="000000"/>
    <s v="KUST - General"/>
    <n v="847001"/>
    <s v="FA179-Opex Expense"/>
    <n v="200179"/>
    <x v="316"/>
    <s v="425761.Student Field trips-Number of Students UG-Month"/>
    <s v="Month"/>
    <n v="5"/>
    <n v="200"/>
    <s v="one bus"/>
    <n v="1000"/>
    <s v="KU Regular operations"/>
    <s v="Non-recurring"/>
    <s v="Widen access to students with outstanding academic potential"/>
    <m/>
  </r>
  <r>
    <s v="Academic"/>
    <s v="No Applicable"/>
    <s v="College of Arts &amp; Science"/>
    <n v="847"/>
    <n v="8470410"/>
    <s v="KUST - Institute of International &amp; Civil Security"/>
    <n v="1"/>
    <n v="425770"/>
    <s v="425770-Academic Missions - Combined expenses"/>
    <s v="000000"/>
    <s v="KUST - General"/>
    <n v="847001"/>
    <s v="FA179-Opex Expense"/>
    <n v="200179"/>
    <x v="317"/>
    <s v="425770.Academic Missions - Combined expenses-Number of Conference-Number"/>
    <s v="Number"/>
    <n v="12"/>
    <n v="12000"/>
    <s v="each conference"/>
    <n v="144000"/>
    <s v="KU Regular operations"/>
    <s v="Non-recurring"/>
    <s v="Increase publications in journals with high impact factor"/>
    <m/>
  </r>
  <r>
    <s v="IT"/>
    <s v="Director, Technology Development"/>
    <s v="College of Arts &amp; Science"/>
    <n v="847"/>
    <n v="8470410"/>
    <s v="KUST - Institute of International &amp; Civil Security"/>
    <n v="1"/>
    <n v="426610"/>
    <s v="426610-Computer software licenses"/>
    <s v="000000"/>
    <s v="KUST - General"/>
    <n v="847001"/>
    <s v="FA179-Opex Expense"/>
    <n v="200179"/>
    <x v="318"/>
    <s v="426610.Computer software licenses-Software License Renewal-number of licenses-Number"/>
    <s v="Number"/>
    <n v="1"/>
    <n v="5600"/>
    <s v="one software"/>
    <n v="5600"/>
    <s v="KU Regular operations"/>
    <s v="Recurring"/>
    <s v="Increase publications in journals with high impact factor"/>
    <m/>
  </r>
  <r>
    <s v="Other support"/>
    <s v="No Applicable"/>
    <s v="College of Arts &amp; Science"/>
    <n v="847"/>
    <n v="8470410"/>
    <s v="KUST - Institute of International &amp; Civil Security"/>
    <n v="1"/>
    <n v="435310"/>
    <s v="435310-Newspapers, magazines, journals, etc"/>
    <s v="000000"/>
    <s v="KUST - General"/>
    <n v="847001"/>
    <s v="FA179-Opex Expense"/>
    <n v="200179"/>
    <x v="319"/>
    <s v="435310.Newspapers, magazines, journals, etc-Number of Staff-Number"/>
    <s v="Number"/>
    <n v="4"/>
    <n v="21307"/>
    <s v="4 journal subscriptions"/>
    <n v="85228"/>
    <s v="KU Regular operations"/>
    <s v="Recurring"/>
    <s v="Increase publications in journals with high impact factor"/>
    <m/>
  </r>
  <r>
    <s v="Academic"/>
    <s v="No Applicable"/>
    <s v="College of Arts &amp; Science"/>
    <n v="847"/>
    <n v="8470410"/>
    <s v="KUST - Institute of International &amp; Civil Security"/>
    <n v="1"/>
    <n v="435350"/>
    <s v="435350-Academic Publications"/>
    <s v="000000"/>
    <s v="KUST - General"/>
    <n v="847001"/>
    <s v="FA179-Opex Expense"/>
    <n v="200179"/>
    <x v="320"/>
    <s v="435350.Academic Publications-Number of Publications-Number"/>
    <s v="Number"/>
    <n v="10"/>
    <n v="10000"/>
    <s v="open source publication costs"/>
    <n v="100000"/>
    <s v="KU Regular operations"/>
    <s v="Non-recurring"/>
    <s v="Increase publications in journals with high impact factor"/>
    <m/>
  </r>
  <r>
    <s v="Communiction &amp; Marketing"/>
    <s v="Director, Marketing and Communication"/>
    <s v="College of Arts &amp; Science"/>
    <n v="847"/>
    <n v="8470415"/>
    <s v="KUST - Chemistry"/>
    <n v="1"/>
    <n v="425510"/>
    <s v="425510-Conferences, seminars and exhibitions and other events: - Local Events"/>
    <s v="000000"/>
    <s v="KUST - General"/>
    <n v="847001"/>
    <s v="FA179-Opex Expense"/>
    <n v="200179"/>
    <x v="321"/>
    <s v="425510.Conferences, seminars and exhibitions and other events:-Number of events &amp; attendees-Number of Number of events &amp; attendees"/>
    <s v="count"/>
    <n v="2"/>
    <n v="50000"/>
    <s v="We expect to run two further 1 day events. One will be around materials centres, one around environmetal/sustainability matters."/>
    <n v="100000"/>
    <s v="KU Strategic New Initiative"/>
    <s v="Non-recurring"/>
    <s v="Attract and organize international conferences and summits"/>
    <m/>
  </r>
  <r>
    <s v="Communiction &amp; Marketing"/>
    <s v="Director, Marketing and Communication"/>
    <s v="College of Arts &amp; Science"/>
    <n v="847"/>
    <n v="8470415"/>
    <s v="KUST - Chemistry"/>
    <n v="1"/>
    <n v="425100"/>
    <s v="425100-Advertising"/>
    <s v="000000"/>
    <s v="KUST - General"/>
    <n v="847001"/>
    <s v="FA179-Opex Expense"/>
    <n v="200179"/>
    <x v="322"/>
    <s v="425100.Advertising Services (General)-International Publicity-count"/>
    <s v="count"/>
    <n v="1"/>
    <n v="50000"/>
    <s v="Continuing to publicise the MSc and PhD courses in relevant markets"/>
    <n v="50000"/>
    <s v="KU Regular operations"/>
    <s v="Recurring"/>
    <s v="Increase number of postgraduate students"/>
    <m/>
  </r>
  <r>
    <s v="Academic "/>
    <s v="No Applicable"/>
    <s v="College of Arts &amp; Science"/>
    <n v="847"/>
    <n v="8470415"/>
    <s v="KUST - Chemistry"/>
    <n v="1"/>
    <n v="428090"/>
    <s v="428090-Business Travel - Combined expenses"/>
    <s v="000000"/>
    <s v="KUST - General"/>
    <n v="847001"/>
    <s v="FA179-Opex Expense"/>
    <n v="200179"/>
    <x v="323"/>
    <s v="428090.Travel expenses - business-related-Number of eligible employees: (tickets, hotels, per diem, visa fees)-count"/>
    <s v="count"/>
    <n v="10"/>
    <n v="300"/>
    <s v="10 visits to schools (or hosting visits) and related venues for outreach activity."/>
    <n v="3000"/>
    <s v="KU Regular operations"/>
    <s v="Recurring"/>
    <s v="Widen access to students with outstanding academic potential"/>
    <m/>
  </r>
  <r>
    <s v="Communiction &amp; Marketing"/>
    <s v="No Applicable"/>
    <s v="College of Arts &amp; Science"/>
    <n v="847"/>
    <n v="8470415"/>
    <s v="KUST - Chemistry"/>
    <n v="1"/>
    <n v="427200"/>
    <s v="427200-Printing and publishing"/>
    <s v="000000"/>
    <s v="KUST - General"/>
    <n v="847001"/>
    <s v="FA179-Opex Expense"/>
    <n v="200179"/>
    <x v="324"/>
    <s v="427200.Printing and publishing-The printing cost of the department's publications-count"/>
    <s v="count"/>
    <n v="20"/>
    <n v="500"/>
    <s v="Printing of posters for conferences, laboratories, schools' outreach"/>
    <n v="10000"/>
    <s v="KU Regular operations"/>
    <s v="Recurring"/>
    <s v="Build partnerships with local and international universities"/>
    <m/>
  </r>
  <r>
    <s v="Student"/>
    <s v="Director, Student Services"/>
    <s v="College of Arts &amp; Science"/>
    <n v="847"/>
    <n v="8470415"/>
    <s v="KUST - Chemistry"/>
    <n v="1"/>
    <n v="425760"/>
    <s v="425760-Student activities &amp; field trip expenses"/>
    <s v="000000"/>
    <s v="KUST - General"/>
    <n v="847001"/>
    <s v="FA179-Opex Expense"/>
    <n v="200179"/>
    <x v="325"/>
    <s v="425760.Student activities &amp; field trip expenses-Events-No of Events"/>
    <s v="count"/>
    <n v="8"/>
    <n v="2500"/>
    <s v="Strengthen relation of BSc tracks with industrial / professional organisations. 2 trips for each of our BSc final tracks (4)"/>
    <n v="20000"/>
    <s v="KU Regular operations"/>
    <s v="Recurring"/>
    <s v="Develop the university innovation and entrepreneurship system"/>
    <m/>
  </r>
  <r>
    <s v="Student"/>
    <s v="No Applicable"/>
    <s v="College of Arts &amp; Science"/>
    <n v="847"/>
    <n v="8470415"/>
    <s v="KUST - Chemistry"/>
    <n v="1"/>
    <n v="425763"/>
    <s v="425763-Student Project Expenses"/>
    <s v="000000"/>
    <s v="KUST - General"/>
    <n v="847001"/>
    <s v="FA179-Opex Expense"/>
    <n v="200179"/>
    <x v="326"/>
    <s v="425763.Student Project Expenses-Number Student Phd-Number"/>
    <s v="count"/>
    <n v="2"/>
    <n v="12000"/>
    <s v="To support exploratory research in the department. Other students funded by grants."/>
    <n v="24000"/>
    <s v="KU Regular operations"/>
    <s v="Recurring"/>
    <s v="Recruit and retain high caliber faculty, researchers and staff"/>
    <m/>
  </r>
  <r>
    <s v="Student"/>
    <s v="No Applicable"/>
    <s v="College of Arts &amp; Science"/>
    <n v="847"/>
    <n v="8470415"/>
    <s v="KUST - Chemistry"/>
    <n v="1"/>
    <n v="425763"/>
    <s v="425763-Student Project Expenses"/>
    <s v="000000"/>
    <s v="KUST - General"/>
    <n v="847001"/>
    <s v="FA179-Opex Expense"/>
    <n v="200179"/>
    <x v="326"/>
    <s v="425763.Student Project Expenses-Number of Students Master-Month"/>
    <s v="count"/>
    <n v="2"/>
    <n v="10000"/>
    <s v="To support exploratory research for 2 MSc students in the department working for 10. Other students funded by grants."/>
    <n v="20000"/>
    <s v="KU Regular operations"/>
    <s v="Recurring"/>
    <s v="Recruit and retain high caliber faculty, researchers and staff"/>
    <m/>
  </r>
  <r>
    <s v="Student"/>
    <s v="No Applicable"/>
    <s v="College of Arts &amp; Science"/>
    <n v="847"/>
    <n v="8470415"/>
    <s v="KUST - Chemistry"/>
    <n v="1"/>
    <n v="425763"/>
    <s v="425763-Student Project Expenses"/>
    <s v="000000"/>
    <s v="KUST - General"/>
    <n v="847001"/>
    <s v="FA179-Opex Expense"/>
    <n v="200179"/>
    <x v="326"/>
    <s v="425763.Student Project Expenses-Number of Students UG-Month"/>
    <s v="count"/>
    <n v="120"/>
    <n v="1000"/>
    <s v="Increased number - 24 - of senior BSc students each working for 5 months"/>
    <n v="120000"/>
    <s v="KU Regular operations"/>
    <s v="Recurring"/>
    <s v="Develop the university innovation and entrepreneurship system"/>
    <m/>
  </r>
  <r>
    <s v="-"/>
    <s v="-"/>
    <s v="College of Arts &amp; Science"/>
    <n v="847"/>
    <n v="8470415"/>
    <s v="KUST - Chemistry"/>
    <n v="1"/>
    <n v="425770"/>
    <s v="425770-Academic Missions - Combined expenses"/>
    <s v="000000"/>
    <s v="KUST - General"/>
    <n v="847001"/>
    <s v="FA179-Opex Expense"/>
    <n v="200179"/>
    <x v="327"/>
    <s v="425770.Academic Missions - Combined expenses-Number of Conference-Number"/>
    <s v="count"/>
    <n v="28"/>
    <n v="15000"/>
    <s v="28 faculty at 15000 per conference (Note projected increase in faculty)."/>
    <n v="420000"/>
    <s v="KU Regular operations"/>
    <s v="Recurring"/>
    <s v="Recruit and retain high caliber faculty, researchers and staff"/>
    <m/>
  </r>
  <r>
    <s v="-"/>
    <s v="-"/>
    <s v="College of Arts &amp; Science"/>
    <n v="847"/>
    <n v="8470415"/>
    <s v="KUST - Chemistry"/>
    <n v="1"/>
    <n v="425770"/>
    <s v="425770-Academic Missions - Combined expenses"/>
    <s v="000000"/>
    <s v="KUST - General"/>
    <n v="847001"/>
    <s v="FA179-Opex Expense"/>
    <n v="200179"/>
    <x v="327"/>
    <s v="425770.Academic Missions - Combined expenses-Number of Meeting-Number"/>
    <s v="count"/>
    <n v="5"/>
    <n v="15000"/>
    <s v="Visits for Chair and/or senior staff to potential collaborating institutions to set up research collaborations."/>
    <n v="75000"/>
    <s v="KU Regular operations"/>
    <s v="Recurring"/>
    <s v="Build partnerships with local and international universities"/>
    <m/>
  </r>
  <r>
    <s v="Other support"/>
    <s v="Director, Human Resources"/>
    <s v="College of Arts &amp; Science"/>
    <n v="847"/>
    <n v="8470415"/>
    <s v="KUST - Chemistry"/>
    <n v="1"/>
    <n v="425900"/>
    <s v="425900-Entertainment and hospitality"/>
    <s v="000000"/>
    <s v="KUST - General"/>
    <n v="847001"/>
    <s v="FA179-Opex Expense"/>
    <n v="200179"/>
    <x v="328"/>
    <s v="425900.Entertainment and hospitality-1. No of events/workshops planned-count"/>
    <s v="count"/>
    <n v="10"/>
    <n v="12000"/>
    <s v="Chemistry seminar series inviting distinguisjed speakers/visitors to give research lectures."/>
    <n v="120000"/>
    <s v="KU Regular operations"/>
    <s v="Recurring"/>
    <s v="Build partnerships with local and international universities"/>
    <m/>
  </r>
  <r>
    <s v="Other support"/>
    <s v="Director, Human Resources"/>
    <s v="College of Arts &amp; Science"/>
    <n v="847"/>
    <n v="8470415"/>
    <s v="KUST - Chemistry"/>
    <n v="1"/>
    <n v="425900"/>
    <s v="425900-Entertainment and hospitality"/>
    <s v="000000"/>
    <s v="KUST - General"/>
    <n v="847001"/>
    <s v="FA179-Opex Expense"/>
    <n v="200179"/>
    <x v="328"/>
    <s v="425900.Entertainment and hospitality-1. No of events/workshops planned-count"/>
    <s v="count"/>
    <n v="1"/>
    <n v="140000"/>
    <s v="Meeting of advisory board for BSc / MSc programmes - rate as circulated"/>
    <n v="140000"/>
    <s v="KU Regular operations"/>
    <s v="Recurring"/>
    <s v="Align academic programs with the local and global labor market needs"/>
    <m/>
  </r>
  <r>
    <s v="IT"/>
    <s v="Director, Technology Development"/>
    <s v="College of Arts &amp; Science"/>
    <n v="847"/>
    <n v="8470415"/>
    <s v="KUST - Chemistry"/>
    <n v="1"/>
    <n v="426610"/>
    <s v="426610-Computer software licenses"/>
    <s v="000000"/>
    <s v="KUST - General"/>
    <n v="847001"/>
    <s v="FA179-Opex Expense"/>
    <n v="200179"/>
    <x v="329"/>
    <s v="426610.Computer software licenses-Software License Renewal-number of licenses-Number"/>
    <s v="count"/>
    <n v="1"/>
    <n v="97617"/>
    <s v="Spartan molecular modelling for undergraduate students. Budget taken from CoAS Academic Software list."/>
    <n v="97617"/>
    <s v="KU Regular operations"/>
    <s v="Recurring"/>
    <s v="Align academic programs with the local and global labor market needs"/>
    <m/>
  </r>
  <r>
    <s v="IT"/>
    <s v="Director, Technology Development"/>
    <s v="College of Arts &amp; Science"/>
    <n v="847"/>
    <n v="8470415"/>
    <s v="KUST - Chemistry"/>
    <n v="1"/>
    <n v="426610"/>
    <s v="426610-Computer software licenses"/>
    <s v="000000"/>
    <s v="KUST - General"/>
    <n v="847001"/>
    <s v="FA179-Opex Expense"/>
    <n v="200179"/>
    <x v="329"/>
    <s v="426610.Computer software licenses-Software License Renewal-number of licenses-Number"/>
    <s v="count"/>
    <n v="1"/>
    <n v="30000"/>
    <s v="Subscription to Cambridge Crystallographic Data Centre. Important resource of researchers and also used in Sophomore and Senior teaching. Based on 2022 cost GBP6305.80.  Quotation Chem1"/>
    <n v="30000"/>
    <s v="KU Regular operations"/>
    <s v="Recurring"/>
    <s v="Increase publications in journals with high impact factor"/>
    <m/>
  </r>
  <r>
    <s v="IT"/>
    <s v="Director, Technology Development"/>
    <s v="College of Arts &amp; Science"/>
    <n v="847"/>
    <n v="8470415"/>
    <s v="KUST - Chemistry"/>
    <n v="1"/>
    <n v="426610"/>
    <s v="426610-Computer software licenses"/>
    <s v="000000"/>
    <s v="KUST - General"/>
    <n v="847001"/>
    <s v="FA179-Opex Expense"/>
    <n v="200179"/>
    <x v="329"/>
    <s v="426610.Computer software licenses-Software License Renewal-number of licenses-Number"/>
    <s v="count"/>
    <n v="1"/>
    <n v="31195"/>
    <s v="Chemdraw programme used for all chemistry students (UG &amp; PG)  and faculty. Rising numbers in Chemistry mean an upgrade to Medium licence - up to 300 users. Based on 2022 cost US$8500.  Quotation Chem2."/>
    <n v="31195"/>
    <s v="KU Regular operations"/>
    <s v="Recurring"/>
    <s v="Align academic programs with the local and global labor market needs"/>
    <m/>
  </r>
  <r>
    <s v="Communiction &amp; Marketing"/>
    <s v="Director, Marketing and Communication"/>
    <s v="College of Arts &amp; Science"/>
    <n v="847"/>
    <n v="8470415"/>
    <s v="KUST - Chemistry"/>
    <n v="1"/>
    <n v="428640"/>
    <s v="428640-Events - Awards, prizes &amp; gifts"/>
    <s v="000000"/>
    <s v="KUST - General"/>
    <n v="847001"/>
    <s v="FA179-Opex Expense"/>
    <n v="200179"/>
    <x v="330"/>
    <s v="428640.Events - Awards, prizes &amp; gifts-Number of awards-count"/>
    <s v="count"/>
    <n v="1"/>
    <n v="20000"/>
    <s v="Gifts etc. for outreach / open day work with prospective students. Based on 2018 (last year pre-covid) expenditure"/>
    <n v="20000"/>
    <s v="KU Regular operations"/>
    <s v="Recurring"/>
    <s v="Enhance the communication plan and outreach activities"/>
    <m/>
  </r>
  <r>
    <s v="Academic"/>
    <s v="No Applicable"/>
    <s v="College of Arts &amp; Science"/>
    <n v="847"/>
    <n v="8470415"/>
    <s v="KUST - Chemistry"/>
    <n v="1"/>
    <n v="432209"/>
    <s v="432209-Laboratory equipment"/>
    <s v="000000"/>
    <s v="KUST - General"/>
    <n v="847001"/>
    <s v="FA179-Opex Expense"/>
    <n v="200179"/>
    <x v="331"/>
    <s v="432209.Laboratory equipment-Number of Students-Number"/>
    <s v="count"/>
    <n v="1"/>
    <n v="478500"/>
    <s v="2023 value adjusted for 10% p.a. inflation."/>
    <n v="478500"/>
    <s v="KU Regular operations"/>
    <s v="Recurring"/>
    <s v="Align academic programs with the local and global labor market needs"/>
    <m/>
  </r>
  <r>
    <s v="Academic"/>
    <s v="No Applicable"/>
    <s v="College of Arts &amp; Science"/>
    <n v="847"/>
    <n v="8470415"/>
    <s v="KUST - Chemistry"/>
    <n v="1"/>
    <n v="435350"/>
    <s v="435350-Academic Publications"/>
    <s v="000000"/>
    <s v="KUST - General"/>
    <n v="847001"/>
    <s v="FA179-Opex Expense"/>
    <n v="200179"/>
    <x v="332"/>
    <s v="435350.Academic Publications-Number of Publications-Number"/>
    <s v="count"/>
    <n v="20"/>
    <n v="12000"/>
    <s v="Publication or open access charges for high quality (Q1, IF&gt;6, top 10%) journals. Average cost is $/€ 3-4000, we aim for 15 papers."/>
    <n v="240000"/>
    <s v="KU Regular operations"/>
    <s v="Recurring"/>
    <s v="Increase publications in journals with high impact factor"/>
    <m/>
  </r>
  <r>
    <s v="Academic"/>
    <s v="Director, Research Laboratories"/>
    <s v="College of Arts &amp; Science"/>
    <n v="847"/>
    <n v="8470415"/>
    <s v="KUST - Chemistry"/>
    <n v="1"/>
    <n v="435508"/>
    <s v="435508-Laboratory - Scientific"/>
    <s v="000000"/>
    <s v="KUST - General"/>
    <n v="847001"/>
    <s v="FA179-Opex Expense"/>
    <n v="200179"/>
    <x v="333"/>
    <s v="435508.Laboratory - Scientific-Number of Students-Number"/>
    <s v="count"/>
    <n v="1"/>
    <n v="825000"/>
    <s v="2023 value adjusted for 10% p.a. inflation."/>
    <n v="825000"/>
    <s v="KU Regular operations"/>
    <s v="Recurring"/>
    <s v="Align academic programs with the local and global labor market needs"/>
    <m/>
  </r>
  <r>
    <s v="Academic"/>
    <s v="Director, Research Laboratories"/>
    <s v="College of Arts &amp; Science"/>
    <n v="847"/>
    <n v="8470415"/>
    <s v="KUST - Chemistry"/>
    <n v="1"/>
    <n v="435508"/>
    <s v="435508-Laboratory - Scientific"/>
    <s v="000000"/>
    <s v="KUST - General"/>
    <n v="847001"/>
    <s v="FA179-Opex Expense"/>
    <n v="200179"/>
    <x v="333"/>
    <s v="435508.Laboratory - Scientific-Number of Faculty-Number"/>
    <s v="Number"/>
    <n v="4"/>
    <n v="25000"/>
    <s v="We expect 4 new faculty members joining chemistry and some modest support will be needed to enable them to get research off the ground."/>
    <n v="100000"/>
    <s v="KU Strategic New Initiative"/>
    <s v="Non-recurring"/>
    <s v="Align academic programs with the local and global labor market needs"/>
    <m/>
  </r>
  <r>
    <s v="Facilities "/>
    <s v="Director, Research Laboratories"/>
    <s v="College of Arts &amp; Science"/>
    <n v="847"/>
    <n v="8470415"/>
    <s v="KUST - Chemistry"/>
    <n v="1"/>
    <n v="492316"/>
    <s v="492316-Laboratory equipment"/>
    <s v="000000"/>
    <s v="KUST - General"/>
    <n v="847001"/>
    <s v="FA179-Opex Expense"/>
    <n v="300180"/>
    <x v="334"/>
    <s v="492316.Laboratory equipment-Number of Faculty-Number"/>
    <s v="Number"/>
    <n v="1"/>
    <n v="196260"/>
    <s v="UV/visible spectrophotometers. Replacement of old and damaged units. Quotation Chem21"/>
    <n v="196260"/>
    <s v="KU Strategic New Initiative"/>
    <s v="Recurring"/>
    <s v="Align academic programs with the local and global labor market needs"/>
    <m/>
  </r>
  <r>
    <s v="Facilities "/>
    <s v="Director, Research Laboratories"/>
    <s v="College of Arts &amp; Science"/>
    <n v="847"/>
    <n v="8470415"/>
    <s v="KUST - Chemistry"/>
    <n v="1"/>
    <n v="492316"/>
    <s v="492316-Laboratory equipment"/>
    <s v="000000"/>
    <s v="KUST - General"/>
    <n v="847001"/>
    <s v="FA179-Opex Expense"/>
    <n v="300180"/>
    <x v="334"/>
    <s v="492316.Laboratory equipment-Number of Faculty-Number"/>
    <s v="Number"/>
    <n v="1"/>
    <n v="387920"/>
    <s v="Photo-Electrochemical Workstation. Will support research in the department, enhance opportunties for BSc, MSc and PhD research students. Quotation ChemB"/>
    <n v="387920"/>
    <s v="KU Strategic New Initiative"/>
    <s v="Recurring"/>
    <s v="Increase publications in journals with high impact factor"/>
    <m/>
  </r>
  <r>
    <s v="Facilities "/>
    <s v="Director, Research Laboratories"/>
    <s v="College of Arts &amp; Science"/>
    <n v="847"/>
    <n v="8470415"/>
    <s v="KUST - Chemistry"/>
    <n v="1"/>
    <n v="492316"/>
    <s v="492316-Laboratory equipment"/>
    <s v="000000"/>
    <s v="KUST - General"/>
    <n v="847001"/>
    <s v="FA179-Opex Expense"/>
    <n v="300180"/>
    <x v="334"/>
    <s v="492316.Laboratory equipment-Number of Faculty-Number"/>
    <s v="Number"/>
    <n v="1"/>
    <n v="1916456"/>
    <s v="Spectrofluorimeter system. This is a major strategic investment associated with the Materials research centre and meets KU priorities. It will significantly extend capabilities for many faculty (and other departments) in important areas.  Quotation Chem23"/>
    <n v="1916456"/>
    <s v="KU Strategic New Initiative"/>
    <s v="Recurring"/>
    <s v="Increase publications in journals with high impact factor"/>
    <m/>
  </r>
  <r>
    <s v="Facilities "/>
    <s v="Director, Research Laboratories"/>
    <s v="College of Arts &amp; Science"/>
    <n v="847"/>
    <n v="8470415"/>
    <s v="KUST - Chemistry"/>
    <n v="1"/>
    <n v="492316"/>
    <s v="492316-Laboratory equipment"/>
    <s v="000000"/>
    <s v="KUST - General"/>
    <n v="847001"/>
    <s v="FA179-Opex Expense"/>
    <n v="300180"/>
    <x v="334"/>
    <s v="492316.Laboratory equipment-Number of Faculty-Number"/>
    <s v="Number"/>
    <n v="1"/>
    <n v="672000"/>
    <s v="Combined DSC/TGA with sample changer. The existing instrument is at it's capacity and nearing the end of useful life so an upgrade is needed. This model will allow many more samples to be run and also introduce new capabilities. Quotation Chem24"/>
    <n v="672000"/>
    <s v="KU Strategic New Initiative"/>
    <s v="Recurring"/>
    <s v="Align academic programs with the local and global labor market needs"/>
    <m/>
  </r>
  <r>
    <s v="Facilities "/>
    <s v="Director, Research Laboratories"/>
    <s v="College of Arts &amp; Science"/>
    <n v="847"/>
    <n v="8470415"/>
    <s v="KUST - Chemistry"/>
    <n v="1"/>
    <n v="492316"/>
    <s v="492316-Laboratory equipment"/>
    <s v="000000"/>
    <s v="KUST - General"/>
    <n v="847001"/>
    <s v="FA179-Opex Expense"/>
    <n v="300180"/>
    <x v="334"/>
    <s v="492316.Laboratory equipment-Number of Faculty-Number"/>
    <s v="Number"/>
    <n v="1"/>
    <n v="170625"/>
    <s v="TPD   instrument used in detailed catalysis work - an interest of 3 - 5 faculty in chemistry.  Quotation Chem25"/>
    <n v="170625"/>
    <s v="KU Strategic New Initiative"/>
    <s v="Recurring"/>
    <s v="Increase publications in journals with high impact factor"/>
    <m/>
  </r>
  <r>
    <s v="Facilities "/>
    <s v="Director, Research Laboratories"/>
    <s v="College of Arts &amp; Science"/>
    <n v="847"/>
    <n v="8470415"/>
    <s v="KUST - Chemistry"/>
    <n v="1"/>
    <n v="492316"/>
    <s v="492316-Laboratory equipment"/>
    <s v="000000"/>
    <s v="KUST - General"/>
    <n v="847001"/>
    <s v="FA179-Opex Expense"/>
    <n v="300180"/>
    <x v="334"/>
    <s v="492316.Laboratory equipment-Number of Faculty-Number"/>
    <s v="Number"/>
    <n v="1"/>
    <n v="501942"/>
    <s v="Scanning electrochemical microscope.  This is an important additon to the Materials Research centre in order to meet its objectives. Quotation Chem26"/>
    <n v="501942"/>
    <s v="KU Strategic New Initiative"/>
    <s v="Recurring"/>
    <s v="Increase publications in journals with high impact factor"/>
    <m/>
  </r>
  <r>
    <s v="Facilities "/>
    <s v="Director, Research Laboratories"/>
    <s v="College of Arts &amp; Science"/>
    <n v="847"/>
    <n v="8470415"/>
    <s v="KUST - Chemistry"/>
    <n v="1"/>
    <n v="492316"/>
    <s v="492316-Laboratory equipment"/>
    <s v="000000"/>
    <s v="KUST - General"/>
    <n v="847001"/>
    <s v="FA179-Opex Expense"/>
    <n v="300180"/>
    <x v="334"/>
    <s v="492316.Laboratory equipment-Number of Faculty-Number"/>
    <s v="Number"/>
    <n v="1"/>
    <n v="648997"/>
    <s v="Glovebox.  Needed for preparation of air sensitive materials.  Quotation Chem27"/>
    <n v="648997"/>
    <s v="KU Strategic New Initiative"/>
    <s v="Recurring"/>
    <s v="Increase publications in journals with high impact factor"/>
    <m/>
  </r>
  <r>
    <s v="Communiction &amp; Marketing"/>
    <s v="Director, Marketing and Communication"/>
    <s v="College of Arts &amp; Science"/>
    <n v="847"/>
    <n v="8470425"/>
    <s v="KUST - Physics"/>
    <n v="1"/>
    <n v="425510"/>
    <s v="425510-Conferences, seminars and exhibitions and other events: - Local Events"/>
    <s v="000000"/>
    <s v="KUST - General"/>
    <n v="847001"/>
    <s v="FA179-Opex Expense"/>
    <n v="200179"/>
    <x v="335"/>
    <s v="425510.Conferences, seminars and exhibitions and other events: - Local Events-Number of attendees-count"/>
    <s v="count"/>
    <n v="11"/>
    <n v="5000"/>
    <s v="faculty participation in local conference "/>
    <n v="55000"/>
    <s v="KU Regular operations"/>
    <s v="Recurring"/>
    <s v="Enhance the communication plan and outreach activities"/>
    <m/>
  </r>
  <r>
    <s v="Communiction &amp; Marketing"/>
    <s v="Director, Marketing and Communication"/>
    <s v="College of Arts &amp; Science"/>
    <n v="847"/>
    <n v="8470425"/>
    <s v="KUST - Physics"/>
    <n v="1"/>
    <n v="425510"/>
    <s v="425510-Conferences, seminars and exhibitions and other events: - Local Events"/>
    <s v="000000"/>
    <s v="KUST - General"/>
    <n v="847001"/>
    <s v="FA179-Opex Expense"/>
    <n v="200179"/>
    <x v="335"/>
    <s v="425510.Conferences, seminars and exhibitions and other events: - Local Events-Conferences-Number of Conferences"/>
    <s v="Number of Conferences"/>
    <n v="1"/>
    <n v="220000"/>
    <s v="bring an iternational workshop to our department"/>
    <n v="220000"/>
    <s v="KU Regular operations"/>
    <s v="Recurring"/>
    <s v="Attract and organize international conferences and summits"/>
    <m/>
  </r>
  <r>
    <s v="Communiction &amp; Marketing"/>
    <s v="No Applicable"/>
    <s v="College of Arts &amp; Science"/>
    <n v="847"/>
    <n v="8470425"/>
    <s v="KUST - Physics"/>
    <n v="1"/>
    <n v="425550"/>
    <s v="425550-Conferences, seminars and exhibitions and other events: - Overseas event"/>
    <s v="000000"/>
    <s v="KUST - General"/>
    <n v="847001"/>
    <s v="FA179-Opex Expense"/>
    <n v="200179"/>
    <x v="336"/>
    <s v="425550.Conferences, seminars and exhibitions and other events: - Overseas event-Conferences-Number of Conferences"/>
    <s v="Number of Conferences"/>
    <n v="12"/>
    <n v="22500"/>
    <s v="International conference presentation by faculty"/>
    <n v="270000"/>
    <s v="KU Regular operations"/>
    <s v="Recurring"/>
    <s v="Enhance the communication plan and outreach activities"/>
    <m/>
  </r>
  <r>
    <s v="Academic"/>
    <s v="No Applicable"/>
    <s v="College of Arts &amp; Science"/>
    <n v="847"/>
    <n v="8470425"/>
    <s v="KUST - Physics"/>
    <n v="1"/>
    <n v="425770"/>
    <s v="425770-Academic Missions - Combined expenses"/>
    <s v="000000"/>
    <s v="KUST - General"/>
    <n v="847001"/>
    <s v="FA179-Opex Expense"/>
    <n v="200179"/>
    <x v="337"/>
    <s v="425770.Academic Missions - Combined expenses-Number of Meeting-Number"/>
    <s v="Number"/>
    <n v="4"/>
    <n v="22500"/>
    <s v="academic mission visit"/>
    <n v="90000"/>
    <s v="KU Regular operations"/>
    <s v="Recurring"/>
    <s v="Enhance the communication plan and outreach activities"/>
    <m/>
  </r>
  <r>
    <s v="Other support"/>
    <s v="Director, Human Resources"/>
    <s v="College of Arts &amp; Science"/>
    <n v="847"/>
    <n v="8470425"/>
    <s v="KUST - Physics"/>
    <n v="1"/>
    <n v="425900"/>
    <s v="425900-Entertainment and hospitality"/>
    <s v="000000"/>
    <s v="KUST - General"/>
    <n v="847001"/>
    <s v="FA179-Opex Expense"/>
    <n v="200179"/>
    <x v="338"/>
    <s v="425900.Entertainment and hospitality-1. No of events/workshops planned-count"/>
    <s v="count"/>
    <n v="5"/>
    <n v="20000"/>
    <s v="1 visit a year for a high profiles talk+ 4 regional talks "/>
    <n v="100000"/>
    <s v="KU Regular operations"/>
    <s v="Recurring"/>
    <m/>
    <m/>
  </r>
  <r>
    <s v="Other support"/>
    <s v="Director, Human Resources"/>
    <s v="College of Arts &amp; Science"/>
    <n v="847"/>
    <n v="8470425"/>
    <s v="KUST - Physics"/>
    <n v="1"/>
    <n v="425900"/>
    <s v="425900-Entertainment and hospitality"/>
    <s v="000000"/>
    <s v="KUST - General"/>
    <n v="847001"/>
    <s v="FA179-Opex Expense"/>
    <n v="200179"/>
    <x v="338"/>
    <s v="425900.Entertainment and hospitality-1. No of events/workshops planned-count"/>
    <s v="count"/>
    <n v="2"/>
    <n v="10000"/>
    <s v="Department Retreat"/>
    <n v="20000"/>
    <s v="KU Regular operations"/>
    <s v="Recurring"/>
    <s v="Review and revise as needed the research strategic plan"/>
    <m/>
  </r>
  <r>
    <s v="IT"/>
    <s v="Director, Technology Development"/>
    <s v="College of Arts &amp; Science"/>
    <n v="847"/>
    <n v="8470425"/>
    <s v="KUST - Physics"/>
    <n v="1"/>
    <n v="426610"/>
    <s v="426610-Computer software licenses"/>
    <s v="000000"/>
    <s v="KUST - General"/>
    <n v="847001"/>
    <s v="FA179-Opex Expense"/>
    <n v="200179"/>
    <x v="339"/>
    <s v="426610.Computer software licenses-Software License Renewal-number of licenses-Number"/>
    <s v="Number"/>
    <n v="10"/>
    <n v="45000"/>
    <s v=" Softwares license for teaching the MS and PhD studens for Advanced Computational Physics Course "/>
    <n v="450000"/>
    <s v="KU Regular operations"/>
    <s v="Recurring"/>
    <s v="Increase number of postgraduate students"/>
    <m/>
  </r>
  <r>
    <s v="Academic "/>
    <s v="No Applicable"/>
    <s v="College of Arts &amp; Science"/>
    <n v="847"/>
    <n v="8470425"/>
    <s v="KUST - Physics"/>
    <n v="1"/>
    <n v="428090"/>
    <s v="428090-Business Travel - Combined expenses"/>
    <s v="000000"/>
    <s v="KUST - General"/>
    <n v="847001"/>
    <s v="FA179-Opex Expense"/>
    <n v="200179"/>
    <x v="340"/>
    <s v="428090.Business Travel - Combined expenses-Number of Faculty-Number"/>
    <s v="Number"/>
    <n v="3"/>
    <n v="64000"/>
    <s v="Business Travel to attract pg students"/>
    <n v="192000"/>
    <s v="KU Regular operations"/>
    <s v="Recurring"/>
    <s v="Enhance the communication plan and outreach activities"/>
    <m/>
  </r>
  <r>
    <s v="Academic"/>
    <s v="No Applicable"/>
    <s v="College of Arts &amp; Science"/>
    <n v="847"/>
    <n v="8470425"/>
    <s v="KUST - Physics"/>
    <n v="1"/>
    <n v="435350"/>
    <s v="435350-Academic Publications"/>
    <s v="000000"/>
    <s v="KUST - General"/>
    <n v="847001"/>
    <s v="FA179-Opex Expense"/>
    <n v="200179"/>
    <x v="341"/>
    <s v="435350.Academic Publications-Number of Publications-Number"/>
    <s v="Number"/>
    <n v="15"/>
    <n v="10000"/>
    <s v="Research Publication"/>
    <n v="150000"/>
    <s v="KU Regular operations"/>
    <s v="Recurring"/>
    <s v="Increase publications in journals with high impact factor"/>
    <m/>
  </r>
  <r>
    <s v="Academic"/>
    <s v="Director, Research Laboratories"/>
    <s v="College of Arts &amp; Science"/>
    <n v="847"/>
    <n v="8470425"/>
    <s v="KUST - Physics"/>
    <n v="1"/>
    <n v="435508"/>
    <s v="435508-Laboratory - Scientific"/>
    <s v="000000"/>
    <s v="KUST - General"/>
    <n v="847001"/>
    <s v="FA179-Opex Expense"/>
    <n v="200179"/>
    <x v="342"/>
    <s v="435508.Laboratory - Scientific-Number of Students-Number"/>
    <s v="Number"/>
    <n v="14"/>
    <n v="60000"/>
    <s v="Table top XRD for teaching students materials structural anlaysis in Phys707"/>
    <n v="840000"/>
    <s v="KU Regular operations"/>
    <s v="Recurring"/>
    <s v="Increase number of postgraduate students"/>
    <m/>
  </r>
  <r>
    <s v="IT"/>
    <s v="Director, Technology Development"/>
    <s v="College of Arts &amp; Science"/>
    <n v="847"/>
    <n v="8470425"/>
    <s v="KUST - Physics"/>
    <n v="1"/>
    <n v="492310"/>
    <s v="492310-Hardware &amp; peripherals"/>
    <s v="000000"/>
    <s v="KUST - General"/>
    <n v="847001"/>
    <s v="FA179-Opex Expense"/>
    <n v="300180"/>
    <x v="343"/>
    <s v="492310.Hardware &amp; peripherals-number of hardware devices-Month"/>
    <s v="Month"/>
    <n v="10"/>
    <n v="75000"/>
    <s v="Computer for Teaching pg courses"/>
    <n v="750000"/>
    <s v="KU Regular operations"/>
    <s v="Recurring"/>
    <s v="Increase number of postgraduate students"/>
    <m/>
  </r>
  <r>
    <s v="Facilities "/>
    <s v="Director, Research Laboratories"/>
    <s v="College of Arts &amp; Science"/>
    <n v="847"/>
    <n v="8470425"/>
    <s v="KUST - Physics"/>
    <n v="1"/>
    <n v="492316"/>
    <s v="492316-Laboratory equipment"/>
    <s v="000000"/>
    <s v="KUST - General"/>
    <n v="847001"/>
    <s v="FA179-Opex Expense"/>
    <n v="300180"/>
    <x v="344"/>
    <s v="492316.Laboratory equipment-Number of Faculty-Number"/>
    <s v="Number"/>
    <n v="10"/>
    <n v="200000"/>
    <s v="Optical Parametric amplifier for teaching MS/PhD nanophysics physics courses  "/>
    <n v="2000000"/>
    <s v="KU Regular operations"/>
    <s v="Recurring"/>
    <s v="Increase number of postgraduate students"/>
    <m/>
  </r>
  <r>
    <s v="Facilities "/>
    <s v="Director, Research Laboratories"/>
    <s v="College of Arts &amp; Science"/>
    <n v="847"/>
    <n v="8470425"/>
    <s v="KUST - Physics"/>
    <n v="1"/>
    <n v="492316"/>
    <s v="492316-Laboratory equipment"/>
    <s v="000000"/>
    <s v="KUST - General"/>
    <n v="847001"/>
    <s v="FA179-Opex Expense"/>
    <n v="300180"/>
    <x v="344"/>
    <s v="492316.Laboratory equipment-Number of Faculty-Number"/>
    <s v="count"/>
    <n v="3"/>
    <n v="120000"/>
    <s v="Freeze drying, Vibratome for sectioning specimens, and DC-IV source meter unit for PHYS 705 Nanophysics and Nanotechnology, (PHYS 703) Biophysics Courses"/>
    <n v="360000"/>
    <s v="KU Regular operations"/>
    <s v="Recurring"/>
    <s v="Increase number of postgraduate students"/>
    <m/>
  </r>
  <r>
    <s v="Facilities "/>
    <s v="Director, Research Laboratories"/>
    <s v="College of Arts &amp; Science"/>
    <n v="847"/>
    <n v="8470425"/>
    <s v="KUST - Physics"/>
    <n v="1"/>
    <n v="492316"/>
    <s v="492316-Laboratory equipment"/>
    <s v="000000"/>
    <s v="KUST - General"/>
    <n v="847001"/>
    <s v="FA179-Opex Expense"/>
    <n v="300180"/>
    <x v="344"/>
    <s v="492316.Laboratory equipment-Number of Faculty-Number"/>
    <s v="Number"/>
    <n v="1"/>
    <n v="1010000"/>
    <s v="Table top ColorSEM for teaching students imaging techniques in Phys707"/>
    <n v="1010000"/>
    <s v="KU Regular operations"/>
    <s v="Recurring"/>
    <s v="Increase number of postgraduate students"/>
    <m/>
  </r>
  <r>
    <s v="Academic"/>
    <s v="No Applicable"/>
    <s v="College of Arts &amp; Science"/>
    <n v="847"/>
    <n v="8470430"/>
    <s v="KUST - Preparatory Program"/>
    <n v="1"/>
    <n v="425761"/>
    <s v="425761-Student Field trips"/>
    <s v="000000"/>
    <s v="KUST - General"/>
    <n v="847001"/>
    <s v="FA179-Opex Expense"/>
    <n v="200179"/>
    <x v="345"/>
    <s v="425761.Student Field trips-Number of Students UG-Month"/>
    <s v="Month"/>
    <n v="2"/>
    <n v="4250"/>
    <s v="Student Field Trips/estimate"/>
    <n v="8500"/>
    <s v="KU Regular operations"/>
    <s v="Recurring"/>
    <s v="Widen access to students with outstanding academic potential"/>
    <m/>
  </r>
  <r>
    <s v="Academic"/>
    <s v="No Applicable"/>
    <s v="College of Arts &amp; Science"/>
    <n v="847"/>
    <n v="8470430"/>
    <s v="KUST - Preparatory Program"/>
    <n v="1"/>
    <n v="425770"/>
    <s v="425770-Academic Missions - Combined expenses"/>
    <s v="000000"/>
    <s v="KUST - General"/>
    <n v="847001"/>
    <s v="FA179-Opex Expense"/>
    <n v="200179"/>
    <x v="346"/>
    <s v="425770.Academic Missions - Combined expenses-Number of Conference-Number"/>
    <s v="Number"/>
    <n v="10"/>
    <n v="37342.5"/>
    <s v="Academic Mission/KU formula"/>
    <n v="373425"/>
    <s v="KU Regular operations"/>
    <s v="Recurring"/>
    <s v="Increase publications in journals with high impact factor"/>
    <m/>
  </r>
  <r>
    <s v="Other support"/>
    <s v="Director, Human Resources"/>
    <s v="College of Arts &amp; Science"/>
    <n v="847"/>
    <n v="8470430"/>
    <s v="KUST - Preparatory Program"/>
    <n v="1"/>
    <n v="425900"/>
    <s v="425900-Entertainment and hospitality"/>
    <s v="000000"/>
    <s v="KUST - General"/>
    <n v="847001"/>
    <s v="FA179-Opex Expense"/>
    <n v="200179"/>
    <x v="347"/>
    <s v="425900.Entertainment and hospitality-1. No of events/workshops planned-count"/>
    <s v="count"/>
    <n v="4"/>
    <n v="3000"/>
    <s v="estimate - 25 people - "/>
    <n v="12000"/>
    <s v="KU Regular operations"/>
    <s v="Recurring"/>
    <s v="Ensure the university sustainability "/>
    <m/>
  </r>
  <r>
    <s v="IT"/>
    <s v="Director, Technology Development"/>
    <s v="College of Arts &amp; Science"/>
    <n v="847"/>
    <n v="8470430"/>
    <s v="KUST - Preparatory Program"/>
    <n v="1"/>
    <n v="426610"/>
    <s v="426610-Computer software licenses"/>
    <s v="000000"/>
    <s v="KUST - General"/>
    <n v="847001"/>
    <s v="FA179-Opex Expense"/>
    <n v="200179"/>
    <x v="348"/>
    <s v="426610.Computer software licenses-Software License Renewal-number of licenses-Number"/>
    <s v="Number"/>
    <n v="3"/>
    <n v="8717.3333333333339"/>
    <s v="existing licenses"/>
    <n v="26152"/>
    <s v="KU Regular operations"/>
    <s v="Recurring"/>
    <s v="Ensure the university sustainability "/>
    <m/>
  </r>
  <r>
    <s v="Academic"/>
    <s v="No Applicable"/>
    <s v="College of Arts &amp; Science"/>
    <n v="847"/>
    <n v="8470430"/>
    <s v="KUST - Preparatory Program"/>
    <n v="1"/>
    <n v="432209"/>
    <s v="432209-Laboratory equipment"/>
    <s v="000000"/>
    <s v="KUST - General"/>
    <n v="847001"/>
    <s v="FA179-Opex Expense"/>
    <n v="200179"/>
    <x v="349"/>
    <s v="432209.Laboratory equipment-Number of Students-Number"/>
    <s v="Number"/>
    <n v="1"/>
    <n v="1575"/>
    <s v="Materials&amp; Consumables/no appropriate category"/>
    <n v="1575"/>
    <s v="KU Regular operations"/>
    <s v="Recurring"/>
    <s v="Utilize state-of-the-art technologies and facilities in an optimal and efficient manner"/>
    <m/>
  </r>
  <r>
    <s v="Academic"/>
    <s v="Director, Research Laboratories"/>
    <s v="College of Arts &amp; Science"/>
    <n v="847"/>
    <n v="8470430"/>
    <s v="KUST - Preparatory Program"/>
    <n v="1"/>
    <n v="435508"/>
    <s v="435508-Laboratory - Scientific"/>
    <s v="000000"/>
    <s v="KUST - General"/>
    <n v="847001"/>
    <s v="FA179-Opex Expense"/>
    <n v="200179"/>
    <x v="350"/>
    <s v="435508.Laboratory - Scientific-Number of Students-Number"/>
    <s v="Number"/>
    <n v="2"/>
    <n v="42300"/>
    <s v="historical calculations"/>
    <n v="84600"/>
    <s v="KU Regular operations"/>
    <s v="Recurring"/>
    <s v="Ensure the university sustainability "/>
    <m/>
  </r>
  <r>
    <s v="Academic"/>
    <s v="No Applicable"/>
    <s v="College of Arts &amp; Science"/>
    <n v="847"/>
    <n v="8470440"/>
    <s v="KUST - Humanities &amp; Social Sciences"/>
    <n v="1"/>
    <n v="420550"/>
    <s v="420550-Academic Advisory Service"/>
    <s v="000000"/>
    <s v="KUST - General"/>
    <n v="847001"/>
    <s v="FA179-Opex Expense"/>
    <n v="200179"/>
    <x v="351"/>
    <s v="420550.Academic Advisory Service-Number of Services-Number"/>
    <s v="Number"/>
    <n v="4"/>
    <n v="140000"/>
    <s v="Academic Advisory Service-Number of Services-Number"/>
    <n v="560000"/>
    <s v="Regular operations"/>
    <s v="Recurring"/>
    <s v="Align academic programs with the local and global labor market needs"/>
    <m/>
  </r>
  <r>
    <s v="Academic"/>
    <s v="No Applicable"/>
    <s v="College of Arts &amp; Science"/>
    <n v="847"/>
    <n v="8470440"/>
    <s v="KUST - Humanities &amp; Social Sciences"/>
    <n v="1"/>
    <n v="420570"/>
    <s v="420570-Academic Collaborative Partnership Services"/>
    <s v="000000"/>
    <s v="KUST - General"/>
    <n v="847001"/>
    <s v="FA179-Opex Expense"/>
    <n v="200179"/>
    <x v="352"/>
    <s v="420570.Academic Collaborative Partnership Services-Partnership Agreement or Academic Collaboration -No of Partneship/collaboration Agreement"/>
    <s v="Number"/>
    <n v="10"/>
    <n v="15000"/>
    <s v="Academic Collaborative Partnership Services-Partnership Agreement or Academic Collaboration -No of Partneship/collaboration Agreement"/>
    <n v="150000"/>
    <s v="Regular operations"/>
    <s v="Recurring"/>
    <s v="Align academic programs with the local and global labor market needs"/>
    <m/>
  </r>
  <r>
    <s v="Academic"/>
    <s v="Director, Institutional Research and Planning"/>
    <s v="College of Arts &amp; Science"/>
    <n v="847"/>
    <n v="8470440"/>
    <s v="KUST - Humanities &amp; Social Sciences"/>
    <n v="1"/>
    <n v="421700"/>
    <s v="421700-Standards certification (e.g. ISO)"/>
    <s v="000000"/>
    <s v="KUST - General"/>
    <n v="847001"/>
    <s v="FA179-Opex Expense"/>
    <n v="200179"/>
    <x v="353"/>
    <s v="421700.Standards Certification Services (e.g. ISO)-professional services scope/deliverables-Number"/>
    <s v="Number"/>
    <n v="2"/>
    <n v="140000"/>
    <s v="Standards Certification Services (e.g. ISO)-professional services scope/deliverables-Number"/>
    <n v="280000"/>
    <s v="Regular operations"/>
    <s v="Non-recurring"/>
    <s v="Align academic programs with the local and global labor market needs"/>
    <m/>
  </r>
  <r>
    <s v="Communiction &amp; Marketing"/>
    <s v="Director, Marketing and Communication"/>
    <s v="College of Arts &amp; Science"/>
    <n v="847"/>
    <n v="8470440"/>
    <s v="KUST - Humanities &amp; Social Sciences"/>
    <n v="1"/>
    <n v="425100"/>
    <s v="425100-Advertising"/>
    <s v="000000"/>
    <s v="KUST - General"/>
    <n v="847001"/>
    <s v="FA179-Opex Expense"/>
    <n v="200179"/>
    <x v="354"/>
    <s v="425100.Advertising Services (General)-TV advertising cost-Second"/>
    <s v="Number"/>
    <n v="2"/>
    <n v="5000"/>
    <s v="Advertising Services (General)-TV advertising cost-Second"/>
    <n v="10000"/>
    <s v="Regular operations"/>
    <s v="Recurring"/>
    <s v="Align academic programs with the local and global labor market needs"/>
    <m/>
  </r>
  <r>
    <s v="Communiction &amp; Marketing"/>
    <s v="Director, Marketing and Communication"/>
    <s v="College of Arts &amp; Science"/>
    <n v="847"/>
    <n v="8470440"/>
    <s v="KUST - Humanities &amp; Social Sciences"/>
    <n v="1"/>
    <n v="425510"/>
    <s v="425510-Conferences, seminars and exhibitions and other events: - Local Events"/>
    <s v="000000"/>
    <s v="KUST - General"/>
    <n v="847001"/>
    <s v="FA179-Opex Expense"/>
    <n v="200179"/>
    <x v="355"/>
    <s v="425510.Conferences, seminars and exhibitions and other events: - Local Events-Number of attendees-count"/>
    <s v="Number"/>
    <n v="15"/>
    <n v="15000"/>
    <s v="Conferences, seminars and exhibitions and other events: - Local Events-Number of attendees-count"/>
    <n v="225000"/>
    <s v="Regular operations"/>
    <s v="Recurring"/>
    <s v="Align academic programs with the local and global labor market needs"/>
    <m/>
  </r>
  <r>
    <s v="Communiction &amp; Marketing"/>
    <s v="No Applicable"/>
    <s v="College of Arts &amp; Science"/>
    <n v="847"/>
    <n v="8470440"/>
    <s v="KUST - Humanities &amp; Social Sciences"/>
    <n v="1"/>
    <n v="425550"/>
    <s v="425550-Conferences, seminars and exhibitions and other events: - Overseas event"/>
    <s v="000000"/>
    <s v="KUST - General"/>
    <n v="847001"/>
    <s v="FA179-Opex Expense"/>
    <n v="200179"/>
    <x v="356"/>
    <s v="425550.Conferences, seminars and exhibitions and other events: - Overseas event-Conferences-Number of Conferences"/>
    <s v="Number"/>
    <n v="15"/>
    <n v="15000"/>
    <s v="Conferences, seminars and exhibitions and other events: - Overseas event-Conferences-Number of Conferences"/>
    <n v="225000"/>
    <s v="Regular operations"/>
    <s v="Recurring"/>
    <s v="Align academic programs with the local and global labor market needs"/>
    <m/>
  </r>
  <r>
    <s v="Academic"/>
    <s v="No Applicable"/>
    <s v="College of Arts &amp; Science"/>
    <n v="847"/>
    <n v="8470440"/>
    <s v="KUST - Humanities &amp; Social Sciences"/>
    <n v="1"/>
    <n v="425761"/>
    <s v="425761-Student Field trips"/>
    <s v="000000"/>
    <s v="KUST - General"/>
    <n v="847001"/>
    <s v="FA179-Opex Expense"/>
    <n v="200179"/>
    <x v="357"/>
    <s v="425761.Student Field trips-Number Student Phd-Number"/>
    <s v="Number"/>
    <n v="300"/>
    <n v="2500"/>
    <s v="Student Field trips-Number Student Phd-Number"/>
    <n v="750000"/>
    <s v="Strategic New Initiative"/>
    <s v="Recurring"/>
    <s v="Align academic programs with the local and global labor market needs"/>
    <m/>
  </r>
  <r>
    <s v="Academic"/>
    <s v="No Applicable"/>
    <s v="College of Arts &amp; Science"/>
    <n v="847"/>
    <n v="8470440"/>
    <s v="KUST - Humanities &amp; Social Sciences"/>
    <n v="1"/>
    <n v="425770"/>
    <s v="425770-Academic Missions - Combined expenses"/>
    <s v="000000"/>
    <s v="KUST - General"/>
    <n v="847001"/>
    <s v="FA179-Opex Expense"/>
    <n v="200179"/>
    <x v="358"/>
    <s v="425770.Academic Missions - Combined expenses-Number of Conference-Number"/>
    <s v="Number"/>
    <n v="15"/>
    <n v="20000"/>
    <s v="Academic Missions - Combined expenses-Number of Conference-Number"/>
    <n v="300000"/>
    <s v="Regular operations"/>
    <s v="Recurring"/>
    <s v="Align academic programs with the local and global labor market needs"/>
    <m/>
  </r>
  <r>
    <s v="IT"/>
    <s v="Director, Technology Development"/>
    <s v="College of Arts &amp; Science"/>
    <n v="847"/>
    <n v="8470440"/>
    <s v="KUST - Humanities &amp; Social Sciences"/>
    <n v="1"/>
    <n v="426610"/>
    <s v="426610-Computer software licenses"/>
    <s v="000000"/>
    <s v="KUST - General"/>
    <n v="847001"/>
    <s v="FA179-Opex Expense"/>
    <n v="200179"/>
    <x v="359"/>
    <s v="426610.Computer software licenses-Software License Renewal-number of licenses-Number"/>
    <s v="Number"/>
    <n v="4"/>
    <n v="30000"/>
    <s v="Computer software licenses-Software License Renewal-number of licenses-Number"/>
    <n v="120000"/>
    <s v="Regular operations"/>
    <s v="Recurring"/>
    <s v="Align academic programs with the local and global labor market needs"/>
    <m/>
  </r>
  <r>
    <s v="Academic"/>
    <s v="No Applicable"/>
    <s v="College of Arts &amp; Science"/>
    <n v="847"/>
    <n v="8470440"/>
    <s v="KUST - Humanities &amp; Social Sciences"/>
    <n v="1"/>
    <n v="427710"/>
    <s v="427710-Subscriptions and membership fees: Trade organisations"/>
    <s v="000000"/>
    <s v="KUST - General"/>
    <n v="847001"/>
    <s v="FA179-Opex Expense"/>
    <n v="200179"/>
    <x v="360"/>
    <s v="427710.Subscriptions and membership fees: Trade organisations-Number  of Memberships-Number"/>
    <s v="Number"/>
    <n v="15"/>
    <n v="1000"/>
    <s v="Subscriptions and membership fees: Trade organisations-Number  of Memberships-Number"/>
    <n v="15000"/>
    <s v="Regular operations"/>
    <s v="Recurring"/>
    <s v="Align academic programs with the local and global labor market needs"/>
    <m/>
  </r>
  <r>
    <s v="Academic "/>
    <s v="No Applicable"/>
    <s v="College of Arts &amp; Science"/>
    <n v="847"/>
    <n v="8470440"/>
    <s v="KUST - Humanities &amp; Social Sciences"/>
    <n v="1"/>
    <n v="428090"/>
    <s v="428090-Business Travel - Combined expenses"/>
    <s v="000000"/>
    <s v="KUST - General"/>
    <n v="847001"/>
    <s v="FA179-Opex Expense"/>
    <n v="200179"/>
    <x v="361"/>
    <s v="428090.Business Travel - Combined expenses-Number of Faculty-Number"/>
    <s v="Number"/>
    <n v="15"/>
    <n v="15000"/>
    <s v="Business Travel - Combined expenses-Number of Faculty-Number"/>
    <n v="225000"/>
    <s v="Regular operations"/>
    <s v="Recurring"/>
    <s v="Align academic programs with the local and global labor market needs"/>
    <m/>
  </r>
  <r>
    <s v="Communiction &amp; Marketing"/>
    <s v="Director, Marketing and Communication"/>
    <s v="College of Arts &amp; Science"/>
    <n v="847"/>
    <n v="8470440"/>
    <s v="KUST - Humanities &amp; Social Sciences"/>
    <n v="1"/>
    <n v="428640"/>
    <s v="428640-Events - Awards, prizes &amp; gifts"/>
    <s v="000000"/>
    <s v="KUST - General"/>
    <n v="847001"/>
    <s v="FA179-Opex Expense"/>
    <n v="200179"/>
    <x v="362"/>
    <s v="428640.Events - Awards, prizes &amp; gifts-Number of awards-count"/>
    <s v="Number"/>
    <n v="20"/>
    <n v="5000"/>
    <s v="Events - Awards, prizes &amp; gifts-Number of awards-count"/>
    <n v="100000"/>
    <s v="Regular operations"/>
    <s v="Recurring"/>
    <s v="Align academic programs with the local and global labor market needs"/>
    <m/>
  </r>
  <r>
    <s v="Academic"/>
    <s v="No Applicable"/>
    <s v="College of Arts &amp; Science"/>
    <n v="847"/>
    <n v="8470440"/>
    <s v="KUST - Humanities &amp; Social Sciences"/>
    <n v="1"/>
    <n v="435340"/>
    <s v="435340-Text books and library books"/>
    <s v="000000"/>
    <s v="KUST - General"/>
    <n v="847001"/>
    <s v="FA179-Opex Expense"/>
    <n v="200179"/>
    <x v="363"/>
    <s v="435340.Text books and library books-Faculty-Number oF Faculty"/>
    <s v="Number"/>
    <n v="4"/>
    <n v="30000"/>
    <s v="Text books and library books-Faculty-Number oF Faculty"/>
    <n v="120000"/>
    <s v="Regular operations"/>
    <s v="Recurring"/>
    <s v="Align academic programs with the local and global labor market needs"/>
    <m/>
  </r>
  <r>
    <s v="Academic"/>
    <s v="No Applicable"/>
    <s v="College of Arts &amp; Science"/>
    <n v="847"/>
    <n v="8470440"/>
    <s v="KUST - Humanities &amp; Social Sciences"/>
    <n v="1"/>
    <n v="435350"/>
    <s v="435350-Academic Publications"/>
    <s v="000000"/>
    <s v="KUST - General"/>
    <n v="847001"/>
    <s v="FA179-Opex Expense"/>
    <n v="200179"/>
    <x v="364"/>
    <s v="435350.Academic Publications-Number of Publications-Number"/>
    <s v="Number"/>
    <n v="20"/>
    <n v="2000"/>
    <s v="Academic Publications-Number of Publications-Number"/>
    <n v="40000"/>
    <s v="Regular operations"/>
    <s v="Recurring"/>
    <s v="Align academic programs with the local and global labor market needs"/>
    <m/>
  </r>
  <r>
    <s v="Academic"/>
    <s v="No Applicable"/>
    <s v="College of Arts &amp; Science"/>
    <n v="847"/>
    <n v="8470440"/>
    <s v="KUST - Humanities &amp; Social Sciences"/>
    <n v="1"/>
    <n v="436600"/>
    <s v="436600-Training/Teaching equipment and other educational aid"/>
    <s v="000000"/>
    <s v="KUST - General"/>
    <n v="847001"/>
    <s v="FA179-Opex Expense"/>
    <n v="200179"/>
    <x v="365"/>
    <s v="436600.Training/Teaching equipment and other educational aid-Number of Faculty-Number"/>
    <s v="Number"/>
    <n v="15"/>
    <n v="1500"/>
    <s v="Training/Teaching equipment and other educational aid-Number of Faculty-Number"/>
    <n v="22500"/>
    <s v="Regular operations"/>
    <s v="Recurring"/>
    <s v="Align academic programs with the local and global labor market needs"/>
    <m/>
  </r>
  <r>
    <s v="Academic"/>
    <s v="No Applicable"/>
    <s v="College of Arts &amp; Science"/>
    <n v="847"/>
    <n v="8470445"/>
    <s v="KUST - Mathematics"/>
    <n v="1"/>
    <n v="427710"/>
    <s v="427710-Subscriptions and membership fees: Trade organisations"/>
    <s v="000000"/>
    <s v="KUST - General"/>
    <n v="847001"/>
    <s v="FA179-Opex Expense"/>
    <n v="200179"/>
    <x v="366"/>
    <s v="427710.Subscriptions and membership fees: Trade organisations-Number  of Memberships-Number"/>
    <s v="Number"/>
    <n v="1"/>
    <n v="13138"/>
    <s v="Fixed part plus a rate for each deparrment faculty 1282 + 45*51 = 3577 USD (for 2024)"/>
    <n v="13138"/>
    <s v="KU Regular operations"/>
    <s v="Recurring"/>
    <s v="Build partnerships with local and international universities"/>
    <m/>
  </r>
  <r>
    <s v="Other support"/>
    <s v="Director, Human Resources"/>
    <s v="College of Arts &amp; Science"/>
    <n v="847"/>
    <n v="8470445"/>
    <s v="KUST - Mathematics"/>
    <n v="1"/>
    <n v="425900"/>
    <s v="425900-Entertainment and hospitality"/>
    <s v="000000"/>
    <s v="KUST - General"/>
    <n v="847001"/>
    <s v="FA179-Opex Expense"/>
    <n v="200179"/>
    <x v="367"/>
    <s v="425900.Entertainment and hospitality-1. No of events/workshops planned-count"/>
    <s v="count"/>
    <n v="12"/>
    <n v="10000"/>
    <s v="Monthly seminar and guest"/>
    <n v="120000"/>
    <s v="KU Regular operations"/>
    <s v="Recurring"/>
    <s v="Build partnerships with local and international universities"/>
    <m/>
  </r>
  <r>
    <s v="Academic"/>
    <s v="No Applicable"/>
    <s v="College of Arts &amp; Science"/>
    <n v="847"/>
    <n v="8470445"/>
    <s v="KUST - Mathematics"/>
    <n v="1"/>
    <n v="420550"/>
    <s v="420550-Academic Advisory Service"/>
    <s v="000000"/>
    <s v="KUST - General"/>
    <n v="847001"/>
    <s v="FA179-Opex Expense"/>
    <n v="200179"/>
    <x v="368"/>
    <s v="420550.Academic Advisory Service-Number of Services-Number"/>
    <s v="Number"/>
    <n v="1"/>
    <n v="200000"/>
    <s v=" return trips and local expenses for each of the advisory board members (40000AED each)"/>
    <n v="200000"/>
    <s v="KU Regular operations"/>
    <s v="Recurring"/>
    <s v="Build partnerships with local and international universities"/>
    <m/>
  </r>
  <r>
    <s v="Academic"/>
    <s v="No Applicable"/>
    <s v="College of Arts &amp; Science"/>
    <n v="847"/>
    <n v="8470445"/>
    <s v="KUST - Mathematics"/>
    <n v="1"/>
    <n v="420550"/>
    <s v="420550-Academic Advisory Service"/>
    <s v="000000"/>
    <s v="KUST - General"/>
    <n v="847001"/>
    <s v="FA179-Opex Expense"/>
    <n v="200179"/>
    <x v="368"/>
    <s v="420550.Academic Advisory Service-Number of Services-Number"/>
    <s v="Number"/>
    <n v="1"/>
    <n v="200000"/>
    <s v=" return trips and local expenses for each of the advisory board members (40000AED each)"/>
    <n v="200000"/>
    <s v="KU Strategic New Initiative"/>
    <s v="Recurring"/>
    <s v="Build partnerships with local and international universities"/>
    <m/>
  </r>
  <r>
    <s v="Communiction &amp; Marketing"/>
    <s v="Director, Marketing and Communication"/>
    <s v="College of Arts &amp; Science"/>
    <n v="847"/>
    <n v="8470445"/>
    <s v="KUST - Mathematics"/>
    <n v="1"/>
    <n v="425510"/>
    <s v="425510-Conferences, seminars and exhibitions and other events: - Local Events"/>
    <s v="000000"/>
    <s v="KUST - General"/>
    <n v="847001"/>
    <s v="FA179-Opex Expense"/>
    <n v="200179"/>
    <x v="369"/>
    <s v="425510.Conferences, seminars and exhibitions and other events: - Local Events-Conferences-Number of Conferences"/>
    <s v="Number of Conferences"/>
    <n v="3"/>
    <n v="150000"/>
    <s v="150000 AED are estimated per event, covering organization costs per unit participant of about 15000AED"/>
    <n v="450000"/>
    <s v="KU Strategic New Initiative"/>
    <s v="Recurring"/>
    <s v="Attract and organize international conferences and summits"/>
    <m/>
  </r>
  <r>
    <s v="IT"/>
    <s v="Director, Technology Development"/>
    <s v="College of Arts &amp; Science"/>
    <n v="847"/>
    <n v="8470445"/>
    <s v="KUST - Mathematics"/>
    <n v="1"/>
    <n v="492354"/>
    <s v="492354-Hardware &amp; peripherals-Peripherals &amp; Infrastructure  Components "/>
    <s v="000000"/>
    <s v="KUST- Sas Al Nakhl Campus"/>
    <n v="847001"/>
    <s v="FA180-Capex Expense"/>
    <n v="300180"/>
    <x v="370"/>
    <s v="492354.Hardware &amp; peripherals-Peripherals &amp; Infrastructure Components-TBD-TBD"/>
    <s v="TBD"/>
    <n v="1"/>
    <n v="600000"/>
    <s v="10 more Workstations are estimated for 60kAED each "/>
    <n v="600000"/>
    <s v="KU Strategic New Initiative"/>
    <s v="Non-recurring"/>
    <s v="Utilize state-of-the-art technologies and facilities in an optimal and efficient manner"/>
    <m/>
  </r>
  <r>
    <s v="Academic"/>
    <s v="No Applicable"/>
    <s v="College of Arts &amp; Science"/>
    <n v="847"/>
    <n v="8470450"/>
    <s v="KUST - Earth Science"/>
    <n v="1"/>
    <n v="435350"/>
    <s v="435350-Academic Publications"/>
    <s v="000000"/>
    <s v="KUST - General"/>
    <n v="847001"/>
    <s v="FA179-Opex Expense"/>
    <n v="200179"/>
    <x v="371"/>
    <s v="435350.Academic Publications-Number of Publications-Number"/>
    <s v="Number"/>
    <n v="1"/>
    <n v="120000"/>
    <s v="Cost of publication in Q1 journals (c. 10000 per faculty)"/>
    <n v="120000"/>
    <s v="KU Regular operations"/>
    <s v="Recurring"/>
    <s v="Recruit and retain high caliber faculty, researchers and staff"/>
    <m/>
  </r>
  <r>
    <s v="Academic"/>
    <s v="Director, Research Laboratories"/>
    <s v="College of Arts &amp; Science"/>
    <n v="847"/>
    <n v="8470450"/>
    <s v="KUST - Earth Science"/>
    <n v="1"/>
    <n v="435508"/>
    <s v="435508-Laboratory - Scientific"/>
    <s v="000000"/>
    <s v="KUST - General"/>
    <n v="847001"/>
    <s v="FA179-Opex Expense"/>
    <n v="200179"/>
    <x v="372"/>
    <s v="435508.Laboratory - Scientific-Number of Students-Number"/>
    <s v="Number"/>
    <n v="1"/>
    <n v="280000"/>
    <s v="Maintenance and Consumables for department equipment and teaching labs needed for UG and PG courses, and undergraduate research "/>
    <n v="280000"/>
    <s v="KU Regular operations"/>
    <s v="Recurring"/>
    <s v="Utilize state-of-the-art technologies and facilities in an optimal and efficient manner"/>
    <m/>
  </r>
  <r>
    <s v="Facilities "/>
    <s v="Director, Research Laboratories"/>
    <s v="College of Arts &amp; Science"/>
    <n v="847"/>
    <n v="8470450"/>
    <s v="KUST - Earth Science"/>
    <n v="1"/>
    <n v="492316"/>
    <s v="492316-Laboratory equipment"/>
    <s v="000000"/>
    <s v="KUST - General"/>
    <n v="847001"/>
    <s v="FA180-Capex Expense"/>
    <n v="300180"/>
    <x v="373"/>
    <s v="492316.Laboratory equipment-Number of Research-Number"/>
    <s v="Number"/>
    <n v="2"/>
    <n v="60000"/>
    <s v="Fume hoods"/>
    <n v="120000"/>
    <s v="KU Regular operations"/>
    <s v="Non-recurring"/>
    <s v="Utilize state-of-the-art technologies and facilities in an optimal and efficient manner"/>
    <m/>
  </r>
  <r>
    <s v="Academic"/>
    <s v="No Applicable"/>
    <s v="College of Arts &amp; Science"/>
    <n v="847"/>
    <n v="8470450"/>
    <s v="KUST - Earth Science"/>
    <n v="1"/>
    <n v="492316"/>
    <s v="492316-Laboratory equipment"/>
    <s v="000000"/>
    <s v="KUST - General"/>
    <n v="847001"/>
    <s v="FA180-Capex Expense"/>
    <n v="300180"/>
    <x v="373"/>
    <s v="492316.Laboratory equipment-Number of Research-Number"/>
    <s v="Number"/>
    <n v="1"/>
    <n v="130000"/>
    <s v="Handed XRF"/>
    <n v="130000"/>
    <s v="KU Regular operations"/>
    <s v="Non-recurring"/>
    <s v="Recruit and retain high caliber faculty, researchers and staff"/>
    <m/>
  </r>
  <r>
    <s v="Academic"/>
    <s v="No Applicable"/>
    <s v="College of Arts &amp; Science"/>
    <n v="847"/>
    <n v="8470450"/>
    <s v="KUST - Earth Science"/>
    <n v="1"/>
    <n v="492310"/>
    <s v="492310-Hardware &amp; peripherals-Servers, End user PCs, Laptop"/>
    <s v="000000"/>
    <s v="KUST - General"/>
    <n v="847001"/>
    <s v="FA180-Capex Expense"/>
    <n v="300180"/>
    <x v="374"/>
    <s v="492310.Hardware &amp; peripherals-number of hardware devices-Month"/>
    <s v="Month"/>
    <n v="5"/>
    <n v="20000"/>
    <s v="New Computers for (3229) Earth Sciences lab"/>
    <n v="100000"/>
    <s v="KU Regular operations"/>
    <s v="Non-recurring"/>
    <s v="Utilize state-of-the-art technologies and facilities in an optimal and efficient manner"/>
    <m/>
  </r>
  <r>
    <s v="Academic"/>
    <s v="No Applicable"/>
    <s v="College of Arts &amp; Science"/>
    <n v="847"/>
    <n v="8470450"/>
    <s v="KUST - Earth Science"/>
    <n v="1"/>
    <n v="492310"/>
    <s v="492310-Hardware &amp; peripherals-Servers, End user PCs, Laptop"/>
    <s v="000000"/>
    <s v="KUST - General"/>
    <n v="847001"/>
    <s v="FA180-Capex Expense"/>
    <n v="300180"/>
    <x v="374"/>
    <s v="492310.Hardware &amp; peripherals-number of hardware devices-Month"/>
    <s v="Month"/>
    <n v="2"/>
    <n v="10000"/>
    <s v="Projector replacement required for classrooms (3232, 3238)"/>
    <n v="20000"/>
    <s v="KU Regular operations"/>
    <s v="Non-recurring"/>
    <s v="Utilize state-of-the-art technologies and facilities in an optimal and efficient manner"/>
    <m/>
  </r>
  <r>
    <s v="Academic"/>
    <s v="No Applicable"/>
    <s v="College of Arts &amp; Science"/>
    <n v="847"/>
    <n v="8470450"/>
    <s v="KUST - Earth Science"/>
    <n v="1"/>
    <n v="492310"/>
    <s v="492310-Hardware &amp; peripherals-Servers, End user PCs, Laptop"/>
    <s v="000000"/>
    <s v="KUST - General"/>
    <n v="847001"/>
    <s v="FA180-Capex Expense"/>
    <n v="300180"/>
    <x v="374"/>
    <s v="492310.Hardware &amp; peripherals-number of hardware devices-Month"/>
    <s v="Month"/>
    <n v="1"/>
    <n v="5000"/>
    <s v="Damaged touch control panel (Visualization Sys) (Lab 3229)"/>
    <n v="5000"/>
    <s v="KU Regular operations"/>
    <s v="Non-recurring"/>
    <s v="Utilize state-of-the-art technologies and facilities in an optimal and efficient manner"/>
    <m/>
  </r>
  <r>
    <s v="Academic"/>
    <s v="No Applicable"/>
    <s v="College of Arts &amp; Science"/>
    <n v="847"/>
    <n v="8470450"/>
    <s v="KUST - Earth Science"/>
    <n v="1"/>
    <n v="421700"/>
    <s v="421700.Standards Certification Services (e.g. ISO)-Number of Academic programs-Number"/>
    <s v="000000"/>
    <s v="KUST - General"/>
    <n v="847001"/>
    <s v="FA179-Opex Expense"/>
    <n v="200179"/>
    <x v="375"/>
    <s v="421700.Standards Certification Services (e.g. ISO)-Number of Academic programs-Number"/>
    <s v="Number"/>
    <n v="2"/>
    <n v="150000"/>
    <s v="Accreditation visits"/>
    <n v="300000"/>
    <s v="KU Regular operations"/>
    <s v="Non-recurring"/>
    <s v="Align academic programs with the local and global labor market needs"/>
    <m/>
  </r>
  <r>
    <s v="Student"/>
    <s v="Director, Student Services"/>
    <s v="College of Arts &amp; Science"/>
    <n v="847"/>
    <n v="8470455"/>
    <s v="KUST – Biology"/>
    <n v="1"/>
    <n v="425760"/>
    <s v="425760-Student activities &amp; field trip expenses"/>
    <s v="000000"/>
    <s v="KUST - General"/>
    <n v="847001"/>
    <s v="FA179-Opex Expense"/>
    <n v="200179"/>
    <x v="376"/>
    <s v="425760.Student activities &amp; field trip expenses-Students-No of Students"/>
    <s v="No of Students"/>
    <n v="84"/>
    <n v="150"/>
    <s v="Student activities &amp; field trip expenses/cost per student"/>
    <n v="12600"/>
    <s v="KU Regular operations"/>
    <s v="Recurring"/>
    <s v="Develop the university innovation and entrepreneurship system"/>
    <m/>
  </r>
  <r>
    <s v="Academic"/>
    <s v="No Applicable"/>
    <s v="College of Arts &amp; Science"/>
    <n v="847"/>
    <n v="8470455"/>
    <s v="KUST – Biology"/>
    <n v="1"/>
    <n v="425770"/>
    <s v="425770-Academic Missions - Combined expenses"/>
    <s v="000000"/>
    <s v="KUST - General"/>
    <n v="847001"/>
    <s v="FA179-Opex Expense"/>
    <n v="200179"/>
    <x v="377"/>
    <s v="425770.Academic Missions - Combined expenses-Number of Conference-Number"/>
    <s v="Number"/>
    <n v="8"/>
    <n v="16000"/>
    <s v="Conference Participation/Cost per faculty"/>
    <n v="128000"/>
    <s v="KU Regular operations"/>
    <s v="Recurring"/>
    <s v="Recruit and retain high caliber faculty, researchers and staff"/>
    <m/>
  </r>
  <r>
    <s v="Other support"/>
    <s v="Director, Human Resources"/>
    <s v="College of Arts &amp; Science"/>
    <n v="847"/>
    <n v="8470455"/>
    <s v="KUST – Biology"/>
    <n v="1"/>
    <n v="425900"/>
    <s v="425900-Entertainment and hospitality"/>
    <s v="000000"/>
    <s v="KUST - General"/>
    <n v="847001"/>
    <s v="FA179-Opex Expense"/>
    <n v="200179"/>
    <x v="378"/>
    <s v="425900.Entertainment and hospitality-1. No of events/workshops planned-count"/>
    <s v="count"/>
    <n v="3"/>
    <n v="15000"/>
    <s v="Departmental &amp; Advisory Board meetings"/>
    <n v="45000"/>
    <s v="KU Strategic New Initiative"/>
    <s v="Recurring"/>
    <s v="Align academic programs with the local and global labor market needs"/>
    <m/>
  </r>
  <r>
    <s v="IT"/>
    <s v="Director, Technology Development"/>
    <s v="College of Arts &amp; Science"/>
    <n v="847"/>
    <n v="8470455"/>
    <s v="KUST – Biology"/>
    <n v="1"/>
    <n v="426610"/>
    <s v="426610-Computer software licenses"/>
    <s v="000000"/>
    <s v="KUST - General"/>
    <n v="847001"/>
    <s v="FA179-Opex Expense"/>
    <n v="200179"/>
    <x v="379"/>
    <s v="426610.Computer software licenses-Software License Renewal-duration of license maintenance/support period-Month"/>
    <s v="Month"/>
    <n v="9"/>
    <n v="5000"/>
    <s v="ChemDraw &amp; Prism GraphPad"/>
    <n v="45000"/>
    <s v="KU Regular operations"/>
    <s v="Recurring"/>
    <s v="Increase publications in journals with high impact factor"/>
    <m/>
  </r>
  <r>
    <s v="Academic "/>
    <s v="No Applicable"/>
    <s v="College of Arts &amp; Science"/>
    <n v="847"/>
    <n v="8470455"/>
    <s v="KUST – Biology"/>
    <n v="1"/>
    <n v="428090"/>
    <s v="428090-Business Travel - Combined expenses"/>
    <s v="000000"/>
    <s v="KUST - General"/>
    <n v="847001"/>
    <s v="FA179-Opex Expense"/>
    <n v="200179"/>
    <x v="380"/>
    <s v="428090.Business Travel - Combined expenses-Number of Staff-Number"/>
    <s v="Number"/>
    <n v="3"/>
    <n v="25000"/>
    <s v="Advisory Board meetings"/>
    <n v="75000"/>
    <s v="KU Strategic New Initiative"/>
    <s v="Recurring"/>
    <s v="Align academic programs with the local and global labor market needs"/>
    <m/>
  </r>
  <r>
    <s v="Communiction &amp; Marketing"/>
    <s v="Director, Marketing and Communication"/>
    <s v="College of Arts &amp; Science"/>
    <n v="847"/>
    <n v="8470455"/>
    <s v="KUST – Biology"/>
    <n v="1"/>
    <n v="428640"/>
    <s v="428640-Events - Awards, prizes &amp; gifts"/>
    <s v="000000"/>
    <s v="KUST - General"/>
    <n v="847001"/>
    <s v="FA179-Opex Expense"/>
    <n v="200179"/>
    <x v="381"/>
    <s v="428640.Events - Awards, prizes &amp; gifts-Number of Prizes-count"/>
    <s v="count"/>
    <n v="6"/>
    <n v="2500"/>
    <s v="Student Competitions"/>
    <n v="15000"/>
    <s v="KU Strategic New Initiative"/>
    <s v="Recurring"/>
    <s v="Widen access to students with outstanding academic potential"/>
    <m/>
  </r>
  <r>
    <s v="Academic"/>
    <s v="No Applicable"/>
    <s v="College of Arts &amp; Science"/>
    <n v="847"/>
    <n v="8470455"/>
    <s v="KUST – Biology"/>
    <n v="1"/>
    <n v="432209"/>
    <s v="432209-Laboratory equipment"/>
    <s v="000000"/>
    <s v="KUST - General"/>
    <n v="847001"/>
    <s v="FA179-Opex Expense"/>
    <n v="200179"/>
    <x v="382"/>
    <s v="432209.Laboratory equipment-Number of Students-Number"/>
    <s v="Number"/>
    <n v="1.2"/>
    <n v="300000"/>
    <s v="Operational, maintenance &amp; spare parts for LCMSMS &amp; Oxford Nanopore sequencers"/>
    <n v="360000"/>
    <s v="KU Regular operations"/>
    <s v="Recurring"/>
    <s v="Develop the university innovation and entrepreneurship system"/>
    <m/>
  </r>
  <r>
    <s v="Academic"/>
    <s v="No Applicable"/>
    <s v="College of Arts &amp; Science"/>
    <n v="847"/>
    <n v="8470455"/>
    <s v="KUST – Biology"/>
    <n v="1"/>
    <n v="435350"/>
    <s v="435350-Academic Publications"/>
    <s v="000000"/>
    <s v="KUST - General"/>
    <n v="847001"/>
    <s v="FA179-Opex Expense"/>
    <n v="200179"/>
    <x v="383"/>
    <s v="435350.Academic Publications-Number of Publications-Number"/>
    <s v="Number"/>
    <n v="17"/>
    <n v="10000"/>
    <s v="Open Access Publication/Cost per publication"/>
    <n v="170000"/>
    <s v="KU Regular operations"/>
    <s v="Recurring"/>
    <s v="Increase publications in journals with high impact factor"/>
    <m/>
  </r>
  <r>
    <s v="Academic"/>
    <s v="Director, Research Laboratories"/>
    <s v="College of Arts &amp; Science"/>
    <n v="847"/>
    <n v="8470455"/>
    <s v="KUST – Biology"/>
    <n v="1"/>
    <n v="435508"/>
    <s v="435508-Laboratory - Scientific"/>
    <s v="000000"/>
    <s v="KUST - General"/>
    <n v="847001"/>
    <s v="FA179-Opex Expense"/>
    <n v="200179"/>
    <x v="384"/>
    <s v="435508.Laboratory - Scientific-Number of Students-Number"/>
    <s v="Number"/>
    <n v="25"/>
    <n v="11000"/>
    <s v="Chemicals and consumables for teaching lab"/>
    <n v="275000"/>
    <s v="KU Regular operations"/>
    <s v="Recurring"/>
    <s v="Align academic programs with the local and global labor market needs"/>
    <m/>
  </r>
  <r>
    <s v="Other support"/>
    <s v="No Applicable"/>
    <s v="College of Arts &amp; Science"/>
    <n v="847"/>
    <n v="8470455"/>
    <s v="KUST – Biology"/>
    <n v="1"/>
    <n v="436110"/>
    <s v="436110-Printing supplies"/>
    <s v="000000"/>
    <s v="KUST - General"/>
    <n v="847001"/>
    <s v="FA179-Opex Expense"/>
    <n v="200179"/>
    <x v="385"/>
    <s v="436110.Printing supplies-Number of Faculty-Number"/>
    <s v="Number"/>
    <n v="9"/>
    <n v="1000"/>
    <s v="Printers and printer cartridges"/>
    <n v="9000"/>
    <s v="KU Regular operations"/>
    <s v="Recurring"/>
    <s v="Increase publications in journals with high impact factor"/>
    <m/>
  </r>
  <r>
    <s v="Facilities "/>
    <s v="Director, Research Laboratories"/>
    <s v="College of Arts &amp; Science"/>
    <n v="847"/>
    <n v="8470455"/>
    <s v="KUST – Biology"/>
    <n v="1"/>
    <n v="492316"/>
    <s v="492316-Laboratory equipment"/>
    <s v="000000"/>
    <s v="KUST - General"/>
    <n v="847001"/>
    <s v="FA180-Capex Expense"/>
    <n v="300180"/>
    <x v="386"/>
    <s v="492316.Laboratory equipment-Number of Faculty-Number"/>
    <s v="Number"/>
    <n v="9"/>
    <n v="300000"/>
    <s v="Capital instruments for teaching and research"/>
    <n v="2700000"/>
    <s v="KU Regular operations"/>
    <s v="Non-recurring"/>
    <s v="Develop the university innovation and entrepreneurship system"/>
    <m/>
  </r>
  <r>
    <s v="HR"/>
    <s v="Manager, Business Development"/>
    <s v="Executive Vice President Office"/>
    <n v="847"/>
    <n v="8470130"/>
    <s v="KUST - Institutional Research &amp; Planning"/>
    <n v="1"/>
    <n v="421000"/>
    <s v="421000-Management consultancy"/>
    <s v="000000"/>
    <s v="KUST - General"/>
    <n v="847001"/>
    <s v="FA179-Opex Expense"/>
    <n v="200179"/>
    <x v="387"/>
    <s v="421000.Management consultancy-Number of contracted studies-count"/>
    <s v="count"/>
    <n v="1"/>
    <n v="540000"/>
    <s v="3 Consultant @AED2000 for 3 months engagement"/>
    <n v="540000"/>
    <s v="KU Strategic New Initiative"/>
    <s v="Recurring"/>
    <s v="Increase publications in journals with high impact factor"/>
    <m/>
  </r>
  <r>
    <s v="IT"/>
    <s v="Director, Technology Development"/>
    <s v="Executive Vice President Office"/>
    <n v="847"/>
    <n v="8470130"/>
    <s v="KUST - Institutional Research &amp; Planning"/>
    <n v="1"/>
    <n v="426610"/>
    <s v="426610-Computer software licenses"/>
    <s v="000000"/>
    <s v="KUST - General"/>
    <n v="847001"/>
    <s v="FA179-Opex Expense"/>
    <n v="200179"/>
    <x v="388"/>
    <s v="426610.Computer software licenses-Software License Renewal-number of licenses-Number"/>
    <s v="Number"/>
    <n v="8"/>
    <n v="22500"/>
    <s v="Academic Quality Assurance Software Product @$150k"/>
    <n v="180000"/>
    <s v="KU Strategic New Initiative"/>
    <s v="Recurring"/>
    <s v="Build partnerships with local and international universities"/>
    <m/>
  </r>
  <r>
    <s v="Academic "/>
    <s v="No Applicable"/>
    <s v="Executive Vice President Office"/>
    <n v="847"/>
    <n v="8470130"/>
    <s v="KUST - Institutional Research &amp; Planning"/>
    <n v="1"/>
    <n v="428090"/>
    <s v="428090-Business Travel - Combined expenses"/>
    <s v="000000"/>
    <s v="KUST - General"/>
    <n v="847001"/>
    <s v="FA179-Opex Expense"/>
    <n v="200179"/>
    <x v="389"/>
    <s v="428090.Business Travel - Combined expenses-Number of Staff-Number"/>
    <s v="Number"/>
    <n v="1"/>
    <n v="551250"/>
    <s v="Attending 8 summits/conferences for the staff @AED1500 for 8 days + tickets@AED15,000"/>
    <n v="551250"/>
    <s v="KU Strategic New Initiative"/>
    <s v="Recurring"/>
    <s v="Develop a new learning outcomes assessment framework at the course, programs, and institutional levels"/>
    <m/>
  </r>
  <r>
    <s v="Communiction &amp; Marketing"/>
    <s v="Director, Marketing and Communication"/>
    <s v="Executive Vice President Office"/>
    <n v="847"/>
    <n v="8470140"/>
    <s v="KUST - Communication"/>
    <n v="1"/>
    <n v="425100"/>
    <s v="425100-Advertising"/>
    <s v="000000"/>
    <s v="KUST - General"/>
    <n v="847001"/>
    <s v="FA179-Opex Expense"/>
    <n v="200179"/>
    <x v="390"/>
    <s v="425100.Advertising Services (General)-Digital Marketing Campaigns-count"/>
    <s v="count"/>
    <n v="4"/>
    <n v="500000"/>
    <s v="The total spends of this account is U6:U14ona monthly basisi operations which is varies from  (general DM campaign, news content preperation, magazine content development, proffesional photography a dn videography for the uni, daily web content updates including video, photos, infographic)."/>
    <n v="2000000"/>
    <s v="KU Regular operations"/>
    <s v="Recurring"/>
    <s v="Enhance the communication plan and outreach activities"/>
    <m/>
  </r>
  <r>
    <s v="Communiction &amp; Marketing"/>
    <s v="Director, Marketing and Communication"/>
    <s v="Executive Vice President Office"/>
    <n v="847"/>
    <n v="8470140"/>
    <s v="KUST - Communication"/>
    <n v="1"/>
    <n v="425100"/>
    <s v="425100-Advertising"/>
    <s v="000000"/>
    <s v="KUST - General"/>
    <s v="847001"/>
    <s v="FA179-Opex Expense"/>
    <n v="200179"/>
    <x v="390"/>
    <s v="425100.Advertising Services (General)-Website Maintenance -count"/>
    <s v="count"/>
    <n v="2"/>
    <n v="500833"/>
    <s v="This includes updating content in the website, creating pages, creating websits and new system."/>
    <n v="1001666"/>
    <s v="KU Regular operations"/>
    <s v="Recurring"/>
    <s v="Enhance the communication plan and outreach activities"/>
    <m/>
  </r>
  <r>
    <s v="Communiction &amp; Marketing"/>
    <s v="Director, Marketing and Communication"/>
    <s v="Executive Vice President Office"/>
    <n v="847"/>
    <n v="8470140"/>
    <s v="KUST - Communication"/>
    <n v="1"/>
    <n v="425100"/>
    <s v="425100-Advertising"/>
    <s v="000000"/>
    <s v="KUST - General"/>
    <s v="847001"/>
    <s v="FA179-Opex Expense"/>
    <n v="200179"/>
    <x v="390"/>
    <s v="425100.Advertising Services (General)-Animation Videos -count"/>
    <s v="count"/>
    <n v="8"/>
    <n v="100000"/>
    <s v="This includes Storyboard, Style frame, Music, Editing "/>
    <n v="800000"/>
    <s v="KU Regular operations"/>
    <s v="Recurring"/>
    <s v="Enhance the communication plan and outreach activities"/>
    <m/>
  </r>
  <r>
    <s v="Communiction &amp; Marketing"/>
    <s v="Director, Marketing and Communication"/>
    <s v="Executive Vice President Office"/>
    <n v="847"/>
    <n v="8470140"/>
    <s v="KUST - Communication"/>
    <n v="1"/>
    <n v="425100"/>
    <s v="425100-Advertising"/>
    <s v="000000"/>
    <s v="KUST - General"/>
    <s v="847001"/>
    <s v="FA179-Opex Expense"/>
    <n v="200179"/>
    <x v="390"/>
    <s v="425100.Advertising Services (General)-Search Engine Optimization (SEO)-count"/>
    <s v="count"/>
    <n v="2"/>
    <n v="500000"/>
    <s v="This is to improve the search of rhe university ranking on the google search engen"/>
    <n v="1000000"/>
    <s v="KU Regular operations"/>
    <s v="Recurring"/>
    <s v="Enhance the communication plan and outreach activities"/>
    <m/>
  </r>
  <r>
    <s v="Communiction &amp; Marketing"/>
    <s v="Director, Marketing and Communication"/>
    <s v="Executive Vice President Office"/>
    <n v="847"/>
    <n v="8470140"/>
    <s v="KUST - Communication"/>
    <n v="1"/>
    <n v="425100"/>
    <s v="425100-Advertising"/>
    <s v="000000"/>
    <s v="KUST - General"/>
    <s v="847001"/>
    <s v="FA179-Opex Expense"/>
    <n v="200179"/>
    <x v="390"/>
    <s v="425100.Advertising Services (General)-Video production-second "/>
    <s v="second "/>
    <n v="6"/>
    <n v="100500"/>
    <s v="Creative concept, pre production, 3-4 days shoot, filming crew &amp; equipment, "/>
    <n v="603000"/>
    <s v="KU Regular operations"/>
    <s v="Recurring"/>
    <s v="Enhance the communication plan and outreach activities"/>
    <m/>
  </r>
  <r>
    <s v="Communiction &amp; Marketing"/>
    <s v="Director, Marketing and Communication"/>
    <s v="Executive Vice President Office"/>
    <n v="847"/>
    <n v="8470140"/>
    <s v="KUST - Communication"/>
    <n v="1"/>
    <n v="425100"/>
    <s v="425100-Advertising"/>
    <s v="000000"/>
    <s v="KUST - General"/>
    <s v="847001"/>
    <s v="FA179-Opex Expense"/>
    <n v="200179"/>
    <x v="390"/>
    <s v="425100.Advertising Services (General)-Corporate Photoshoot-count"/>
    <s v="count"/>
    <n v="4"/>
    <n v="300000"/>
    <s v="This includes Photoshooting secions for Facultty &amp; Staff"/>
    <n v="1200000"/>
    <s v="KU Regular operations"/>
    <s v="Recurring"/>
    <s v="Enhance the communication plan and outreach activities"/>
    <m/>
  </r>
  <r>
    <s v="Communiction &amp; Marketing"/>
    <s v="Director, Marketing and Communication"/>
    <s v="Executive Vice President Office"/>
    <n v="847"/>
    <n v="8470140"/>
    <s v="KUST - Communication"/>
    <n v="1"/>
    <n v="425100"/>
    <s v="425100-Advertising"/>
    <s v="000000"/>
    <s v="KUST - General"/>
    <s v="847001"/>
    <s v="FA179-Opex Expense"/>
    <n v="200179"/>
    <x v="390"/>
    <s v="425100.Advertising Services (General)-International Publicity-count"/>
    <s v="count"/>
    <n v="4"/>
    <n v="600000"/>
    <s v="This includes branding for the university rank"/>
    <n v="2400000"/>
    <s v="KU Regular operations"/>
    <s v="Recurring"/>
    <s v="Enhance the communication plan and outreach activities"/>
    <m/>
  </r>
  <r>
    <s v="Communiction &amp; Marketing"/>
    <s v="Director, Marketing and Communication"/>
    <s v="Executive Vice President Office"/>
    <n v="847"/>
    <n v="8470140"/>
    <s v="KUST - Communication"/>
    <n v="1"/>
    <n v="425100"/>
    <s v="425100-Advertising"/>
    <s v="000000"/>
    <s v="KUST - General"/>
    <s v="847001"/>
    <s v="FA179-Opex Expense"/>
    <n v="200179"/>
    <x v="390"/>
    <s v="425100.Advertising Services (General)-Branding -count"/>
    <s v="count"/>
    <n v="8"/>
    <n v="500000"/>
    <s v="This includes monthly basisi operations which is varies from (TV commersials, radio, Social Media)"/>
    <n v="4000000"/>
    <s v="KU Regular operations"/>
    <s v="Recurring"/>
    <s v="Enhance the communication plan and outreach activities"/>
    <m/>
  </r>
  <r>
    <s v="Communiction &amp; Marketing"/>
    <s v="Director, Marketing and Communication"/>
    <s v="Executive Vice President Office"/>
    <n v="847"/>
    <n v="8470140"/>
    <s v="KUST - Communication"/>
    <n v="1"/>
    <n v="425100"/>
    <s v="425100-Advertising"/>
    <s v="000000"/>
    <s v="KUST - General"/>
    <s v="847001"/>
    <s v="FA179-Opex Expense"/>
    <n v="200179"/>
    <x v="390"/>
    <s v="425100.Advertising Services (General)-Digital advertizing (Radio, TV, Social Media)  -count"/>
    <s v="count"/>
    <n v="14"/>
    <n v="100000"/>
    <s v="This includes monthly basisi operations which is varies from (TV commersials, radio, Social Media)"/>
    <n v="1400000"/>
    <s v="KU Regular operations"/>
    <s v="Recurring"/>
    <s v="Enhance the communication plan and outreach activities"/>
    <m/>
  </r>
  <r>
    <s v="Communiction &amp; Marketing"/>
    <s v="Director, Marketing and Communication"/>
    <s v="Executive Vice President Office"/>
    <n v="847"/>
    <n v="8470140"/>
    <s v="KUST - Communication"/>
    <n v="1"/>
    <n v="425510"/>
    <s v="425510-Conferences, seminars and exhibitions and other events: - Local Events"/>
    <s v="000000"/>
    <s v="KUST - General"/>
    <n v="847001"/>
    <s v="FA179-Opex Expense"/>
    <n v="200179"/>
    <x v="391"/>
    <s v="425510.Conferences, seminars and exhibitions and other events: - Local Events-Conferences-Number of Conferences"/>
    <s v="Number of Conferences"/>
    <n v="1"/>
    <n v="220000"/>
    <s v="This includes the major conferences partisipation such as (WFES, AQDAR,)"/>
    <n v="220000"/>
    <s v="KU Regular operations"/>
    <s v="Recurring"/>
    <s v="Enhance the communication plan and outreach activities"/>
    <m/>
  </r>
  <r>
    <s v="Communiction &amp; Marketing"/>
    <s v="Director, Marketing and Communication"/>
    <s v="Executive Vice President Office"/>
    <n v="847"/>
    <n v="8470140"/>
    <s v="KUST - Communication"/>
    <n v="1"/>
    <n v="425510"/>
    <s v="425510-Conferences, seminars and exhibitions and other events: - Local Events"/>
    <s v="000000"/>
    <s v="KUST - General"/>
    <n v="847001"/>
    <s v="FA179-Opex Expense"/>
    <n v="200179"/>
    <x v="391"/>
    <s v="425510.Conferences, seminars and exhibitions and other events: - Local Events-Exhibitions-Number of Exhibitions"/>
    <s v="Number of Exhibitions"/>
    <n v="10"/>
    <n v="300000"/>
    <s v="This includes the major exhibitions partisipation such as (ADIPEC, IDEX, NAJAH, AD Book Fair)"/>
    <n v="3000000"/>
    <s v="KU Regular operations"/>
    <s v="Recurring"/>
    <s v="Enhance the communication plan and outreach activities"/>
    <m/>
  </r>
  <r>
    <s v="Communiction &amp; Marketing"/>
    <s v="Director, Marketing and Communication"/>
    <s v="Executive Vice President Office"/>
    <n v="847"/>
    <n v="8470140"/>
    <s v="KUST - Communication"/>
    <n v="1"/>
    <n v="425510"/>
    <s v="425510-Conferences, seminars and exhibitions and other events: - Local Events"/>
    <s v="000000"/>
    <s v="KUST - General"/>
    <n v="847001"/>
    <s v="FA179-Opex Expense"/>
    <n v="200179"/>
    <x v="391"/>
    <s v="425510.Conferences, seminars and exhibitions and other events: - Local Events-Events-Number of Events"/>
    <s v="Number of Events"/>
    <n v="6"/>
    <n v="800884"/>
    <s v="This includes the major Events hosted such as (Graduation,  National Day,KU Century Challenge  )"/>
    <n v="4805304"/>
    <s v="KU Regular operations"/>
    <s v="Recurring"/>
    <s v="Enhance the communication plan and outreach activities"/>
    <m/>
  </r>
  <r>
    <s v="Communiction &amp; Marketing"/>
    <s v="No Applicable"/>
    <s v="Executive Vice President Office"/>
    <n v="847"/>
    <n v="8470140"/>
    <s v="KUST - Communication"/>
    <n v="1"/>
    <n v="425550"/>
    <s v="425550-Conferences, seminars and exhibitions and other events: - Overseas event"/>
    <s v="000000"/>
    <s v="KUST - General"/>
    <n v="847001"/>
    <s v="FA179-Opex Expense"/>
    <n v="200179"/>
    <x v="392"/>
    <s v="425550.Conferences, seminars and exhibitions and other events: - Overseas event-Conferences-Number of Conferences"/>
    <s v="Number of Conferences"/>
    <n v="6"/>
    <n v="500000"/>
    <s v="This includes the major Global conferences partisipation such as (ICRA, IROS, IMSH, AMEE,Ottawa Conferences,AAMC Annual conferences,LCI)"/>
    <n v="3000000"/>
    <s v="KU Regular operations"/>
    <s v="Recurring"/>
    <s v="Enhance the communication plan and outreach activities"/>
    <m/>
  </r>
  <r>
    <s v="Student"/>
    <s v="No Applicable"/>
    <s v="Executive Vice President Office"/>
    <n v="847"/>
    <n v="8470140"/>
    <s v="KUST - Communication"/>
    <n v="1"/>
    <n v="425763"/>
    <s v="425763-Student Project Expenses"/>
    <s v="000000"/>
    <s v="KUST - CSR Activities"/>
    <n v="847050"/>
    <s v="FA179-Opex Expense"/>
    <n v="200179"/>
    <x v="393"/>
    <s v="425763.Student Project Expenses-Number of Students UG-Month"/>
    <s v="Month"/>
    <m/>
    <n v="100000"/>
    <s v="Use for CSR projects "/>
    <n v="0"/>
    <s v="KU Regular operations"/>
    <s v="Recurring"/>
    <s v="Enhance the communication plan and outreach activities"/>
    <m/>
  </r>
  <r>
    <s v="Communiction &amp; Marketing"/>
    <s v="Director, Marketing and Communication"/>
    <s v="Executive Vice President Office"/>
    <n v="847"/>
    <n v="8470140"/>
    <s v="KUST - Communication"/>
    <n v="1"/>
    <n v="427100"/>
    <s v="427100-Public relations"/>
    <s v="000000"/>
    <s v="KUST - General"/>
    <n v="847001"/>
    <s v="FA179-Opex Expense"/>
    <n v="200179"/>
    <x v="394"/>
    <s v="427100.Public relations-Media Monitoring -count"/>
    <s v="count"/>
    <n v="1"/>
    <n v="100000"/>
    <s v="We have a media monitoring subscription, and media management for local and international press distribution and management."/>
    <n v="100000"/>
    <s v="KU Regular operations"/>
    <s v="Recurring"/>
    <s v="Enhance the communication plan and outreach activities"/>
    <m/>
  </r>
  <r>
    <s v="Communiction &amp; Marketing"/>
    <s v="Director, Marketing and Communication"/>
    <s v="Executive Vice President Office"/>
    <n v="847"/>
    <n v="8470140"/>
    <s v="KUST - Communication"/>
    <n v="1"/>
    <n v="427100"/>
    <s v="427100-Public relations"/>
    <s v="000000"/>
    <s v="KUST - General"/>
    <n v="847001"/>
    <s v="FA179-Opex Expense"/>
    <n v="200179"/>
    <x v="394"/>
    <s v="427100.Public relations-Media services -count"/>
    <s v="count"/>
    <n v="1"/>
    <n v="2400000"/>
    <s v="This includes engagemement with exernal local and international media outlets"/>
    <n v="2400000"/>
    <s v="KU Regular operations"/>
    <s v="Recurring"/>
    <s v="Enhance the communication plan and outreach activities"/>
    <m/>
  </r>
  <r>
    <s v="Communiction &amp; Marketing"/>
    <s v="No Applicable"/>
    <s v="Executive Vice President Office"/>
    <n v="847"/>
    <n v="8470140"/>
    <s v="KUST - Communication"/>
    <n v="1"/>
    <n v="427200"/>
    <s v="427200-Printing and publishing"/>
    <s v="000000"/>
    <s v="KUST - General"/>
    <n v="847001"/>
    <s v="FA179-Opex Expense"/>
    <n v="200179"/>
    <x v="395"/>
    <s v="427200.Printing and publishing-The cost of design for the entity's publications to reflect the entity's identity-count"/>
    <s v="count"/>
    <n v="40"/>
    <n v="3375"/>
    <s v="This includes our printing of all marketing collatorals for conferences, exhibitions, gift items, invitations, marketing documents, KU's general publication, stationar, and items for inperson events"/>
    <n v="135000"/>
    <s v="KU Regular operations"/>
    <s v="Recurring"/>
    <s v="Enhance the communication plan and outreach activities"/>
    <m/>
  </r>
  <r>
    <s v="Communiction &amp; Marketing"/>
    <s v="No Applicable"/>
    <s v="Executive Vice President Office"/>
    <n v="847"/>
    <n v="8470140"/>
    <s v="KUST - Communication"/>
    <n v="1"/>
    <n v="427200"/>
    <s v="427200-Printing and publishing"/>
    <s v="000000"/>
    <s v="KUST - General"/>
    <n v="847001"/>
    <s v="FA179-Opex Expense"/>
    <n v="200179"/>
    <x v="395"/>
    <s v="427200.Printing and publishing-Design cost of the entity's forms-count"/>
    <s v="count"/>
    <n v="30"/>
    <n v="2666.6666599999999"/>
    <s v="Company profile, Window branding stickers, Designing brochures,Magazain "/>
    <n v="79999.999799999991"/>
    <s v="KU Regular operations"/>
    <s v="Recurring"/>
    <s v="Enhance the communication plan and outreach activities"/>
    <m/>
  </r>
  <r>
    <s v="Communiction &amp; Marketing"/>
    <s v="No Applicable"/>
    <s v="Executive Vice President Office"/>
    <n v="847"/>
    <n v="8470140"/>
    <s v="KUST - Communication"/>
    <n v="1"/>
    <n v="427200"/>
    <s v="427200-Printing and publishing"/>
    <s v="000000"/>
    <s v="KUST - General"/>
    <n v="847001"/>
    <s v="FA179-Opex Expense"/>
    <n v="200179"/>
    <x v="395"/>
    <s v="427200.Printing and publishing-Design cost of educational publications-count"/>
    <s v="count"/>
    <n v="15"/>
    <n v="2333.3332999999998"/>
    <s v="Rollups, Brochures, certificates,"/>
    <n v="34999.999499999998"/>
    <s v="KU Regular operations"/>
    <s v="Recurring"/>
    <s v="Enhance the communication plan and outreach activities"/>
    <m/>
  </r>
  <r>
    <s v="Communiction &amp; Marketing"/>
    <s v="No Applicable"/>
    <s v="Executive Vice President Office"/>
    <n v="847"/>
    <n v="8470140"/>
    <s v="KUST - Communication"/>
    <n v="1"/>
    <n v="427200"/>
    <s v="427200-Printing and publishing"/>
    <s v="000000"/>
    <s v="KUST - General"/>
    <n v="847001"/>
    <s v="FA179-Opex Expense"/>
    <n v="200179"/>
    <x v="395"/>
    <s v="427200.Printing and publishing-The printing cost of the department's publications-count"/>
    <s v="count"/>
    <n v="2000"/>
    <n v="100"/>
    <s v="Posters, Flyers,  leaf let &amp; Agenda, Envelpoes, Cards (Z-card, graduation card, Business cards.) "/>
    <n v="200000"/>
    <s v="KU Regular operations"/>
    <s v="Recurring"/>
    <s v="Enhance the communication plan and outreach activities"/>
    <m/>
  </r>
  <r>
    <s v="Communiction &amp; Marketing"/>
    <s v="No Applicable"/>
    <s v="Executive Vice President Office"/>
    <n v="847"/>
    <n v="8470140"/>
    <s v="KUST - Communication"/>
    <n v="1"/>
    <n v="427200"/>
    <s v="427200-Printing and publishing"/>
    <s v="000000"/>
    <s v="KUST - General"/>
    <n v="847001"/>
    <s v="FA179-Opex Expense"/>
    <n v="200179"/>
    <x v="395"/>
    <s v="427200.Printing and publishing-Cost of printing the entity's paper forms-count"/>
    <s v="count"/>
    <n v="3000"/>
    <n v="100"/>
    <s v="KU Times Magazain, Shopping bags, Notebook (A6, A5,A4), pens"/>
    <n v="300000"/>
    <s v="KU Regular operations"/>
    <s v="Recurring"/>
    <s v="Enhance the communication plan and outreach activities"/>
    <m/>
  </r>
  <r>
    <s v="Communiction &amp; Marketing"/>
    <s v="Director, Marketing and Communication"/>
    <s v="Executive Vice President Office"/>
    <n v="847"/>
    <n v="8470140"/>
    <s v="KUST - Communication"/>
    <n v="1"/>
    <n v="428640"/>
    <s v="428640-Events - Awards, prizes &amp; gifts"/>
    <s v="000000"/>
    <s v="KUST - General"/>
    <n v="847001"/>
    <s v="FA179-Opex Expense"/>
    <n v="200179"/>
    <x v="396"/>
    <s v="428640.Events - Awards, prizes &amp; gifts-Number of Events-count"/>
    <s v="count"/>
    <n v="100"/>
    <n v="1100"/>
    <s v="This includes gifts for out VIP and non VIP events and visits"/>
    <n v="110000"/>
    <s v="KU Regular operations"/>
    <s v="Recurring"/>
    <s v="Enhance the communication plan and outreach activities"/>
    <m/>
  </r>
  <r>
    <s v="Communiction &amp; Marketing"/>
    <s v="Director, Marketing and Communication"/>
    <s v="Executive Vice President Office"/>
    <n v="847"/>
    <n v="8470140"/>
    <s v="KUST - Communication"/>
    <n v="1"/>
    <n v="428640"/>
    <s v="428640-Events - Awards, prizes &amp; gifts"/>
    <s v="000000"/>
    <s v="KUST - General"/>
    <n v="847001"/>
    <s v="FA179-Opex Expense"/>
    <n v="200179"/>
    <x v="396"/>
    <s v="428640.Events - Awards, prizes &amp; gifts-Number of awards-count"/>
    <s v="count"/>
    <n v="100"/>
    <n v="3600"/>
    <s v=" Includes the KU's commersial merchandise to be distributed during events and conferences"/>
    <n v="360000"/>
    <s v="KU Regular operations"/>
    <s v="Recurring"/>
    <s v="Enhance the communication plan and outreach activities"/>
    <m/>
  </r>
  <r>
    <s v="Communiction &amp; Marketing"/>
    <s v="Director, Marketing and Communication"/>
    <s v="Executive Vice President Office"/>
    <n v="847"/>
    <n v="8470140"/>
    <s v="KUST - Communication"/>
    <n v="1"/>
    <n v="428640"/>
    <s v="428640-Events - Awards, prizes &amp; gifts"/>
    <s v="000000"/>
    <s v="KUST - General"/>
    <n v="847001"/>
    <s v="FA179-Opex Expense"/>
    <n v="200179"/>
    <x v="396"/>
    <s v="428640.Events - Awards, prizes &amp; gifts-Number of prizes-count"/>
    <s v="count"/>
    <n v="3000"/>
    <n v="50"/>
    <s v="Includes prizes use in Challenges &amp; Competions (medals, tophies, backpack,)"/>
    <n v="150000"/>
    <s v="KU Regular operations"/>
    <s v="Recurring"/>
    <s v="Enhance the communication plan and outreach activities"/>
    <m/>
  </r>
  <r>
    <s v="Communiction &amp; Marketing"/>
    <s v="Director, Marketing and Communication"/>
    <s v="Executive Vice President Office"/>
    <n v="847"/>
    <n v="8470140"/>
    <s v="KUST - Communication"/>
    <n v="1"/>
    <n v="428640"/>
    <s v="428640-Events - Awards, prizes &amp; gifts"/>
    <s v="000000"/>
    <s v="KUST - General"/>
    <n v="847001"/>
    <s v="FA179-Opex Expense"/>
    <n v="200179"/>
    <x v="396"/>
    <s v="428640.Events - Awards, prizes &amp; gifts-Number of gifts-count"/>
    <s v="count"/>
    <n v="3000"/>
    <n v="126"/>
    <s v="Gifts for Ramdan,National day, Eids (Coffee Mugs, Adapter, USB) "/>
    <n v="378000"/>
    <s v="KU Regular operations"/>
    <s v="Recurring"/>
    <s v="Enhance the communication plan and outreach activities"/>
    <m/>
  </r>
  <r>
    <s v="Other support"/>
    <s v="No Applicable"/>
    <s v="Executive Vice President Office"/>
    <n v="847"/>
    <n v="8470140"/>
    <s v="KUST - Communication"/>
    <n v="1"/>
    <n v="435310"/>
    <s v="435310-Newspapers, magazines, journals, etc"/>
    <s v="000000"/>
    <s v="KUST - General"/>
    <n v="847001"/>
    <s v="FA179-Opex Expense"/>
    <n v="200179"/>
    <x v="397"/>
    <s v="435310.Newspapers, magazines, journals, etc-Number of Staff-Number"/>
    <s v="Number"/>
    <n v="2"/>
    <n v="5000"/>
    <s v="Our yearly news subscription (magazines, newspapers) locally and globally"/>
    <n v="10000"/>
    <s v="KU Regular operations"/>
    <s v="Recurring"/>
    <s v="Enhance the communication plan and outreach activities"/>
    <m/>
  </r>
  <r>
    <s v="Communiction &amp; Marketing"/>
    <s v="Director, Marketing and Communication"/>
    <s v="Executive Vice President Office"/>
    <n v="847"/>
    <n v="8470140"/>
    <s v="KUST - Communication"/>
    <n v="1"/>
    <n v="435519"/>
    <s v="435519-Photography - Consumable materials /Tools"/>
    <s v="000000"/>
    <s v="KUST - General"/>
    <n v="847001"/>
    <s v="FA179-Opex Expense"/>
    <n v="200179"/>
    <x v="398"/>
    <s v="435519.Photography - Consumable materials /Tools-Number of Staff-Number"/>
    <s v="Number"/>
    <n v="1"/>
    <n v="135000"/>
    <s v="Items for the omedia office use such us softwares and hardwears like cameras, lenses, lights, tripods, microphones. "/>
    <n v="135000"/>
    <s v="KU Regular operations"/>
    <s v="Recurring"/>
    <s v="Enhance the communication plan and outreach activities"/>
    <m/>
  </r>
  <r>
    <s v="IT"/>
    <s v="Director, Technology Development"/>
    <s v="Executive Vice President Office"/>
    <n v="847"/>
    <n v="8470140"/>
    <s v="KUST - Communication"/>
    <n v="1"/>
    <n v="492310"/>
    <s v="492310-Hardware &amp; peripherals"/>
    <s v="000000"/>
    <s v="KUST - General"/>
    <n v="847001"/>
    <s v="FA180-Capex Expense"/>
    <n v="300180"/>
    <x v="399"/>
    <s v="492310.Hardware &amp; peripherals-number of hardware devices-Month"/>
    <s v="Month"/>
    <n v="2"/>
    <n v="100000"/>
    <s v="To purchace MAC supported harwears and application to help the department in development of the ongoing inhouse projects "/>
    <n v="200000"/>
    <s v="KU Regular operations"/>
    <s v="Recurring"/>
    <s v="Enhance the communication plan and outreach activities"/>
    <m/>
  </r>
  <r>
    <s v="Other support"/>
    <s v="Director, Human Resources"/>
    <s v="Executive Vice President Office"/>
    <n v="847"/>
    <n v="8470910"/>
    <s v="KUST - Executive Vice President Office"/>
    <n v="1"/>
    <n v="425900"/>
    <s v="425900-Entertainment and hospitality"/>
    <s v="000000"/>
    <s v="KUST - General"/>
    <n v="847001"/>
    <s v="FA179-Opex Expense"/>
    <n v="200179"/>
    <x v="400"/>
    <s v="425900.Entertainment and hospitality-1. No of events/workshops planned-count"/>
    <s v="count"/>
    <n v="10"/>
    <n v="5000"/>
    <s v="Caterings requests/Meetings/Retreet/Workshop"/>
    <n v="50000"/>
    <s v="KU Regular operations"/>
    <s v="Recurring"/>
    <s v="Build partnerships with local and international universities"/>
    <m/>
  </r>
  <r>
    <s v="Academic "/>
    <s v="No Applicable"/>
    <s v="Executive Vice President Office"/>
    <n v="847"/>
    <n v="8470910"/>
    <s v="KUST - Executive Vice President Office"/>
    <n v="1"/>
    <n v="428090"/>
    <s v="428090-Business Travel - Combined expenses"/>
    <s v="000000"/>
    <s v="KUST - General"/>
    <n v="847001"/>
    <s v="FA179-Opex Expense"/>
    <n v="200179"/>
    <x v="401"/>
    <s v="428090.Business Travel - Combined expenses-Number of Faculty-Number"/>
    <s v="Number"/>
    <n v="10"/>
    <n v="100000"/>
    <s v="For costs connected to Senior Management business trips within and outside UAE, including travel costs, per diem and registrations"/>
    <n v="1000000"/>
    <s v="KU Strategic New Initiative"/>
    <s v="Recurring"/>
    <s v="Build partnerships with local and international universities"/>
    <m/>
  </r>
  <r>
    <s v="Other support"/>
    <s v="No Applicable"/>
    <s v="Executive Vice President Office"/>
    <n v="847"/>
    <n v="8470910"/>
    <s v="KUST - Executive Vice President Office"/>
    <n v="1"/>
    <n v="429900"/>
    <s v="429900-Other services, not specifically mentioned elsewhere"/>
    <s v="000000"/>
    <s v="KUST - General"/>
    <n v="847001"/>
    <s v="FA179-Opex Expense"/>
    <n v="200179"/>
    <x v="402"/>
    <s v="429900.Other services, not specifically mentioned elsewhere-TBD-Number of TBD"/>
    <s v="Number of TBD"/>
    <n v="3"/>
    <n v="1000000"/>
    <s v="Special Projects( Projects that gets assigned by the chairman and the board) Like Khalifa COVID FACE MASK and Satellites."/>
    <n v="3000000"/>
    <s v="KU Strategic New Initiative"/>
    <s v="Recurring"/>
    <s v="Build partnerships with local and international universities"/>
    <m/>
  </r>
  <r>
    <s v="Academic"/>
    <s v="No Applicable"/>
    <s v="Executive Vice President Office"/>
    <n v="847"/>
    <n v="8470910"/>
    <s v="KUST - Executive Vice President Office"/>
    <n v="1"/>
    <n v="420570"/>
    <s v="420570-Academic Collaborative Partnership Services"/>
    <s v="000000"/>
    <s v="KUST - General"/>
    <n v="847001"/>
    <s v="FA179-Opex Expense"/>
    <n v="200179"/>
    <x v="403"/>
    <s v="420570.Academic Collaborative Partnership Services-Partnership Agreement or Academic Collaboration -No of Partneship/collaboration Agreement"/>
    <s v="No of Partneship/collaboration Agreement"/>
    <n v="10"/>
    <n v="1500000"/>
    <s v="For payments made to collaborating institutions, as part of partnership agreements. This would include a potential affilation partnership for the greaduate school of busineess"/>
    <n v="15000000"/>
    <s v="KU Strategic New Initiative"/>
    <s v="Recurring"/>
    <s v="Build partnerships with local and international universities"/>
    <m/>
  </r>
  <r>
    <s v="Communiction &amp; Marketing"/>
    <s v="Director, Marketing and Communication"/>
    <s v="SVP/ Support Services Office"/>
    <n v="847"/>
    <n v="8470510"/>
    <s v="KUST - VP/ Administration, Facilities &amp; EHS Office"/>
    <n v="1"/>
    <n v="425510"/>
    <s v="425510-Conferences, seminars and exhibitions and other events: - Local Events"/>
    <s v="000000"/>
    <s v="KUST - General"/>
    <n v="847001"/>
    <s v="FA179-Opex Expense"/>
    <n v="200179"/>
    <x v="404"/>
    <s v="425510.Conferences, seminars and exhibitions and other events: - Local Events-The area of rented halls for events, seminars, and exhibition.-2m"/>
    <s v="2m"/>
    <n v="1"/>
    <n v="40000"/>
    <s v="Conferences, seminars and exhibitions and other events: - Local Events"/>
    <n v="40000"/>
    <s v="KU Regular operations"/>
    <s v="Recurring"/>
    <s v="Ensure the university sustainability "/>
    <m/>
  </r>
  <r>
    <s v="Other support"/>
    <s v="Director, Human Resources"/>
    <s v="SVP/ Support Services Office"/>
    <n v="847"/>
    <n v="8470510"/>
    <s v="KUST - VP/ Administration, Facilities &amp; EHS Office"/>
    <n v="1"/>
    <n v="425900"/>
    <s v="425900-Entertainment and hospitality"/>
    <s v="000000"/>
    <s v="KUST - General"/>
    <n v="847001"/>
    <s v="FA179-Opex Expense"/>
    <n v="200179"/>
    <x v="405"/>
    <s v="425900.Entertainment and hospitality-1. No of events/workshops planned-count"/>
    <s v="count"/>
    <n v="1"/>
    <n v="50000"/>
    <s v="Entertainment and hospitality"/>
    <n v="50000"/>
    <s v="KU Regular operations"/>
    <s v="Recurring"/>
    <s v="Ensure the university sustainability "/>
    <m/>
  </r>
  <r>
    <s v="Academic "/>
    <s v="No Applicable"/>
    <s v="SVP/ Support Services Office"/>
    <n v="847"/>
    <n v="8470510"/>
    <s v="KUST - VP/ Administration, Facilities &amp; EHS Office"/>
    <n v="1"/>
    <n v="428090"/>
    <s v="428090-Business Travel - Combined expenses"/>
    <s v="000000"/>
    <s v="KUST - General"/>
    <n v="847001"/>
    <s v="FA179-Opex Expense"/>
    <n v="200179"/>
    <x v="406"/>
    <s v="428090.Business Travel - Combined expenses-Number of Staff-Number"/>
    <s v="Number"/>
    <n v="1"/>
    <n v="150000"/>
    <s v="Business Travel - Combined expenses"/>
    <n v="150000"/>
    <s v="KU Regular operations"/>
    <s v="Recurring"/>
    <s v="Ensure the university sustainability "/>
    <m/>
  </r>
  <r>
    <s v="Communiction &amp; Marketing"/>
    <s v="Director, Marketing and Communication"/>
    <s v="SVP/ Support Services Office"/>
    <n v="847"/>
    <n v="8470520"/>
    <s v="KUST - Environment, Health &amp; Safety"/>
    <n v="1"/>
    <n v="425510"/>
    <s v="425510-Conferences, seminars and exhibitions and other events: - Local Events"/>
    <s v="000000"/>
    <s v="KUST - General"/>
    <n v="847001"/>
    <s v="FA179-Opex Expense"/>
    <n v="200179"/>
    <x v="407"/>
    <s v="425510.Conferences, seminars and exhibitions and other events: - Local Events-Events-Number of Events"/>
    <s v="Number of Events"/>
    <n v="1"/>
    <n v="25000"/>
    <s v="HSE Day &amp; Small Events"/>
    <n v="25000"/>
    <s v="KU Regular operations"/>
    <s v="Recurring"/>
    <s v="Realize a sustainable , healthy and safe campus environment for all community members"/>
    <m/>
  </r>
  <r>
    <s v="Facilities "/>
    <s v="No Applicable"/>
    <s v="SVP/ Support Services Office"/>
    <n v="847"/>
    <n v="8470520"/>
    <s v="KUST - Environment, Health &amp; Safety"/>
    <n v="1"/>
    <n v="426100"/>
    <s v="426100-Freight and shipping costs, not included elsewhere under purchase costs"/>
    <s v="000000"/>
    <s v="KUST - General"/>
    <n v="847001"/>
    <s v="FA179-Opex Expense"/>
    <n v="200179"/>
    <x v="408"/>
    <s v="426100.Freight and shipping costs, Numbert included elsewhere under purchase costs-Number of Quantity-Number"/>
    <s v="Number"/>
    <n v="1"/>
    <n v="20000"/>
    <s v="Purchasing"/>
    <n v="20000"/>
    <s v="KU Regular operations"/>
    <s v="Recurring"/>
    <s v="Realize a sustainable , healthy and safe campus environment for all community members"/>
    <m/>
  </r>
  <r>
    <s v="Academic"/>
    <s v="No Applicable"/>
    <s v="SVP/ Support Services Office"/>
    <n v="847"/>
    <n v="8470520"/>
    <s v="KUST - Environment, Health &amp; Safety"/>
    <n v="1"/>
    <n v="427710"/>
    <s v="427710-Subscriptions and membership fees: Trade organisations"/>
    <s v="000000"/>
    <s v="KUST - General"/>
    <n v="847001"/>
    <s v="FA179-Opex Expense"/>
    <n v="200179"/>
    <x v="409"/>
    <s v="427710.Subscriptions and membership fees: Trade organisations-Number  of Memberships-Number"/>
    <s v="Number"/>
    <n v="1"/>
    <n v="40000"/>
    <s v="Subscriptions and membership"/>
    <n v="40000"/>
    <s v="KU Regular operations"/>
    <s v="Recurring"/>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10"/>
    <s v="428200.Health,safety&amp;environment awareness-Number of Buildings-Number"/>
    <s v="Number"/>
    <m/>
    <m/>
    <m/>
    <n v="0"/>
    <m/>
    <m/>
    <m/>
    <m/>
  </r>
  <r>
    <s v="Facilities "/>
    <s v="No Applicable"/>
    <s v="SVP/ Support Services Office"/>
    <n v="847"/>
    <n v="8470520"/>
    <s v="KUST - Environment, Health &amp; Safety"/>
    <n v="1"/>
    <n v="428200"/>
    <s v="428200-Health,safety&amp;environment awareness"/>
    <s v="000000"/>
    <s v="KUST - General"/>
    <n v="847001"/>
    <s v="FA179-Opex Expense"/>
    <n v="200179"/>
    <x v="410"/>
    <s v="428200.Health,safety&amp;environment awareness-Number of Buildings-Number"/>
    <s v="Number"/>
    <n v="1"/>
    <n v="70000"/>
    <s v="Surveillance Audit of ISO Standards &amp; OSHAD Audit"/>
    <n v="70000"/>
    <s v="KU Regular operations"/>
    <s v="Recurring"/>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10"/>
    <s v="428200.Health,safety&amp;environment awareness-Number of Buildings-Number"/>
    <s v="Number"/>
    <n v="1"/>
    <n v="60000"/>
    <s v="Blanket Contract for Clinic Supplies"/>
    <n v="60000"/>
    <s v="KU Regular operations"/>
    <s v="Recurring"/>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10"/>
    <s v="428200.Health,safety&amp;environment awareness-Number of Buildings-Number"/>
    <s v="Number"/>
    <n v="1"/>
    <n v="35000"/>
    <s v="Blanket Contract for Environment Monitoring"/>
    <n v="35000"/>
    <s v="KU Regular operations"/>
    <s v="Recurring"/>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10"/>
    <s v="428200.Health,safety&amp;environment awareness-Number of Buildings-Number"/>
    <s v="Number"/>
    <n v="1"/>
    <n v="30000"/>
    <s v="Capacity Buiding (Center- IOSH, Safety Courses &amp; NEBOSH)"/>
    <n v="30000"/>
    <s v="KU Regular operations"/>
    <s v="Recurring"/>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10"/>
    <s v="428200.Health,safety&amp;environment awareness-Number of Buildings-Number"/>
    <s v="Number"/>
    <n v="1"/>
    <n v="50000"/>
    <s v="Calibration of EHS &amp; Clinic Instrument"/>
    <n v="50000"/>
    <s v="KU Regular operations"/>
    <s v="Recurring"/>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10"/>
    <s v="428200.Health,safety&amp;environment awareness-Number of Buildings-Number"/>
    <s v="Number"/>
    <n v="1"/>
    <n v="80000"/>
    <s v="Blanket Contract for First Aid Kit Supplies"/>
    <n v="80000"/>
    <s v="KU Regular operations"/>
    <s v="Recurring"/>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10"/>
    <s v="428200.Health,safety&amp;environment awareness-Number of Buildings-Number"/>
    <s v="Number"/>
    <n v="1"/>
    <n v="25000"/>
    <s v="Dosimeter Services"/>
    <n v="25000"/>
    <s v="KU Regular operations"/>
    <s v="Recurring"/>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10"/>
    <s v="428200.Health,safety&amp;environment awareness-Number of Buildings-Number"/>
    <s v="Number"/>
    <n v="1"/>
    <n v="40000"/>
    <s v="Blanket  Contract for EHS Signage"/>
    <n v="40000"/>
    <s v="KU Regular operations"/>
    <s v="Recurring"/>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10"/>
    <s v="428200.Health,safety&amp;environment awareness-Number of Buildings-Number"/>
    <s v="Number"/>
    <n v="1"/>
    <n v="50000"/>
    <s v="3D Evacuation Map"/>
    <n v="50000"/>
    <s v="KU Regular operations"/>
    <s v="Recurring"/>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10"/>
    <s v="428200.Health,safety&amp;environment awareness-Number of Buildings-Number"/>
    <s v="Number"/>
    <n v="1"/>
    <n v="15000"/>
    <s v="Eniscope Software"/>
    <n v="15000"/>
    <s v="KU Regular operations"/>
    <s v="Recurring"/>
    <s v="Ensure the university sustainability "/>
    <m/>
  </r>
  <r>
    <s v="Facilities "/>
    <s v="No Applicable"/>
    <s v="SVP/ Support Services Office"/>
    <n v="847"/>
    <n v="8470520"/>
    <s v="KUST - Environment, Health &amp; Safety"/>
    <n v="1"/>
    <n v="428200"/>
    <s v="428200-Health,safety&amp;environment awareness"/>
    <s v="000000"/>
    <s v="KUST - General"/>
    <n v="847001"/>
    <s v="FA179-Opex Expense"/>
    <n v="200179"/>
    <x v="410"/>
    <s v="428200.Health,safety&amp;environment awareness-Number of Buildings-Number"/>
    <s v="Number"/>
    <n v="1"/>
    <n v="50000"/>
    <s v="Emergency Notification System"/>
    <n v="50000"/>
    <s v="KU Regular operations"/>
    <s v="Recurring"/>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10"/>
    <s v="428200.Health,safety&amp;environment awareness-Number of Buildings-Number"/>
    <s v="Number"/>
    <n v="1"/>
    <n v="50000"/>
    <s v="EHS Components"/>
    <n v="50000"/>
    <s v="KU Regular operations"/>
    <s v="Recurring"/>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10"/>
    <s v="428200.Health,safety&amp;environment awareness-Number of Buildings-Number"/>
    <s v="Number"/>
    <n v="1"/>
    <n v="20000"/>
    <s v="First Aiders Competency Requirement"/>
    <n v="20000"/>
    <s v="KU Regular operations"/>
    <s v="Recurring"/>
    <s v="Realize a sustainable , healthy and safe campus environment for all community members"/>
    <m/>
  </r>
  <r>
    <s v="Facilities "/>
    <s v="No Applicable"/>
    <s v="SVP/ Support Services Office"/>
    <n v="847"/>
    <n v="8470530"/>
    <s v="KUST - Facilities Management"/>
    <n v="1"/>
    <n v="420310"/>
    <s v="420310-Cleaning: Business premises"/>
    <s v="000000"/>
    <s v="KUST - Main Campus"/>
    <n v="847010"/>
    <s v="FA179-Opex Expense"/>
    <n v="200179"/>
    <x v="411"/>
    <s v="420310.Cleaning Services: Business premises-1. Size of Premises (Area)-2m"/>
    <s v="2m"/>
    <n v="1"/>
    <n v="4056438.64"/>
    <s v="Soft Service Payment to West Coast against Contract C303"/>
    <n v="4056438.64"/>
    <s v="KU Regular operations"/>
    <s v="Recurring"/>
    <s v="Ensure the university sustainability "/>
    <m/>
  </r>
  <r>
    <s v="Facilities "/>
    <s v="No Applicable"/>
    <s v="SVP/ Support Services Office"/>
    <n v="847"/>
    <n v="8470530"/>
    <s v="KUST - Facilities Management"/>
    <n v="1"/>
    <n v="420310"/>
    <s v="420310-Cleaning: Business premises"/>
    <s v="000000"/>
    <s v="Student Related Costs"/>
    <n v="847015"/>
    <s v="FA179-Opex Expense"/>
    <n v="200179"/>
    <x v="412"/>
    <s v="420310.Cleaning Services: Business premises-1. Size of Premises (Area)-2m"/>
    <s v="2m"/>
    <n v="1"/>
    <n v="747242"/>
    <s v="Soft Service Payment to West Coast against Contract C303"/>
    <n v="747242"/>
    <s v="KU Regular operations"/>
    <s v="Recurring"/>
    <s v="Ensure the university sustainability "/>
    <m/>
  </r>
  <r>
    <s v="Facilities "/>
    <s v="No Applicable"/>
    <s v="SVP/ Support Services Office"/>
    <n v="847"/>
    <n v="8470530"/>
    <s v="KUST - Facilities Management"/>
    <n v="1"/>
    <n v="420310"/>
    <s v="420310-Cleaning: Business premises"/>
    <s v="000000"/>
    <s v="KUST- Sas Al Nakhl Campus"/>
    <n v="847020"/>
    <s v="FA179-Opex Expense"/>
    <n v="200179"/>
    <x v="413"/>
    <s v="420310.Cleaning Services: Business premises-1. Size of Premises (Area)-2m"/>
    <s v="2m"/>
    <n v="1"/>
    <n v="4118107"/>
    <s v="Soft Service Payment to West Coast against Contract C303"/>
    <n v="4118107"/>
    <s v="KU Regular operations"/>
    <s v="Recurring"/>
    <s v="Ensure the university sustainability "/>
    <m/>
  </r>
  <r>
    <s v="Other support"/>
    <s v="No Applicable"/>
    <s v="SVP/ Support Services Office"/>
    <n v="847"/>
    <n v="8470530"/>
    <s v="KUST - Facilities Management"/>
    <n v="1"/>
    <n v="429900"/>
    <s v="429900-Other services, not specifically mentioned elsewhere"/>
    <s v="000000"/>
    <s v="KUST - Main Campus"/>
    <s v="847010"/>
    <s v="FA179-Opex Expense"/>
    <n v="200179"/>
    <x v="414"/>
    <s v="429900.Other services, not specifically mentioned elsewhere-TBD-Number of TBD"/>
    <s v="Number of TBD"/>
    <n v="1"/>
    <n v="220000"/>
    <s v="movement request"/>
    <n v="220000"/>
    <s v="KU Regular operations"/>
    <s v="Recurring"/>
    <s v="Ensure the university sustainability "/>
    <m/>
  </r>
  <r>
    <s v="HR"/>
    <s v="Manager, Business Development"/>
    <s v="SVP/ Support Services Office"/>
    <n v="847"/>
    <n v="8470530"/>
    <s v="KUST - Facilities Management"/>
    <n v="1"/>
    <n v="421000"/>
    <s v="421000-Management consultancy"/>
    <s v="000000"/>
    <s v="KUST - Main Campus"/>
    <n v="847010"/>
    <s v="FA179-Opex Expense"/>
    <n v="200179"/>
    <x v="415"/>
    <s v="421000.Management consultancy-Number of contracted consultations -count"/>
    <s v="count"/>
    <n v="1"/>
    <m/>
    <m/>
    <n v="0"/>
    <m/>
    <m/>
    <m/>
    <m/>
  </r>
  <r>
    <s v="HR"/>
    <s v="No Applicable"/>
    <s v="SVP/ Support Services Office"/>
    <n v="847"/>
    <n v="8470530"/>
    <s v="KUST - Facilities Management"/>
    <n v="1"/>
    <n v="421100"/>
    <s v="421100-Manpower supply"/>
    <s v="000000"/>
    <s v="KUST - Main Campus"/>
    <n v="847010"/>
    <s v="FA179-Opex Expense"/>
    <n v="200179"/>
    <x v="416"/>
    <m/>
    <s v="-_"/>
    <m/>
    <m/>
    <m/>
    <n v="0"/>
    <m/>
    <m/>
    <m/>
    <m/>
  </r>
  <r>
    <s v="-"/>
    <s v="-"/>
    <s v="SVP/ Support Services Office"/>
    <n v="847"/>
    <n v="8470530"/>
    <s v="KUST - Facilities Management"/>
    <n v="1"/>
    <n v="430110"/>
    <s v="430110-Rental - Land"/>
    <s v="000000"/>
    <s v="KUST - Main Campus"/>
    <n v="847010"/>
    <s v="FA179-Opex Expense"/>
    <n v="200179"/>
    <x v="417"/>
    <s v="430110.Rental- Land-2m-"/>
    <m/>
    <n v="1"/>
    <n v="233000"/>
    <s v="SAN Campus-rent temporary land as temporary parking"/>
    <n v="233000"/>
    <s v="KU Regular operations"/>
    <s v="Recurring"/>
    <s v="Ensure the university sustainability "/>
    <m/>
  </r>
  <r>
    <s v="Facilities"/>
    <s v="No Applicable"/>
    <s v="SVP/ Support Services Office"/>
    <n v="847"/>
    <n v="8470530"/>
    <s v="KUST - Facilities Management"/>
    <n v="1"/>
    <n v="430120"/>
    <s v="430120-Rental - Buildings, other than staff residences"/>
    <s v="000000"/>
    <s v="KUST- Masdar city campus"/>
    <s v="847030"/>
    <s v="FA179-Opex Expense"/>
    <n v="200179"/>
    <x v="418"/>
    <s v="430120.Rental - Buildings, other than staff residences-Area-2m"/>
    <s v="2m"/>
    <n v="1"/>
    <n v="4679199"/>
    <s v="Masder complex"/>
    <n v="4679199"/>
    <s v="KU Regular operations"/>
    <s v="Recurring"/>
    <s v="Ensure the university sustainability "/>
    <m/>
  </r>
  <r>
    <s v="Facilities"/>
    <s v="No Applicable"/>
    <s v="SVP/ Support Services Office"/>
    <n v="847"/>
    <n v="8470530"/>
    <s v="KUST - Facilities Management"/>
    <n v="1"/>
    <n v="430120"/>
    <s v="430120-Rental - Buildings, other than staff residences"/>
    <s v="000000"/>
    <s v="KUST- Sas Al Nakhl Campus"/>
    <n v="847020"/>
    <s v="FA179-Opex Expense"/>
    <n v="200179"/>
    <x v="419"/>
    <s v="430120.Rental - Buildings, other than staff residences-Area-2m"/>
    <s v="2m"/>
    <n v="1"/>
    <n v="18000000"/>
    <s v="ADNOC School and Um lulu Accommedation"/>
    <n v="18000000"/>
    <s v="KU Regular operations"/>
    <s v="Recurring"/>
    <s v="Ensure the university sustainability "/>
    <m/>
  </r>
  <r>
    <s v="Facilities "/>
    <s v="No Applicable"/>
    <s v="SVP/ Support Services Office"/>
    <n v="847"/>
    <n v="8470530"/>
    <s v="KUST - Facilities Management"/>
    <n v="1"/>
    <n v="421600"/>
    <s v="421600-Security service"/>
    <s v="000000"/>
    <s v="KUST - Main Campus"/>
    <n v="847010"/>
    <s v="FA179-Opex Expense"/>
    <n v="200179"/>
    <x v="420"/>
    <s v="421600.Security service-Number of guard workers-count"/>
    <s v="count"/>
    <n v="1"/>
    <n v="4185720"/>
    <s v="Security Services Main Campus "/>
    <n v="4185720"/>
    <s v="KU Regular operations"/>
    <s v="Recurring"/>
    <s v="Ensure the university sustainability "/>
    <m/>
  </r>
  <r>
    <s v="Facilities "/>
    <s v="No Applicable"/>
    <s v="SVP/ Support Services Office"/>
    <n v="847"/>
    <n v="8470530"/>
    <s v="KUST - Facilities Management"/>
    <n v="1"/>
    <n v="421600"/>
    <s v="421600-Security service"/>
    <s v="000000"/>
    <s v="Student Related Costs"/>
    <n v="847015"/>
    <s v="FA179-Opex Expense"/>
    <n v="200179"/>
    <x v="421"/>
    <s v="421600.Security service-Number of guard workers-count"/>
    <s v="count"/>
    <n v="1"/>
    <n v="2574558"/>
    <s v="Security Services SAN Campus Hostels "/>
    <n v="2574558"/>
    <s v="KU Regular operations"/>
    <s v="Recurring"/>
    <s v="Ensure the university sustainability "/>
    <m/>
  </r>
  <r>
    <s v="Facilities "/>
    <s v="No Applicable"/>
    <s v="SVP/ Support Services Office"/>
    <n v="847"/>
    <n v="8470530"/>
    <s v="KUST - Facilities Management"/>
    <n v="1"/>
    <n v="421600"/>
    <s v="421600-Security service"/>
    <s v="000000"/>
    <s v="KUST- Sas Al Nakhl Campus"/>
    <n v="847020"/>
    <s v="FA179-Opex Expense"/>
    <n v="200179"/>
    <x v="422"/>
    <s v="421600.Security service-Number of guard workers-count"/>
    <s v="count"/>
    <n v="1"/>
    <n v="2182509"/>
    <s v="Security Services SAN Campus "/>
    <n v="2182509"/>
    <s v="KU Regular operations"/>
    <s v="Recurring"/>
    <s v="Ensure the university sustainability "/>
    <m/>
  </r>
  <r>
    <s v="Facilities "/>
    <s v="No Applicable"/>
    <s v="SVP/ Support Services Office"/>
    <n v="847"/>
    <n v="8470530"/>
    <s v="KUST - Facilities Management"/>
    <n v="1"/>
    <n v="421600"/>
    <s v="421600-Security service"/>
    <s v="000000"/>
    <s v="KUST- Masdar city campus"/>
    <n v="847030"/>
    <s v="FA179-Opex Expense"/>
    <n v="200179"/>
    <x v="423"/>
    <s v="421600.Security service-Number of guard workers-count"/>
    <s v="count"/>
    <n v="1"/>
    <n v="418095"/>
    <s v="Security Services MASDAR Leased Hostels "/>
    <n v="418095"/>
    <s v="KU Regular operations"/>
    <s v="Recurring"/>
    <s v="Ensure the university sustainability "/>
    <m/>
  </r>
  <r>
    <s v="Academic"/>
    <s v="Director, Institutional Research and Planning"/>
    <s v="SVP/ Support Services Office"/>
    <n v="847"/>
    <n v="8470530"/>
    <s v="KUST - Facilities Management"/>
    <n v="1"/>
    <n v="421700"/>
    <s v="421700-Standards Certification Services (e.g. ISO)"/>
    <s v="000000"/>
    <s v="KUST - Main Campus"/>
    <n v="847010"/>
    <s v="FA179-Opex Expense"/>
    <n v="200179"/>
    <x v="424"/>
    <s v="421700.Standards Certification Services (e.g. ISO)-professional services scope/deliverables-Number"/>
    <s v="Number"/>
    <n v="1"/>
    <m/>
    <m/>
    <n v="0"/>
    <m/>
    <m/>
    <m/>
    <m/>
  </r>
  <r>
    <s v="Communiction &amp; Marketing"/>
    <s v="Director, Marketing and Communication"/>
    <s v="SVP/ Support Services Office"/>
    <n v="847"/>
    <n v="8470530"/>
    <s v="KUST - Facilities Management"/>
    <n v="1"/>
    <n v="425510"/>
    <s v="425510-Conferences, seminars and exhibitions and other events: - Local Events"/>
    <s v="000000"/>
    <s v="KUST - Main Campus"/>
    <n v="847010"/>
    <s v="FA179-Opex Expense"/>
    <n v="200179"/>
    <x v="425"/>
    <s v="425510.Conferences, seminars and exhibitions and other events: - Local Events-Conferences-Number of Conferences"/>
    <s v="Number of Conferences"/>
    <n v="1"/>
    <n v="60000"/>
    <s v="Conferences, seminars and exhibitions and other events: - Local Events"/>
    <n v="60000"/>
    <s v="KU Regular operations"/>
    <s v="Recurring"/>
    <s v="Ensure the university sustainability "/>
    <m/>
  </r>
  <r>
    <s v="Other support"/>
    <s v="Director, Human Resources"/>
    <s v="SVP/ Support Services Office"/>
    <n v="847"/>
    <n v="8470530"/>
    <s v="KUST - Facilities Management"/>
    <n v="1"/>
    <n v="425900"/>
    <s v="425900-Entertainment and hospitality"/>
    <s v="000000"/>
    <s v="KUST - Main Campus"/>
    <n v="847010"/>
    <s v="FA179-Opex Expense"/>
    <n v="200179"/>
    <x v="426"/>
    <s v="425900.Entertainment and hospitality-1. No of events/workshops planned-count"/>
    <s v="count"/>
    <n v="1"/>
    <n v="50000"/>
    <s v="Entertainment and hospitality"/>
    <n v="50000"/>
    <s v="KU Regular operations"/>
    <s v="Recurring"/>
    <s v="Ensure the university sustainability "/>
    <m/>
  </r>
  <r>
    <s v="Facilities "/>
    <s v="No Applicable"/>
    <s v="SVP/ Support Services Office"/>
    <n v="847"/>
    <n v="8470530"/>
    <s v="KUST - Facilities Management"/>
    <n v="1"/>
    <n v="426220"/>
    <s v="426220-Insurance - Fire and allied perils"/>
    <s v="000000"/>
    <s v="KUST - Main Campus"/>
    <n v="847010"/>
    <s v="FA179-Opex Expense"/>
    <n v="200179"/>
    <x v="427"/>
    <s v="426220.Insurance - Fire and allied perils-Number of Buildings-Number"/>
    <s v="Number"/>
    <n v="1"/>
    <n v="960437"/>
    <s v="Insurance - Finance"/>
    <n v="960437"/>
    <s v="KU Regular operations"/>
    <s v="Recurring"/>
    <s v="Ensure the university sustainability "/>
    <m/>
  </r>
  <r>
    <s v="Facilities "/>
    <s v="No Applicable"/>
    <s v="SVP/ Support Services Office"/>
    <n v="847"/>
    <n v="8470530"/>
    <s v="KUST - Facilities Management"/>
    <n v="1"/>
    <n v="426220"/>
    <s v="426220-Insurance - Fire and allied perils"/>
    <s v="000000"/>
    <s v="KUST- Masdar city campus"/>
    <n v="847030"/>
    <s v="FA179-Opex Expense"/>
    <n v="200179"/>
    <x v="428"/>
    <s v="426220.Insurance - Fire and allied perils-Number of Buildings-Number"/>
    <s v="Number"/>
    <n v="1"/>
    <n v="23714"/>
    <s v="Insurance - Finance"/>
    <n v="23714"/>
    <s v="KU Regular operations"/>
    <s v="Recurring"/>
    <s v="Ensure the university sustainability "/>
    <m/>
  </r>
  <r>
    <s v="Facilities "/>
    <s v="No Applicable"/>
    <s v="SVP/ Support Services Office"/>
    <n v="847"/>
    <n v="8470530"/>
    <s v="KUST - Facilities Management"/>
    <n v="1"/>
    <n v="426250"/>
    <s v="426250-Insurance - Motor vehicles"/>
    <s v="000000"/>
    <s v="KUST - Main Campus"/>
    <n v="847010"/>
    <s v="FA179-Opex Expense"/>
    <n v="200179"/>
    <x v="429"/>
    <m/>
    <s v="-_"/>
    <m/>
    <m/>
    <m/>
    <n v="0"/>
    <m/>
    <m/>
    <s v="Ensure the university sustainability "/>
    <m/>
  </r>
  <r>
    <s v="Academic "/>
    <s v="No Applicable"/>
    <s v="SVP/ Support Services Office"/>
    <n v="847"/>
    <n v="8470530"/>
    <s v="KUST - Facilities Management"/>
    <n v="1"/>
    <n v="428090"/>
    <s v="428090-Business Travel - Combined expenses"/>
    <s v="000000"/>
    <s v="KUST - General"/>
    <n v="847001"/>
    <s v="FA179-Opex Expense"/>
    <n v="200179"/>
    <x v="430"/>
    <s v="428090.Business Travel - Combined expenses-Number of Staff-Number"/>
    <s v="Number"/>
    <n v="1"/>
    <n v="250000"/>
    <s v="Business Travel"/>
    <n v="250000"/>
    <s v="KU Regular operations"/>
    <s v="Recurring"/>
    <s v="Ensure the university sustainability "/>
    <m/>
  </r>
  <r>
    <s v="Facilities "/>
    <s v="No Applicable"/>
    <s v="SVP/ Support Services Office"/>
    <n v="847"/>
    <n v="8470530"/>
    <s v="KUST - Facilities Management"/>
    <n v="1"/>
    <n v="432120"/>
    <s v="432120-Bldg maintenance-Business premises"/>
    <s v="000000"/>
    <s v="KUST - Main Campus"/>
    <n v="847010"/>
    <s v="FA179-Opex Expense"/>
    <n v="200179"/>
    <x v="431"/>
    <s v="432120.Bldg maintenance-Business premises-The area of major maintenance HQ-2m"/>
    <s v="2m"/>
    <n v="1"/>
    <n v="13077621"/>
    <s v="FM Hard Services Contract Agreement"/>
    <n v="13077621"/>
    <s v="KU Regular operations"/>
    <s v="Recurring"/>
    <s v="Ensure the university sustainability "/>
    <m/>
  </r>
  <r>
    <s v="Facilities "/>
    <s v="No Applicable"/>
    <s v="SVP/ Support Services Office"/>
    <n v="847"/>
    <n v="8470530"/>
    <s v="KUST - Facilities Management"/>
    <n v="1"/>
    <n v="432120"/>
    <s v="432120-Bldg maintenance-Business premises"/>
    <s v="000000"/>
    <s v="KUST - Main Campus"/>
    <n v="847010"/>
    <s v="FA179-Opex Expense"/>
    <n v="200179"/>
    <x v="431"/>
    <s v="432120.Bldg maintenance-Business premises-The area of major maintenance HQ-2m"/>
    <s v="2m"/>
    <n v="1"/>
    <n v="800000"/>
    <s v="Spares for FM hard services"/>
    <n v="800000"/>
    <s v="KU Regular operations"/>
    <s v="Recurring"/>
    <s v="Ensure the university sustainability "/>
    <m/>
  </r>
  <r>
    <s v="Facilities "/>
    <s v="No Applicable"/>
    <s v="SVP/ Support Services Office"/>
    <n v="847"/>
    <n v="8470530"/>
    <s v="KUST - Facilities Management"/>
    <n v="1"/>
    <n v="432120"/>
    <s v="432120-Bldg maintenance-Business premises"/>
    <s v="000000"/>
    <s v="KUST - Main Campus"/>
    <n v="847010"/>
    <s v="FA179-Opex Expense"/>
    <n v="200179"/>
    <x v="431"/>
    <s v="432120.Bldg maintenance-Business premises-The area of major maintenance HQ-2m"/>
    <s v="2m"/>
    <n v="1"/>
    <n v="43500"/>
    <s v="Hassantuk annual renewal frr"/>
    <n v="43500"/>
    <s v="KU Regular operations"/>
    <s v="Recurring"/>
    <s v="Ensure the university sustainability "/>
    <m/>
  </r>
  <r>
    <s v="Facilities "/>
    <s v="No Applicable"/>
    <s v="SVP/ Support Services Office"/>
    <n v="847"/>
    <n v="8470530"/>
    <s v="KUST - Facilities Management"/>
    <n v="1"/>
    <n v="432120"/>
    <s v="432120-Bldg maintenance-Business premises"/>
    <s v="000000"/>
    <s v="KUST - Main Campus"/>
    <n v="847010"/>
    <s v="FA179-Opex Expense"/>
    <n v="200179"/>
    <x v="431"/>
    <s v="432120.Bldg maintenance-Business premises-The area of major maintenance HQ-2m"/>
    <s v="2m"/>
    <n v="1"/>
    <n v="60000"/>
    <s v="New building  :HVAC: Safe access doors for AHU / FCU etc. in student hub / Engg. Building."/>
    <n v="60000"/>
    <s v="KU Regular operations"/>
    <s v="Recurring"/>
    <s v="Ensure the university sustainability "/>
    <m/>
  </r>
  <r>
    <s v="Facilities "/>
    <s v="No Applicable"/>
    <s v="SVP/ Support Services Office"/>
    <n v="847"/>
    <n v="8470530"/>
    <s v="KUST - Facilities Management"/>
    <n v="1"/>
    <n v="432120"/>
    <s v="432120-Bldg maintenance-Business premises"/>
    <s v="000000"/>
    <s v="KUST - Main Campus"/>
    <n v="847010"/>
    <s v="FA179-Opex Expense"/>
    <n v="200179"/>
    <x v="431"/>
    <s v="432120.Bldg maintenance-Business premises-The area of major maintenance HQ-2m"/>
    <s v="2m"/>
    <n v="1"/>
    <n v="350000"/>
    <s v="Sliding door upgarde with new controllers &amp; unit - Existing building ( G &amp; R Building  - 33 nos.) "/>
    <n v="350000"/>
    <s v="KU Regular operations"/>
    <s v="Recurring"/>
    <s v="Ensure the university sustainability "/>
    <m/>
  </r>
  <r>
    <s v="Facilities "/>
    <s v="No Applicable"/>
    <s v="SVP/ Support Services Office"/>
    <n v="847"/>
    <n v="8470530"/>
    <s v="KUST - Facilities Management"/>
    <n v="1"/>
    <n v="432120"/>
    <s v="432120-Bldg maintenance-Business premises"/>
    <s v="000000"/>
    <s v="Student Related Costs"/>
    <n v="847015"/>
    <s v="FA179-Opex Expense"/>
    <n v="200179"/>
    <x v="432"/>
    <m/>
    <s v="-_"/>
    <m/>
    <m/>
    <m/>
    <n v="0"/>
    <m/>
    <m/>
    <m/>
    <m/>
  </r>
  <r>
    <s v="Facilities "/>
    <s v="No Applicable"/>
    <s v="SVP/ Support Services Office"/>
    <n v="847"/>
    <n v="8470530"/>
    <s v="KUST - Facilities Management"/>
    <n v="1"/>
    <n v="432120"/>
    <s v="432120-Bldg maintenance-Business premises"/>
    <s v="000000"/>
    <s v="KUST- Sas Al Nakhl Campus"/>
    <n v="847020"/>
    <s v="FA179-Opex Expense"/>
    <n v="200179"/>
    <x v="433"/>
    <s v="432120.Bldg maintenance-Business premises-The area of major maintenance HQ-2m"/>
    <s v="2m"/>
    <n v="1"/>
    <n v="15393196"/>
    <s v="FM Hard Services Contract Agreement"/>
    <n v="15393196"/>
    <s v="KU Regular operations"/>
    <s v="Recurring"/>
    <s v="Ensure the university sustainability "/>
    <m/>
  </r>
  <r>
    <s v="Facilities "/>
    <s v="No Applicable"/>
    <s v="SVP/ Support Services Office"/>
    <n v="847"/>
    <n v="8470530"/>
    <s v="KUST - Facilities Management"/>
    <n v="1"/>
    <n v="432120"/>
    <s v="432120-Bldg maintenance-Business premises"/>
    <s v="000000"/>
    <s v="KUST- Sas Al Nakhl Campus"/>
    <n v="847020"/>
    <s v="FA179-Opex Expense"/>
    <n v="200179"/>
    <x v="433"/>
    <s v="432120.Bldg maintenance-Business premises-The area of major maintenance HQ-2m"/>
    <s v="2m"/>
    <n v="1"/>
    <n v="900000"/>
    <s v="Spares  for FM hard services above Threshold of AED 2500.00"/>
    <n v="900000"/>
    <s v="KU Regular operations"/>
    <s v="Recurring"/>
    <s v="Ensure the university sustainability "/>
    <m/>
  </r>
  <r>
    <s v="-"/>
    <s v="-"/>
    <s v="SVP/ Support Services Office"/>
    <n v="847"/>
    <n v="8470530"/>
    <s v="KUST - Facilities Management"/>
    <n v="1"/>
    <n v="432120"/>
    <s v="432120-Bldg maintenance-Business premises"/>
    <s v="000000"/>
    <s v="KUST- Sas Al Nakhl Campus"/>
    <n v="847020"/>
    <s v="FA179-Opex Expense"/>
    <n v="200179"/>
    <x v="433"/>
    <s v="432120.Bldg maintenance-Business premises-The area of major maintenance HQ-2m"/>
    <s v="2m"/>
    <n v="1"/>
    <n v="124000"/>
    <s v="Hassantuk annual renewal fee"/>
    <n v="124000"/>
    <s v="KU Regular operations"/>
    <s v="Recurring"/>
    <s v="Ensure the university sustainability "/>
    <m/>
  </r>
  <r>
    <s v="Facilities "/>
    <s v="No Applicable"/>
    <s v="SVP/ Support Services Office"/>
    <n v="847"/>
    <n v="8470530"/>
    <s v="KUST - Facilities Management"/>
    <n v="1"/>
    <n v="432120"/>
    <s v="432120-Bldg maintenance-Business premises"/>
    <s v="000000"/>
    <s v="KUST- Sas Al Nakhl Campus"/>
    <n v="847020"/>
    <s v="FA179-Opex Expense"/>
    <n v="200179"/>
    <x v="433"/>
    <s v="432120.Bldg maintenance-Business premises-The area of major maintenance HQ-2m"/>
    <s v="2m"/>
    <n v="1"/>
    <n v="459999.99999999994"/>
    <s v="Internal painting for Umm Lulu Towers"/>
    <n v="459999.99999999994"/>
    <s v="KU Regular operations"/>
    <s v="Recurring"/>
    <s v="Ensure the university sustainability "/>
    <m/>
  </r>
  <r>
    <s v="Facilities "/>
    <s v="No Applicable"/>
    <s v="SVP/ Support Services Office"/>
    <n v="847"/>
    <n v="8470530"/>
    <s v="KUST - Facilities Management"/>
    <n v="1"/>
    <n v="432120"/>
    <s v="432120-Bldg maintenance-Business premises"/>
    <s v="000000"/>
    <s v="KUST- Sas Al Nakhl Campus"/>
    <n v="847020"/>
    <s v="FA179-Opex Expense"/>
    <n v="200179"/>
    <x v="433"/>
    <s v="432120.Bldg maintenance-Business premises-The area of major maintenance HQ-2m"/>
    <s v="2m"/>
    <n v="1"/>
    <n v="350000"/>
    <s v="Replacement of Interlocking Tiles for Road in different area"/>
    <n v="350000"/>
    <s v="KU Regular operations"/>
    <s v="Recurring"/>
    <s v="Ensure the university sustainability "/>
    <m/>
  </r>
  <r>
    <s v="Facilities "/>
    <s v="No Applicable"/>
    <s v="SVP/ Support Services Office"/>
    <n v="847"/>
    <n v="8470530"/>
    <s v="KUST - Facilities Management"/>
    <n v="1"/>
    <n v="432120"/>
    <s v="432120-Bldg maintenance-Business premises"/>
    <s v="000000"/>
    <s v="KUST- Sas Al Nakhl Campus"/>
    <n v="847020"/>
    <s v="FA179-Opex Expense"/>
    <n v="200179"/>
    <x v="433"/>
    <s v="432120.Bldg maintenance-Business premises-The area of major maintenance HQ-2m"/>
    <s v="2m"/>
    <n v="1"/>
    <n v="229999.99999999997"/>
    <s v="Repainting of offices "/>
    <n v="229999.99999999997"/>
    <s v="KU Regular operations"/>
    <s v="Recurring"/>
    <s v="Ensure the university sustainability "/>
    <m/>
  </r>
  <r>
    <s v="Facilities "/>
    <s v="No Applicable"/>
    <s v="SVP/ Support Services Office"/>
    <n v="847"/>
    <n v="8470530"/>
    <s v="KUST - Facilities Management"/>
    <n v="1"/>
    <n v="432120"/>
    <s v="432120-Bldg maintenance-Business premises"/>
    <s v="000000"/>
    <s v="KUST- Masdar city campus"/>
    <n v="847030"/>
    <s v="FA179-Opex Expense"/>
    <n v="200179"/>
    <x v="434"/>
    <s v="432120.Bldg maintenance-Business premises-The area of major maintenance HQ-2m"/>
    <s v="2m"/>
    <n v="1"/>
    <n v="600000"/>
    <s v="Masdar for12 months Payment -2024(Cofely) "/>
    <n v="600000"/>
    <s v="KU Regular operations"/>
    <s v="Recurring"/>
    <s v="Ensure the university sustainability "/>
    <m/>
  </r>
  <r>
    <s v="Facilities "/>
    <s v="No Applicable"/>
    <s v="SVP/ Support Services Office"/>
    <n v="847"/>
    <n v="8470530"/>
    <s v="KUST - Facilities Management"/>
    <n v="1"/>
    <n v="432120"/>
    <s v="432120-Bldg maintenance-Business premises"/>
    <s v="000000"/>
    <s v="KUST- Masdar city campus"/>
    <n v="847030"/>
    <s v="FA179-Opex Expense"/>
    <n v="200179"/>
    <x v="434"/>
    <s v="432120.Bldg maintenance-Business premises-The area of major maintenance HQ-2m"/>
    <s v="2m"/>
    <n v="1"/>
    <n v="315252"/>
    <s v="Service charges for Masdar"/>
    <n v="315252"/>
    <s v="KU Regular operations"/>
    <s v="Recurring"/>
    <s v="Ensure the university sustainability "/>
    <m/>
  </r>
  <r>
    <s v="Facilities "/>
    <s v="No Applicable"/>
    <s v="SVP/ Support Services Office"/>
    <n v="847"/>
    <n v="8470530"/>
    <s v="KUST - Facilities Management"/>
    <n v="1"/>
    <n v="432120"/>
    <s v="432120-Bldg maintenance-Business premises"/>
    <s v="000000"/>
    <s v="KUST- Masdar city campus"/>
    <n v="847030"/>
    <s v="FA179-Opex Expense"/>
    <n v="200179"/>
    <x v="434"/>
    <s v="432120.Bldg maintenance-Business premises-The area of major maintenance HQ-2m"/>
    <s v="2m"/>
    <n v="1"/>
    <n v="100000"/>
    <s v="Spares parts"/>
    <n v="100000"/>
    <s v="KU Regular operations"/>
    <s v="Recurring"/>
    <s v="Ensure the university sustainability "/>
    <m/>
  </r>
  <r>
    <s v="Facilities "/>
    <s v="No Applicable"/>
    <s v="SVP/ Support Services Office"/>
    <n v="847"/>
    <n v="8470530"/>
    <s v="KUST - Facilities Management"/>
    <n v="1"/>
    <n v="432120"/>
    <s v="432120-Bldg maintenance-Business premises"/>
    <s v="000000"/>
    <s v="KUST- Masdar city campus"/>
    <n v="847030"/>
    <s v="FA179-Opex Expense"/>
    <n v="200179"/>
    <x v="434"/>
    <s v="432120.Bldg maintenance-Business premises-The area of major maintenance HQ-2m"/>
    <s v="2m"/>
    <n v="1"/>
    <n v="240000"/>
    <s v="B04 A1 - Cooling charges"/>
    <n v="240000"/>
    <s v="KU Regular operations"/>
    <s v="Recurring"/>
    <s v="Ensure the university sustainability "/>
    <m/>
  </r>
  <r>
    <s v="Facilities "/>
    <s v="No Applicable"/>
    <s v="SVP/ Support Services Office"/>
    <n v="847"/>
    <n v="8470530"/>
    <s v="KUST - Facilities Management"/>
    <n v="1"/>
    <n v="432120"/>
    <s v="432120-Bldg maintenance-Business premises"/>
    <s v="000000"/>
    <s v="KUST- Masdar city campus"/>
    <n v="847030"/>
    <s v="FA179-Opex Expense"/>
    <n v="200179"/>
    <x v="434"/>
    <s v="432120.Bldg maintenance-Business premises-The area of major maintenance HQ-2m"/>
    <s v="2m"/>
    <n v="1"/>
    <n v="480000"/>
    <s v="B04 B  - Cooling charges"/>
    <n v="480000"/>
    <s v="KU Regular operations"/>
    <s v="Recurring"/>
    <s v="Ensure the university sustainability "/>
    <m/>
  </r>
  <r>
    <s v="Facilities"/>
    <s v="No Applicable"/>
    <s v="SVP/ Support Services Office"/>
    <n v="847"/>
    <n v="8470530"/>
    <s v="KUST - Facilities Management"/>
    <n v="1"/>
    <n v="432170"/>
    <s v="432170-Bldg decoration &amp; minor improvements"/>
    <s v="000000"/>
    <s v="KUST - Main Campus"/>
    <n v="847010"/>
    <s v="FA179-Opex Expense"/>
    <n v="200179"/>
    <x v="435"/>
    <s v="432170.Bldg decoration &amp; miNumberr improvements-Number of Buildings-Number"/>
    <s v="Number"/>
    <n v="1"/>
    <n v="30000"/>
    <s v="Bldg decoration &amp; minor improvements (ECM)"/>
    <n v="30000"/>
    <s v="KU Regular operations"/>
    <s v="Recurring"/>
    <s v="Ensure the university sustainability "/>
    <m/>
  </r>
  <r>
    <s v="Facilities "/>
    <s v="No Applicable"/>
    <s v="SVP/ Support Services Office"/>
    <n v="847"/>
    <n v="8470530"/>
    <s v="KUST - Facilities Management"/>
    <n v="1"/>
    <n v="432320"/>
    <s v="432320-Residential Furniture and fixtures"/>
    <s v="000000"/>
    <s v="KUST - Main Campus"/>
    <n v="847010"/>
    <s v="FA179-Opex Expense"/>
    <n v="200179"/>
    <x v="436"/>
    <s v="432320.Residential Furniture and fixtures-Number of Building-Number"/>
    <s v="Number"/>
    <n v="1"/>
    <n v="25000"/>
    <s v="Residential furniture and fixtures ( petty cash )"/>
    <n v="25000"/>
    <s v="KU Regular operations"/>
    <s v="Recurring"/>
    <s v="Ensure the university sustainability "/>
    <m/>
  </r>
  <r>
    <s v="Facilities "/>
    <s v="Director, Administration and Facilities"/>
    <s v="SVP/ Support Services Office"/>
    <n v="847"/>
    <n v="8470530"/>
    <s v="KUST - Facilities Management"/>
    <n v="1"/>
    <n v="492200"/>
    <s v="492200-Capital expense - Buildings"/>
    <s v="000000"/>
    <s v="KUST - General"/>
    <n v="847001"/>
    <s v="FA180-Capex Expense"/>
    <n v="300180"/>
    <x v="437"/>
    <m/>
    <s v="-_"/>
    <m/>
    <m/>
    <m/>
    <n v="0"/>
    <m/>
    <m/>
    <m/>
    <m/>
  </r>
  <r>
    <s v="Facilities "/>
    <s v="Director, Administration and Facilities"/>
    <s v="SVP/ Support Services Office"/>
    <n v="847"/>
    <n v="8470530"/>
    <s v="KUST - Facilities Management"/>
    <n v="1"/>
    <n v="492200"/>
    <s v="492200-Capital expense - Buildings"/>
    <s v="000000"/>
    <s v="KUST - Main Campus"/>
    <n v="847010"/>
    <s v="FA180-Capex Expense"/>
    <n v="300180"/>
    <x v="438"/>
    <s v="492200.Capital expense - Buildings-Fitout cost-2m"/>
    <s v="2m"/>
    <n v="1"/>
    <n v="3220000"/>
    <s v="supply and installation of Package units (20 nos )"/>
    <n v="3220000"/>
    <s v="KU Regular operations"/>
    <s v="Recurring"/>
    <s v="Ensure the university sustainability "/>
    <m/>
  </r>
  <r>
    <s v="Facilities "/>
    <s v="Director, Administration and Facilities"/>
    <s v="SVP/ Support Services Office"/>
    <n v="847"/>
    <n v="8470530"/>
    <s v="KUST - Facilities Management"/>
    <n v="1"/>
    <n v="492200"/>
    <s v="492200-Capital expense - Buildings"/>
    <s v="000000"/>
    <s v="KUST - Main Campus"/>
    <n v="847010"/>
    <s v="FA180-Capex Expense"/>
    <n v="300180"/>
    <x v="438"/>
    <s v="492200.Capital expense - Buildings-Fitout cost-2m"/>
    <s v="2m"/>
    <n v="1"/>
    <n v="40000"/>
    <s v="Replacment of fountain pump - new building ( 2 nos. ) "/>
    <n v="40000"/>
    <s v="KU Regular operations"/>
    <s v="Recurring"/>
    <s v="Ensure the university sustainability "/>
    <m/>
  </r>
  <r>
    <s v="Facilities "/>
    <s v="Director, Administration and Facilities"/>
    <s v="SVP/ Support Services Office"/>
    <n v="847"/>
    <n v="8470530"/>
    <s v="KUST - Facilities Management"/>
    <n v="1"/>
    <n v="492200"/>
    <s v="492200-Capital expense - Buildings"/>
    <s v="000000"/>
    <s v="KUST - Main Campus"/>
    <n v="847010"/>
    <s v="FA180-Capex Expense"/>
    <n v="300180"/>
    <x v="438"/>
    <s v="492200.Capital expense - Buildings-Fitout cost-2m"/>
    <s v="2m"/>
    <n v="1"/>
    <n v="120000"/>
    <s v="Replacment of Air compressor &amp; dryer - G building ( 1 no. ) "/>
    <n v="120000"/>
    <s v="KU Regular operations"/>
    <s v="Recurring"/>
    <s v="Ensure the university sustainability "/>
    <m/>
  </r>
  <r>
    <s v="Facilities "/>
    <s v="Director, Administration and Facilities"/>
    <s v="SVP/ Support Services Office"/>
    <n v="847"/>
    <n v="8470530"/>
    <s v="KUST - Facilities Management"/>
    <n v="1"/>
    <n v="492200"/>
    <s v="492200-Capital expense - Buildings"/>
    <s v="000000"/>
    <s v="KUST - Main Campus"/>
    <n v="847010"/>
    <s v="FA180-Capex Expense"/>
    <n v="300180"/>
    <x v="438"/>
    <s v="492200.Capital expense - Buildings-Fitout cost-2m"/>
    <s v="2m"/>
    <n v="1"/>
    <n v="114999.99999999999"/>
    <s v="Upgradation of capacitor bank  &amp; capacitor replacements in old buildings "/>
    <n v="114999.99999999999"/>
    <s v="KU Regular operations"/>
    <s v="Recurring"/>
    <s v="Ensure the university sustainability "/>
    <m/>
  </r>
  <r>
    <s v="Facilities "/>
    <s v="Director, Administration and Facilities"/>
    <s v="SVP/ Support Services Office"/>
    <n v="847"/>
    <n v="8470530"/>
    <s v="KUST - Facilities Management"/>
    <n v="1"/>
    <n v="492200"/>
    <s v="492200-Capital expense - Buildings"/>
    <s v="000000"/>
    <s v="KUST - Main Campus"/>
    <n v="847010"/>
    <s v="FA180-Capex Expense"/>
    <n v="300180"/>
    <x v="438"/>
    <s v="492200.Capital expense - Buildings-Fitout cost-2m"/>
    <s v="2m"/>
    <n v="1"/>
    <n v="114999.99999999999"/>
    <s v="Supply and replacement of smoke and heat detectors with base ( 160 no's) -old buildings "/>
    <n v="114999.99999999999"/>
    <s v="KU Regular operations"/>
    <s v="Recurring"/>
    <s v="Ensure the university sustainability "/>
    <m/>
  </r>
  <r>
    <s v="Facilities "/>
    <s v="Director, Administration and Facilities"/>
    <s v="SVP/ Support Services Office"/>
    <n v="847"/>
    <n v="8470530"/>
    <s v="KUST - Facilities Management"/>
    <n v="1"/>
    <n v="492200"/>
    <s v="492200-Capital expense - Buildings"/>
    <s v="000000"/>
    <s v="KUST - Main Campus"/>
    <n v="847010"/>
    <s v="FA180-Capex Expense"/>
    <n v="300180"/>
    <x v="438"/>
    <s v="492200.Capital expense - Buildings-Fitout cost-2m"/>
    <s v="2m"/>
    <n v="1"/>
    <n v="90000"/>
    <s v="Emergency light and exit light in old buildings "/>
    <n v="90000"/>
    <s v="KU Strategic New Initiative"/>
    <s v="Non-recurring"/>
    <s v="Ensure the university sustainability "/>
    <m/>
  </r>
  <r>
    <s v="Facilities "/>
    <s v="Director, Administration and Facilities"/>
    <s v="SVP/ Support Services Office"/>
    <n v="847"/>
    <n v="8470530"/>
    <s v="KUST - Facilities Management"/>
    <n v="1"/>
    <n v="492200"/>
    <s v="492200-Capital expense - Buildings"/>
    <s v="000000"/>
    <s v="KUST - Main Campus"/>
    <n v="847010"/>
    <s v="FA180-Capex Expense"/>
    <n v="300180"/>
    <x v="438"/>
    <s v="492200.Capital expense - Buildings-Fitout cost-2m"/>
    <s v="2m"/>
    <n v="1"/>
    <n v="900000"/>
    <s v="Fume hoods replacement( Ductless fume hood ) 33 % ( 10 out of 30 nos. )"/>
    <n v="900000"/>
    <s v="KU Strategic New Initiative"/>
    <s v="Non-recurring"/>
    <s v="Ensure the university sustainability "/>
    <m/>
  </r>
  <r>
    <s v="Facilities "/>
    <s v="Director, Administration and Facilities"/>
    <s v="SVP/ Support Services Office"/>
    <n v="847"/>
    <n v="8470530"/>
    <s v="KUST - Facilities Management"/>
    <n v="1"/>
    <n v="492200"/>
    <s v="492200-Capital expense - Buildings"/>
    <s v="000000"/>
    <s v="KUST - Main Campus"/>
    <n v="847010"/>
    <s v="FA180-Capex Expense"/>
    <n v="300180"/>
    <x v="438"/>
    <s v="492200.Capital expense - Buildings-Fitout cost-2m"/>
    <s v="2m"/>
    <n v="1"/>
    <n v="400000"/>
    <s v="Sliding door upgarde with new controllers &amp; unit - Existing building ( G &amp; R Building  - 33 nos.) "/>
    <n v="400000"/>
    <s v="KU Strategic New Initiative"/>
    <s v="Non-recurring"/>
    <s v="Ensure the university sustainability "/>
    <m/>
  </r>
  <r>
    <s v="Facilities "/>
    <s v="Director, Administration and Facilities"/>
    <s v="SVP/ Support Services Office"/>
    <n v="847"/>
    <n v="8470530"/>
    <s v="KUST - Facilities Management"/>
    <n v="1"/>
    <n v="492200"/>
    <s v="492200-Capital expense - Buildings"/>
    <s v="000000"/>
    <s v="KUST - Main Campus"/>
    <n v="847010"/>
    <s v="FA180-Capex Expense"/>
    <n v="300180"/>
    <x v="438"/>
    <s v="492200.Capital expense - Buildings-Fitout cost-2m"/>
    <s v="2m"/>
    <n v="1"/>
    <m/>
    <m/>
    <n v="0"/>
    <s v="KU Strategic New Initiative"/>
    <s v="Non-recurring"/>
    <s v="Ensure the university sustainability "/>
    <m/>
  </r>
  <r>
    <s v="Facilities "/>
    <s v="Director, Administration and Facilities"/>
    <s v="SVP/ Support Services Office"/>
    <n v="847"/>
    <n v="8470530"/>
    <s v="KUST - Facilities Management"/>
    <n v="1"/>
    <n v="492200"/>
    <s v="492200-Capital expense - Buildings"/>
    <s v="000000"/>
    <s v="Student Related Costs"/>
    <n v="847015"/>
    <s v="FA180-Capex Expense"/>
    <n v="300180"/>
    <x v="439"/>
    <m/>
    <s v="-_"/>
    <m/>
    <m/>
    <m/>
    <n v="0"/>
    <m/>
    <m/>
    <m/>
    <m/>
  </r>
  <r>
    <s v="Facilities "/>
    <s v="Director, Administration and Facilities"/>
    <s v="SVP/ Support Services Office"/>
    <n v="847"/>
    <n v="8470530"/>
    <s v="KUST - Facilities Management"/>
    <n v="1"/>
    <n v="492200"/>
    <s v="492200-Capital expense - Buildings"/>
    <s v="000000"/>
    <s v="KUST- Sas Al Nakhl Campus"/>
    <n v="847020"/>
    <s v="FA180-Capex Expense"/>
    <n v="300180"/>
    <x v="440"/>
    <m/>
    <s v="-_"/>
    <n v="1"/>
    <n v="1100000"/>
    <s v="RUWAIS /CHILLER/3 Units"/>
    <n v="1100000"/>
    <s v="KU Strategic New Initiative"/>
    <s v="Non-recurring"/>
    <s v="Ensure the university sustainability "/>
    <m/>
  </r>
  <r>
    <s v="Facilities "/>
    <s v="Director, Administration and Facilities"/>
    <s v="SVP/ Support Services Office"/>
    <n v="847"/>
    <n v="8470530"/>
    <s v="KUST - Facilities Management"/>
    <n v="1"/>
    <n v="492200"/>
    <s v="492200-Capital expense - Buildings"/>
    <s v="000000"/>
    <s v="KUST- Sas Al Nakhl Campus"/>
    <n v="847020"/>
    <s v="FA180-Capex Expense"/>
    <n v="300180"/>
    <x v="440"/>
    <s v="492200.Capital expense - Buildings-Fitout cost-2m"/>
    <s v="2m"/>
    <n v="1"/>
    <n v="65000"/>
    <s v="UMMSHAIF /FAHU 26TON / 1 Units"/>
    <n v="65000"/>
    <s v="KU Strategic New Initiative"/>
    <s v="Non-recurring"/>
    <s v="Ensure the university sustainability "/>
    <m/>
  </r>
  <r>
    <s v="Facilities "/>
    <s v="Director, Administration and Facilities"/>
    <s v="SVP/ Support Services Office"/>
    <n v="847"/>
    <n v="8470530"/>
    <s v="KUST - Facilities Management"/>
    <n v="1"/>
    <n v="492200"/>
    <s v="492200-Capital expense - Buildings"/>
    <s v="000000"/>
    <s v="KUST- Sas Al Nakhl Campus"/>
    <n v="847020"/>
    <s v="FA180-Capex Expense"/>
    <n v="300180"/>
    <x v="440"/>
    <s v="492200.Capital expense - Buildings-Fitout cost-2m"/>
    <s v="2m"/>
    <n v="1"/>
    <n v="75000"/>
    <s v="UMMSHAIF /FAHU 30TON / 1 Units"/>
    <n v="75000"/>
    <s v="KU Strategic New Initiative"/>
    <s v="Non-recurring"/>
    <s v="Ensure the university sustainability "/>
    <m/>
  </r>
  <r>
    <s v="Facilities "/>
    <s v="Director, Administration and Facilities"/>
    <s v="SVP/ Support Services Office"/>
    <n v="847"/>
    <n v="8470530"/>
    <s v="-"/>
    <n v="1"/>
    <n v="492200"/>
    <s v="492200-Capital expense - Buildings"/>
    <s v="000000"/>
    <s v="KUST- Sas Al Nakhl Campus"/>
    <n v="847020"/>
    <s v="FA180-Capex Expense"/>
    <n v="300180"/>
    <x v="440"/>
    <s v="492200.Capital expense - Buildings-Fitout cost-2m"/>
    <s v="2m"/>
    <n v="1"/>
    <n v="60000"/>
    <s v="UMMSHAIF /FAHU 22TON / 1 Units"/>
    <n v="60000"/>
    <s v="KU Strategic New Initiative"/>
    <s v="Non-recurring"/>
    <s v="Ensure the university sustainability "/>
    <m/>
  </r>
  <r>
    <s v="Facilities "/>
    <s v="Director, Administration and Facilities"/>
    <s v="SVP/ Support Services Office"/>
    <n v="847"/>
    <n v="8470530"/>
    <s v="KUST - Facilities Management"/>
    <n v="1"/>
    <n v="492200"/>
    <s v="492200-Capital expense - Buildings"/>
    <s v="000000"/>
    <s v="KUST- Sas Al Nakhl Campus"/>
    <n v="847020"/>
    <s v="FA180-Capex Expense"/>
    <n v="300180"/>
    <x v="440"/>
    <s v="492200.Capital expense - Buildings-Fitout cost-2m"/>
    <s v="2m"/>
    <n v="1"/>
    <n v="1300000"/>
    <s v="Replacement of lamps with LED in Arzanah"/>
    <n v="1300000"/>
    <s v="KU Strategic New Initiative"/>
    <s v="Non-recurring"/>
    <s v="Ensure the university sustainability "/>
    <m/>
  </r>
  <r>
    <s v="Facilities "/>
    <s v="Director, Administration and Facilities"/>
    <s v="SVP/ Support Services Office"/>
    <n v="847"/>
    <n v="8470530"/>
    <s v="KUST - Facilities Management"/>
    <n v="1"/>
    <n v="492200"/>
    <s v="492200-Capital expense - Buildings"/>
    <s v="000000"/>
    <s v="KUST- Sas Al Nakhl Campus"/>
    <n v="847020"/>
    <s v="FA180-Capex Expense"/>
    <n v="300180"/>
    <x v="440"/>
    <s v="492200.Capital expense - Buildings-Fitout cost-2m"/>
    <s v="2m"/>
    <n v="1"/>
    <n v="190000"/>
    <s v="Replacement of lamps with LED in  Umm Shaif"/>
    <n v="190000"/>
    <s v="KU Strategic New Initiative"/>
    <s v="Non-recurring"/>
    <s v="Ensure the university sustainability "/>
    <m/>
  </r>
  <r>
    <s v="Facilities "/>
    <s v="Director, Administration and Facilities"/>
    <s v="SVP/ Support Services Office"/>
    <n v="847"/>
    <n v="8470530"/>
    <s v="KUST - Facilities Management"/>
    <n v="1"/>
    <n v="492200"/>
    <s v="492200-Capital expense - Buildings"/>
    <s v="000000"/>
    <s v="KUST- Sas Al Nakhl Campus"/>
    <n v="847020"/>
    <s v="FA180-Capex Expense"/>
    <n v="300180"/>
    <x v="440"/>
    <s v="492200.Capital expense - Buildings-Fitout cost-2m"/>
    <s v="2m"/>
    <n v="1"/>
    <n v="600000"/>
    <s v="Supply and instlaltin of aluminimum cadding insite the OTS for Buhasa and Ruwais building"/>
    <n v="600000"/>
    <s v="KU Strategic New Initiative"/>
    <s v="Non-recurring"/>
    <s v="Ensure the university sustainability "/>
    <m/>
  </r>
  <r>
    <s v="Facilities "/>
    <s v="Director, Administration and Facilities"/>
    <s v="SVP/ Support Services Office"/>
    <n v="847"/>
    <n v="8470530"/>
    <s v="KUST - Facilities Management"/>
    <n v="1"/>
    <n v="492200"/>
    <s v="492200-Capital expense - Buildings"/>
    <s v="000000"/>
    <s v="KUST- Sas Al Nakhl Campus"/>
    <n v="847020"/>
    <s v="FA180-Capex Expense"/>
    <n v="300180"/>
    <x v="440"/>
    <s v="492200.Capital expense - Buildings-Fitout cost-2m"/>
    <s v="2m"/>
    <n v="1"/>
    <n v="300000"/>
    <s v="Replacement of the galss doors in Arznah entraces"/>
    <n v="300000"/>
    <s v="KU Strategic New Initiative"/>
    <s v="Non-recurring"/>
    <s v="Ensure the university sustainability "/>
    <m/>
  </r>
  <r>
    <s v="Facilities "/>
    <s v="Director, Administration and Facilities"/>
    <s v="SVP/ Support Services Office"/>
    <n v="847"/>
    <n v="8470530"/>
    <s v="KUST - Facilities Management"/>
    <n v="1"/>
    <n v="492200"/>
    <s v="492200-Capital expense - Buildings"/>
    <s v="000000"/>
    <s v="KUST- Sas Al Nakhl Campus"/>
    <n v="847020"/>
    <s v="FA180-Capex Expense"/>
    <n v="300180"/>
    <x v="440"/>
    <s v="492200.Capital expense - Buildings-Fitout cost-2m"/>
    <s v="2m"/>
    <n v="1"/>
    <n v="2100000"/>
    <s v="BUHASA /CHILLER/4 Units"/>
    <n v="2100000"/>
    <s v="KU Strategic New Initiative"/>
    <s v="Non-recurring"/>
    <s v="Ensure the university sustainability "/>
    <m/>
  </r>
  <r>
    <n v="0"/>
    <s v="No Applicable"/>
    <s v="SVP/ Support Services Office"/>
    <n v="847"/>
    <n v="8470530"/>
    <s v="KUST - Facilities Management"/>
    <n v="1"/>
    <n v="495110"/>
    <s v="495110-Computer software"/>
    <s v="000000"/>
    <s v="KUST - General"/>
    <n v="847001"/>
    <s v="FA180-Capex Expense"/>
    <n v="300180"/>
    <x v="441"/>
    <s v="495115.Computer software-Network-number of licenses-Number"/>
    <s v="Number"/>
    <n v="1"/>
    <n v="2200000"/>
    <s v="Netix Konnect iICCC Platform"/>
    <n v="2200000"/>
    <s v="KU Strategic New Initiative"/>
    <s v="Non-recurring"/>
    <s v="Ensure the university sustainability "/>
    <m/>
  </r>
  <r>
    <s v="Facilities "/>
    <s v="Director, Administration and Facilities"/>
    <s v="SVP/ Support Services Office"/>
    <n v="847"/>
    <n v="8470530"/>
    <s v="KUST - Facilities Management"/>
    <n v="1"/>
    <n v="492200"/>
    <s v="492200-Capital expense - Buildings"/>
    <s v="000000"/>
    <s v="KUST- Sas Al Nakhl Campus"/>
    <n v="847020"/>
    <s v="FA180-Capex Expense"/>
    <n v="300180"/>
    <x v="440"/>
    <s v="492200.Capital expense - Buildings-Fitout cost-2m"/>
    <s v="2m"/>
    <n v="1"/>
    <n v="4000000"/>
    <s v="Central Gas network for arzanah  lab (Phase 2/2)"/>
    <n v="4000000"/>
    <s v="KU Strategic New Initiative"/>
    <s v="Non-recurring"/>
    <s v="Ensure the university sustainability "/>
    <m/>
  </r>
  <r>
    <s v="Facilities "/>
    <s v="Director, Administration and Facilities"/>
    <s v="SVP/ Support Services Office"/>
    <n v="847"/>
    <n v="8470530"/>
    <s v="KUST - Facilities Management"/>
    <n v="1"/>
    <n v="492200"/>
    <s v="492200-Capital expense - Buildings"/>
    <s v="000000"/>
    <s v="KUST- Sas Al Nakhl Campus"/>
    <n v="847020"/>
    <s v="FA180-Capex Expense"/>
    <n v="300180"/>
    <x v="440"/>
    <s v="492200.Capital expense - Buildings-Fitout cost-2m"/>
    <s v="2m"/>
    <m/>
    <m/>
    <m/>
    <m/>
    <m/>
    <m/>
    <m/>
    <m/>
  </r>
  <r>
    <s v="Facilities "/>
    <s v="Director, Administration and Facilities"/>
    <s v="SVP/ Support Services Office"/>
    <n v="847"/>
    <n v="8470530"/>
    <s v="KUST - Facilities Management"/>
    <n v="1"/>
    <n v="492200"/>
    <s v="492200-Capital expense - Buildings"/>
    <s v="000000"/>
    <s v="KUST- Sas Al Nakhl Campus"/>
    <n v="847020"/>
    <s v="FA180-Capex Expense"/>
    <n v="300180"/>
    <x v="440"/>
    <s v="492200.Capital expense - Buildings-Fitout cost-2m"/>
    <s v="2m"/>
    <m/>
    <m/>
    <m/>
    <m/>
    <m/>
    <m/>
    <m/>
    <m/>
  </r>
  <r>
    <s v="Facilities "/>
    <s v="Director, Administration and Facilities"/>
    <s v="SVP/ Support Services Office"/>
    <n v="847"/>
    <n v="8470530"/>
    <s v="KUST - Facilities Management"/>
    <n v="1"/>
    <n v="492200"/>
    <s v="492200-Capital expense - Buildings"/>
    <s v="000000"/>
    <s v="KUST- Sas Al Nakhl Campus"/>
    <n v="847020"/>
    <s v="FA180-Capex Expense"/>
    <n v="300180"/>
    <x v="440"/>
    <s v="492200.Capital expense - Buildings-Fitout cost-2m"/>
    <s v="2m"/>
    <m/>
    <m/>
    <m/>
    <m/>
    <m/>
    <m/>
    <m/>
    <m/>
  </r>
  <r>
    <s v="Facilities "/>
    <s v="Director, Administration and Facilities"/>
    <s v="SVP/ Support Services Office"/>
    <n v="847"/>
    <n v="8470530"/>
    <s v="KUST - Facilities Management"/>
    <n v="1"/>
    <n v="492200"/>
    <s v="492200-Capital expense - Buildings"/>
    <s v="000000"/>
    <s v="KUST- Sas Al Nakhl Campus"/>
    <n v="847020"/>
    <s v="FA180-Capex Expense"/>
    <n v="300180"/>
    <x v="440"/>
    <s v="492200.Capital expense - Buildings-Fitout cost-2m"/>
    <s v="2m"/>
    <m/>
    <m/>
    <m/>
    <m/>
    <m/>
    <m/>
    <m/>
    <m/>
  </r>
  <r>
    <s v="Facilities "/>
    <s v="Director, Administration and Facilities"/>
    <s v="SVP/ Support Services Office"/>
    <n v="847"/>
    <n v="8470530"/>
    <s v="KUST - Facilities Management"/>
    <n v="1"/>
    <n v="492610"/>
    <s v="492610-Furniture &amp; Fixtures - Offices"/>
    <s v="000000"/>
    <s v="KUST - Main Campus"/>
    <n v="847010"/>
    <s v="FA180-Capex Expense"/>
    <n v="300180"/>
    <x v="442"/>
    <m/>
    <s v="-_"/>
    <m/>
    <m/>
    <m/>
    <n v="0"/>
    <m/>
    <m/>
    <m/>
    <m/>
  </r>
  <r>
    <s v="Facilities "/>
    <s v="Director, Administration and Facilities"/>
    <s v="SVP/ Support Services Office"/>
    <n v="847"/>
    <n v="8470530"/>
    <s v="KUST - Facilities Management"/>
    <n v="1"/>
    <n v="492610"/>
    <s v="492610-Furniture &amp; Fixtures - Offices"/>
    <s v="000000"/>
    <s v="Student Related Costs"/>
    <n v="847015"/>
    <s v="FA180-Capex Expense"/>
    <n v="300180"/>
    <x v="443"/>
    <m/>
    <s v="-_"/>
    <m/>
    <m/>
    <m/>
    <n v="0"/>
    <m/>
    <m/>
    <m/>
    <m/>
  </r>
  <r>
    <s v="Facilities "/>
    <s v="Director, Administration and Facilities"/>
    <s v="SVP/ Support Services Office"/>
    <n v="847"/>
    <n v="8470530"/>
    <s v="KUST - Facilities Management"/>
    <n v="1"/>
    <n v="492610"/>
    <s v="492610-Furniture &amp; Fixtures - Offices"/>
    <s v="000000"/>
    <s v="KUST- Sas Al Nakhl Campus"/>
    <n v="847020"/>
    <s v="FA180-Capex Expense"/>
    <n v="300180"/>
    <x v="444"/>
    <s v="492610.Furniture &amp; Fixtures - Offices-Area of the rehabilitated building-2m"/>
    <s v="2m"/>
    <n v="1"/>
    <n v="100000"/>
    <s v="Furniture for new Biology labs and office"/>
    <n v="100000"/>
    <s v="KU Strategic New Initiative"/>
    <s v="Non-recurring"/>
    <s v="Ensure the university sustainability "/>
    <m/>
  </r>
  <r>
    <n v="0"/>
    <s v="No Applicable"/>
    <s v="SVP/ Support Services Office"/>
    <n v="847"/>
    <n v="8470540"/>
    <s v="KUST - Administration"/>
    <n v="1"/>
    <n v="413310"/>
    <s v="413310-Consolidated cost of  outsourced manpower"/>
    <s v="000000"/>
    <s v="KUST - Main Campus"/>
    <n v="847010"/>
    <s v="FA189-Opex Expense"/>
    <n v="100180"/>
    <x v="445"/>
    <s v="413310.Manpower supply-Number of employees and type of service provided-Number of Number of employees and type of service provided"/>
    <s v="Number of Number of employees and type of service provided"/>
    <n v="1"/>
    <n v="953248"/>
    <s v="Clinic Manpower"/>
    <n v="953248"/>
    <s v="KU Regular operations"/>
    <s v="Recurring"/>
    <s v="Ensure the university sustainability "/>
    <s v="Chapter1 Manpower Supply"/>
  </r>
  <r>
    <n v="0"/>
    <s v="No Applicable"/>
    <s v="SVP/ Support Services Office"/>
    <n v="847"/>
    <n v="8470540"/>
    <s v="KUST - Administration"/>
    <n v="1"/>
    <n v="413310"/>
    <s v="413310-Consolidated cost of  outsourced manpower"/>
    <s v="000000"/>
    <s v="KUST - Main Campus"/>
    <s v="847010"/>
    <s v="FA189-Opex Expense"/>
    <n v="100180"/>
    <x v="445"/>
    <s v="413310.Manpower supply-Number of employees and type of service provided-Number of Number of employees and type of service provided"/>
    <s v="Number of Number of employees and type of service provided"/>
    <n v="1"/>
    <n v="421800"/>
    <s v="AL Qudra Sport Mangement manpower"/>
    <n v="421800"/>
    <s v="KU Regular operations"/>
    <s v="Recurring"/>
    <s v="Ensure the university sustainability "/>
    <s v="Chapter1 Manpower Supply"/>
  </r>
  <r>
    <n v="0"/>
    <s v="No Applicable"/>
    <s v="SVP/ Support Services Office"/>
    <n v="847"/>
    <n v="8470540"/>
    <s v="KUST - Administration"/>
    <n v="1"/>
    <n v="413310"/>
    <s v="413310-Consolidated cost of  outsourced manpower"/>
    <s v="000000"/>
    <s v="KUST - Main Campus"/>
    <s v="847010"/>
    <s v="FA189-Opex Expense"/>
    <n v="100180"/>
    <x v="445"/>
    <s v="413310.Manpower supply-Number of employees and type of service provided-Number of Number of employees and type of service provided"/>
    <s v="Number of Number of employees and type of service provided"/>
    <n v="1"/>
    <n v="190000"/>
    <s v="KU Call Centre"/>
    <n v="190000"/>
    <s v="KU Regular operations"/>
    <s v="Recurring"/>
    <s v="Ensure the university sustainability "/>
    <s v="Chapter1 Manpower Supply"/>
  </r>
  <r>
    <n v="0"/>
    <s v="No Applicable"/>
    <s v="SVP/ Support Services Office"/>
    <n v="847"/>
    <n v="8470540"/>
    <s v="KUST - Administration"/>
    <n v="1"/>
    <n v="413310"/>
    <s v="413310-Consolidated cost of  outsourced manpower"/>
    <s v="000000"/>
    <s v="KUST - Main Campus"/>
    <s v="847010"/>
    <s v="FA189-Opex Expense"/>
    <n v="100180"/>
    <x v="445"/>
    <s v="413310.Manpower supply-Number of employees and type of service provided-Number of Number of employees and type of service provided"/>
    <s v="Number of Number of employees and type of service provided"/>
    <n v="1"/>
    <n v="447260"/>
    <s v="Provision of administration services manpower"/>
    <n v="447260"/>
    <s v="KU Regular operations"/>
    <s v="Recurring"/>
    <s v="Ensure the university sustainability "/>
    <s v="Chapter1 Manpower Supply"/>
  </r>
  <r>
    <s v="Other support"/>
    <s v="No Applicable"/>
    <s v="SVP/ Support Services Office"/>
    <n v="847"/>
    <n v="8470540"/>
    <s v="KUST - Administration"/>
    <n v="1"/>
    <n v="422900"/>
    <s v="422900-Other specialised professional services, not mentioned elsewhere"/>
    <s v="000000"/>
    <s v="KUST - Main Campus"/>
    <s v="847010"/>
    <s v="FA179-Opex Expense"/>
    <n v="200179"/>
    <x v="446"/>
    <s v="422900.Other specialised professional services, not mentioned elsewhere-Number of employee-number"/>
    <s v="number"/>
    <n v="1"/>
    <n v="900000"/>
    <s v="Provision of tea boys and office boys services"/>
    <n v="900000"/>
    <s v="KU Regular operations"/>
    <s v="Recurring"/>
    <s v="Ensure the university sustainability "/>
    <m/>
  </r>
  <r>
    <s v="Facilities "/>
    <s v="No Applicable"/>
    <s v="SVP/ Support Services Office"/>
    <n v="847"/>
    <n v="8470540"/>
    <s v="KUST - Administration"/>
    <n v="1"/>
    <n v="426800"/>
    <s v="426800-Motor vehicle registration and inspection charges"/>
    <s v="000000"/>
    <s v="KUST - Main Campus"/>
    <n v="847010"/>
    <s v="FA179-Opex Expense"/>
    <n v="200179"/>
    <x v="447"/>
    <s v="426800.Motor vehicle registration and inspection charges-Number of Motor Vehicle-Month"/>
    <s v="Month"/>
    <n v="1"/>
    <n v="10000"/>
    <s v="vehicle registrations in accordance to the new prices and fees"/>
    <n v="10000"/>
    <s v="KU Regular operations"/>
    <s v="Recurring"/>
    <s v="Ensure the university sustainability "/>
    <m/>
  </r>
  <r>
    <s v="HR"/>
    <s v="No Applicable"/>
    <s v="SVP/ Support Services Office"/>
    <n v="847"/>
    <n v="8470540"/>
    <s v="KUST - Administration"/>
    <n v="1"/>
    <n v="426900"/>
    <s v="426900-Postal, courier and other document delivery expenses"/>
    <s v="000000"/>
    <s v="KUST - Main Campus"/>
    <n v="847010"/>
    <s v="FA179-Opex Expense"/>
    <n v="200179"/>
    <x v="448"/>
    <s v="426900.Postal, courier and other document delivery expenses-Number of Employees-Number"/>
    <s v="Number"/>
    <n v="1"/>
    <n v="30000"/>
    <s v="Renewal for the mailbox and the senior management courier"/>
    <n v="30000"/>
    <s v="KU Regular operations"/>
    <s v="Recurring"/>
    <s v="Ensure the university sustainability "/>
    <m/>
  </r>
  <r>
    <s v="Facilities "/>
    <s v="No Applicable"/>
    <s v="SVP/ Support Services Office"/>
    <n v="847"/>
    <n v="8470540"/>
    <s v="KUST - Administration"/>
    <n v="1"/>
    <n v="428111"/>
    <s v="428111-Electricity consumption charges"/>
    <s v="000000"/>
    <s v="KUST - Main Campus"/>
    <n v="847010"/>
    <s v="FA179-Opex Expense"/>
    <n v="200179"/>
    <x v="449"/>
    <s v="428111.Consumption charges-Water &amp; Electricity combined-Building area Main Campus-m2"/>
    <s v="m2"/>
    <n v="1"/>
    <n v="9664500"/>
    <s v="Electricity consumption"/>
    <n v="9664500"/>
    <s v="KU Regular operations"/>
    <s v="Recurring"/>
    <s v="Ensure the university sustainability "/>
    <m/>
  </r>
  <r>
    <s v="Facilities "/>
    <s v="No Applicable"/>
    <s v="SVP/ Support Services Office"/>
    <n v="847"/>
    <n v="8470540"/>
    <s v="KUST - Administration"/>
    <n v="1"/>
    <n v="428111"/>
    <s v="428111-Electricity consumption charges"/>
    <s v="000000"/>
    <s v="Student Related Costs"/>
    <n v="847015"/>
    <s v="FA179-Opex Expense"/>
    <n v="200179"/>
    <x v="450"/>
    <s v="428111.Consumption charges-Water &amp; Electricity combined-Building area SAN Campus Student life-m2"/>
    <s v="m2"/>
    <n v="1"/>
    <n v="4615084"/>
    <s v="Electricity consumption"/>
    <n v="4615084"/>
    <s v="KU Regular operations"/>
    <s v="Recurring"/>
    <s v="Ensure the university sustainability "/>
    <m/>
  </r>
  <r>
    <s v="Facilities "/>
    <s v="No Applicable"/>
    <s v="SVP/ Support Services Office"/>
    <n v="847"/>
    <n v="8470540"/>
    <s v="KUST - Administration"/>
    <n v="1"/>
    <n v="428111"/>
    <s v="428111-Electricity consumption charges"/>
    <s v="000000"/>
    <s v="KUST- Sas Al Nakhl Campus"/>
    <n v="847020"/>
    <s v="FA179-Opex Expense"/>
    <n v="200179"/>
    <x v="451"/>
    <s v="428111.Consumption charges-Water &amp; Electricity combined-Building area SAN Campus Student life-m2"/>
    <s v="m2"/>
    <n v="1"/>
    <n v="3976000"/>
    <s v="Electricity consumption"/>
    <n v="3976000"/>
    <s v="KU Regular operations"/>
    <s v="Recurring"/>
    <s v="Ensure the university sustainability "/>
    <m/>
  </r>
  <r>
    <s v="Facilities "/>
    <s v="No Applicable"/>
    <s v="SVP/ Support Services Office"/>
    <n v="847"/>
    <n v="8470540"/>
    <s v="KUST - Administration"/>
    <n v="1"/>
    <n v="428111"/>
    <s v="428111-Electricity consumption charges"/>
    <s v="000000"/>
    <s v="KUST- Masdar city campus"/>
    <n v="847030"/>
    <s v="FA179-Opex Expense"/>
    <n v="200179"/>
    <x v="452"/>
    <s v="428111.Consumption charges-Water &amp; Electricity combined-MASDER-"/>
    <s v="-_"/>
    <n v="1"/>
    <n v="442627"/>
    <s v="Electricity consumption"/>
    <n v="442627"/>
    <s v="KU Regular operations"/>
    <s v="Recurring"/>
    <s v="Ensure the university sustainability "/>
    <m/>
  </r>
  <r>
    <s v="Facilities "/>
    <s v="No Applicable"/>
    <s v="SVP/ Support Services Office"/>
    <n v="847"/>
    <n v="8470540"/>
    <s v="KUST - Administration"/>
    <n v="1"/>
    <n v="428112"/>
    <s v="428112-Water consumption charges"/>
    <s v="000000"/>
    <s v="KUST - Main Campus"/>
    <n v="847010"/>
    <s v="FA179-Opex Expense"/>
    <n v="200179"/>
    <x v="453"/>
    <s v="428112.Water and Electricity charges - Business premises-The built up area of Main Campus-2m"/>
    <s v="2m"/>
    <n v="1"/>
    <n v="1500000"/>
    <s v="Water consumption"/>
    <n v="1500000"/>
    <s v="KU Regular operations"/>
    <s v="Recurring"/>
    <s v="Ensure the university sustainability "/>
    <m/>
  </r>
  <r>
    <s v="Facilities "/>
    <s v="No Applicable"/>
    <s v="SVP/ Support Services Office"/>
    <n v="847"/>
    <n v="8470540"/>
    <s v="KUST - Administration"/>
    <n v="1"/>
    <n v="428112"/>
    <s v="428112-Water consumption charges"/>
    <s v="000000"/>
    <s v="Student Related Costs"/>
    <n v="847015"/>
    <s v="FA179-Opex Expense"/>
    <n v="200179"/>
    <x v="454"/>
    <s v="428112.Water and Electricity charges - Business premises-The built up area of SAN Campus Sduent life-2m"/>
    <s v="2m"/>
    <n v="1"/>
    <n v="1681399"/>
    <s v="Water consumption"/>
    <n v="1681399"/>
    <s v="KU Regular operations"/>
    <s v="Recurring"/>
    <s v="Ensure the university sustainability "/>
    <m/>
  </r>
  <r>
    <s v="Facilities "/>
    <s v="No Applicable"/>
    <s v="SVP/ Support Services Office"/>
    <n v="847"/>
    <n v="8470540"/>
    <s v="KUST - Administration"/>
    <n v="1"/>
    <n v="428112"/>
    <s v="428112-Water consumption charges"/>
    <s v="000000"/>
    <s v="KUST- Sas Al Nakhl Campus"/>
    <n v="847020"/>
    <s v="FA179-Opex Expense"/>
    <n v="200179"/>
    <x v="455"/>
    <s v="428112.Water and Electricity charges - Business premises-MASDER-"/>
    <s v="-_"/>
    <n v="1"/>
    <n v="1873450"/>
    <s v="Water consumption"/>
    <n v="1873450"/>
    <s v="KU Regular operations"/>
    <s v="Recurring"/>
    <s v="Ensure the university sustainability "/>
    <m/>
  </r>
  <r>
    <s v="Facilities "/>
    <s v="No Applicable"/>
    <s v="SVP/ Support Services Office"/>
    <n v="847"/>
    <n v="8470540"/>
    <s v="KUST - Administration"/>
    <n v="1"/>
    <n v="428112"/>
    <s v="428112-Water consumption charges"/>
    <s v="000000"/>
    <s v="KUST- Masdar city campus"/>
    <n v="847030"/>
    <s v="FA179-Opex Expense"/>
    <n v="200179"/>
    <x v="456"/>
    <s v="428112.Water and Electricity charges - Business premises-The built up area of Main Campus-2m"/>
    <s v="2m"/>
    <n v="1"/>
    <n v="153570"/>
    <s v="Water consumption"/>
    <n v="153570"/>
    <s v="KU Regular operations"/>
    <s v="Recurring"/>
    <s v="Ensure the university sustainability "/>
    <m/>
  </r>
  <r>
    <s v="Other support"/>
    <s v="No Applicable"/>
    <s v="SVP/ Support Services Office"/>
    <n v="847"/>
    <n v="8470540"/>
    <s v="KUST - Administration"/>
    <n v="1"/>
    <n v="429900"/>
    <s v="429900-Other services, not specifically mentioned elsewhere"/>
    <s v="000000"/>
    <s v="KUST - Main Campus"/>
    <n v="847010"/>
    <s v="FA179-Opex Expense"/>
    <n v="200179"/>
    <x v="457"/>
    <s v="429900.Other services, not specifically mentioned elsewhere-TBD-Number of TBD"/>
    <s v="Number of TBD"/>
    <n v="1"/>
    <n v="44000"/>
    <s v="Clinic Consumables"/>
    <n v="44000"/>
    <s v="KU Regular operations"/>
    <s v="Recurring"/>
    <s v="Ensure the university sustainability "/>
    <m/>
  </r>
  <r>
    <s v="Other support"/>
    <s v="No Applicable"/>
    <s v="SVP/ Support Services Office"/>
    <n v="847"/>
    <n v="8470540"/>
    <s v="KUST - Administration"/>
    <n v="1"/>
    <n v="429900"/>
    <s v="429900-Other services, not specifically mentioned elsewhere"/>
    <s v="000000"/>
    <s v="KUST - Main Campus"/>
    <n v="847010"/>
    <s v="FA179-Opex Expense"/>
    <n v="200179"/>
    <x v="457"/>
    <s v="429900.Other services, not specifically mentioned elsewhere-TBD-Number of TBD"/>
    <s v="Number of TBD"/>
    <n v="1"/>
    <n v="4000"/>
    <s v="Gov Fees"/>
    <n v="4000"/>
    <m/>
    <m/>
    <m/>
    <m/>
  </r>
  <r>
    <s v="Facilities "/>
    <s v="No Applicable"/>
    <s v="SVP/ Support Services Office"/>
    <n v="847"/>
    <n v="8470540"/>
    <s v="KUST - Administration"/>
    <n v="1"/>
    <n v="430330"/>
    <s v="430330-Rental - Motor vehicles"/>
    <s v="000000"/>
    <s v="KUST - Main Campus"/>
    <n v="847010"/>
    <s v="FA179-Opex Expense"/>
    <n v="200179"/>
    <x v="458"/>
    <s v="430330.Rental - Motor vehicles-Number of staff and facilty -count"/>
    <s v="count"/>
    <n v="1"/>
    <n v="1100004"/>
    <s v="4 Shuttle buses and 4 driver "/>
    <n v="1100004"/>
    <s v="KU Regular operations"/>
    <s v="Recurring"/>
    <s v="Ensure the university sustainability "/>
    <m/>
  </r>
  <r>
    <s v="Facilities "/>
    <s v="No Applicable"/>
    <s v="SVP/ Support Services Office"/>
    <n v="847"/>
    <n v="8470540"/>
    <s v="KUST - Administration"/>
    <n v="1"/>
    <n v="430330"/>
    <s v="430330-Rental - Motor vehicles"/>
    <s v="000000"/>
    <s v="KUST - Main Campus"/>
    <n v="847010"/>
    <s v="FA179-Opex Expense"/>
    <n v="200179"/>
    <x v="458"/>
    <s v="430330.Rental - Motor vehicles-Number of staff and facilty -count"/>
    <s v="count"/>
    <n v="1"/>
    <n v="770120.77"/>
    <s v="Vehicle Type - Requirement"/>
    <n v="770120.77"/>
    <s v="KU Regular operations"/>
    <s v="Recurring"/>
    <s v="Ensure the university sustainability "/>
    <m/>
  </r>
  <r>
    <s v="Facilities "/>
    <s v="No Applicable"/>
    <s v="SVP/ Support Services Office"/>
    <n v="847"/>
    <n v="8470540"/>
    <s v="KUST - Administration"/>
    <n v="1"/>
    <n v="432540"/>
    <s v="432540-Motor vehicles (non-military)"/>
    <s v="000000"/>
    <s v="KUST - Main Campus"/>
    <n v="847010"/>
    <s v="FA179-Opex Expense"/>
    <n v="200179"/>
    <x v="459"/>
    <s v="432540.Motor vehicles (non-military)-spare parts for the 4 wheel non-military government-owned cars.-number of cars"/>
    <s v="number of cars"/>
    <n v="1"/>
    <n v="140000"/>
    <s v="Vehicles regular Maintenance for 14 fleets vehicles which is AED 10,0000"/>
    <n v="140000"/>
    <s v="KU Regular operations"/>
    <s v="Recurring"/>
    <s v="Ensure the university sustainability "/>
    <m/>
  </r>
  <r>
    <s v="Other support"/>
    <s v="No Applicable"/>
    <s v="SVP/ Support Services Office"/>
    <n v="847"/>
    <n v="8470540"/>
    <s v="KUST - Administration"/>
    <n v="1"/>
    <n v="435410"/>
    <s v="435410-Catering supplies: Offices"/>
    <s v="000000"/>
    <s v="KUST- Sas Al Nakhl Campus"/>
    <n v="847020"/>
    <s v="FA179-Opex Expense"/>
    <n v="200179"/>
    <x v="460"/>
    <s v="435410.Catering supplies: Offices-Number of Staff-Number"/>
    <s v="Number"/>
    <n v="1"/>
    <n v="840000"/>
    <s v="Catering - Kitchen Supplies"/>
    <n v="840000"/>
    <s v="KU Regular operations"/>
    <s v="Recurring"/>
    <s v="Ensure the university sustainability "/>
    <m/>
  </r>
  <r>
    <s v="Facilities "/>
    <s v="No Applicable"/>
    <s v="SVP/ Support Services Office"/>
    <n v="847"/>
    <n v="8470540"/>
    <s v="KUST - Administration"/>
    <n v="1"/>
    <n v="435740"/>
    <s v="435740-Fuel, oil and lubricants: Motor vehicles"/>
    <s v="000000"/>
    <s v="KUST - Main Campus"/>
    <n v="847010"/>
    <s v="FA179-Opex Expense"/>
    <n v="200179"/>
    <x v="461"/>
    <s v="435740.Fuel, oil and lubricants: Motor vehicles-Trips of Motor vehicles-km"/>
    <s v="km"/>
    <n v="1"/>
    <n v="336000"/>
    <s v="Fuel Consumptions for 14 vehicles at AED 2,000 Each vehicle"/>
    <n v="336000"/>
    <s v="KU Regular operations"/>
    <s v="Recurring"/>
    <s v="Ensure the university sustainability "/>
    <m/>
  </r>
  <r>
    <s v="Facilities "/>
    <s v="No Applicable"/>
    <s v="SVP/ Support Services Office"/>
    <n v="847"/>
    <n v="8470540"/>
    <s v="KUST - Administration"/>
    <n v="1"/>
    <n v="426250"/>
    <s v="426250-Insurance - Motor vehicles"/>
    <s v="000000"/>
    <s v="KUST - Main Campus"/>
    <n v="847010"/>
    <s v="FA179-Opex Expense"/>
    <n v="200179"/>
    <x v="462"/>
    <s v="426250.Insurance - Motor vehicles-1. No of motor vehicles-count"/>
    <s v="count"/>
    <n v="1"/>
    <n v="50000"/>
    <s v="Full Insurance for 14 vehicles "/>
    <n v="50000"/>
    <s v="KU Regular operations"/>
    <s v="Recurring"/>
    <s v="Ensure the university sustainability "/>
    <m/>
  </r>
  <r>
    <s v="Other support"/>
    <s v="No Applicable"/>
    <s v="SVP/ Support Services Office"/>
    <n v="847"/>
    <n v="8470540"/>
    <s v="KUST - Administration"/>
    <n v="1"/>
    <n v="436110"/>
    <s v="436110-Printing supplies"/>
    <s v="000000"/>
    <s v="KUST - Main Campus"/>
    <n v="847010"/>
    <s v="FA179-Opex Expense"/>
    <n v="200179"/>
    <x v="463"/>
    <s v="436110.Printing supplies-Number of Employees-Number"/>
    <s v="Number"/>
    <n v="1"/>
    <n v="85700"/>
    <s v="ID Card Printing Supplies"/>
    <n v="85700"/>
    <s v="KU Regular operations"/>
    <s v="Recurring"/>
    <s v="Ensure the university sustainability "/>
    <m/>
  </r>
  <r>
    <s v="Academic"/>
    <s v="No Applicable"/>
    <s v="President's Office "/>
    <n v="847"/>
    <n v="8470110"/>
    <s v="KUST - Office of the President"/>
    <n v="1"/>
    <n v="420550"/>
    <s v="420550-Academic Advisory Service"/>
    <s v="000000"/>
    <s v="KUST - General"/>
    <n v="847001"/>
    <s v="FA179-Opex Expense"/>
    <n v="200179"/>
    <x v="464"/>
    <s v="420550.Academic Advisory Service-Number of Services-Number"/>
    <s v="Number"/>
    <n v="1"/>
    <n v="100000"/>
    <s v="For expenses related to Academic boards, including Presidents Advisory Council. This includes travel cost, accommodation and honorarium."/>
    <n v="100000"/>
    <s v="KU Strategic New Initiative"/>
    <s v="Non-recurring"/>
    <s v="Build partnerships with local and international universities"/>
    <m/>
  </r>
  <r>
    <s v="Academic"/>
    <s v="No Applicable"/>
    <s v="President's Office "/>
    <n v="847"/>
    <n v="8470110"/>
    <s v="KUST - Office of the President"/>
    <n v="1"/>
    <n v="420570"/>
    <s v="420570-Academic Collaborative Partnership Services"/>
    <s v="000000"/>
    <s v="KUST - General"/>
    <n v="847001"/>
    <s v="FA179-Opex Expense"/>
    <n v="200179"/>
    <x v="465"/>
    <s v="420570.Academic Collaborative Partnership Services-Partnership Agreement or Academic Collaboration -No of Partneship/collaboration Agreement"/>
    <s v="No of Partneship/collaboration Agreement"/>
    <n v="1"/>
    <n v="5000000"/>
    <s v="For payments made to collaborating institutions, as part of partnership agreements. This would include a potential affilation partnership for the greaduate school of busineess"/>
    <n v="5000000"/>
    <s v="KU Strategic New Initiative"/>
    <s v="Non-recurring"/>
    <s v="Build partnerships with local and international universities"/>
    <m/>
  </r>
  <r>
    <s v="HR"/>
    <s v="Manager, Business Development"/>
    <s v="President's Office "/>
    <n v="847"/>
    <n v="8470110"/>
    <s v="KUST - Office of the President"/>
    <n v="1"/>
    <n v="421000"/>
    <s v="421000-Management consultancy"/>
    <s v="000000"/>
    <s v="KUST - General"/>
    <n v="847001"/>
    <s v="FA179-Opex Expense"/>
    <n v="200179"/>
    <x v="466"/>
    <s v="421000.Management consultancy-Number of contracted consultations -count"/>
    <s v="count"/>
    <n v="1"/>
    <n v="200000"/>
    <s v="Includes all types of consultancy, including academic and research consultancy. This does not include consultancy related directly to a capital asset or consultancy that are advisory in nature."/>
    <n v="200000"/>
    <s v="KU Strategic New Initiative"/>
    <s v="Non-recurring"/>
    <s v="Develop the university innovation and entrepreneurship system"/>
    <m/>
  </r>
  <r>
    <s v="Communiction &amp; Marketing"/>
    <s v="Director, Marketing and Communication"/>
    <s v="President's Office "/>
    <n v="847"/>
    <n v="8470110"/>
    <s v="KUST - Office of the President"/>
    <n v="1"/>
    <n v="425510"/>
    <s v="425510-Conferences, seminars and exhibitions and other events: - Local Events"/>
    <s v="000000"/>
    <s v="KUST - General"/>
    <n v="847001"/>
    <s v="FA179-Opex Expense"/>
    <n v="200179"/>
    <x v="467"/>
    <s v="425510.Conferences, seminars and exhibitions and other events: - Local Events-Conferences-Number of Conferences"/>
    <s v="Number of Conferences"/>
    <n v="1"/>
    <n v="300000"/>
    <s v="Includes all expenses connected with event expenses hosted/participated inside UAE. Does not include faculty conferences."/>
    <n v="300000"/>
    <s v="KU Regular operations"/>
    <s v="Recurring"/>
    <s v="Enhance the communication plan and outreach activities"/>
    <m/>
  </r>
  <r>
    <s v="Communiction &amp; Marketing"/>
    <s v="No Applicable"/>
    <s v="President's Office "/>
    <n v="847"/>
    <n v="8470110"/>
    <s v="KUST - Office of the President"/>
    <n v="1"/>
    <n v="425550"/>
    <s v="425550-Conferences, seminars and exhibitions and other events: - Overseas event"/>
    <s v="000000"/>
    <s v="KUST - General"/>
    <n v="847001"/>
    <s v="FA179-Opex Expense"/>
    <n v="200179"/>
    <x v="468"/>
    <s v="425550.Conferences, seminars and exhibitions and other events: - Overseas event-Conferences-Number of Conferences"/>
    <s v="Number of Conferences"/>
    <n v="1"/>
    <n v="300000"/>
    <s v="Includes all expenses connected with event expenses hosted/participated outside UAE. Does not include faculty conferences."/>
    <n v="300000"/>
    <s v="KU Regular operations"/>
    <s v="Recurring"/>
    <s v="Enhance the communication plan and outreach activities"/>
    <m/>
  </r>
  <r>
    <s v="Other support"/>
    <s v="Director, Human Resources"/>
    <s v="President's Office "/>
    <n v="847"/>
    <n v="8470110"/>
    <s v="KUST - Office of the President"/>
    <n v="1"/>
    <n v="425900"/>
    <s v="425900-Entertainment and hospitality"/>
    <s v="000000"/>
    <s v="KUST - General"/>
    <n v="847001"/>
    <s v="FA179-Opex Expense"/>
    <n v="200179"/>
    <x v="469"/>
    <s v="425900.Entertainment and hospitality-1. No of events/workshops planned-count"/>
    <s v="count"/>
    <n v="1"/>
    <n v="50000"/>
    <s v="Including catering charges &amp; farewell/welcome gatherings"/>
    <n v="50000"/>
    <s v="KU Regular operations"/>
    <s v="Recurring"/>
    <s v="Enhance the communication plan and outreach activities"/>
    <m/>
  </r>
  <r>
    <s v="Academic "/>
    <s v="No Applicable"/>
    <s v="President's Office "/>
    <n v="847"/>
    <n v="8470110"/>
    <s v="KUST - Office of the President"/>
    <n v="1"/>
    <n v="428090"/>
    <s v="428090-Business Travel - Combined expenses"/>
    <s v="000000"/>
    <s v="KUST - General"/>
    <n v="847001"/>
    <s v="FA179-Opex Expense"/>
    <n v="200179"/>
    <x v="470"/>
    <s v="428090.Business Travel - Combined expenses-Number of Staff-Number"/>
    <s v="Number"/>
    <n v="1"/>
    <n v="1000000"/>
    <s v="For costs connected to Senior Management business trips within and outside UAE, including travel costs, per diem and registrations"/>
    <n v="1000000"/>
    <s v="KU Strategic New Initiative"/>
    <s v="Non-recurring"/>
    <s v="Build partnerships with local and international universities"/>
    <m/>
  </r>
  <r>
    <s v="Research"/>
    <s v="No Applicable"/>
    <s v="President's Office "/>
    <n v="847"/>
    <n v="8470110"/>
    <s v="KUST - Office of the President"/>
    <n v="1"/>
    <n v="428400"/>
    <s v="428400-Sponsorship expenses/contributions"/>
    <s v="000000"/>
    <s v="KUST - General"/>
    <n v="847001"/>
    <s v="FA179-Opex Expense"/>
    <n v="200179"/>
    <x v="471"/>
    <s v="428400.Sponsorship expenses/contributions-No of University/event sponshorship-No of Sponshorship"/>
    <s v="No of Sponshorship"/>
    <n v="1"/>
    <n v="50000"/>
    <s v=" includes University sponsoring out side events/initiatives"/>
    <n v="50000"/>
    <s v="KU Strategic New Initiative"/>
    <s v="Non-recurring"/>
    <s v="Build partnerships with local and international universities"/>
    <m/>
  </r>
  <r>
    <s v="Communiction &amp; Marketing"/>
    <s v="Director, Marketing and Communication"/>
    <s v="President's Office "/>
    <n v="847"/>
    <n v="8470110"/>
    <s v="KUST - Office of the President"/>
    <n v="1"/>
    <n v="428640"/>
    <s v="428640-Events - Awards, prizes &amp; gifts"/>
    <s v="000000"/>
    <s v="KUST - General"/>
    <n v="847001"/>
    <s v="FA179-Opex Expense"/>
    <n v="200179"/>
    <x v="472"/>
    <s v="428640.Events - Awards, prizes &amp; gifts-Number of gifts-count"/>
    <s v="count"/>
    <n v="1"/>
    <n v="50000"/>
    <s v="For costs of gifts including those for VIP guests (excluding those given as part of an event expense)"/>
    <n v="50000"/>
    <s v="KU Regular operations"/>
    <s v="Recurring"/>
    <s v="Enhance the communication plan and outreach activities"/>
    <m/>
  </r>
  <r>
    <s v="Other support"/>
    <s v="No Applicable"/>
    <s v="President's Office "/>
    <n v="847"/>
    <n v="8470120"/>
    <s v="KUST - Audit"/>
    <n v="1"/>
    <n v="420120"/>
    <s v="420120-Internal Audit service"/>
    <s v="000000"/>
    <s v="KUST - General"/>
    <n v="847001"/>
    <s v="FA179-Opex Expense"/>
    <n v="200179"/>
    <x v="473"/>
    <s v="420120.Internal Audit service-Number of Audit-Number"/>
    <s v="Number"/>
    <n v="7"/>
    <n v="70000"/>
    <s v="No of SME/staff * No of audits"/>
    <n v="490000"/>
    <s v="KU Regular operations"/>
    <s v="Recurring"/>
    <s v="Establish a mobility program for students, faculty, researchers and staff"/>
    <m/>
  </r>
  <r>
    <s v="Other support"/>
    <s v="No Applicable"/>
    <s v="President's Office "/>
    <n v="847"/>
    <n v="8470120"/>
    <s v="KUST - Audit"/>
    <n v="1"/>
    <n v="420120"/>
    <s v="426610-Computer software licenses-Software License Renewal"/>
    <s v="000000"/>
    <s v="KUST - General"/>
    <n v="847001"/>
    <s v="FA179-Opex Expense"/>
    <n v="200179"/>
    <x v="473"/>
    <s v="426610.Computer software licenses-Software License Renewal-number of licenses-Number"/>
    <s v="Number"/>
    <n v="1"/>
    <n v="24889"/>
    <s v="Renewal Software /Each User / year"/>
    <n v="24889"/>
    <s v="KU Regular operations"/>
    <s v="Recurring"/>
    <s v="Ensure the university sustainability "/>
    <m/>
  </r>
  <r>
    <s v="HR"/>
    <s v="Manager, Business Development"/>
    <s v="President's Office "/>
    <n v="847"/>
    <n v="8470121"/>
    <s v="KUST - Compliance and Risk Management"/>
    <n v="1"/>
    <n v="421000"/>
    <s v="421000-Management consultancy"/>
    <s v="000000"/>
    <s v="KUST - General"/>
    <n v="847001"/>
    <s v="FA179-Opex Expense"/>
    <n v="200179"/>
    <x v="474"/>
    <s v="421000.Management Consultancy work for hiring external expert investigators-Type of Allegation-number"/>
    <s v="number"/>
    <n v="2"/>
    <n v="27500"/>
    <s v="external expert investigators"/>
    <n v="55000"/>
    <s v="KU Regular operations"/>
    <s v="Recurring"/>
    <s v="Ensure the university sustainability "/>
    <m/>
  </r>
  <r>
    <s v="Other support"/>
    <s v="Director, Human Resources"/>
    <s v="President's Office "/>
    <n v="847"/>
    <n v="8470121"/>
    <s v="KUST - Compliance and Risk Management"/>
    <n v="1"/>
    <n v="425900"/>
    <s v="425900-Entertainment and hospitality"/>
    <s v="000000"/>
    <s v="KUST - General"/>
    <n v="847001"/>
    <s v="FA179-Opex Expense"/>
    <n v="200179"/>
    <x v="475"/>
    <s v="425900.Entertainment and hospitality-1. No of events/workshops planned-count"/>
    <s v="count"/>
    <n v="5"/>
    <n v="3300"/>
    <s v="Celebrate malison achievements / catering request for compliance team workshop gathering  "/>
    <n v="16500"/>
    <s v="KU Regular operations"/>
    <s v="Recurring"/>
    <s v="Ensure the university sustainability "/>
    <m/>
  </r>
  <r>
    <s v="HR"/>
    <s v="Manager, Business Development"/>
    <s v="President's Office "/>
    <n v="847"/>
    <n v="8470121"/>
    <s v="KUST - Compliance and Risk Management"/>
    <n v="1"/>
    <n v="421000"/>
    <s v="421000-Management consultancy"/>
    <s v="000000"/>
    <s v="KUST - General"/>
    <n v="847001"/>
    <s v="FA179-Opex Expense"/>
    <n v="200179"/>
    <x v="474"/>
    <s v="421000. Newsletters,Case Studies,Infographics and Annual Compliance Campaign collateral"/>
    <s v="number"/>
    <n v="5"/>
    <n v="22000"/>
    <s v="Impact on business run operations  "/>
    <n v="110000"/>
    <s v="KU Regular operations"/>
    <s v="Recurring"/>
    <s v="Ensure the university sustainability "/>
    <m/>
  </r>
  <r>
    <s v="Academic"/>
    <s v="Director, Institutional Research and Planning"/>
    <s v="President's Office "/>
    <n v="847"/>
    <n v="8470121"/>
    <s v="KUST - Compliance and Risk Management"/>
    <n v="1"/>
    <n v="421700"/>
    <s v="421700-Standards Certification Services (e.g. ISO)"/>
    <s v="000000"/>
    <s v="KUST - General"/>
    <n v="847001"/>
    <s v="FA179-Opex Expense"/>
    <n v="200179"/>
    <x v="476"/>
    <s v="421700.Standards Certification Services (e.g. ISO)-professional services scope/deliverables-Number"/>
    <s v="Number"/>
    <n v="2"/>
    <n v="82500"/>
    <s v="Impact on business run operations  "/>
    <n v="165000"/>
    <s v="KU Regular operations"/>
    <s v="Recurring"/>
    <s v="Ensure the university sustainability "/>
    <m/>
  </r>
  <r>
    <s v="IT"/>
    <s v="Director, Technology Development"/>
    <s v="President's Office "/>
    <n v="847"/>
    <n v="8470121"/>
    <s v="KUST - Compliance and Risk Management"/>
    <n v="1"/>
    <n v="426610"/>
    <s v="426610-Computer software licenses-Software License Renewal"/>
    <s v="000000"/>
    <s v="KUST - General"/>
    <n v="847001"/>
    <s v="FA179-Opex Expense"/>
    <n v="200179"/>
    <x v="477"/>
    <s v="426610.Computer software licenses-Software License Renewal-number of licenses-Number"/>
    <s v="Number"/>
    <n v="1"/>
    <n v="165000"/>
    <s v="Compliance Modules for awareness and training purpose"/>
    <n v="165000"/>
    <s v="KU Regular operations"/>
    <s v="Recurring"/>
    <s v="Ensure the university sustainability "/>
    <m/>
  </r>
  <r>
    <s v="Other support"/>
    <s v="General Counsel"/>
    <s v="President's Office "/>
    <n v="847"/>
    <n v="8470150"/>
    <s v="KUST - General Counsel"/>
    <n v="1"/>
    <n v="420900"/>
    <s v="420900-Legal services"/>
    <s v="000000"/>
    <s v="KUST - General"/>
    <n v="847001"/>
    <s v="FA179-Opex Expense"/>
    <n v="200179"/>
    <x v="478"/>
    <s v="420900.Legal services-Translation-number of pages"/>
    <s v="number of pages"/>
    <n v="1"/>
    <n v="20000"/>
    <s v="legal Documents Translation"/>
    <n v="20000"/>
    <s v="KU Regular operations"/>
    <s v="Recurring"/>
    <s v="Ensure the university sustainability "/>
    <m/>
  </r>
  <r>
    <s v="Other support"/>
    <s v="General Counsel"/>
    <s v="President's Office "/>
    <n v="847"/>
    <n v="8470150"/>
    <s v="KUST - General Counsel"/>
    <n v="1"/>
    <n v="420900"/>
    <s v="420900-Legal services"/>
    <s v="000000"/>
    <s v="KUST - General"/>
    <n v="847001"/>
    <s v="FA179-Opex Expense"/>
    <n v="200179"/>
    <x v="478"/>
    <s v="420900.Legal services-hours of legal consutancy-number of working hours"/>
    <s v="number of working hours"/>
    <n v="1"/>
    <n v="300000"/>
    <s v="Consultancy services"/>
    <n v="300000"/>
    <s v="KU Regular operations"/>
    <s v="Recurring"/>
    <s v="Ensure the university sustainability "/>
    <m/>
  </r>
  <r>
    <s v="Academic"/>
    <s v="No Applicable"/>
    <s v="President's Office "/>
    <n v="847"/>
    <n v="8470150"/>
    <s v="KUST - General Counsel"/>
    <n v="1"/>
    <n v="427710"/>
    <s v="427710-Subscriptions and membership fees: Trade organisations"/>
    <s v="000000"/>
    <s v="KUST - General"/>
    <s v="847001"/>
    <s v="FA179-Opex Expense"/>
    <n v="200179"/>
    <x v="479"/>
    <s v="427710.Subscriptions and membership fees: Trade organisations-Number  of Memberships-Number"/>
    <s v="Number"/>
    <n v="1"/>
    <n v="25000"/>
    <s v="Court/membership"/>
    <n v="25000"/>
    <s v="KU Regular operations"/>
    <s v="Recurring"/>
    <s v="Ensure the university sustainability "/>
    <m/>
  </r>
  <r>
    <s v="Communiction &amp; Marketing"/>
    <s v="No Applicable"/>
    <s v="President's Office "/>
    <n v="847"/>
    <n v="8470160"/>
    <s v="KUST - SVP/ Support Services Office"/>
    <n v="1"/>
    <n v="425550"/>
    <s v="425550-Conferences, seminars and exhibitions and other events: - Overseas event"/>
    <s v="000000"/>
    <s v="KUST - General"/>
    <n v="847001"/>
    <s v="FA179-Opex Expense"/>
    <n v="200179"/>
    <x v="480"/>
    <s v="425550.Conferences, seminars and exhibitions and other events: - Overseas event-Conferences-Number of Conferences"/>
    <s v="-_"/>
    <n v="2"/>
    <n v="50000"/>
    <s v="One Young World 2024 Montréal Summit/ International Conference on Communications 2024"/>
    <n v="100000"/>
    <s v="KU Strategic New Initiative"/>
    <s v="Non-recurring"/>
    <s v="Develop the university innovation and entrepreneurship system"/>
    <m/>
  </r>
  <r>
    <s v="Communiction &amp; Marketing"/>
    <s v="Director, Marketing and Communication"/>
    <s v="President's Office "/>
    <n v="847"/>
    <n v="8470160"/>
    <s v="KUST - SVP/ Support Services Office"/>
    <n v="1"/>
    <n v="428640"/>
    <s v="428640-Events - Awards, prizes &amp; gifts"/>
    <s v="000000"/>
    <s v="KUST - General"/>
    <n v="847001"/>
    <s v="FA179-Opex Expense"/>
    <n v="200179"/>
    <x v="481"/>
    <s v="428640.Events - Awards, prizes &amp; gifts-Number of gifts-count"/>
    <s v="-_"/>
    <n v="100"/>
    <n v="1000"/>
    <s v="Awards given to your employees for performance-related reasons"/>
    <n v="100000"/>
    <s v="KU Regular operations"/>
    <s v="Recurring"/>
    <s v="Enhance the communication plan and outreach activities"/>
    <m/>
  </r>
  <r>
    <s v="Academic "/>
    <s v="No Applicable"/>
    <s v="President's Office "/>
    <n v="847"/>
    <n v="8470160"/>
    <s v="KUST - SVP/ Support Services Office"/>
    <n v="1"/>
    <n v="428090"/>
    <s v="428090-Business Travel - Combined expenses"/>
    <s v="000000"/>
    <s v="KUST - General"/>
    <n v="847001"/>
    <s v="FA179-Opex Expense"/>
    <n v="200179"/>
    <x v="482"/>
    <s v="428090.Business Travel - Combined expenses-Number of Staff-Number"/>
    <s v="-_"/>
    <n v="2"/>
    <n v="50000"/>
    <s v=" business mission for support services development /Training"/>
    <n v="100000"/>
    <s v="KU Strategic New Initiative"/>
    <s v="Non-recurring"/>
    <s v="Develop the university innovation and entrepreneurship system"/>
    <m/>
  </r>
  <r>
    <s v="Other support"/>
    <s v="No Applicable"/>
    <s v="President's Office "/>
    <n v="847"/>
    <n v="8470160"/>
    <s v="KUST - SVP/ Support Services Office"/>
    <n v="1"/>
    <n v="425900"/>
    <s v="425900-Entertainment and hospitality"/>
    <s v="000000"/>
    <s v="KUST - General"/>
    <n v="847001"/>
    <s v="FA179-Opex Expense"/>
    <n v="200179"/>
    <x v="483"/>
    <s v="425900.Entertainment and hospitality-1. No of events/workshops planned-count"/>
    <s v="-_"/>
    <n v="6"/>
    <n v="300000"/>
    <s v="Upcoming planned workshop and event for the Support Services"/>
    <n v="1800000"/>
    <s v="KU Strategic New Initiative"/>
    <s v="Recurring"/>
    <s v="Develop the university innovation and entrepreneurship system"/>
    <m/>
  </r>
  <r>
    <s v="-"/>
    <s v="-"/>
    <s v="College of Medicine &amp; Health Sciences"/>
    <n v="847"/>
    <n v="8471305"/>
    <s v="KUST - Dean Of Medicine"/>
    <n v="1"/>
    <n v="425100"/>
    <s v="425100.Advertising Services (General"/>
    <s v="000000"/>
    <s v="KUST - General"/>
    <n v="847001"/>
    <s v="FA179-Opex Expense"/>
    <n v="200179"/>
    <x v="484"/>
    <s v="425100.Advertising Services (General)-Advertising through newspapers and other print media-cm2 - Word"/>
    <s v="Number"/>
    <n v="1"/>
    <n v="315000"/>
    <s v="Top 100 Recognition Media, paper, web, search engine, video, hoto shoots, international media digital/other to promote kU CMHS regionally, and internationally. "/>
    <n v="315000"/>
    <s v="Recurring"/>
    <s v="Widen access to students with outstanding academic potential"/>
    <m/>
    <n v="0"/>
  </r>
</pivotCacheRecords>
</file>

<file path=xl/pivotCache/pivotCacheRecords2.xml><?xml version="1.0" encoding="utf-8"?>
<pivotCacheRecords xmlns="http://schemas.openxmlformats.org/spreadsheetml/2006/main" xmlns:r="http://schemas.openxmlformats.org/officeDocument/2006/relationships" count="626">
  <r>
    <s v="-"/>
    <s v="-"/>
    <s v="SVP/ Support Services Office"/>
    <n v="847"/>
    <n v="8470810"/>
    <s v="KUST - Ankabut office"/>
    <n v="1"/>
    <s v="413328"/>
    <s v="413328 - IT Manpower supply-IT Support resources"/>
    <s v="000000"/>
    <s v="KUST - General"/>
    <n v="847001"/>
    <s v="FA179-Opex Expense"/>
    <n v="100180"/>
    <x v="0"/>
    <s v="Manpower Resources as per DGS Contract"/>
    <s v="-_"/>
    <n v="12"/>
    <n v="850000"/>
    <s v="Manpower Outsourcing as per DGS contract for 2023 - List Attached"/>
    <n v="10200000"/>
    <s v="KU Regular operations"/>
    <s v="Recurring"/>
    <s v="Utilize state-of-the-art technologies and facilities in an optimal and efficient manner"/>
  </r>
  <r>
    <s v="IT"/>
    <s v="Director, Technology Development"/>
    <s v="SVP/ Support Services Office"/>
    <n v="847"/>
    <n v="8470810"/>
    <s v="KUST - Ankabut office"/>
    <n v="1"/>
    <s v="420811"/>
    <s v="420811-IT Systems &amp; Support expenses-Application/Systems Operation"/>
    <s v="000000"/>
    <s v="KUST - General"/>
    <n v="847001"/>
    <s v="FA179-Opex Expense"/>
    <n v="200179"/>
    <x v="1"/>
    <s v="420811.IT Systems &amp; Support expenses-Application/Systems Operation-professional services scope/deliverables-Month"/>
    <s v="Month"/>
    <n v="12"/>
    <n v="3947977"/>
    <s v="Managed IT Services Contract between KU and Ankabut"/>
    <n v="47375724"/>
    <s v="KU Regular operations"/>
    <s v="Recurring"/>
    <s v="Utilize state-of-the-art technologies and facilities in an optimal and efficient manner"/>
  </r>
  <r>
    <s v="IT"/>
    <s v="Director, Technology Development"/>
    <s v="SVP/ Support Services Office"/>
    <n v="847"/>
    <n v="8470810"/>
    <s v="Estimated \Cost AV Equipment (CAPEX) AED"/>
    <n v="1"/>
    <s v="426610"/>
    <s v="426610-Computer software licenses"/>
    <s v="000000"/>
    <s v="KUST - General"/>
    <n v="847001"/>
    <s v="FA179-Opex Expense"/>
    <n v="200179"/>
    <x v="2"/>
    <s v="426610.Computer software licenses-Software License Renewal-service level agreement-Service"/>
    <s v="Service"/>
    <n v="1"/>
    <n v="9390501"/>
    <s v="Business Applications and Infrastructure Software Renewals"/>
    <n v="9390501"/>
    <s v="KU Regular operations"/>
    <s v="Recurring"/>
    <s v="Utilize state-of-the-art technologies and facilities in an optimal and efficient manner"/>
  </r>
  <r>
    <s v="IT"/>
    <s v="No Applicable"/>
    <s v="SVP/ Support Services Office"/>
    <n v="847"/>
    <n v="8470810"/>
    <s v="KUST - Ankabut office"/>
    <n v="1"/>
    <s v="427810"/>
    <s v="427810-Telephone and telefax charges"/>
    <s v="000000"/>
    <s v="KUST - General"/>
    <n v="847001"/>
    <s v="FA179-Opex Expense"/>
    <n v="200179"/>
    <x v="3"/>
    <s v="427810.Telephone and telefax charges-Telecommunication, Satellite services-number of telephone lines-Month"/>
    <s v="Month"/>
    <n v="12"/>
    <n v="60000"/>
    <s v="Telphone Lines and mobile servcies"/>
    <n v="720000"/>
    <s v="KU Regular operations"/>
    <s v="Recurring"/>
    <s v="Utilize state-of-the-art technologies and facilities in an optimal and efficient manner"/>
  </r>
  <r>
    <s v="IT"/>
    <s v="No Applicable"/>
    <s v="SVP/ Support Services Office"/>
    <n v="847"/>
    <n v="8470810"/>
    <s v="KUST - Ankabut office"/>
    <n v="1"/>
    <s v="427850"/>
    <s v="427850-Data Transmission charges"/>
    <s v="000000"/>
    <s v="KUST - General"/>
    <n v="847001"/>
    <s v="FA179-Opex Expense"/>
    <n v="200179"/>
    <x v="4"/>
    <s v="427850.Data Transmission charges-Data Transmission charges-number of connection (ADSL/Broadband, etc) lines-Month"/>
    <s v="Month"/>
    <n v="12"/>
    <n v="171169"/>
    <s v="Internet Leased Line (1Gbps) and DSL lines for KU Main campus, SAN campus and Student Dorms (12)"/>
    <n v="2054028"/>
    <s v="KU Regular operations"/>
    <s v="Recurring"/>
    <s v="Utilize state-of-the-art technologies and facilities in an optimal and efficient manner"/>
  </r>
  <r>
    <s v="Academic "/>
    <s v="No Applicable"/>
    <s v="SVP/ Support Services Office"/>
    <n v="847"/>
    <n v="8470810"/>
    <s v="KUST - Ankabut office"/>
    <n v="1"/>
    <s v="428090"/>
    <s v="428090-Business Travel - Combined expenses"/>
    <s v="000000"/>
    <s v="KUST - General"/>
    <n v="847001"/>
    <s v="FA179-Opex Expense"/>
    <n v="200179"/>
    <x v="5"/>
    <s v="428090.Business Travel - Combined expenses-Number of Staff-Number"/>
    <s v="Number"/>
    <n v="10"/>
    <n v="40000"/>
    <s v="Travel expenses for Conferences and within UAE"/>
    <n v="400000"/>
    <s v="KU Regular operations"/>
    <s v="Recurring"/>
    <s v="Utilize state-of-the-art technologies and facilities in an optimal and efficient manner"/>
  </r>
  <r>
    <s v="Facilities "/>
    <s v="Director, Technology Development"/>
    <s v="SVP/ Support Services Office"/>
    <n v="847"/>
    <n v="8470810"/>
    <s v="KUST - Ankabut office"/>
    <n v="1"/>
    <s v="430250"/>
    <s v="430250-Rental - Computer hardware-Rental/Subscription - Computer hardware"/>
    <s v="000000"/>
    <s v="KUST - General"/>
    <n v="847001"/>
    <s v="FA179-Opex Expense"/>
    <n v="200179"/>
    <x v="6"/>
    <s v="430250.Rental - Computer hardware-Rental/Subscription - Computer hardware-Number of Laptop-Number"/>
    <s v="Number"/>
    <n v="1516"/>
    <n v="1550"/>
    <s v="End User Computing Refresh Laptops - Renewal for remaining years of lease for existing computers and additional lease for refresh program and new joiners (Researchers)"/>
    <n v="2349800"/>
    <s v="KU Regular operations"/>
    <s v="Recurring"/>
    <s v="Utilize state-of-the-art technologies and facilities in an optimal and efficient manner"/>
  </r>
  <r>
    <s v="IT"/>
    <s v="Director, Technology Development"/>
    <s v="SVP/ Support Services Office"/>
    <n v="847"/>
    <n v="8470810"/>
    <s v="KUST - Ankabut office"/>
    <n v="1"/>
    <s v="432205"/>
    <s v="432205-Computers and peripherals"/>
    <s v="000000"/>
    <s v="KUST - General"/>
    <n v="847001"/>
    <s v="FA179-Opex Expense"/>
    <n v="200179"/>
    <x v="7"/>
    <s v="432205.Computers and peripherals-End user and Infrastructure components maintenance and support-service level agreement-Service"/>
    <s v="Service"/>
    <n v="1"/>
    <n v="2376600"/>
    <s v="Maintenance for hardware, spare parts, network infrastructure, wireless infrastructure, cabling and passive components and Telephony UCS licenses subscription"/>
    <n v="2376600"/>
    <s v="KU Regular operations"/>
    <s v="Recurring"/>
    <s v="Utilize state-of-the-art technologies and facilities in an optimal and efficient manner"/>
  </r>
  <r>
    <s v="IT"/>
    <s v="No Applicable"/>
    <s v="SVP/ Support Services Office"/>
    <n v="847"/>
    <n v="8470810"/>
    <s v="KUST - Ankabut office"/>
    <n v="1"/>
    <s v="432226"/>
    <s v="432226-Computers and peripherals-Printers maintenance and support "/>
    <s v="000000"/>
    <s v="KUST - General"/>
    <n v="847001"/>
    <s v="FA179-Opex Expense"/>
    <n v="200179"/>
    <x v="8"/>
    <s v="432226.Computers and peripherals-Printers maintenance and support-Number of paper printing-Month"/>
    <s v="Month"/>
    <n v="12"/>
    <n v="48000"/>
    <s v="Printing Charges based on current SLA for Leasing Printers and Maintenance Agreement. (Reference Invoice March 2022 ~40K)"/>
    <n v="576000"/>
    <s v="KU Regular operations"/>
    <s v="Recurring"/>
    <s v="Utilize state-of-the-art technologies and facilities in an optimal and efficient manner"/>
  </r>
  <r>
    <s v="IT"/>
    <s v="Director, Technology Development"/>
    <s v="SVP/ Support Services Office"/>
    <n v="847"/>
    <n v="8470810"/>
    <s v="KUST - Ankabut office"/>
    <n v="1"/>
    <s v="492310"/>
    <s v="492310-Hardware &amp; peripherals"/>
    <s v="000000"/>
    <s v="KUST - General"/>
    <n v="847001"/>
    <s v="FA180-Capex Expense"/>
    <n v="300180"/>
    <x v="9"/>
    <s v="492310.Hardware &amp; peripherals-warranty period-Warranty"/>
    <s v="Warranty"/>
    <n v="1"/>
    <n v="340000"/>
    <s v="Computer Refresh program for Mac/Special Computers for existing users and new Macs for new faculty joiners - Total 40 users @AED8.5K"/>
    <n v="340000"/>
    <s v="KU Regular operations"/>
    <s v="Recurring"/>
    <s v="Utilize state-of-the-art technologies and facilities in an optimal and efficient manner"/>
  </r>
  <r>
    <s v="IT"/>
    <s v="Director, Technology Development"/>
    <s v="SVP/ Support Services Office"/>
    <n v="847"/>
    <n v="8470810"/>
    <s v="KUST - Ankabut office"/>
    <n v="1"/>
    <s v="492352"/>
    <s v="492352-Hardware &amp; peripherals-Network Devices"/>
    <s v="000000"/>
    <s v="KUST - General"/>
    <n v="847001"/>
    <s v="FA180-Capex Expense"/>
    <n v="300180"/>
    <x v="10"/>
    <s v="492352.Hardware &amp; peripherals-Network Devices-TBD-TBD"/>
    <s v="TBD"/>
    <n v="1"/>
    <n v="1164000"/>
    <s v="Campus Network Equipment Refresh Program for: _x000a_Access Network Layer (Out of support lifecycle) "/>
    <n v="1164000"/>
    <s v="KU Regular operations"/>
    <s v="Recurring"/>
    <s v="Utilize state-of-the-art technologies and facilities in an optimal and efficient manner"/>
  </r>
  <r>
    <s v="IT"/>
    <s v="Director, Technology Development"/>
    <s v="SVP/ Support Services Office"/>
    <n v="847"/>
    <n v="8470810"/>
    <s v="KUST - Ankabut office"/>
    <n v="1"/>
    <s v="492356"/>
    <s v="492356-Hardware &amp; peripherals-Conferencing &amp; AV"/>
    <s v="000000"/>
    <s v="KUST - General"/>
    <n v="847001"/>
    <s v="FA180-Capex Expense"/>
    <n v="300180"/>
    <x v="11"/>
    <s v="492356.Hardware &amp; peripherals-Conferencing &amp; AV-TBD-TBD"/>
    <s v="TBD"/>
    <n v="1"/>
    <n v="1200000"/>
    <s v="Classroom Renovations to adopt hybrid learning in classrooms, lecture recording and replace old projectors in SAN and Main campuses. "/>
    <n v="1200000"/>
    <s v="KU Strategic New Initiative"/>
    <s v="Recurring"/>
    <s v="Utilize state-of-the-art technologies and facilities in an optimal and efficient manner"/>
  </r>
  <r>
    <s v="IT"/>
    <s v="Director, Technology Development"/>
    <s v="SVP/ Support Services Office"/>
    <n v="847"/>
    <n v="8470810"/>
    <s v="KUST - Ankabut office"/>
    <n v="1"/>
    <s v="495113"/>
    <s v="495113-Computer software-Application, Platform "/>
    <s v="000000"/>
    <s v="KUST - General"/>
    <n v="847001"/>
    <s v="FA180-Capex Expense"/>
    <n v="300180"/>
    <x v="12"/>
    <s v="495113.Computer software-Application, Platform -number of licenses-Number"/>
    <s v="Number"/>
    <n v="1"/>
    <n v="800000"/>
    <s v="New Business Applications and related IT tools to meet KU requirements "/>
    <n v="800000"/>
    <s v="KU Regular operations"/>
    <s v="Recurring"/>
    <s v="Utilize state-of-the-art technologies and facilities in an optimal and efficient manner"/>
  </r>
  <r>
    <s v="Academic"/>
    <s v="No Applicable"/>
    <s v="Provost"/>
    <n v="847"/>
    <n v="8470220"/>
    <s v="KUST - Office of the Provost"/>
    <n v="1"/>
    <s v="420550"/>
    <s v="420550-Academic Advisory Service"/>
    <s v="000000"/>
    <s v="KUST - General"/>
    <n v="847001"/>
    <s v="FA179-Opex Expense"/>
    <n v="200179"/>
    <x v="13"/>
    <s v="420550.Academic Advisory Service-Number of Services-Number"/>
    <m/>
    <n v="145"/>
    <n v="3480"/>
    <s v="External Consultants for 5x  new Programs @ 44000 Each_x000a_External Evaluators for Faculty Promotions (35 faculty x 4 evaluators @ $400 (1600AED) each"/>
    <n v="504600"/>
    <s v="KU Regular operations"/>
    <s v="Recurring"/>
    <s v="Align academic programs with the local and global labor market needs"/>
  </r>
  <r>
    <s v="Academic"/>
    <s v="No Applicable"/>
    <s v="Provost"/>
    <n v="847"/>
    <n v="8470220"/>
    <s v="KUST - Office of the Provost"/>
    <n v="1"/>
    <s v="420570"/>
    <s v="420570-Academic Collaborative Partnership Services"/>
    <s v="000000"/>
    <s v="KUST - General"/>
    <n v="847001"/>
    <s v="FA179-Opex Expense"/>
    <n v="200179"/>
    <x v="14"/>
    <s v="420570.Academic Collaborative Partnership Services-Partnership Agreement or Academic Collaboration -No of Partneship/collaboration Agreement"/>
    <s v="No of Partneship/collaboration Agreement"/>
    <n v="1"/>
    <n v="3600000"/>
    <s v="Twinning &amp; other partnership initiatives"/>
    <n v="3600000"/>
    <s v="KU Regular operations"/>
    <s v="Recurring"/>
    <s v="Build partnerships with local and international universities"/>
  </r>
  <r>
    <s v="Academic"/>
    <s v="Director, Institutional Research and Planning"/>
    <s v="Provost"/>
    <n v="847"/>
    <n v="8470220"/>
    <s v="KUST - Office of the Provost"/>
    <n v="1"/>
    <s v="421700"/>
    <s v="421700-Standards certification (e.g. ISO)"/>
    <s v="000000"/>
    <s v="KUST - General"/>
    <n v="847001"/>
    <s v="FA179-Opex Expense"/>
    <n v="200179"/>
    <x v="15"/>
    <s v="421700.Standards Certification Services (e.g. ISO)-Number of Academic programs-Number"/>
    <s v="Number"/>
    <n v="1"/>
    <n v="1"/>
    <s v="NA"/>
    <n v="1"/>
    <s v="KU Regular operations"/>
    <s v="Non-recurring"/>
    <s v="Develop a multidimensional program to attract and retain diverse outstanding students"/>
  </r>
  <r>
    <s v="Communiction &amp; Marketing"/>
    <s v="Director, Marketing and Communication"/>
    <s v="Provost"/>
    <n v="847"/>
    <n v="8470220"/>
    <s v="KUST - Office of the Provost"/>
    <n v="1"/>
    <s v="425510"/>
    <s v="425510-Conferences, seminars and exhibitions and other events: - Local Events"/>
    <s v="000000"/>
    <s v="KUST - General"/>
    <n v="847001"/>
    <s v="FA179-Opex Expense"/>
    <n v="200179"/>
    <x v="16"/>
    <s v="425510.Conferences, seminars and exhibitions and other events: - Local Events-Seminars-Number of Seminars"/>
    <s v="Number of Seminars"/>
    <n v="5"/>
    <n v="24000"/>
    <s v="Local events/conferences/seminars etc_x000a_Hosting well known faculty researchers/faculty for seminars etc 5 @ 24000 each"/>
    <n v="120000"/>
    <s v="KU Regular operations"/>
    <s v="Recurring"/>
    <s v="Recruit and retain high caliber faculty, researchers and staff"/>
  </r>
  <r>
    <s v="Communiction &amp; Marketing"/>
    <s v="No Applicable"/>
    <s v="Provost"/>
    <n v="847"/>
    <n v="8470220"/>
    <s v="KUST - Office of the Provost"/>
    <n v="1"/>
    <s v="425550"/>
    <s v="425550-Conferences, seminars and exhibitions and other events: - Overseas event"/>
    <s v="000000"/>
    <s v="KUST - General"/>
    <n v="847001"/>
    <s v="FA179-Opex Expense"/>
    <n v="200179"/>
    <x v="17"/>
    <s v="425550.Conferences, seminars and exhibitions and other events: - Overseas event-Conferences-Number of Conferences"/>
    <s v="Number of Conferences"/>
    <n v="5"/>
    <n v="24000"/>
    <s v="Provost &amp; 4 Assoc. Provost @ 1 conference each @ 20K"/>
    <n v="120000"/>
    <s v="KU Regular operations"/>
    <s v="Recurring"/>
    <s v="Recruit and retain high caliber faculty, researchers and staff"/>
  </r>
  <r>
    <s v="Student"/>
    <s v="No Applicable"/>
    <s v="Provost"/>
    <n v="847"/>
    <n v="8470220"/>
    <s v="KUST - Office of the Provost"/>
    <n v="1"/>
    <s v="425740"/>
    <s v="425740-Scholarships &amp; other financial aid"/>
    <s v="000000"/>
    <s v="KUST - General"/>
    <n v="847001"/>
    <s v="FA179-Opex Expense"/>
    <n v="200179"/>
    <x v="18"/>
    <s v="425740.Scholarships &amp; other financial aid-Students-No of Students"/>
    <s v="No of Students"/>
    <n v="26"/>
    <n v="166155"/>
    <s v="6 post docs @ 600K National Post Doc Scheme +_x000a_20 faculty @ 36K for Faculty Development Scheme"/>
    <n v="4320030"/>
    <s v="KU Regular operations"/>
    <s v="Recurring"/>
    <s v="Design and implement professional development programs for researchers, faculty, and  staff to contribute to the university strategic plan"/>
  </r>
  <r>
    <s v="Other support"/>
    <s v="Director, Human Resources"/>
    <s v="Provost"/>
    <n v="847"/>
    <n v="8470220"/>
    <s v="KUST - Office of the Provost"/>
    <n v="1"/>
    <s v="425900"/>
    <s v="425900-Entertainment and hospitality"/>
    <s v="000000"/>
    <s v="KUST - General"/>
    <n v="847001"/>
    <s v="FA179-Opex Expense"/>
    <n v="200179"/>
    <x v="19"/>
    <s v="425900.Entertainment and hospitality-1. No of events/workshops planned-count"/>
    <s v="count"/>
    <n v="12"/>
    <n v="12801"/>
    <s v="12 x 1000 per month provost office catering_x000a_2 x Faculty Townhalls @ 20K E_x000a_2 x Faculty Council @ 3K E_x000a_FAC x 2 @ 3000"/>
    <n v="153612"/>
    <s v="KU Regular operations"/>
    <s v="Recurring"/>
    <s v="Promote a working culture of excellence and accountability"/>
  </r>
  <r>
    <s v="IT"/>
    <s v="Director, Technology Development"/>
    <s v="Provost"/>
    <n v="847"/>
    <n v="8470220"/>
    <s v="KUST - Office of the Provost"/>
    <n v="1"/>
    <s v="426610"/>
    <s v="426610-Computer software licenses"/>
    <s v="000000"/>
    <s v="KUST - General"/>
    <n v="847001"/>
    <s v="FA179-Opex Expense"/>
    <n v="200179"/>
    <x v="20"/>
    <s v="426610.Computer software licenses-Software License Renewal-number of licenses-Number"/>
    <s v="Number"/>
    <n v="1"/>
    <n v="55000"/>
    <s v="Software"/>
    <n v="55000"/>
    <s v="KU Regular operations"/>
    <s v="Non-recurring"/>
    <s v="Utilize state-of-the-art technologies and facilities in an optimal and efficient manner"/>
  </r>
  <r>
    <s v="Academic "/>
    <s v="No Applicable"/>
    <s v="Provost"/>
    <n v="847"/>
    <n v="8470220"/>
    <s v="KUST - Office of the Provost"/>
    <n v="1"/>
    <s v="428090"/>
    <s v="428090-Business Travel - Combined expenses"/>
    <s v="000000"/>
    <s v="KUST - General"/>
    <n v="847001"/>
    <s v="FA179-Opex Expense"/>
    <n v="200179"/>
    <x v="21"/>
    <s v="428090.Business Travel - Combined expenses-Number of Staff-Number"/>
    <s v="Number"/>
    <n v="8"/>
    <n v="48000"/>
    <s v="4 business trips for Provost+ _x000a_1 x Biz Travel each per Assoc. Provost , all at 48K each"/>
    <n v="384000"/>
    <s v="KU Strategic New Initiative"/>
    <s v="Non-recurring"/>
    <s v="Build partnerships with local and international universities"/>
  </r>
  <r>
    <s v="Communiction &amp; Marketing"/>
    <s v="Director, Marketing and Communication"/>
    <s v="Provost"/>
    <n v="847"/>
    <n v="8470220"/>
    <s v="KUST - Office of the Provost"/>
    <n v="1"/>
    <s v="428640"/>
    <s v="428640-Events - Awards, prizes &amp; gifts"/>
    <s v="000000"/>
    <s v="KUST - General"/>
    <n v="847001"/>
    <s v="FA179-Opex Expense"/>
    <n v="200179"/>
    <x v="22"/>
    <s v="428640.Events - Awards, prizes &amp; gifts-Number of Events-count"/>
    <s v="count"/>
    <n v="1"/>
    <n v="2400000"/>
    <s v="Excellence Awards, Prizes &amp; Plaques "/>
    <n v="2400000"/>
    <s v="KU Regular operations"/>
    <s v="Non-recurring"/>
    <s v="Promote a working culture of excellence and accountability"/>
  </r>
  <r>
    <s v="IT"/>
    <s v="Director, Technology Development"/>
    <s v="Provost"/>
    <n v="847"/>
    <n v="8470220"/>
    <s v="KUST - Office of the Provost"/>
    <n v="1"/>
    <s v="432205"/>
    <s v="432205-Computers and peripherals"/>
    <s v="000000"/>
    <s v="KUST - General"/>
    <n v="847001"/>
    <s v="FA179-Opex Expense"/>
    <n v="200179"/>
    <x v="23"/>
    <s v="432205.Computers and peripherals-End user and Infrastructure components maintenance and support-service level agreement-Service"/>
    <s v="Service"/>
    <n v="6"/>
    <n v="12000"/>
    <s v="Computer Equipment/PCs etc for Provost Office Staff"/>
    <n v="72000"/>
    <s v="KU Regular operations"/>
    <s v="Non-recurring"/>
    <s v="Utilize state-of-the-art technologies and facilities in an optimal and efficient manner"/>
  </r>
  <r>
    <s v="Facilities "/>
    <s v="Director, Research Laboratories"/>
    <s v="Provost"/>
    <n v="847"/>
    <n v="8470220"/>
    <s v="KUST - Office of the Provost"/>
    <n v="1"/>
    <s v="492316"/>
    <s v="492316-Laboratory equipment"/>
    <s v="000000"/>
    <s v="KUST - General"/>
    <n v="847001"/>
    <s v="FA180-Capex Expense"/>
    <n v="300180"/>
    <x v="24"/>
    <s v="432209.Laboratory equipment-Number of Faculty-Number"/>
    <s v="Number"/>
    <n v="1"/>
    <n v="360000"/>
    <s v="Lab Equipment"/>
    <n v="360000"/>
    <s v="KU Strategic New Initiative"/>
    <s v="Recurring"/>
    <s v="Utilize state-of-the-art technologies and facilities in an optimal and efficient manner"/>
  </r>
  <r>
    <s v="-"/>
    <s v="-"/>
    <s v="Provost"/>
    <n v="847"/>
    <n v="8470220"/>
    <s v="KUST - Office of the Provost"/>
    <n v="1"/>
    <s v="436120"/>
    <s v="436120-Stationery"/>
    <s v="000000"/>
    <s v="KUST - General"/>
    <n v="847001"/>
    <s v="FA179-Opex Expense"/>
    <n v="200179"/>
    <x v="25"/>
    <s v="436120.Stationery-Number of Staff-Number"/>
    <s v="Number"/>
    <n v="6"/>
    <n v="1200"/>
    <s v="Office Stationery"/>
    <n v="7200"/>
    <s v="KU Regular operations"/>
    <s v="Recurring"/>
    <s v="Provide reliable, accurate and timely reports to different stakeholders"/>
  </r>
  <r>
    <s v="Academic"/>
    <s v="No Applicable"/>
    <s v="College of Engineering"/>
    <n v="847"/>
    <n v="8470305"/>
    <s v="KUST - Dean Of Engineering"/>
    <n v="1"/>
    <s v="420550"/>
    <s v="420550-Academic Advisory Service"/>
    <s v="000000"/>
    <s v="KUST - General"/>
    <n v="847001"/>
    <s v="FA179-Opex Expense"/>
    <n v="200179"/>
    <x v="26"/>
    <s v="420550.Academic Advisory Service-Number of Services-Number"/>
    <s v="Number"/>
    <n v="2"/>
    <n v="50000"/>
    <s v="Academic and Industry advisory board meetings and review"/>
    <n v="100000"/>
    <s v="KU Regular operations"/>
    <s v="Recurring"/>
    <s v="Align academic programs with the local and global labor market needs"/>
  </r>
  <r>
    <s v="Academic"/>
    <s v="No Applicable"/>
    <s v="College of Engineering"/>
    <n v="847"/>
    <n v="8470305"/>
    <s v="KUST - Dean Of Engineering"/>
    <n v="1"/>
    <s v="420570"/>
    <s v="420570-Academic Collaborative Partnership Services"/>
    <s v="000000"/>
    <s v="KUST - General"/>
    <n v="847001"/>
    <s v="FA179-Opex Expense"/>
    <n v="200179"/>
    <x v="27"/>
    <s v="420570.Academic Collaborative Partnership Services- Research Projects Agreements-No of Research Projects Agreement"/>
    <s v="No of Research Projects Agreement"/>
    <n v="3"/>
    <n v="5000"/>
    <s v="membership agreements in Intl Org or consortia"/>
    <n v="15000"/>
    <s v="KU Regular operations"/>
    <s v="Recurring"/>
    <s v="Build partnerships with local and international universities"/>
  </r>
  <r>
    <s v="Academic"/>
    <s v="Director, Institutional Research and Planning"/>
    <s v="College of Engineering"/>
    <n v="847"/>
    <n v="8470305"/>
    <s v="KUST - Dean Of Engineering"/>
    <n v="1"/>
    <s v="421700"/>
    <s v="421700-Standards certification (e.g. ISO)"/>
    <s v="000000"/>
    <s v="KUST - General"/>
    <n v="847001"/>
    <s v="FA179-Opex Expense"/>
    <n v="200179"/>
    <x v="28"/>
    <s v="421700.Standards Certification Services (e.g. ISO)-Number of Academic programs-Number"/>
    <s v="Number"/>
    <n v="1"/>
    <n v="150000"/>
    <s v="CAA NEW MSc Progs"/>
    <n v="150000"/>
    <s v="KU Regular operations"/>
    <s v="Non-recurring"/>
    <s v="Align academic programs with the local and global labor market needs"/>
  </r>
  <r>
    <s v="Communiction &amp; Marketing"/>
    <s v="Director, Marketing and Communication"/>
    <s v="College of Engineering"/>
    <n v="847"/>
    <n v="8470305"/>
    <s v="KUST - Dean Of Engineering"/>
    <n v="1"/>
    <s v="425510"/>
    <s v="425510-Conferences, seminars and exhibitions and other events: - Local Events"/>
    <s v="000000"/>
    <s v="KUST - General"/>
    <n v="847001"/>
    <s v="FA179-Opex Expense"/>
    <n v="200179"/>
    <x v="29"/>
    <s v="425500.Conferences, seminars and exhibitions and other events:-Number of events &amp; attendees-Number of Number of events &amp; attendees"/>
    <s v="Number of Number of events &amp; attendees"/>
    <n v="6"/>
    <n v="10000"/>
    <s v="Support local and KU events and conferences hosting"/>
    <n v="60000"/>
    <s v="KU Regular operations"/>
    <s v="Recurring"/>
    <s v="Attract and organize international conferences and summits"/>
  </r>
  <r>
    <s v="Student"/>
    <s v="No Applicable"/>
    <s v="College of Engineering"/>
    <n v="847"/>
    <n v="8470305"/>
    <s v="KUST - Dean Of Engineering"/>
    <n v="1"/>
    <s v="425763"/>
    <s v="425763-Student Project Expenses"/>
    <s v="000000"/>
    <s v="KUST - General"/>
    <n v="847001"/>
    <s v="FA179-Opex Expense"/>
    <n v="200179"/>
    <x v="30"/>
    <s v="425763.Student Project Expenses-Number of Students UG-Month"/>
    <s v="Month"/>
    <n v="6"/>
    <n v="20000"/>
    <s v="UG student projects and competitions"/>
    <n v="120000"/>
    <s v="KU Regular operations"/>
    <s v="Recurring"/>
    <s v="Align academic programs with the local and global labor market needs"/>
  </r>
  <r>
    <s v="Academic"/>
    <s v="No Applicable"/>
    <s v="College of Engineering"/>
    <n v="847"/>
    <n v="8470305"/>
    <s v="KUST - Dean Of Engineering"/>
    <n v="1"/>
    <s v="425770"/>
    <s v="425770-Academic Missions - Combined expenses"/>
    <s v="000000"/>
    <s v="KUST - General"/>
    <n v="847001"/>
    <s v="FA179-Opex Expense"/>
    <n v="200179"/>
    <x v="31"/>
    <s v="425770.Academic Missions - Combined expenses-Number of Conference-Number"/>
    <s v="Number"/>
    <n v="55"/>
    <n v="20000"/>
    <s v="Conference travel, 25% of CoE, 1 conference per faculty"/>
    <n v="1100000"/>
    <s v="KU Regular operations"/>
    <s v="Recurring"/>
    <s v="Increase publications in journals with high impact factor"/>
  </r>
  <r>
    <s v="Other support"/>
    <s v="Director, Human Resources"/>
    <s v="College of Engineering"/>
    <n v="847"/>
    <n v="8470305"/>
    <s v="KUST - Dean Of Engineering"/>
    <n v="1"/>
    <s v="425900"/>
    <s v="425900-Entertainment and hospitality"/>
    <s v="000000"/>
    <s v="KUST - General"/>
    <n v="847001"/>
    <s v="FA179-Opex Expense"/>
    <n v="200179"/>
    <x v="32"/>
    <s v="425900.Entertainment and hospitality-1. No of events/workshops planned-count"/>
    <s v="count"/>
    <n v="3"/>
    <n v="10000"/>
    <s v="Retreats"/>
    <n v="30000"/>
    <s v="KU Regular operations"/>
    <s v="Recurring"/>
    <s v="Develop a new learning outcomes assessment framework at the course, programs, and institutional levels"/>
  </r>
  <r>
    <s v="IT"/>
    <s v="Director, Technology Development"/>
    <s v="College of Engineering"/>
    <n v="847"/>
    <n v="8470305"/>
    <s v="KUST - Dean Of Engineering"/>
    <n v="1"/>
    <s v="426610"/>
    <s v="426610-Computer software licenses"/>
    <s v="000000"/>
    <s v="KUST - General"/>
    <n v="847001"/>
    <s v="FA179-Opex Expense"/>
    <n v="200179"/>
    <x v="33"/>
    <s v="426610.Computer software licenses-Software License Renewal-service level agreement-Service"/>
    <s v="Service"/>
    <n v="1"/>
    <n v="120000"/>
    <s v="software for college requirements to support multi-department shared software "/>
    <n v="120000"/>
    <s v="KU Regular operations"/>
    <s v="Recurring"/>
    <s v="Align academic programs with the local and global labor market needs"/>
  </r>
  <r>
    <s v="Academic "/>
    <s v="No Applicable"/>
    <s v="College of Engineering"/>
    <n v="847"/>
    <n v="8470305"/>
    <s v="KUST - Dean Of Engineering"/>
    <n v="1"/>
    <s v="428090"/>
    <s v="428090-Business Travel - Combined expenses"/>
    <s v="000000"/>
    <s v="KUST - General"/>
    <n v="847001"/>
    <s v="FA179-Opex Expense"/>
    <n v="200179"/>
    <x v="34"/>
    <s v="428090.Business Travel - Combined expenses-Number of Staff-Number"/>
    <s v="Number"/>
    <n v="3"/>
    <n v="20000"/>
    <s v="Dean/Assoc Dean travel on KU missions"/>
    <n v="60000"/>
    <s v="KU Regular operations"/>
    <s v="Recurring"/>
    <s v="Build partnerships with local and international universities"/>
  </r>
  <r>
    <s v="Communiction &amp; Marketing"/>
    <s v="Director, Marketing and Communication"/>
    <s v="College of Engineering"/>
    <n v="847"/>
    <n v="8470305"/>
    <s v="KUST - Dean Of Engineering"/>
    <n v="1"/>
    <s v="428640"/>
    <s v="428640-Events - Awards, prizes &amp; gifts"/>
    <s v="000000"/>
    <s v="KUST - General"/>
    <n v="847001"/>
    <s v="FA179-Opex Expense"/>
    <n v="200179"/>
    <x v="35"/>
    <s v="428640.Events - Awards, prizes &amp; gifts-Number of awards-count"/>
    <s v="count"/>
    <n v="20"/>
    <n v="1500"/>
    <s v="Awards for students and faculty"/>
    <n v="30000"/>
    <s v="KU Regular operations"/>
    <s v="Recurring"/>
    <s v="Recruit and retain high caliber faculty, researchers and staff"/>
  </r>
  <r>
    <s v="Academic"/>
    <s v="No Applicable"/>
    <s v="College of Engineering"/>
    <n v="847"/>
    <n v="8470305"/>
    <s v="KUST - Dean Of Engineering"/>
    <n v="1"/>
    <s v="432209"/>
    <s v="432209-Laboratory equipment"/>
    <s v="000000"/>
    <s v="KUST - General"/>
    <n v="847001"/>
    <s v="FA179-Opex Expense"/>
    <n v="200179"/>
    <x v="36"/>
    <s v="432209.Laboratory equipment-Number of Faculty-Number"/>
    <s v="Number"/>
    <n v="60"/>
    <n v="4950"/>
    <s v="equipment support for multi department usage teaching labs"/>
    <n v="297000"/>
    <s v="KU Regular operations"/>
    <s v="Recurring"/>
    <s v="Align academic programs with the local and global labor market needs"/>
  </r>
  <r>
    <s v="Academic"/>
    <s v="No Applicable"/>
    <s v="College of Engineering"/>
    <n v="847"/>
    <n v="8470305"/>
    <s v="KUST - Dean Of Engineering"/>
    <n v="1"/>
    <s v="435350"/>
    <s v="435350-Academic Publications"/>
    <s v="000000"/>
    <s v="KUST - General"/>
    <n v="847001"/>
    <s v="FA179-Opex Expense"/>
    <n v="200179"/>
    <x v="37"/>
    <s v="435350.Academic Publications-Number of Publications-Number"/>
    <s v="Number"/>
    <n v="80"/>
    <n v="3937.5"/>
    <s v="Publications in Open access Q1 texts"/>
    <n v="315000"/>
    <s v="KU Regular operations"/>
    <s v="Recurring"/>
    <s v="Increase publications in journals with high impact factor"/>
  </r>
  <r>
    <s v="Academic"/>
    <s v="Director, Research Laboratories"/>
    <s v="College of Engineering"/>
    <n v="847"/>
    <n v="8470305"/>
    <s v="KUST - Dean Of Engineering"/>
    <n v="1"/>
    <s v="435508"/>
    <s v="435508-Laboratory - Scientific"/>
    <s v="000000"/>
    <s v="KUST - General"/>
    <n v="847001"/>
    <s v="FA179-Opex Expense"/>
    <n v="200179"/>
    <x v="38"/>
    <s v="435508.Laboratory - Scientific-Number of Faculty-Number"/>
    <s v="Number"/>
    <n v="2"/>
    <n v="60000"/>
    <s v="Upgrade and maintenance for CoE shared facilities"/>
    <n v="120000"/>
    <s v="KU Regular operations"/>
    <s v="Recurring"/>
    <s v="Utilize state-of-the-art technologies and facilities in an optimal and efficient manner"/>
  </r>
  <r>
    <s v="Academic"/>
    <s v="No Applicable"/>
    <s v="College of Engineering"/>
    <n v="847"/>
    <n v="8470305"/>
    <s v="KUST - Dean Of Engineering"/>
    <n v="1"/>
    <s v="436600"/>
    <s v="436600-Training/Teaching equipment and other educational aid"/>
    <s v="000000"/>
    <s v="KUST - General"/>
    <n v="847001"/>
    <s v="FA179-Opex Expense"/>
    <n v="200179"/>
    <x v="39"/>
    <s v="436600.Training/Teaching equipment and other educational aid-Number of Faculty-Number"/>
    <s v="Number"/>
    <n v="2"/>
    <n v="20000"/>
    <s v="Hybrid learning technologies"/>
    <n v="40000"/>
    <s v="KU Regular operations"/>
    <s v="Recurring"/>
    <s v="Utilize state-of-the-art technologies and facilities in an optimal and efficient manner"/>
  </r>
  <r>
    <s v="Student"/>
    <s v="No Applicable"/>
    <s v="College of Engineering"/>
    <n v="847"/>
    <n v="8470305"/>
    <s v="KUST - Dean Of Engineering"/>
    <n v="1"/>
    <s v="425720"/>
    <s v="425720-Education-Outsourced training service"/>
    <s v="000000"/>
    <s v="KUST - General"/>
    <n v="847001"/>
    <s v="FA179-Opex Expense"/>
    <n v="200179"/>
    <x v="40"/>
    <s v="425720.Education-Outsourced training service-Activities-No of Activities"/>
    <s v="No of Activities"/>
    <n v="2"/>
    <n v="20000"/>
    <s v="training of DH, faculty and staff"/>
    <n v="40000"/>
    <s v="KU Regular operations"/>
    <s v="Recurring"/>
    <s v="Develop the university innovation and entrepreneurship system"/>
  </r>
  <r>
    <s v="Academic"/>
    <s v="No Applicable"/>
    <s v="College of Engineering"/>
    <n v="847"/>
    <n v="8470310"/>
    <s v="KUST - Aerospace Engineering"/>
    <n v="1"/>
    <s v="420550"/>
    <s v="420550-Academic Advisory Service"/>
    <s v="000000"/>
    <s v="KUST - General"/>
    <n v="847001"/>
    <s v="FA179-Opex Expense"/>
    <n v="200179"/>
    <x v="41"/>
    <s v="420550.Academic Advisory Service-Number of Students-Number"/>
    <s v="Number"/>
    <n v="2"/>
    <n v="10000"/>
    <s v="2 Board meetings of about 10 members. AED 10k per meeting."/>
    <n v="20000"/>
    <s v="KU Regular operations"/>
    <s v="Recurring"/>
    <s v="Align academic programs with the local and global labor market needs"/>
  </r>
  <r>
    <s v="Communiction &amp; Marketing"/>
    <s v="Director, Marketing and Communication"/>
    <s v="College of Engineering"/>
    <n v="847"/>
    <n v="8470310"/>
    <s v="KUST - Aerospace Engineering"/>
    <n v="1"/>
    <s v="425510"/>
    <s v="425510-Conferences, seminars and exhibitions and other events: - Local Events"/>
    <s v="000000"/>
    <s v="KUST - General"/>
    <n v="847001"/>
    <s v="FA179-Opex Expense"/>
    <n v="200179"/>
    <x v="42"/>
    <s v="425510.Conferences, seminars and exhibitions and other events: - Local Events-Conferences-Number of Conferences"/>
    <s v="Number of Conferences"/>
    <n v="3"/>
    <n v="10000"/>
    <s v="Conferences / Events that KU Aero Department will host"/>
    <n v="30000"/>
    <s v="KU Regular operations"/>
    <s v="Recurring"/>
    <s v="Establish a mobility program for students, faculty, researchers and staff"/>
  </r>
  <r>
    <s v="Student"/>
    <s v="Director, Student Services"/>
    <s v="College of Engineering"/>
    <n v="847"/>
    <n v="8470310"/>
    <s v="KUST - Aerospace Engineering"/>
    <n v="1"/>
    <s v="425760"/>
    <s v="425760-Student activities &amp; field trip expenses"/>
    <s v="000000"/>
    <s v="KUST - General"/>
    <n v="847001"/>
    <s v="FA179-Opex Expense"/>
    <n v="200179"/>
    <x v="43"/>
    <s v="425760.Student activities &amp; field trip expenses-Students-No of Students"/>
    <s v="No of Students"/>
    <n v="15"/>
    <n v="10000"/>
    <s v="Students travel to the US for Design Build Fly competetion"/>
    <n v="150000"/>
    <s v="KU Regular operations"/>
    <s v="Recurring"/>
    <s v="Establish a mobility program for students, faculty, researchers and staff"/>
  </r>
  <r>
    <s v="Student"/>
    <s v="No Applicable"/>
    <s v="College of Engineering"/>
    <n v="847"/>
    <n v="8470310"/>
    <s v="KUST - Aerospace Engineering"/>
    <n v="1"/>
    <s v="425763"/>
    <s v="425763-Student Project Expenses"/>
    <s v="000000"/>
    <s v="KUST - General"/>
    <n v="847001"/>
    <s v="FA179-Opex Expense"/>
    <n v="200179"/>
    <x v="44"/>
    <s v="425763.Student Project Expenses-Number of Students UG-Month"/>
    <s v="Month"/>
    <n v="12"/>
    <n v="30000"/>
    <s v="Assuming 72 SDP students, with AED 5,000 allocated per student"/>
    <n v="360000"/>
    <s v="KU Regular operations"/>
    <s v="Recurring"/>
    <s v="Develop the university innovation and entrepreneurship system"/>
  </r>
  <r>
    <s v="Academic"/>
    <s v="No Applicable"/>
    <s v="College of Engineering"/>
    <n v="847"/>
    <n v="8470310"/>
    <s v="KUST - Aerospace Engineering"/>
    <n v="1"/>
    <s v="425770"/>
    <s v="425770-Academic Missions - Combined expenses"/>
    <s v="000000"/>
    <s v="KUST - General"/>
    <n v="847001"/>
    <s v="FA179-Opex Expense"/>
    <n v="200179"/>
    <x v="45"/>
    <s v="425770.Academic Missions - Combined expenses-Number of Conference-Number"/>
    <s v="Number"/>
    <n v="17"/>
    <n v="20000"/>
    <s v="International conference travel and registration fee. 1 Conference per faculty."/>
    <n v="340000"/>
    <s v="KU Regular operations"/>
    <s v="Recurring"/>
    <s v="Establish a mobility program for students, faculty, researchers and staff"/>
  </r>
  <r>
    <s v="Other support"/>
    <s v="Director, Human Resources"/>
    <s v="College of Engineering"/>
    <n v="847"/>
    <n v="8470310"/>
    <s v="KUST - Aerospace Engineering"/>
    <n v="1"/>
    <s v="425900"/>
    <s v="425900-Entertainment and hospitality"/>
    <s v="000000"/>
    <s v="KUST - General"/>
    <n v="847001"/>
    <s v="FA179-Opex Expense"/>
    <n v="200179"/>
    <x v="46"/>
    <s v="425900.Entertainment and hospitality-1. No of events/workshops planned-count"/>
    <s v="count"/>
    <n v="17"/>
    <n v="500"/>
    <s v="12 Faculty Meetings (one per month) + 5 visits by professional organizations to the department."/>
    <n v="8500"/>
    <s v="KU Regular operations"/>
    <s v="Recurring"/>
    <s v="Enhance the communication plan and outreach activities"/>
  </r>
  <r>
    <s v="IT"/>
    <s v="Director, Technology Development"/>
    <s v="College of Engineering"/>
    <n v="847"/>
    <n v="8470310"/>
    <s v="KUST - Aerospace Engineering"/>
    <n v="1"/>
    <s v="426610"/>
    <s v="426610-Computer software licenses"/>
    <s v="000000"/>
    <s v="KUST - General"/>
    <n v="847001"/>
    <s v="FA179-Opex Expense"/>
    <n v="200179"/>
    <x v="47"/>
    <s v="426610.Computer software licenses-Software License Renewal-number of licenses-Number"/>
    <s v="Number"/>
    <n v="1"/>
    <n v="10000"/>
    <s v="Software renewal as per the CoE list"/>
    <n v="10000"/>
    <s v="KU Regular operations"/>
    <s v="Recurring"/>
    <s v="Widen access to students with outstanding academic potential"/>
  </r>
  <r>
    <s v="Academic "/>
    <s v="No Applicable"/>
    <s v="College of Engineering"/>
    <n v="847"/>
    <n v="8470310"/>
    <s v="KUST - Aerospace Engineering"/>
    <n v="1"/>
    <s v="428090"/>
    <s v="428090-Business Travel - Combined expenses"/>
    <s v="000000"/>
    <s v="KUST - General"/>
    <n v="847001"/>
    <s v="FA179-Opex Expense"/>
    <n v="200179"/>
    <x v="48"/>
    <s v="428090.Business Travel - Combined expenses-Number of Faculty-Number"/>
    <s v="Number"/>
    <n v="17"/>
    <n v="20000"/>
    <s v="2 business trips by the Chair or a faculty to international universities or organizations to promote the department and KU."/>
    <n v="340000"/>
    <s v="KU Regular operations"/>
    <s v="Recurring"/>
    <s v="Diversify and increase external research funds"/>
  </r>
  <r>
    <s v="Academic"/>
    <s v="No Applicable"/>
    <s v="College of Engineering"/>
    <n v="847"/>
    <n v="8470310"/>
    <s v="KUST - Aerospace Engineering"/>
    <n v="1"/>
    <s v="432209"/>
    <s v="432209-Laboratory equipment"/>
    <s v="000000"/>
    <s v="KUST - General"/>
    <n v="847001"/>
    <s v="FA179-Opex Expense"/>
    <n v="200179"/>
    <x v="49"/>
    <s v="432209.Laboratory equipment-Number of Faculty-Number"/>
    <s v="Number"/>
    <n v="17"/>
    <n v="5000"/>
    <s v="Aerospace Lab Maintenance"/>
    <n v="85000"/>
    <s v="KU Regular operations"/>
    <s v="Recurring"/>
    <s v="Widen access to students with outstanding academic potential"/>
  </r>
  <r>
    <s v="Academic"/>
    <s v="No Applicable"/>
    <s v="College of Engineering"/>
    <n v="847"/>
    <n v="8470310"/>
    <s v="KUST - Aerospace Engineering"/>
    <n v="1"/>
    <s v="435350"/>
    <s v="435350-Academic Publications"/>
    <s v="000000"/>
    <s v="KUST - General"/>
    <n v="847001"/>
    <s v="FA179-Opex Expense"/>
    <n v="200179"/>
    <x v="50"/>
    <s v="435350.Academic Publications-Number of Publications-Number"/>
    <s v="Number"/>
    <n v="17"/>
    <n v="13000"/>
    <s v="Publications in open access Q1 journals $3500 per paper"/>
    <n v="221000"/>
    <s v="KU Regular operations"/>
    <s v="Recurring"/>
    <s v="Widen access to students with outstanding academic potential"/>
  </r>
  <r>
    <s v="Academic"/>
    <s v="Director, Research Laboratories"/>
    <s v="College of Engineering"/>
    <n v="847"/>
    <n v="8470310"/>
    <s v="KUST - Aerospace Engineering"/>
    <n v="1"/>
    <s v="435508"/>
    <s v="435508-Laboratory - Scientific"/>
    <s v="000000"/>
    <s v="KUST - General"/>
    <n v="847001"/>
    <s v="FA179-Opex Expense"/>
    <n v="200179"/>
    <x v="51"/>
    <s v="435508.Laboratory - Scientific-Number of Faculty-Number"/>
    <s v="Number"/>
    <n v="17"/>
    <n v="17000"/>
    <s v="Aero Lab consumables (OPEX)"/>
    <n v="289000"/>
    <s v="KU Regular operations"/>
    <s v="Recurring"/>
    <s v="Widen access to students with outstanding academic potential"/>
  </r>
  <r>
    <s v="Other support"/>
    <s v="No Applicable"/>
    <s v="College of Engineering"/>
    <n v="847"/>
    <n v="8470310"/>
    <s v="KUST - Aerospace Engineering"/>
    <n v="1"/>
    <s v="436110"/>
    <s v="436110-Printing supplies"/>
    <s v="000000"/>
    <s v="KUST - General"/>
    <n v="847001"/>
    <s v="FA179-Opex Expense"/>
    <n v="200179"/>
    <x v="52"/>
    <s v="436110.Printing supplies-Number of Faculty-Number"/>
    <s v="Number"/>
    <n v="17"/>
    <n v="300"/>
    <s v="Printing services to the department (brochures, posters, handouts, etc)"/>
    <n v="5100"/>
    <s v="KU Regular operations"/>
    <s v="Recurring"/>
    <s v="Develop a life-long culture of community service beyond the classroom "/>
  </r>
  <r>
    <s v="Academic"/>
    <s v="No Applicable"/>
    <s v="College of Engineering"/>
    <n v="847"/>
    <n v="8470310"/>
    <s v="KUST - Aerospace Engineering"/>
    <n v="1"/>
    <s v="436600"/>
    <s v="436600-Training/Teaching equipment and other educational aid"/>
    <s v="000000"/>
    <s v="KUST - General"/>
    <n v="847001"/>
    <s v="FA179-Opex Expense"/>
    <n v="200179"/>
    <x v="53"/>
    <s v="436600.Training/Teaching equipment and other educational aid-Number of Faculty-Number"/>
    <s v="Number"/>
    <n v="17"/>
    <n v="350"/>
    <s v="Training/Teaching equipment and other educational aid"/>
    <n v="5950"/>
    <s v="KU Regular operations"/>
    <s v="Recurring"/>
    <s v="Develop a life-long culture of community service beyond the classroom "/>
  </r>
  <r>
    <s v="Facilities "/>
    <s v="Director, Research Laboratories"/>
    <s v="College of Engineering"/>
    <n v="847"/>
    <n v="8470310"/>
    <s v="KUST - Aerospace Engineering"/>
    <n v="1"/>
    <s v="492316"/>
    <s v="492316-Laboratory equipment"/>
    <s v="000000"/>
    <s v="KUST - General"/>
    <n v="847001"/>
    <s v="FA180-Capex Expense"/>
    <n v="300180"/>
    <x v="54"/>
    <s v="492316.Laboratory equipment-Number of Faculty-Number"/>
    <s v="Number"/>
    <n v="1"/>
    <n v="2750000"/>
    <s v="Total CAPEX budget"/>
    <n v="2750000"/>
    <s v="KU Regular operations"/>
    <s v="Non-recurring"/>
    <s v="Widen access to students with outstanding academic potential"/>
  </r>
  <r>
    <s v="Academic"/>
    <s v="No Applicable"/>
    <s v="College of Engineering"/>
    <n v="847"/>
    <n v="8470320"/>
    <s v="KUST - Chemical Engineering"/>
    <n v="1"/>
    <s v="420550"/>
    <s v="420550-Academic Advisory Service"/>
    <s v="000000"/>
    <s v="KUST - General"/>
    <n v="847001"/>
    <s v="FA179-Opex Expense"/>
    <n v="200179"/>
    <x v="55"/>
    <s v="420550.Academic Advisory Service-Number of Services-Number"/>
    <s v="Number"/>
    <n v="1"/>
    <n v="60000"/>
    <s v="Annual board meeting and advising service "/>
    <n v="60000"/>
    <s v="KU Regular operations"/>
    <s v="Recurring"/>
    <s v="Align academic programs with the local and global labor market needs"/>
  </r>
  <r>
    <s v="Communiction &amp; Marketing"/>
    <s v="Director, Marketing and Communication"/>
    <s v="College of Engineering"/>
    <n v="847"/>
    <n v="8470320"/>
    <s v="KUST - Chemical Engineering"/>
    <n v="1"/>
    <s v="425510"/>
    <s v="425510-Conferences, seminars and exhibitions and other events: - Local Events"/>
    <s v="000000"/>
    <s v="KUST - General"/>
    <n v="847001"/>
    <s v="FA179-Opex Expense"/>
    <n v="200179"/>
    <x v="56"/>
    <s v="425510.Conferences, seminars and exhibitions and other events: - Local Events-The area of rented halls for events, seminars, and exhibition.-2m"/>
    <s v="2m"/>
    <n v="5"/>
    <n v="6000"/>
    <s v="Each event coverage is maximum 6000 for student / staff / faculty"/>
    <n v="30000"/>
    <s v="KU Regular operations"/>
    <s v="Recurring"/>
    <s v="Align academic programs with the local and global labor market needs"/>
  </r>
  <r>
    <s v="Student"/>
    <s v="Director, Student Services"/>
    <s v="College of Engineering"/>
    <n v="847"/>
    <n v="8470320"/>
    <s v="KUST - Chemical Engineering"/>
    <n v="1"/>
    <s v="425760"/>
    <s v="425760-Student activities &amp; field trip expenses"/>
    <s v="000000"/>
    <s v="KUST - General"/>
    <n v="847001"/>
    <s v="FA179-Opex Expense"/>
    <n v="200179"/>
    <x v="57"/>
    <s v="425760.Student activities &amp; field trip expenses-Students-No of Students"/>
    <s v="No of Students"/>
    <n v="2"/>
    <n v="12500"/>
    <s v="AED 2500 per trip towards CESPA and security clearnce"/>
    <n v="25000"/>
    <s v="KU Regular operations"/>
    <s v="Recurring"/>
    <s v="Enhance the communication plan and outreach activities"/>
  </r>
  <r>
    <s v="Student"/>
    <s v="No Applicable"/>
    <s v="College of Engineering"/>
    <n v="847"/>
    <n v="8470320"/>
    <s v="KUST - Chemical Engineering"/>
    <n v="1"/>
    <s v="425763"/>
    <s v="425763-Student Project Expenses"/>
    <s v="000000"/>
    <s v="KUST - General"/>
    <n v="847001"/>
    <s v="FA179-Opex Expense"/>
    <n v="200179"/>
    <x v="58"/>
    <s v="425763.Student Project Expenses-Number of Students UG-Month"/>
    <s v="Month"/>
    <n v="12"/>
    <n v="10000"/>
    <s v="Per group per smester at 5000"/>
    <n v="120000"/>
    <s v="KU Regular operations"/>
    <s v="Recurring"/>
    <s v="Align academic programs with the local and global labor market needs"/>
  </r>
  <r>
    <s v="Academic"/>
    <s v="No Applicable"/>
    <s v="College of Engineering"/>
    <n v="847"/>
    <n v="8470320"/>
    <s v="KUST - Chemical Engineering"/>
    <n v="1"/>
    <s v="425770"/>
    <s v="425770-Academic Missions - Combined expenses"/>
    <s v="000000"/>
    <s v="KUST - General"/>
    <n v="847001"/>
    <s v="FA179-Opex Expense"/>
    <n v="200179"/>
    <x v="59"/>
    <s v="425770.Academic Missions - Combined expenses-Number of Conference-Number"/>
    <s v="Number"/>
    <n v="30"/>
    <n v="15000"/>
    <s v="Per faculty conference at AED 15000 "/>
    <n v="450000"/>
    <s v="KU Regular operations"/>
    <s v="Recurring"/>
    <s v="Align academic programs with the local and global labor market needs"/>
  </r>
  <r>
    <s v="Other support"/>
    <s v="Director, Human Resources"/>
    <s v="College of Engineering"/>
    <n v="847"/>
    <n v="8470320"/>
    <s v="KUST - Chemical Engineering"/>
    <n v="1"/>
    <s v="425900"/>
    <s v="425900-Entertainment and hospitality"/>
    <s v="000000"/>
    <s v="KUST - General"/>
    <n v="847001"/>
    <s v="FA179-Opex Expense"/>
    <n v="200179"/>
    <x v="60"/>
    <s v="425900.Entertainment and hospitality-1. No of events/workshops planned-count"/>
    <s v="count"/>
    <n v="10"/>
    <n v="2500"/>
    <s v="Towards staff meeeting and depatmnet related events"/>
    <n v="25000"/>
    <s v="KU Regular operations"/>
    <s v="Recurring"/>
    <s v="Align academic programs with the local and global labor market needs"/>
  </r>
  <r>
    <s v="IT"/>
    <s v="Director, Technology Development"/>
    <s v="College of Engineering"/>
    <n v="847"/>
    <n v="8470320"/>
    <s v="KUST - Chemical Engineering"/>
    <n v="1"/>
    <s v="426610"/>
    <s v="426610-Computer software licenses"/>
    <s v="000000"/>
    <s v="KUST - General"/>
    <n v="847001"/>
    <s v="FA179-Opex Expense"/>
    <n v="200179"/>
    <x v="61"/>
    <s v="426610.Computer software licenses-Software License Renewal-number of licenses-Number"/>
    <s v="Number"/>
    <n v="1"/>
    <n v="120000"/>
    <s v="Renewal of existing softwares  and acquisition of COSMOS - RS "/>
    <n v="120000"/>
    <s v="KU Regular operations"/>
    <s v="Recurring"/>
    <s v="Align academic programs with the local and global labor market needs"/>
  </r>
  <r>
    <s v="Academic "/>
    <s v="No Applicable"/>
    <s v="College of Engineering"/>
    <n v="847"/>
    <n v="8470320"/>
    <s v="KUST - Chemical Engineering"/>
    <n v="1"/>
    <s v="428090"/>
    <s v="428090-Business Travel - Combined expenses"/>
    <s v="000000"/>
    <s v="KUST - General"/>
    <n v="847001"/>
    <s v="FA179-Opex Expense"/>
    <n v="200179"/>
    <x v="62"/>
    <s v="428090.Business Travel - Combined expenses-Number of Staff-Number"/>
    <s v="Number"/>
    <n v="1"/>
    <n v="35000"/>
    <s v="AED35000 for a maximum of one bussiness trip"/>
    <n v="35000"/>
    <s v="KU Regular operations"/>
    <s v="Recurring"/>
    <s v="Align academic programs with the local and global labor market needs"/>
  </r>
  <r>
    <s v="Academic"/>
    <s v="No Applicable"/>
    <s v="College of Engineering"/>
    <n v="847"/>
    <n v="8470320"/>
    <s v="KUST - Chemical Engineering"/>
    <n v="1"/>
    <s v="435350"/>
    <s v="435350-Academic Publications"/>
    <s v="000000"/>
    <s v="KUST - General"/>
    <n v="847001"/>
    <s v="FA179-Opex Expense"/>
    <n v="200179"/>
    <x v="63"/>
    <s v="435350.Academic Publications-Number of Publications-Number"/>
    <s v="Number"/>
    <n v="10"/>
    <n v="6000"/>
    <s v="Publication cost for faculty"/>
    <n v="60000"/>
    <s v="KU Regular operations"/>
    <s v="Recurring"/>
    <s v="Increase publications in journals with high impact factor"/>
  </r>
  <r>
    <s v="Academic"/>
    <s v="Director, Research Laboratories"/>
    <s v="College of Engineering"/>
    <n v="847"/>
    <n v="8470320"/>
    <s v="KUST - Chemical Engineering"/>
    <n v="1"/>
    <s v="435508"/>
    <s v="435508-Laboratory - Scientific"/>
    <s v="000000"/>
    <s v="KUST - General"/>
    <n v="847001"/>
    <s v="FA179-Opex Expense"/>
    <n v="200179"/>
    <x v="64"/>
    <s v="435508.Laboratory - Scientific-Number of Faculty-Number"/>
    <s v="Number"/>
    <n v="1"/>
    <n v="175000"/>
    <s v="For consumables and spares, small instrument and maintennace "/>
    <n v="175000"/>
    <s v="KU Regular operations"/>
    <s v="Recurring"/>
    <s v="Align academic programs with the local and global labor market needs"/>
  </r>
  <r>
    <s v="Other support"/>
    <s v="No Applicable"/>
    <s v="College of Engineering"/>
    <n v="847"/>
    <n v="8470320"/>
    <s v="KUST - Chemical Engineering"/>
    <n v="1"/>
    <s v="436110"/>
    <s v="436110-Printing supplies"/>
    <s v="000000"/>
    <s v="KUST - General"/>
    <n v="847001"/>
    <s v="FA179-Opex Expense"/>
    <n v="200179"/>
    <x v="65"/>
    <s v="436110.Printing supplies-Number of Faculty-Number"/>
    <s v="Number"/>
    <n v="35"/>
    <n v="1000"/>
    <s v="AED 600 per semster for fcaulty and AED 300 for staff"/>
    <n v="35000"/>
    <s v="KU Regular operations"/>
    <s v="Recurring"/>
    <s v="Align academic programs with the local and global labor market needs"/>
  </r>
  <r>
    <s v="Academic"/>
    <s v="No Applicable"/>
    <s v="College of Engineering"/>
    <n v="847"/>
    <n v="8470320"/>
    <s v="KUST - Chemical Engineering"/>
    <n v="1"/>
    <s v="436600"/>
    <s v="436600-Training/Teaching equipment and other educational aid"/>
    <s v="000000"/>
    <s v="KUST - General"/>
    <n v="847001"/>
    <s v="FA179-Opex Expense"/>
    <n v="200179"/>
    <x v="66"/>
    <s v="436600.Training/Teaching equipment and other educational aid-Number of Staff-Number"/>
    <s v="Number"/>
    <n v="3"/>
    <n v="15000"/>
    <s v="AED 10,000 per staff per activity"/>
    <n v="45000"/>
    <s v="KU Regular operations"/>
    <s v="Recurring"/>
    <s v="Align academic programs with the local and global labor market needs"/>
  </r>
  <r>
    <s v="Facilities "/>
    <s v="Director, Research Laboratories"/>
    <s v="College of Engineering"/>
    <n v="847"/>
    <n v="8470320"/>
    <s v="KUST - Chemical Engineering"/>
    <n v="1"/>
    <s v="492316"/>
    <s v="492316-Laboratory equipment"/>
    <s v="000000"/>
    <s v="KUST - General"/>
    <n v="847001"/>
    <s v="FA180-Capex Expense"/>
    <n v="300180"/>
    <x v="67"/>
    <s v="492316.Laboratory equipment-Number of Students-Number"/>
    <s v="Number"/>
    <n v="1"/>
    <n v="335000"/>
    <s v="CAPEX 1 of 5"/>
    <n v="335000"/>
    <s v="KU Regular operations"/>
    <s v="Non-recurring"/>
    <s v="Align academic programs with the local and global labor market needs"/>
  </r>
  <r>
    <s v="Other support"/>
    <s v="No Applicable"/>
    <s v="College of Engineering"/>
    <n v="847"/>
    <n v="8470320"/>
    <s v="KUST - Chemical Engineering"/>
    <n v="1"/>
    <s v="495140"/>
    <s v="495140-Copyrights, patents and licenses"/>
    <s v="000000"/>
    <s v="KUST - General"/>
    <n v="847001"/>
    <s v="FA180-Capex Expense"/>
    <n v="300180"/>
    <x v="68"/>
    <s v="495140.Copyrights, patents and licenses-Number of Patents-Number"/>
    <s v="Number"/>
    <n v="1"/>
    <n v="18000"/>
    <s v="Expense per copyright / patent "/>
    <n v="18000"/>
    <s v="KU Regular operations"/>
    <s v="Recurring"/>
    <s v="Increase filed and issued patents in USPTO and PCT"/>
  </r>
  <r>
    <s v="Facilities "/>
    <s v="Director, Research Laboratories"/>
    <s v="College of Engineering"/>
    <n v="847"/>
    <n v="8470320"/>
    <s v="KUST - Chemical Engineering"/>
    <n v="1"/>
    <s v="492316"/>
    <s v="492316-Laboratory equipment"/>
    <s v="000000"/>
    <s v="KUST - General"/>
    <n v="847001"/>
    <s v="FA180-Capex Expense"/>
    <n v="300180"/>
    <x v="67"/>
    <s v="492316.Laboratory equipment-Number of Students-Number"/>
    <s v="Number"/>
    <n v="1"/>
    <n v="265000"/>
    <s v="CAPEX 1 of 5"/>
    <n v="265000"/>
    <s v="KU Regular operations"/>
    <s v="Non-recurring"/>
    <s v="Align academic programs with the local and global labor market needs"/>
  </r>
  <r>
    <s v="Facilities "/>
    <s v="Director, Research Laboratories"/>
    <s v="College of Engineering"/>
    <n v="847"/>
    <n v="8470320"/>
    <s v="KUST - Chemical Engineering"/>
    <n v="1"/>
    <s v="492316"/>
    <s v="492316-Laboratory equipment"/>
    <s v="000000"/>
    <s v="KUST - General"/>
    <n v="847001"/>
    <s v="FA180-Capex Expense"/>
    <n v="300180"/>
    <x v="67"/>
    <s v="492316.Laboratory equipment-Number of Students-Number"/>
    <s v="Number"/>
    <n v="1"/>
    <n v="125000"/>
    <s v="CAPEX 1 of 5"/>
    <n v="125000"/>
    <s v="KU Regular operations"/>
    <s v="Non-recurring"/>
    <s v="Align academic programs with the local and global labor market needs"/>
  </r>
  <r>
    <s v="Facilities "/>
    <s v="Director, Research Laboratories"/>
    <s v="College of Engineering"/>
    <n v="847"/>
    <n v="8470320"/>
    <s v="KUST - Chemical Engineering"/>
    <n v="1"/>
    <s v="492316"/>
    <s v="492316-Laboratory equipment"/>
    <s v="000000"/>
    <s v="KUST - General"/>
    <n v="847001"/>
    <s v="FA180-Capex Expense"/>
    <n v="300180"/>
    <x v="67"/>
    <s v="492316.Laboratory equipment-Number of Students-Number"/>
    <s v="Number"/>
    <n v="1"/>
    <n v="45000"/>
    <s v="CAPEX 1 of 5"/>
    <n v="45000"/>
    <s v="KU Regular operations"/>
    <s v="Non-recurring"/>
    <s v="Align academic programs with the local and global labor market needs"/>
  </r>
  <r>
    <s v="Facilities "/>
    <s v="Director, Research Laboratories"/>
    <s v="College of Engineering"/>
    <n v="847"/>
    <n v="8470320"/>
    <s v="KUST - Chemical Engineering"/>
    <n v="1"/>
    <s v="492316"/>
    <s v="492316-Laboratory equipment"/>
    <s v="000000"/>
    <s v="KUST - General"/>
    <n v="847001"/>
    <s v="FA180-Capex Expense"/>
    <n v="300180"/>
    <x v="67"/>
    <s v="492316.Laboratory equipment-Number of Students-Number"/>
    <s v="Number"/>
    <n v="1"/>
    <n v="65000"/>
    <s v="CAPEX 1 of 5"/>
    <n v="65000"/>
    <s v="KU Regular operations"/>
    <s v="Non-recurring"/>
    <s v="Align academic programs with the local and global labor market needs"/>
  </r>
  <r>
    <s v="Academic"/>
    <s v="No Applicable"/>
    <s v="College of Engineering"/>
    <n v="847"/>
    <n v="8470325"/>
    <s v="KUST - Civil Engineering"/>
    <n v="1"/>
    <s v="420550"/>
    <s v="420550-Academic Advisory Service"/>
    <s v="000000"/>
    <s v="KUST - General"/>
    <n v="847001"/>
    <s v="FA179-Opex Expense"/>
    <n v="200179"/>
    <x v="69"/>
    <s v="420550.Academic Advisory Service-Number of Services-Number"/>
    <s v="Number"/>
    <n v="2"/>
    <n v="2000"/>
    <s v="Catering costs for 2 CIVE Dept. Advisory Board meetings at KU campus /  10 attendees at AED 200 per attendee"/>
    <n v="4000"/>
    <s v="KU Regular operations"/>
    <s v="Recurring"/>
    <s v="Align academic programs with the local and global labor market needs"/>
  </r>
  <r>
    <s v="Communiction &amp; Marketing"/>
    <s v="Director, Marketing and Communication"/>
    <s v="College of Engineering"/>
    <n v="847"/>
    <n v="8470325"/>
    <s v="KUST - Civil Engineering"/>
    <n v="1"/>
    <s v="425510"/>
    <s v="425510-Conferences, seminars and exhibitions and other events: - Local Events"/>
    <s v="000000"/>
    <s v="KUST - General"/>
    <n v="847001"/>
    <s v="FA179-Opex Expense"/>
    <n v="200179"/>
    <x v="70"/>
    <s v="425510.Conferences, seminars and exhibitions and other events: - Local Events-Events-Number of Events"/>
    <s v="Number of Events"/>
    <n v="6"/>
    <n v="1100"/>
    <s v="KU Policy for Academic Travel within UAE /  Academics who will need to attend events within UAE "/>
    <n v="6600"/>
    <s v="KU Regular operations"/>
    <s v="Recurring"/>
    <s v="Align academic programs with the local and global labor market needs"/>
  </r>
  <r>
    <s v="Student"/>
    <s v="Director, Student Services"/>
    <s v="College of Engineering"/>
    <n v="847"/>
    <n v="8470325"/>
    <s v="KUST - Civil Engineering"/>
    <n v="1"/>
    <s v="425760"/>
    <s v="425760-Student activities &amp; field trip expenses"/>
    <s v="000000"/>
    <s v="KUST - General"/>
    <n v="847001"/>
    <s v="FA179-Opex Expense"/>
    <n v="200179"/>
    <x v="71"/>
    <s v="425760.Student activities &amp; field trip expenses-Events-No of Events"/>
    <s v="No of Events"/>
    <n v="2"/>
    <n v="2500"/>
    <s v="Class field trips to construction sites. 1 trip for the course CIVE 338 and 1 trip for CIVE 442"/>
    <n v="5000"/>
    <s v="KU Regular operations"/>
    <s v="Recurring"/>
    <s v="Establish a mobility program for students, faculty, researchers and staff"/>
  </r>
  <r>
    <s v="Student"/>
    <s v="No Applicable"/>
    <s v="College of Engineering"/>
    <n v="847"/>
    <n v="8470325"/>
    <s v="KUST - Civil Engineering"/>
    <n v="1"/>
    <s v="425763"/>
    <s v="425763-Student Project Expenses"/>
    <s v="000000"/>
    <s v="KUST - General"/>
    <n v="847001"/>
    <s v="FA179-Opex Expense"/>
    <n v="200179"/>
    <x v="72"/>
    <s v="425763.Student Project Expenses-Number of Students UG-Month"/>
    <s v="Month"/>
    <n v="20"/>
    <n v="3000"/>
    <s v="Expenses to purchase materials &amp; services for the construction of SDP students' designs / AED 3000 per student"/>
    <n v="60000"/>
    <s v="KU Regular operations"/>
    <s v="Recurring"/>
    <s v="Align academic programs with the local and global labor market needs"/>
  </r>
  <r>
    <s v="-"/>
    <s v="-"/>
    <s v="College of Engineering"/>
    <n v="847"/>
    <n v="8470325"/>
    <s v="KUST - Civil Engineering"/>
    <n v="1"/>
    <s v="425762"/>
    <s v="425762-Student Internship"/>
    <s v="000000"/>
    <s v="KUST - General"/>
    <s v="847001"/>
    <s v="FA179-Opex Expense"/>
    <n v="200179"/>
    <x v="73"/>
    <s v="425762.Student Internship-Number Student Phd-Number"/>
    <s v="Number"/>
    <n v="4"/>
    <n v="10000"/>
    <s v="Expenses to cover the airticket costs of a PhD student's internship at international Universities"/>
    <n v="40000"/>
    <s v="KU Strategic New Initiative"/>
    <s v="Recurring"/>
    <s v="Develop holistic internship programs "/>
  </r>
  <r>
    <s v="Academic"/>
    <s v="No Applicable"/>
    <s v="College of Engineering"/>
    <n v="847"/>
    <n v="8470325"/>
    <s v="KUST - Civil Engineering"/>
    <n v="1"/>
    <s v="425770"/>
    <s v="425770-Academic Missions - Combined expenses"/>
    <s v="000000"/>
    <s v="KUST - General"/>
    <n v="847001"/>
    <s v="FA179-Opex Expense"/>
    <n v="200179"/>
    <x v="74"/>
    <s v="425770.Academic Missions - Combined expenses-Number of Meeting-Number"/>
    <s v="Number"/>
    <n v="11"/>
    <n v="20000"/>
    <s v="AED 20000 per Faculty to address the registration, travel &amp; living costs of 1 international Conference per year"/>
    <n v="220000"/>
    <s v="KU Regular operations"/>
    <s v="Recurring"/>
    <s v="Establish a mobility program for students, faculty, researchers and staff"/>
  </r>
  <r>
    <s v="IT"/>
    <s v="Director, Technology Development"/>
    <s v="College of Engineering"/>
    <n v="847"/>
    <n v="8470325"/>
    <s v="KUST - Civil Engineering"/>
    <n v="1"/>
    <s v="426610"/>
    <s v="426610-Computer software licenses"/>
    <s v="000000"/>
    <s v="KUST - General"/>
    <n v="847001"/>
    <s v="FA179-Opex Expense"/>
    <n v="200179"/>
    <x v="75"/>
    <s v="426610.Computer software licenses-Software License Renewal-number of licenses-Number"/>
    <s v="Number"/>
    <n v="1"/>
    <n v="45000"/>
    <s v="Renewal of software: Plaxis 3D_x000a_ETABS, Plaxis 2D_x000a_SimaPro "/>
    <n v="45000"/>
    <s v="KU Regular operations"/>
    <s v="Recurring"/>
    <s v="Align academic programs with the local and global labor market needs"/>
  </r>
  <r>
    <s v="Academic "/>
    <s v="No Applicable"/>
    <s v="College of Engineering"/>
    <n v="847"/>
    <n v="8470325"/>
    <s v="KUST - Civil Engineering"/>
    <n v="1"/>
    <s v="428090"/>
    <s v="428090-Business Travel - Combined expenses"/>
    <s v="000000"/>
    <s v="KUST - General"/>
    <n v="847001"/>
    <s v="FA179-Opex Expense"/>
    <n v="200179"/>
    <x v="76"/>
    <s v="428090.Business Travel - Combined expenses-Number of Faculty-Number"/>
    <s v="Number"/>
    <n v="1"/>
    <n v="20000"/>
    <s v="Senior Faculty participation in Board &amp; Executive Council meetings of International Organizations and Q1  Journals"/>
    <n v="20000"/>
    <s v="KU Regular operations"/>
    <s v="Recurring"/>
    <s v="Increase publications in journals with high impact factor"/>
  </r>
  <r>
    <s v="Academic"/>
    <s v="No Applicable"/>
    <s v="College of Engineering"/>
    <n v="847"/>
    <n v="8470325"/>
    <s v="KUST - Civil Engineering"/>
    <n v="1"/>
    <s v="432209"/>
    <s v="432209-Laboratory equipment"/>
    <s v="000000"/>
    <s v="KUST - General"/>
    <n v="847001"/>
    <s v="FA179-Opex Expense"/>
    <n v="200179"/>
    <x v="77"/>
    <s v="432209.Laboratory equipment-Number of Students-Number"/>
    <s v="Number"/>
    <n v="1"/>
    <n v="200000"/>
    <s v="Expenses for the yearly maintenance of CIVE labs equipment utilized for teaching purposes. Quotes from individual suppliers are included in the folder Maintenance Quotations"/>
    <n v="200000"/>
    <s v="KU Regular operations"/>
    <s v="Recurring"/>
    <s v="Align academic programs with the local and global labor market needs"/>
  </r>
  <r>
    <s v="Academic"/>
    <s v="No Applicable"/>
    <s v="College of Engineering"/>
    <n v="847"/>
    <n v="8470325"/>
    <s v="KUST - Civil Engineering"/>
    <n v="1"/>
    <s v="435350"/>
    <s v="435350-Academic Publications"/>
    <s v="000000"/>
    <s v="KUST - General"/>
    <n v="847001"/>
    <s v="FA179-Opex Expense"/>
    <n v="200179"/>
    <x v="78"/>
    <s v="435350.Academic Publications-Number of Publications-Number"/>
    <s v="Number"/>
    <n v="8"/>
    <n v="10000"/>
    <s v="Open Access Q1 Journal submissions"/>
    <n v="80000"/>
    <s v="KU Regular operations"/>
    <s v="Recurring"/>
    <s v="Increase publications in journals with high impact factor"/>
  </r>
  <r>
    <s v="Academic"/>
    <s v="Director, Research Laboratories"/>
    <s v="College of Engineering"/>
    <n v="847"/>
    <n v="8470325"/>
    <s v="KUST - Civil Engineering"/>
    <n v="1"/>
    <s v="435508"/>
    <s v="435508-Laboratory - Scientific"/>
    <s v="000000"/>
    <s v="KUST - General"/>
    <n v="847001"/>
    <s v="FA179-Opex Expense"/>
    <n v="200179"/>
    <x v="79"/>
    <s v="435508.Laboratory - Scientific-Number of Students-Number"/>
    <s v="Number"/>
    <n v="1"/>
    <n v="110000"/>
    <s v="Consumables for the operation of the CIVE instructional labs.  Quotes from individual suppliers are listed per item in the Excel sheet &quot;CIVE OPEX Lab Scientific list&quot; in the folder &quot;CIVE OPEX Quotations&quot;"/>
    <n v="110000"/>
    <s v="KU Regular operations"/>
    <s v="Recurring"/>
    <s v="Align academic programs with the local and global labor market needs"/>
  </r>
  <r>
    <s v="Facilities "/>
    <s v="Director, Research Laboratories"/>
    <s v="College of Engineering"/>
    <n v="847"/>
    <n v="8470325"/>
    <s v="KUST - Civil Engineering"/>
    <n v="1"/>
    <s v="492316"/>
    <s v="492316-Laboratory equipment"/>
    <s v="000000"/>
    <s v="KUST - General"/>
    <n v="847001"/>
    <s v="FA180-Capex Expense"/>
    <n v="300180"/>
    <x v="80"/>
    <s v="492316.Laboratory equipment-Number of Faculty-Number"/>
    <s v="Number"/>
    <n v="1"/>
    <n v="775000"/>
    <s v="Hollow cylinder apparatus"/>
    <n v="775000"/>
    <s v="KU Strategic New Initiative"/>
    <s v="Non-recurring"/>
    <s v="Develop the university innovation and entrepreneurship system"/>
  </r>
  <r>
    <s v="Academic"/>
    <s v="No Applicable"/>
    <s v="College of Engineering"/>
    <n v="847"/>
    <n v="8470330"/>
    <s v="KUST - Electrical &amp; Computer Engineering"/>
    <n v="1"/>
    <s v="420550"/>
    <s v="420550-Academic Advisory Service"/>
    <s v="000000"/>
    <s v="KUST - General"/>
    <n v="847001"/>
    <s v="FA179-Opex Expense"/>
    <n v="200179"/>
    <x v="81"/>
    <s v="420550.Academic Advisory Service-Number of Services-Number"/>
    <s v="Number"/>
    <n v="1"/>
    <n v="3000"/>
    <s v="One meeting of the DAB of the deprtment.  Hospitality for 7 members and 5 KU faculty."/>
    <n v="3000"/>
    <s v="KU Regular operations"/>
    <s v="Recurring"/>
    <s v="Widen access to students with outstanding academic potential"/>
  </r>
  <r>
    <s v="Communiction &amp; Marketing"/>
    <s v="Director, Marketing and Communication"/>
    <s v="College of Engineering"/>
    <n v="847"/>
    <n v="8470330"/>
    <s v="KUST - Electrical &amp; Computer Engineering"/>
    <n v="1"/>
    <s v="425510"/>
    <s v="425510-Conferences, seminars and exhibitions and other events: - Local Events"/>
    <s v="000000"/>
    <s v="KUST - General"/>
    <n v="847001"/>
    <s v="FA179-Opex Expense"/>
    <n v="200179"/>
    <x v="82"/>
    <s v="425510.Conferences, seminars and exhibitions and other events: - Local Events-Exhibitions-Number of Exhibitions"/>
    <s v="Number of Exhibitions"/>
    <n v="1"/>
    <n v="10000"/>
    <s v="Workshop on High Voltage: AED 10000.  Organizers: Drs. Noureddine and Balanthi Beig . Cost calculation details: International expert travel, Food and Accommodation: AED 1000/person. Participants: 10."/>
    <n v="10000"/>
    <s v="KU Regular operations"/>
    <s v="Non-recurring"/>
    <s v="Increase publications in journals with high impact factor"/>
  </r>
  <r>
    <s v="Student"/>
    <s v="Director, Student Services"/>
    <s v="College of Engineering"/>
    <n v="847"/>
    <n v="8470330"/>
    <s v="KUST - Electrical &amp; Computer Engineering"/>
    <n v="1"/>
    <s v="425760"/>
    <s v="425760-Student activities &amp; field trip expenses"/>
    <s v="000000"/>
    <s v="KUST - General"/>
    <n v="847001"/>
    <s v="FA179-Opex Expense"/>
    <n v="200179"/>
    <x v="83"/>
    <s v="425760.Student activities &amp; field trip expenses-Events-No of Events"/>
    <s v="No of Events"/>
    <n v="10"/>
    <n v="7500"/>
    <s v="10 field trips trips @ AED 2000/trip . Also IEEE KU students activities (AED 10000) include common design project, engineering design project, industrial project, and community service project plus the IEEE KU student chapter running costs, including inviting speakers and organizing workshops. Also Competitions, like KPC (AED 5000), GPC (AED 15000), and International overseas ones (AED 25000)"/>
    <n v="75000"/>
    <s v="KU Regular operations"/>
    <s v="Recurring"/>
    <s v="Enhance the communication plan and outreach activities"/>
  </r>
  <r>
    <s v="Student"/>
    <s v="No Applicable"/>
    <s v="College of Engineering"/>
    <n v="847"/>
    <n v="8470330"/>
    <s v="KUST - Electrical &amp; Computer Engineering"/>
    <n v="1"/>
    <s v="425763"/>
    <s v="425763-Student Project Expenses"/>
    <s v="000000"/>
    <s v="KUST - General"/>
    <n v="847001"/>
    <s v="FA179-Opex Expense"/>
    <n v="200179"/>
    <x v="84"/>
    <s v="425763.Student Project Expenses-Number of Students UG-Month"/>
    <s v="Month"/>
    <n v="145"/>
    <n v="3000"/>
    <s v="Number of students x AED 3000 /student"/>
    <n v="435000"/>
    <s v="KU Regular operations"/>
    <s v="Recurring"/>
    <s v="Develop the university innovation and entrepreneurship system"/>
  </r>
  <r>
    <s v="Academic"/>
    <s v="No Applicable"/>
    <s v="College of Engineering"/>
    <n v="847"/>
    <n v="8470330"/>
    <s v="KUST - Electrical &amp; Computer Engineering"/>
    <n v="1"/>
    <s v="425770"/>
    <s v="425770-Academic Missions - Combined expenses"/>
    <s v="000000"/>
    <s v="KUST - General"/>
    <n v="847001"/>
    <s v="FA179-Opex Expense"/>
    <n v="200179"/>
    <x v="85"/>
    <s v="425770-Academic Missions - Combined expenses"/>
    <s v="-_"/>
    <n v="63"/>
    <n v="20000"/>
    <s v="20K/Faculty FTE"/>
    <n v="1260000"/>
    <s v="KU Regular operations"/>
    <s v="Recurring"/>
    <s v="Strengthen research ethical culture framework across the university"/>
  </r>
  <r>
    <s v="Other support"/>
    <s v="Director, Human Resources"/>
    <s v="College of Engineering"/>
    <n v="847"/>
    <n v="8470330"/>
    <s v="KUST - Electrical &amp; Computer Engineering"/>
    <n v="1"/>
    <s v="425900"/>
    <s v="425900-Entertainment and hospitality"/>
    <s v="000000"/>
    <s v="KUST - General"/>
    <n v="847001"/>
    <s v="FA179-Opex Expense"/>
    <n v="200179"/>
    <x v="86"/>
    <s v="425900-Entertainment and hospitality"/>
    <s v="-_"/>
    <n v="6"/>
    <n v="5000"/>
    <s v=" 6 Department meetings' hospitality. average # of department participants (45) @ AED 100/faculty/meeting. Also for one speaker from local industry per sementer @ 1000 /speaker."/>
    <n v="30000"/>
    <s v="KU Regular operations"/>
    <s v="Recurring"/>
    <s v="Promote a working culture of excellence and accountability"/>
  </r>
  <r>
    <s v="IT"/>
    <s v="Director, Technology Development"/>
    <s v="College of Engineering"/>
    <n v="847"/>
    <n v="8470330"/>
    <s v="KUST - Electrical &amp; Computer Engineering"/>
    <n v="1"/>
    <s v="426610"/>
    <s v="426610-Computer software licenses"/>
    <s v="000000"/>
    <s v="KUST - General"/>
    <n v="847001"/>
    <s v="FA179-Opex Expense"/>
    <n v="200179"/>
    <x v="87"/>
    <s v="426610-Computer software licenses-Software License Renewal"/>
    <s v="-_"/>
    <n v="10"/>
    <n v="87062"/>
    <s v="average cost of SW licenses* # of licenses (expected 25% increase in price in 2023)_x000a_Multisim (3 year license) - 160K, Altium Designer -  2.312K_x000a_PLECS Combo Academic Concurrent License - 2.812K_x000a_LogixPro 500 - 3.5K                                                                                                                                                                                                                                                           Rockwell Automation Toolkit - Studio 5000  23.125K_x000a_ETAP - Educational Licenses -18.125K_x000a_Cadence - 265.75K                                                                                                                                                                                                                                                                       _x000a_GAMS (General Algebraic Modeling System)  76.875K_x000a_Synopsys - 188.375K                                                                                                                                                                                                                                                    LabView Academic Site License Teaching  129.75K _x000a_TOTAL  870622_x000a_"/>
    <n v="870620"/>
    <s v="KU Regular operations"/>
    <s v="Recurring"/>
    <s v="Utilize state-of-the-art technologies and facilities in an optimal and efficient manner"/>
  </r>
  <r>
    <s v="Communiction &amp; Marketing"/>
    <s v="Director, Marketing and Communication"/>
    <s v="College of Engineering"/>
    <n v="847"/>
    <n v="8470330"/>
    <s v="KUST - Electrical &amp; Computer Engineering"/>
    <n v="1"/>
    <s v="428640"/>
    <s v="428640-Events - Awards, prizes &amp; gifts"/>
    <s v="000000"/>
    <s v="KUST - General"/>
    <n v="847001"/>
    <s v="FA179-Opex Expense"/>
    <n v="200179"/>
    <x v="88"/>
    <s v="428640-Events - Awards, prizes &amp; gifts"/>
    <s v="-_"/>
    <n v="2"/>
    <n v="151000"/>
    <s v="Honored faculty * gift cost_x000a_Also (Dr Arif's project: Smart Mobile Application Annual Contest 2022/2023/2024: Total Cost: ~300K _x000a_Awards: 3 teams to win 75K, 50K, 25K (Total 150K) Travel support can be given AED 1.5K-3K per person (depending on region) to shortlisted teams based on receipt of tickets and accommodation (twin or triple rooms) up to 15 shortlisted teams can be supported 1-2 from each country (total cost of ~115K). _x000a_Accommodation: twin-triple room (1 night per team) Max of AED 1K per team. Total Cost: 15 K. Cost of publications and event preparation: AED 10K. Catering 150 attendees: 10K "/>
    <n v="302000"/>
    <s v="KU Regular operations"/>
    <s v="Recurring"/>
    <s v="Develop a multidimensional program to attract and retain diverse outstanding students"/>
  </r>
  <r>
    <s v="Academic"/>
    <s v="No Applicable"/>
    <s v="College of Engineering"/>
    <n v="847"/>
    <n v="8470330"/>
    <s v="KUST - Electrical &amp; Computer Engineering"/>
    <n v="1"/>
    <s v="432209"/>
    <s v="432209-Laboratory equipment"/>
    <s v="000000"/>
    <s v="KUST - General"/>
    <n v="847001"/>
    <s v="FA179-Opex Expense"/>
    <n v="200179"/>
    <x v="89"/>
    <s v="432209-Laboratory equipment"/>
    <s v="-_"/>
    <n v="10"/>
    <n v="5000"/>
    <s v="Lab Maintenance/Callibration of equipment -  Number of Lab x AED 5000/Lab"/>
    <n v="50000"/>
    <s v="KU Regular operations"/>
    <s v="Recurring"/>
    <s v="Utilize state-of-the-art technologies and facilities in an optimal and efficient manner"/>
  </r>
  <r>
    <s v="Academic"/>
    <s v="No Applicable"/>
    <s v="College of Engineering"/>
    <n v="847"/>
    <n v="8470330"/>
    <s v="KUST - Electrical &amp; Computer Engineering"/>
    <n v="1"/>
    <s v="435350"/>
    <s v="435350-Academic Publications"/>
    <s v="000000"/>
    <s v="KUST - General"/>
    <n v="847001"/>
    <s v="FA179-Opex Expense"/>
    <n v="200179"/>
    <x v="90"/>
    <s v="435350-Academic Publications"/>
    <s v="-_"/>
    <n v="63"/>
    <n v="7000"/>
    <s v="one paper or page charges / faculty"/>
    <n v="441000"/>
    <s v="KU Regular operations"/>
    <s v="Recurring"/>
    <s v="Increase publications in journals with high impact factor"/>
  </r>
  <r>
    <s v="Academic"/>
    <s v="Director, Research Laboratories"/>
    <s v="College of Engineering"/>
    <n v="847"/>
    <n v="8470330"/>
    <s v="KUST - Electrical &amp; Computer Engineering"/>
    <n v="1"/>
    <s v="435508"/>
    <s v="435508-Laboratory - Scientific"/>
    <s v="000000"/>
    <s v="KUST - General"/>
    <n v="847001"/>
    <s v="FA179-Opex Expense"/>
    <n v="200179"/>
    <x v="91"/>
    <s v="435508-Laboratory - Scientific"/>
    <s v="-_"/>
    <n v="8"/>
    <n v="10000"/>
    <s v="Lab materials, Course project materials and other Consumables  - Number of Labs x AED 10000/Lab"/>
    <n v="80000"/>
    <s v="KU Regular operations"/>
    <s v="Recurring"/>
    <s v="Utilize state-of-the-art technologies and facilities in an optimal and efficient manner"/>
  </r>
  <r>
    <s v="Academic"/>
    <s v="No Applicable"/>
    <s v="College of Engineering"/>
    <n v="847"/>
    <n v="8470330"/>
    <s v="KUST - Electrical &amp; Computer Engineering"/>
    <n v="1"/>
    <s v="436600"/>
    <s v="436600-Training/Teaching equipment and other educational aid"/>
    <s v="000000"/>
    <s v="KUST - General"/>
    <n v="847001"/>
    <s v="FA179-Opex Expense"/>
    <n v="200179"/>
    <x v="92"/>
    <s v="436600-Training/Teaching equipment and other educational aid"/>
    <s v="-_"/>
    <n v="2"/>
    <n v="8000"/>
    <s v="2 servers  @ 8000 each,  =16000.  "/>
    <n v="16000"/>
    <s v="KU Regular operations"/>
    <s v="Recurring"/>
    <s v="Utilize state-of-the-art technologies and facilities in an optimal and efficient manner"/>
  </r>
  <r>
    <s v="Facilities "/>
    <s v="Director, Research Laboratories"/>
    <s v="College of Engineering"/>
    <n v="847"/>
    <n v="8470330"/>
    <s v="KUST - Electrical &amp; Computer Engineering"/>
    <n v="1"/>
    <s v="492316"/>
    <s v="492316-Laboratory equipment"/>
    <s v="000000"/>
    <s v="KUST - General"/>
    <n v="847001"/>
    <s v="FA180-Capex Expense"/>
    <n v="300180"/>
    <x v="93"/>
    <s v="492316-Laboratory equipment"/>
    <s v="-_"/>
    <n v="1"/>
    <n v="500000"/>
    <s v="CAPEX equipment. Average of CAPEX expenses for the last 3 years (500K/year) - to upgrade the lab facilities/Adding new equipment.                                                                                                           "/>
    <n v="500000"/>
    <s v="KU Regular operations"/>
    <s v="Recurring"/>
    <s v="Utilize state-of-the-art technologies and facilities in an optimal and efficient manner"/>
  </r>
  <r>
    <s v="Academic"/>
    <s v="No Applicable"/>
    <s v="College of Engineering"/>
    <n v="847"/>
    <n v="8470335"/>
    <s v="KUST - Industrial &amp; Systems Engineering"/>
    <n v="1"/>
    <s v="420550"/>
    <s v="420550-Academic Advisory Service"/>
    <s v="000000"/>
    <s v="KUST - General"/>
    <n v="847001"/>
    <s v="FA179-Opex Expense"/>
    <n v="200179"/>
    <x v="94"/>
    <s v="420550.Academic Advisory Service-Number of Students-Number"/>
    <s v="Number"/>
    <n v="2"/>
    <n v="6800"/>
    <s v="Two advisory board meetings"/>
    <n v="13600"/>
    <s v="KU Regular operations"/>
    <s v="Recurring"/>
    <s v="Align academic programs with the local and global labor market needs"/>
  </r>
  <r>
    <s v="Communiction &amp; Marketing"/>
    <s v="Director, Marketing and Communication"/>
    <s v="College of Engineering"/>
    <n v="847"/>
    <n v="8470335"/>
    <s v="KUST - Industrial &amp; Systems Engineering"/>
    <n v="1"/>
    <s v="425510"/>
    <s v="425510-Conferences, seminars and exhibitions and other events: - Local Events"/>
    <s v="000000"/>
    <s v="KUST - General"/>
    <n v="847001"/>
    <s v="FA179-Opex Expense"/>
    <n v="200179"/>
    <x v="95"/>
    <s v="425500.Conferences, seminars and exhibitions and other events:-Number of events &amp; attendees-Number of Number of events &amp; attendees"/>
    <s v="Number of Number of events &amp; attendees"/>
    <n v="10"/>
    <n v="2200"/>
    <s v="ten Students to regiser into local conferences and intl competitions"/>
    <n v="22000"/>
    <s v="KU Regular operations"/>
    <s v="Recurring"/>
    <s v="Attract and organize international conferences and summits"/>
  </r>
  <r>
    <s v="Student"/>
    <s v="Director, Student Services"/>
    <s v="College of Engineering"/>
    <n v="847"/>
    <n v="8470335"/>
    <s v="KUST - Industrial &amp; Systems Engineering"/>
    <n v="1"/>
    <s v="425760"/>
    <s v="425760-Student activities &amp; field trip expenses"/>
    <s v="000000"/>
    <s v="KUST - General"/>
    <n v="847001"/>
    <s v="FA179-Opex Expense"/>
    <n v="200179"/>
    <x v="96"/>
    <s v="425761.Student Field trips-Number of Students UG-Month"/>
    <s v="Month"/>
    <n v="5"/>
    <n v="2500"/>
    <s v="4 student site visits to industry"/>
    <n v="12500"/>
    <s v="KU Regular operations"/>
    <s v="Recurring"/>
    <s v="Align academic programs with the local and global labor market needs"/>
  </r>
  <r>
    <s v="Student"/>
    <s v="No Applicable"/>
    <s v="College of Engineering"/>
    <n v="847"/>
    <n v="8470335"/>
    <s v="KUST - Industrial &amp; Systems Engineering"/>
    <n v="1"/>
    <s v="425763"/>
    <s v="425763-Student Project Expenses"/>
    <s v="000000"/>
    <s v="KUST - General"/>
    <n v="847001"/>
    <s v="FA179-Opex Expense"/>
    <n v="200179"/>
    <x v="97"/>
    <s v="425763.Student Project Expenses-Number of Students UG-Month"/>
    <s v="Month"/>
    <n v="48"/>
    <n v="2000"/>
    <s v="2000 DH per Senior student"/>
    <n v="96000"/>
    <s v="KU Regular operations"/>
    <s v="Recurring"/>
    <s v="Align academic programs with the local and global labor market needs"/>
  </r>
  <r>
    <s v="Academic"/>
    <s v="No Applicable"/>
    <s v="College of Engineering"/>
    <n v="847"/>
    <n v="8470335"/>
    <s v="KUST - Industrial &amp; Systems Engineering"/>
    <n v="1"/>
    <s v="425770"/>
    <s v="425770-Academic Missions - Combined expenses"/>
    <s v="000000"/>
    <s v="KUST - General"/>
    <n v="847001"/>
    <s v="FA179-Opex Expense"/>
    <n v="200179"/>
    <x v="98"/>
    <s v="425770.Academic Missions - Combined expenses-Number of Conference-Number"/>
    <s v="Number"/>
    <n v="22"/>
    <n v="20000"/>
    <s v="20K DHs per faculty trip, one trip per faculty"/>
    <n v="440000"/>
    <s v="KU Regular operations"/>
    <s v="Recurring"/>
    <s v="Increase publications in journals with high impact factor"/>
  </r>
  <r>
    <s v="Other support"/>
    <s v="Director, Human Resources"/>
    <s v="College of Engineering"/>
    <n v="847"/>
    <n v="8470335"/>
    <s v="KUST - Industrial &amp; Systems Engineering"/>
    <n v="1"/>
    <s v="425900"/>
    <s v="425900-Entertainment and hospitality"/>
    <s v="000000"/>
    <s v="KUST - General"/>
    <n v="847001"/>
    <s v="FA179-Opex Expense"/>
    <n v="200179"/>
    <x v="99"/>
    <s v="425900.Entertainment and hospitality-1. No of events/workshops planned-count"/>
    <s v="count"/>
    <n v="6"/>
    <n v="6000"/>
    <s v="4 scoial departmental meetings and events, and 2 retreats"/>
    <n v="36000"/>
    <s v="KU Regular operations"/>
    <s v="Recurring"/>
    <s v="Develop a new learning outcomes assessment framework at the course, programs, and institutional levels"/>
  </r>
  <r>
    <s v="IT"/>
    <s v="Director, Technology Development"/>
    <s v="College of Engineering"/>
    <n v="847"/>
    <n v="8470335"/>
    <s v="KUST - Industrial &amp; Systems Engineering"/>
    <n v="1"/>
    <s v="426610"/>
    <s v="426610-Computer software licenses"/>
    <s v="000000"/>
    <s v="KUST - General"/>
    <n v="847001"/>
    <s v="FA179-Opex Expense"/>
    <n v="200179"/>
    <x v="100"/>
    <s v="426610.Computer software licenses-Software License Renewal-service level agreement-Service"/>
    <s v="Service"/>
    <n v="37"/>
    <n v="6000"/>
    <s v="28 software license to renew on avergae 6000/ license; detailed with IT"/>
    <n v="222000"/>
    <s v="KU Regular operations"/>
    <s v="Recurring"/>
    <s v="Align academic programs with the local and global labor market needs"/>
  </r>
  <r>
    <s v="Academic "/>
    <s v="No Applicable"/>
    <s v="College of Engineering"/>
    <n v="847"/>
    <n v="8470335"/>
    <s v="KUST - Industrial &amp; Systems Engineering"/>
    <n v="1"/>
    <s v="428090"/>
    <s v="428090-Business Travel - Combined expenses"/>
    <s v="000000"/>
    <s v="KUST - General"/>
    <n v="847001"/>
    <s v="FA179-Opex Expense"/>
    <n v="200179"/>
    <x v="101"/>
    <s v="428090.Business Travel - Combined expenses-Number of Staff-Number"/>
    <s v="Number"/>
    <n v="1"/>
    <n v="45000"/>
    <s v="1 business travel mission for DH"/>
    <n v="45000"/>
    <s v="KU Regular operations"/>
    <s v="Recurring"/>
    <s v="Build partnerships with local and international universities"/>
  </r>
  <r>
    <s v="Academic"/>
    <s v="No Applicable"/>
    <s v="College of Engineering"/>
    <n v="847"/>
    <n v="8470335"/>
    <s v="KUST - Industrial &amp; Systems Engineering"/>
    <n v="1"/>
    <s v="435350"/>
    <s v="435350-Academic Publications"/>
    <s v="000000"/>
    <s v="KUST - General"/>
    <n v="847001"/>
    <s v="FA179-Opex Expense"/>
    <n v="200179"/>
    <x v="102"/>
    <s v="435350.Academic Publications-Number of Publications-Number"/>
    <s v="Number"/>
    <n v="11"/>
    <n v="6500"/>
    <s v="10 publications in open access Q1 to highlight impact"/>
    <n v="71500"/>
    <s v="KU Regular operations"/>
    <s v="Recurring"/>
    <s v="Increase publications in journals with high impact factor"/>
  </r>
  <r>
    <s v="Academic"/>
    <s v="Director, Research Laboratories"/>
    <s v="College of Engineering"/>
    <n v="847"/>
    <n v="8470335"/>
    <s v="KUST - Industrial &amp; Systems Engineering"/>
    <n v="1"/>
    <s v="435508"/>
    <s v="435508-Laboratory - Scientific"/>
    <s v="000000"/>
    <s v="KUST - General"/>
    <n v="847001"/>
    <s v="FA179-Opex Expense"/>
    <n v="200179"/>
    <x v="103"/>
    <s v="435508.Laboratory - Scientific-Number of Faculty-Number"/>
    <s v="Number"/>
    <n v="2"/>
    <n v="60000"/>
    <s v="A- One more BioPac kit, B- iMotion headset and ECG"/>
    <n v="120000"/>
    <s v="KU Strategic New Initiative"/>
    <s v="Non-recurring"/>
    <s v="Utilize state-of-the-art technologies and facilities in an optimal and efficient manner"/>
  </r>
  <r>
    <s v="Other support"/>
    <s v="No Applicable"/>
    <s v="College of Engineering"/>
    <n v="847"/>
    <n v="8470335"/>
    <s v="KUST - Industrial &amp; Systems Engineering"/>
    <n v="1"/>
    <s v="436110"/>
    <s v="436110-Printing supplies"/>
    <s v="000000"/>
    <s v="KUST - General"/>
    <n v="847001"/>
    <s v="FA179-Opex Expense"/>
    <n v="200179"/>
    <x v="104"/>
    <s v="427200.Printing and publishing-The printing cost of the department's publications-count"/>
    <s v="count"/>
    <n v="5"/>
    <n v="1800"/>
    <s v="printing supplies to teaching labs and department office"/>
    <n v="9000"/>
    <s v="KU Regular operations"/>
    <s v="Recurring"/>
    <s v="Utilize state-of-the-art technologies and facilities in an optimal and efficient manner"/>
  </r>
  <r>
    <s v="Academic"/>
    <s v="No Applicable"/>
    <s v="College of Engineering"/>
    <n v="847"/>
    <n v="8470335"/>
    <s v="KUST - Industrial &amp; Systems Engineering"/>
    <n v="1"/>
    <s v="436600"/>
    <s v="436600-Training/Teaching equipment and other educational aid"/>
    <s v="000000"/>
    <s v="KUST - General"/>
    <n v="847001"/>
    <s v="FA179-Opex Expense"/>
    <n v="200179"/>
    <x v="105"/>
    <s v="436600.Training/Teaching equipment and other educational aid-Number of Faculty-Number"/>
    <s v="Number"/>
    <n v="3"/>
    <n v="4200"/>
    <s v="training and teaching aids misc."/>
    <n v="12600"/>
    <s v="KU Regular operations"/>
    <s v="Recurring"/>
    <s v="Promote a working culture of excellence and accountability"/>
  </r>
  <r>
    <s v="Academic"/>
    <s v="No Applicable"/>
    <s v="College of Engineering"/>
    <n v="847"/>
    <n v="8470340"/>
    <s v="KUST - Mechanical Engineering"/>
    <n v="1"/>
    <s v="420550"/>
    <s v="420550-Academic Advisory Service"/>
    <s v="000000"/>
    <s v="KUST - General"/>
    <n v="847001"/>
    <s v="FA179-Opex Expense"/>
    <n v="200179"/>
    <x v="106"/>
    <s v="420550.Academic Advisory Service-Number of Students-Number"/>
    <s v="-_"/>
    <n v="1"/>
    <n v="3000"/>
    <s v="One meeting of the industrial advisory group of the deprtment.  Hospitality for 10 individuals and 6 KU faculty."/>
    <n v="3000"/>
    <s v="KU Regular operations"/>
    <s v="Recurring"/>
    <s v="Align academic programs with the local and global labor market needs"/>
  </r>
  <r>
    <s v="Communiction &amp; Marketing"/>
    <s v="Director, Marketing and Communication"/>
    <s v="College of Engineering"/>
    <n v="847"/>
    <n v="8470340"/>
    <s v="KUST - Mechanical Engineering"/>
    <n v="1"/>
    <s v="425510"/>
    <s v="425510-Conferences, seminars and exhibitions and other events: - Local Events"/>
    <s v="000000"/>
    <s v="KUST - General"/>
    <n v="847001"/>
    <s v="FA179-Opex Expense"/>
    <n v="200179"/>
    <x v="107"/>
    <s v="425510.Conferences, seminars and exhibitions and other events: - Local Events-The area of rented halls for events, seminars, and exhibition.-2m"/>
    <s v="-_"/>
    <n v="1"/>
    <n v="10000"/>
    <s v="Support for conferences organized locally by faculty.  Costs of visas for invited speakers.  KU appearing as a co-sponsor of the events"/>
    <n v="10000"/>
    <s v="KU Regular operations"/>
    <s v="Recurring"/>
    <s v="Develop a life-long culture of community service beyond the classroom "/>
  </r>
  <r>
    <s v="Student"/>
    <s v="No Applicable"/>
    <s v="College of Engineering"/>
    <n v="847"/>
    <n v="8470340"/>
    <s v="KUST - Mechanical Engineering"/>
    <n v="1"/>
    <s v="425720"/>
    <s v="425720-Education-Outsourced training service"/>
    <s v="000000"/>
    <s v="KUST - General"/>
    <n v="847001"/>
    <s v="FA179-Opex Expense"/>
    <n v="200179"/>
    <x v="108"/>
    <s v="425720.Education-Outsourced training service-Activities-No of Activities"/>
    <s v="-_"/>
    <n v="2"/>
    <n v="5000"/>
    <s v="One training even for each of our two remaining machinists"/>
    <n v="10000"/>
    <m/>
    <s v="Recurring"/>
    <s v="Utilize state-of-the-art technologies and facilities in an optimal and efficient manner"/>
  </r>
  <r>
    <s v="Student"/>
    <s v="Director, Student Services"/>
    <s v="College of Engineering"/>
    <n v="847"/>
    <n v="8470340"/>
    <s v="KUST - Mechanical Engineering"/>
    <n v="1"/>
    <s v="425760"/>
    <s v="425760-Student activities &amp; field trip expenses"/>
    <s v="000000"/>
    <s v="KUST - General"/>
    <n v="847001"/>
    <s v="FA179-Opex Expense"/>
    <n v="200179"/>
    <x v="109"/>
    <s v="425760.Student activities &amp; field trip expenses-Students-No of Students"/>
    <s v="-_"/>
    <n v="6"/>
    <n v="2000"/>
    <s v="Field trips to ADNOC, Emirates Global Aluminum, Strata (Mubadala), and Shams power station as part of the courses on Turbomachinery, Materials/Metallurgy, and Applied Thermodynamics/Renewable Energy Systems. Additional support for two activities of the ASME student chapter."/>
    <n v="12000"/>
    <s v="KU Regular operations"/>
    <s v="Recurring"/>
    <s v="Align academic programs with the local and global labor market needs"/>
  </r>
  <r>
    <s v="Student"/>
    <s v="No Applicable"/>
    <s v="College of Engineering"/>
    <n v="847"/>
    <n v="8470340"/>
    <s v="KUST - Mechanical Engineering"/>
    <n v="1"/>
    <s v="425763"/>
    <s v="425763-Student Project Expenses"/>
    <s v="000000"/>
    <s v="KUST - General"/>
    <n v="847001"/>
    <s v="FA179-Opex Expense"/>
    <n v="200179"/>
    <x v="110"/>
    <s v="425763.Student Project Expenses-Number of Students UG-Month"/>
    <s v="-_"/>
    <n v="120"/>
    <n v="5000"/>
    <s v="Support for undergraduate students' senior design projects. 120 students per year x 5000 AED per student.  The amoounts will be released early in the semesters and settled at the end against receipts collected from student reimbursements. "/>
    <n v="600000"/>
    <s v="KU Regular operations"/>
    <s v="Recurring"/>
    <s v="Align academic programs with the local and global labor market needs"/>
  </r>
  <r>
    <s v="Academic"/>
    <s v="No Applicable"/>
    <s v="College of Engineering"/>
    <n v="847"/>
    <n v="8470340"/>
    <s v="KUST - Mechanical Engineering"/>
    <n v="1"/>
    <s v="425770"/>
    <s v="425770-Academic Missions - Combined expenses"/>
    <s v="000000"/>
    <s v="KUST - General"/>
    <n v="847001"/>
    <s v="FA179-Opex Expense"/>
    <n v="200179"/>
    <x v="111"/>
    <s v="425770.Academic Missions - Combined expenses-Number of Conference-Number"/>
    <s v="-_"/>
    <n v="40"/>
    <n v="22000"/>
    <s v="One trip per year to a top-quality conference for  each of 40 faculty members x 22,000 AED per trip"/>
    <n v="880000"/>
    <s v="KU Regular operations"/>
    <s v="Recurring"/>
    <s v="Recruit and retain high caliber faculty, researchers and staff"/>
  </r>
  <r>
    <s v="IT"/>
    <s v="Director, Technology Development"/>
    <s v="College of Engineering"/>
    <n v="847"/>
    <n v="8470340"/>
    <s v="KUST - Mechanical Engineering"/>
    <n v="1"/>
    <s v="426610"/>
    <s v="426610-Computer software licenses"/>
    <s v="000000"/>
    <s v="KUST - General"/>
    <n v="847001"/>
    <s v="FA179-Opex Expense"/>
    <n v="200179"/>
    <x v="112"/>
    <s v="426610.Computer software licenses-Software License Renewal-number of licenses-Number"/>
    <s v="-_"/>
    <n v="1"/>
    <n v="240000"/>
    <s v="Please, see itemized list of software that is used for educational purposes in the deprtment.  Annual renewal of software, split in two semesters."/>
    <n v="240000"/>
    <s v="KU Regular operations"/>
    <s v="Recurring"/>
    <s v="Align academic programs with the local and global labor market needs"/>
  </r>
  <r>
    <s v="Academic"/>
    <s v="No Applicable"/>
    <s v="College of Engineering"/>
    <n v="847"/>
    <n v="8470340"/>
    <s v="KUST - Mechanical Engineering"/>
    <n v="1"/>
    <s v="432209"/>
    <s v="432209-Laboratory equipment"/>
    <s v="000000"/>
    <s v="KUST - General"/>
    <n v="847001"/>
    <s v="FA179-Opex Expense"/>
    <n v="200179"/>
    <x v="113"/>
    <s v="432209.Laboratory equipment-Number of Students-Number"/>
    <s v="-_"/>
    <n v="1"/>
    <n v="80000"/>
    <s v="Please, see attached detailed quote. One maintenance contract for the instructional equipment of the department"/>
    <n v="80000"/>
    <s v="KU Regular operations"/>
    <s v="Recurring"/>
    <s v="Utilize state-of-the-art technologies and facilities in an optimal and efficient manner"/>
  </r>
  <r>
    <s v="Academic"/>
    <s v="No Applicable"/>
    <s v="College of Engineering"/>
    <n v="847"/>
    <n v="8470340"/>
    <s v="KUST - Mechanical Engineering"/>
    <n v="1"/>
    <s v="435350"/>
    <s v="435350-Academic Publications"/>
    <s v="000000"/>
    <s v="KUST - General"/>
    <n v="847001"/>
    <s v="FA179-Opex Expense"/>
    <n v="200179"/>
    <x v="114"/>
    <s v="427200.Printing and publishing-The printing cost of the department's publications-count"/>
    <s v="-_"/>
    <n v="40"/>
    <n v="12000"/>
    <s v="One open-access publication for each faculty member in a Q1 journal. 40 faculty members x 12000 AED per publication."/>
    <n v="480000"/>
    <s v="KU Regular operations"/>
    <s v="Recurring"/>
    <s v="Recruit and retain high caliber faculty, researchers and staff"/>
  </r>
  <r>
    <s v="Academic"/>
    <s v="Director, Research Laboratories"/>
    <s v="College of Engineering"/>
    <n v="847"/>
    <n v="8470340"/>
    <s v="KUST - Mechanical Engineering"/>
    <n v="1"/>
    <s v="435508"/>
    <s v="435508-Laboratory - Scientific"/>
    <s v="000000"/>
    <s v="KUST - General"/>
    <n v="847001"/>
    <s v="FA179-Opex Expense"/>
    <n v="200179"/>
    <x v="115"/>
    <s v="432209.Laboratory equipment-Number of Students-Number"/>
    <s v="-_"/>
    <n v="12"/>
    <n v="20000"/>
    <s v="Raw materials for machining, electric and electronic hardware, chemicals, gases, as well as tools and hardware.  Itemized estmates per month:  Workshop (Main and SAN): 6000 AED, Solids, Heat Transfer and Fluids labs: 1000 AED, Material Testing lab: 4000 AED, 3D Printing labs: 5000 AED, _x000a_Mechatronics lab:_x0009_2000 AED, Spare Parts for all labs: 2000 AED"/>
    <n v="240000"/>
    <s v="KU Regular operations"/>
    <s v="Recurring"/>
    <s v="Utilize state-of-the-art technologies and facilities in an optimal and efficient manner"/>
  </r>
  <r>
    <s v="Facilities "/>
    <s v="Director, Research Laboratories"/>
    <s v="College of Engineering"/>
    <n v="847"/>
    <n v="8470340"/>
    <s v="KUST - Mechanical Engineering"/>
    <n v="1"/>
    <s v="492316"/>
    <s v="492316-Laboratory equipment"/>
    <s v="000000"/>
    <s v="KUST - General"/>
    <n v="847001"/>
    <s v="FA180-Capex Expense"/>
    <n v="300180"/>
    <x v="116"/>
    <s v="432209.Laboratory equipment-Number of Students-Number"/>
    <s v="-_"/>
    <n v="1"/>
    <n v="700000"/>
    <s v="Please, see attached detailed quote. Additive Manufacturing - Metal 3D - Printer. It will strengthen both the mandatory manufacturing course and a recently developed technical elective on additive manufacturing, as well as graduate courses.   It will strongly boos or capabilities to do prototyping and produce functional parts for teaching, graduate research, SDPs,  and design competitions."/>
    <n v="700000"/>
    <s v="KU Strategic New Initiative"/>
    <s v="Non-recurring"/>
    <s v="Utilize state-of-the-art technologies and facilities in an optimal and efficient manner"/>
  </r>
  <r>
    <s v="Academic"/>
    <s v="No Applicable"/>
    <s v="College of Engineering"/>
    <n v="847"/>
    <n v="8470345"/>
    <s v="KUST - Nuclear Engineering"/>
    <n v="1"/>
    <s v="420550"/>
    <s v="420550-Academic Advisory Service"/>
    <s v="000000"/>
    <s v="KUST - General"/>
    <n v="847001"/>
    <s v="FA179-Opex Expense"/>
    <n v="200179"/>
    <x v="117"/>
    <s v="420550.Academic Advisory Service-Number of Students-Number"/>
    <n v="1"/>
    <n v="1"/>
    <n v="20000"/>
    <s v="1 field trip per year for 8 students 20k per student"/>
    <n v="20000"/>
    <s v="KU Regular operations"/>
    <s v="Recurring"/>
    <s v="Establish a mobility program for students, faculty, researchers and staff"/>
  </r>
  <r>
    <s v="Communiction &amp; Marketing"/>
    <s v="Director, Marketing and Communication"/>
    <s v="College of Engineering"/>
    <n v="847"/>
    <n v="8470345"/>
    <s v="KUST - Nuclear Engineering"/>
    <n v="1"/>
    <s v="425510"/>
    <s v="425510-Conferences, seminars and exhibitions and other events: - Local Events"/>
    <s v="000000"/>
    <s v="KUST - General"/>
    <n v="847001"/>
    <s v="FA179-Opex Expense"/>
    <n v="200179"/>
    <x v="118"/>
    <s v="425510.Conferences, seminars and exhibitions and other events: - Local Events-Conferences-Number of Conferences"/>
    <n v="2"/>
    <n v="2"/>
    <n v="17500"/>
    <s v="1 mission per faculty per year, 20 k per mission"/>
    <n v="35000"/>
    <s v="KU Regular operations"/>
    <s v="Recurring"/>
    <s v="Enhance the communication plan and outreach activities"/>
  </r>
  <r>
    <s v="Student"/>
    <s v="Director, Student Services"/>
    <s v="College of Engineering"/>
    <n v="847"/>
    <n v="8470345"/>
    <s v="KUST - Nuclear Engineering"/>
    <n v="1"/>
    <s v="425770"/>
    <s v="425770-Academic Missions - Combined expenses"/>
    <s v="000000"/>
    <s v="KUST - General"/>
    <n v="847001"/>
    <s v="FA179-Opex Expense"/>
    <n v="200179"/>
    <x v="119"/>
    <s v="425760.Student activities &amp; field trip expenses-Events-No of Events"/>
    <n v="7"/>
    <n v="7"/>
    <n v="20000"/>
    <s v="1 mission per faculty per year, 20 k per mission"/>
    <n v="140000"/>
    <s v="KU Regular operations"/>
    <s v="Recurring"/>
    <s v="Enhance the communication plan and outreach activities"/>
  </r>
  <r>
    <s v="Student"/>
    <s v="Director, Student Services"/>
    <s v="College of Engineering"/>
    <n v="847"/>
    <n v="8470345"/>
    <s v="KUST - Nuclear Engineering"/>
    <n v="1"/>
    <s v="425760"/>
    <s v="425760-Student activities &amp; field trip expenses"/>
    <s v="000000"/>
    <s v="KUST - General"/>
    <n v="847001"/>
    <s v="FA179-Opex Expense"/>
    <n v="200179"/>
    <x v="120"/>
    <s v="425770.Academic Missions - Combined expenses-Number of Conference-Number"/>
    <n v="6"/>
    <n v="8"/>
    <n v="20000"/>
    <s v="6 hospitality per year, expansion internaltional cooperation"/>
    <n v="160000"/>
    <s v="KU Regular operations"/>
    <s v="Recurring"/>
    <s v="Enhance the communication plan and outreach activities"/>
  </r>
  <r>
    <s v="Other support"/>
    <s v="Director, Human Resources"/>
    <s v="College of Engineering"/>
    <n v="847"/>
    <n v="8470345"/>
    <s v="KUST - Nuclear Engineering"/>
    <n v="1"/>
    <s v="425900"/>
    <s v="425900-Entertainment and hospitality"/>
    <s v="000000"/>
    <s v="KUST - General"/>
    <n v="847001"/>
    <s v="FA179-Opex Expense"/>
    <n v="200179"/>
    <x v="121"/>
    <s v="425900.Entertainment and hospitality-1. No of events/workshops planned-count"/>
    <n v="6"/>
    <n v="6"/>
    <n v="500"/>
    <s v="6 hospitality per year, expansion internaltional cooperation"/>
    <n v="3000"/>
    <s v="KU Regular operations"/>
    <s v="Recurring"/>
    <s v="Enhance the communication plan and outreach activities"/>
  </r>
  <r>
    <s v="Academic"/>
    <s v="No Applicable"/>
    <s v="College of Engineering"/>
    <n v="847"/>
    <n v="8470345"/>
    <s v="KUST - Nuclear Engineering"/>
    <n v="1"/>
    <s v="425770"/>
    <s v="425770-Academic Missions - Combined expenses"/>
    <s v="000000"/>
    <s v="KUST - General"/>
    <n v="847001"/>
    <s v="FA179-Opex Expense"/>
    <n v="200179"/>
    <x v="119"/>
    <s v="426610.Computer software licenses-Software License Renewal-number of licenses-Number"/>
    <n v="1"/>
    <n v="1"/>
    <n v="59217"/>
    <s v="Yearly subscriptions / Quotations in OPEX RDA Lab"/>
    <n v="59217"/>
    <s v="KU Regular operations"/>
    <s v="Recurring"/>
    <s v="Ensure the university sustainability "/>
  </r>
  <r>
    <s v="Other support"/>
    <s v="Director, Human Resources"/>
    <s v="College of Engineering"/>
    <n v="847"/>
    <n v="8470345"/>
    <s v="KUST - Nuclear Engineering"/>
    <n v="1"/>
    <s v="425900"/>
    <s v="425900-Entertainment and hospitality"/>
    <s v="000000"/>
    <s v="KUST - General"/>
    <n v="847001"/>
    <s v="FA179-Opex Expense"/>
    <n v="200179"/>
    <x v="121"/>
    <s v="428090.Business Travel - Combined expenses-Number of Faculty-Number"/>
    <n v="2"/>
    <n v="2"/>
    <n v="25000"/>
    <s v="2 buisness travel per year"/>
    <n v="50000"/>
    <s v="KU Regular operations"/>
    <s v="Recurring"/>
    <s v="Build partnerships with local and international universities"/>
  </r>
  <r>
    <s v="IT"/>
    <s v="Director, Technology Development"/>
    <s v="College of Engineering"/>
    <n v="847"/>
    <n v="8470345"/>
    <s v="KUST - Nuclear Engineering"/>
    <n v="1"/>
    <s v="426610"/>
    <s v="426610-Computer software licenses"/>
    <s v="000000"/>
    <s v="KUST - General"/>
    <n v="847001"/>
    <s v="FA179-Opex Expense"/>
    <n v="200179"/>
    <x v="122"/>
    <s v="435350.Academic Publications-Number of Publications-Number"/>
    <n v="7"/>
    <n v="14"/>
    <n v="12000"/>
    <s v=" 2 open access Q1 publications per faculty per year"/>
    <n v="168000"/>
    <s v="KU Regular operations"/>
    <s v="Recurring"/>
    <s v="Increase publications in journals with high impact factor"/>
  </r>
  <r>
    <s v="Academic "/>
    <s v="No Applicable"/>
    <s v="College of Engineering"/>
    <n v="847"/>
    <n v="8470345"/>
    <s v="KUST - Nuclear Engineering"/>
    <n v="1"/>
    <s v="428090"/>
    <s v="428090-Business Travel - Combined expenses"/>
    <s v="000000"/>
    <s v="KUST - General"/>
    <n v="847001"/>
    <s v="FA179-Opex Expense"/>
    <n v="200179"/>
    <x v="123"/>
    <s v="435508.Laboratory - Scientific-Number of Students-Number"/>
    <n v="1"/>
    <n v="1"/>
    <n v="549184"/>
    <s v="According to detailed OPEX documents"/>
    <n v="549184"/>
    <s v="KU Regular operations"/>
    <s v="Recurring"/>
    <s v="Ensure the university sustainability "/>
  </r>
  <r>
    <s v="Academic"/>
    <s v="No Applicable"/>
    <s v="College of Engineering"/>
    <n v="847"/>
    <n v="8470345"/>
    <s v="KUST - Nuclear Engineering"/>
    <n v="1"/>
    <s v="435350"/>
    <s v="435350-Academic Publications"/>
    <s v="000000"/>
    <s v="KUST - General"/>
    <n v="847001"/>
    <s v="FA179-Opex Expense"/>
    <n v="200179"/>
    <x v="124"/>
    <s v="436110.Printing supplies-Number of Student-Number"/>
    <n v="5"/>
    <n v="1"/>
    <n v="6000"/>
    <s v="6 doc print per year "/>
    <n v="6000"/>
    <s v="KU Regular operations"/>
    <s v="Recurring"/>
    <s v="Increase number of postgraduate students"/>
  </r>
  <r>
    <s v="Facilities "/>
    <s v="Director, Research Laboratories"/>
    <s v="College of Engineering"/>
    <n v="847"/>
    <n v="8470345"/>
    <s v="KUST - Nuclear Engineering"/>
    <n v="1"/>
    <s v="492316"/>
    <s v="492316-Laboratory equipment"/>
    <s v="000000"/>
    <s v="KUST - General"/>
    <n v="847001"/>
    <s v="FA180-Capex Expense"/>
    <n v="300180"/>
    <x v="125"/>
    <s v="436600.Training/Teaching equipment and other educational aid-Number of Student-Number"/>
    <n v="15"/>
    <n v="1"/>
    <n v="578400"/>
    <s v="According to detailed CAPEX documents"/>
    <n v="578400"/>
    <s v="KU Strategic New Initiative"/>
    <s v="Non-recurring"/>
    <s v="Utilize state-of-the-art technologies and facilities in an optimal and efficient manner"/>
  </r>
  <r>
    <s v="Communiction &amp; Marketing"/>
    <s v="Director, Marketing and Communication"/>
    <s v="College of Engineering"/>
    <n v="847"/>
    <n v="8470350"/>
    <s v="KUST - Petroleum Engineering"/>
    <n v="1"/>
    <s v="425510"/>
    <s v="425510-Conferences, seminars and exhibitions and other events: - Local Events"/>
    <s v="000000"/>
    <s v="KUST - General"/>
    <n v="847001"/>
    <s v="FA179-Opex Expense"/>
    <n v="200179"/>
    <x v="126"/>
    <s v="425510.Conferences, seminars and exhibitions and other events: - Local Events-Seminars-Number of Seminars"/>
    <s v="Number of Seminars"/>
    <n v="5"/>
    <n v="5500"/>
    <s v="Department seminars and exhibitions, etc."/>
    <n v="27500"/>
    <s v="KU Regular operations"/>
    <s v="Recurring"/>
    <s v="Align academic programs with the local and global labor market needs"/>
  </r>
  <r>
    <s v="Student"/>
    <s v="Director, Student Services"/>
    <s v="College of Engineering"/>
    <n v="847"/>
    <n v="8470350"/>
    <s v="KUST - Petroleum Engineering"/>
    <n v="1"/>
    <s v="425760"/>
    <s v="425760-Student activities &amp; field trip expenses"/>
    <s v="000000"/>
    <s v="KUST - General"/>
    <n v="847001"/>
    <s v="FA179-Opex Expense"/>
    <n v="200179"/>
    <x v="127"/>
    <s v="425760.Student activities &amp; field trip expenses-Events-No of Events"/>
    <s v="No of Events"/>
    <n v="10"/>
    <n v="3500"/>
    <s v="SPE Student Chapter Activities"/>
    <n v="35000"/>
    <s v="KU Regular operations"/>
    <s v="Recurring"/>
    <s v="Enhance the communication plan and outreach activities"/>
  </r>
  <r>
    <s v="Student"/>
    <s v="No Applicable"/>
    <s v="College of Engineering"/>
    <n v="847"/>
    <n v="8470350"/>
    <s v="KUST - Petroleum Engineering"/>
    <n v="1"/>
    <s v="425763"/>
    <s v="425763-Student Project Expenses"/>
    <s v="000000"/>
    <s v="KUST - General"/>
    <n v="847001"/>
    <s v="FA179-Opex Expense"/>
    <n v="200179"/>
    <x v="128"/>
    <s v="425760.Student activities &amp; field trip expenses-Events-No of Events"/>
    <s v="No of Events"/>
    <n v="10"/>
    <n v="2000"/>
    <s v="Satudent senior design projects"/>
    <n v="20000"/>
    <s v="KU Regular operations"/>
    <s v="Recurring"/>
    <s v="Align academic programs with the local and global labor market needs"/>
  </r>
  <r>
    <s v="Academic"/>
    <s v="No Applicable"/>
    <s v="College of Engineering"/>
    <n v="847"/>
    <n v="8470350"/>
    <s v="KUST - Petroleum Engineering"/>
    <n v="1"/>
    <s v="425770"/>
    <s v="425770-Academic Missions - Combined expenses"/>
    <s v="000000"/>
    <s v="KUST - General"/>
    <n v="847001"/>
    <s v="FA179-Opex Expense"/>
    <n v="200179"/>
    <x v="129"/>
    <s v="425770.Academic Missions - Combined expenses-Number of Meeting-Number"/>
    <s v="Number"/>
    <n v="13"/>
    <n v="25000"/>
    <s v="Academic mission for international and regional conferences for 12 faculty members"/>
    <n v="325000"/>
    <s v="KU Regular operations"/>
    <s v="Recurring"/>
    <s v="Align academic programs with the local and global labor market needs"/>
  </r>
  <r>
    <s v="Other support"/>
    <s v="Director, Human Resources"/>
    <s v="College of Engineering"/>
    <n v="847"/>
    <n v="8470350"/>
    <s v="KUST - Petroleum Engineering"/>
    <n v="1"/>
    <s v="425900"/>
    <s v="425900-Entertainment and hospitality"/>
    <s v="000000"/>
    <s v="KUST - General"/>
    <n v="847001"/>
    <s v="FA179-Opex Expense"/>
    <n v="200179"/>
    <x v="130"/>
    <s v="425900.Entertainment and hospitality-1. No of events/workshops planned-count"/>
    <s v="count"/>
    <n v="20"/>
    <n v="2000"/>
    <s v="Biweekly department meetings, Seminars,_x000a_Open &amp; Major days and SPE  Student chapter activities."/>
    <n v="40000"/>
    <s v="KU Regular operations"/>
    <s v="Recurring"/>
    <s v="Align academic programs with the local and global labor market needs"/>
  </r>
  <r>
    <s v="Academic"/>
    <s v="No Applicable"/>
    <s v="College of Engineering"/>
    <n v="847"/>
    <n v="8470350"/>
    <s v="KUST - Petroleum Engineering"/>
    <n v="1"/>
    <s v="426610"/>
    <s v="426610-Computer software licenses-Software License Renewal"/>
    <s v="000000"/>
    <s v="KUST - General"/>
    <n v="847001"/>
    <s v="FA179-Opex Expense"/>
    <n v="200179"/>
    <x v="131"/>
    <s v="426610.Computer software licenses-Software License Renewal-number of licenses-Number"/>
    <s v="Number"/>
    <n v="1"/>
    <n v="30000"/>
    <s v="iDrillSim Cloudbased Software"/>
    <n v="30000"/>
    <s v="KU Regular operations"/>
    <s v="Recurring"/>
    <s v="Align academic programs with the local and global labor market needs"/>
  </r>
  <r>
    <s v="Academic"/>
    <s v="No Applicable"/>
    <s v="College of Engineering"/>
    <n v="847"/>
    <n v="8470350"/>
    <s v="KUST - Petroleum Engineering"/>
    <n v="1"/>
    <s v="426610"/>
    <s v="426610-Computer software licenses-Software License Renewal"/>
    <s v="000000"/>
    <s v="KUST - General"/>
    <n v="847001"/>
    <s v="FA179-Opex Expense"/>
    <n v="200179"/>
    <x v="131"/>
    <s v="426610.Computer software licenses-Software License Renewal-number of licenses-Number"/>
    <s v="Number"/>
    <n v="1"/>
    <n v="8000"/>
    <s v="OriginPro Software maintenance"/>
    <n v="8000"/>
    <s v="KU Regular operations"/>
    <s v="Recurring"/>
    <s v="Align academic programs with the local and global labor market needs"/>
  </r>
  <r>
    <s v="Academic"/>
    <s v="No Applicable"/>
    <s v="College of Engineering"/>
    <n v="847"/>
    <n v="8470350"/>
    <s v="KUST - Petroleum Engineering"/>
    <n v="1"/>
    <s v="426610"/>
    <s v="426610-Computer software licenses-Software License Renewal"/>
    <s v="000000"/>
    <s v="KUST - General"/>
    <n v="847001"/>
    <s v="FA179-Opex Expense"/>
    <n v="200179"/>
    <x v="131"/>
    <s v="426610.Computer software licenses-Software License Renewal-number of licenses-Number"/>
    <s v="Number"/>
    <n v="1"/>
    <n v="30000"/>
    <s v="BIOVIA Materials Studio Software Maintenance"/>
    <n v="30000"/>
    <s v="KU Regular operations"/>
    <s v="Recurring"/>
    <s v="Align academic programs with the local and global labor market needs"/>
  </r>
  <r>
    <s v="Academic"/>
    <s v="No Applicable"/>
    <s v="College of Engineering"/>
    <n v="847"/>
    <n v="8470350"/>
    <s v="KUST - Petroleum Engineering"/>
    <n v="1"/>
    <s v="426610"/>
    <s v="426610-Computer software licenses-Software License Renewal"/>
    <s v="000000"/>
    <s v="KUST - General"/>
    <n v="847001"/>
    <s v="FA179-Opex Expense"/>
    <n v="200179"/>
    <x v="131"/>
    <s v="426610.Computer software licenses-Software License Renewal-number of licenses-Number"/>
    <s v="Number"/>
    <n v="1"/>
    <n v="10000"/>
    <s v="Kappa Software Renewal"/>
    <n v="10000"/>
    <s v="KU Regular operations"/>
    <s v="Recurring"/>
    <s v="Align academic programs with the local and global labor market needs"/>
  </r>
  <r>
    <s v="Academic"/>
    <s v="No Applicable"/>
    <s v="College of Engineering"/>
    <n v="847"/>
    <n v="8470350"/>
    <s v="KUST - Petroleum Engineering"/>
    <n v="1"/>
    <s v="426610"/>
    <s v="426610-Computer software licenses-Software License Renewal"/>
    <s v="000000"/>
    <s v="KUST - General"/>
    <n v="847001"/>
    <s v="FA179-Opex Expense"/>
    <n v="200179"/>
    <x v="131"/>
    <s v="426610.Computer software licenses-Software License Renewal-number of licenses-Number"/>
    <s v="Number"/>
    <n v="1"/>
    <n v="45000"/>
    <s v="QRI Speedwise software"/>
    <n v="45000"/>
    <s v="KU Regular operations"/>
    <s v="Recurring"/>
    <s v="Align academic programs with the local and global labor market needs"/>
  </r>
  <r>
    <s v="Academic"/>
    <s v="No Applicable"/>
    <s v="College of Engineering"/>
    <n v="847"/>
    <n v="8470350"/>
    <s v="KUST - Petroleum Engineering"/>
    <n v="1"/>
    <s v="426610"/>
    <s v="426610-Computer software licenses-Software License Renewal"/>
    <s v="000000"/>
    <s v="KUST - General"/>
    <n v="847001"/>
    <s v="FA179-Opex Expense"/>
    <n v="200179"/>
    <x v="131"/>
    <s v="426610.Computer software licenses-Software License Renewal-number of licenses-Number"/>
    <s v="Number"/>
    <n v="1"/>
    <n v="200000"/>
    <s v="Thermo Scientific™ PerGeos Software Upgrade"/>
    <n v="200000"/>
    <s v="KU Regular operations"/>
    <s v="Recurring"/>
    <s v="Align academic programs with the local and global labor market needs"/>
  </r>
  <r>
    <s v="Academic"/>
    <s v="No Applicable"/>
    <s v="College of Engineering"/>
    <n v="847"/>
    <n v="8470350"/>
    <s v="KUST - Petroleum Engineering"/>
    <n v="1"/>
    <s v="432209"/>
    <s v="432209-Laboratory equipment"/>
    <s v="000000"/>
    <s v="KUST - General"/>
    <n v="847001"/>
    <s v="FA179-Opex Expense"/>
    <n v="200179"/>
    <x v="132"/>
    <s v="432209.Laboratory equipment-Number of Students-Number"/>
    <s v="Number"/>
    <n v="1"/>
    <n v="85000"/>
    <s v="Drilling Simulator Service Maintenance"/>
    <n v="85000"/>
    <s v="KU Regular operations"/>
    <s v="Recurring"/>
    <s v="Align academic programs with the local and global labor market needs"/>
  </r>
  <r>
    <s v="Academic"/>
    <s v="No Applicable"/>
    <s v="College of Engineering"/>
    <n v="847"/>
    <n v="8470350"/>
    <s v="KUST - Petroleum Engineering"/>
    <n v="1"/>
    <s v="432209"/>
    <s v="432209-Laboratory equipment"/>
    <s v="000000"/>
    <s v="KUST - General"/>
    <n v="847001"/>
    <s v="FA179-Opex Expense"/>
    <n v="200179"/>
    <x v="132"/>
    <s v="432209.Laboratory equipment-Number of Students-Number"/>
    <s v="Number"/>
    <n v="40"/>
    <n v="4000"/>
    <s v="Vinci He Porosimeter and Gas Permeameaters Service, Maintenance and Spare Parts"/>
    <n v="160000"/>
    <s v="KU Regular operations"/>
    <s v="Recurring"/>
    <s v="Align academic programs with the local and global labor market needs"/>
  </r>
  <r>
    <s v="Academic"/>
    <s v="No Applicable"/>
    <s v="College of Engineering"/>
    <n v="847"/>
    <n v="8470350"/>
    <s v="KUST - Petroleum Engineering"/>
    <n v="1"/>
    <s v="432209"/>
    <s v="432209-Laboratory equipment"/>
    <s v="000000"/>
    <s v="KUST - General"/>
    <n v="847001"/>
    <s v="FA179-Opex Expense"/>
    <n v="200179"/>
    <x v="132"/>
    <s v="432209.Laboratory equipment-Number of Students-Number"/>
    <s v="Number"/>
    <n v="15"/>
    <n v="12000"/>
    <s v="Grace Core Flood System Service, Maintenance and Spare Parts"/>
    <n v="180000"/>
    <s v="KU Regular operations"/>
    <s v="Recurring"/>
    <s v="Align the postgraduates programs with the research strategy"/>
  </r>
  <r>
    <s v="Academic"/>
    <s v="No Applicable"/>
    <s v="College of Engineering"/>
    <n v="847"/>
    <n v="8470350"/>
    <s v="KUST - Petroleum Engineering"/>
    <n v="1"/>
    <s v="435340"/>
    <s v="435340-Text books and library books"/>
    <s v="000000"/>
    <s v="KUST - General"/>
    <n v="847001"/>
    <s v="FA179-Opex Expense"/>
    <n v="200179"/>
    <x v="133"/>
    <s v="435340.Text books and library books-Faculty-Number oF Faculty"/>
    <s v="Number oF Faculty"/>
    <n v="10"/>
    <n v="3000"/>
    <s v="Rreference library books for graduate students research"/>
    <n v="30000"/>
    <s v="KU Regular operations"/>
    <s v="Recurring"/>
    <s v="Align the postgraduates programs with the research strategy"/>
  </r>
  <r>
    <s v="Academic"/>
    <s v="No Applicable"/>
    <s v="College of Engineering"/>
    <n v="847"/>
    <n v="8470350"/>
    <s v="KUST - Petroleum Engineering"/>
    <n v="1"/>
    <s v="435350"/>
    <s v="435350-Academic Publications"/>
    <s v="000000"/>
    <s v="KUST - General"/>
    <n v="847001"/>
    <s v="FA179-Opex Expense"/>
    <n v="200179"/>
    <x v="134"/>
    <s v="435350.Academic Publications-Number of Publications-Number"/>
    <s v="Number"/>
    <n v="13"/>
    <n v="12000"/>
    <s v="Q1 open journal publications for 10 faculty members"/>
    <n v="156000"/>
    <s v="KU Regular operations"/>
    <s v="Recurring"/>
    <s v="Align the postgraduates programs with the research strategy"/>
  </r>
  <r>
    <s v="Academic"/>
    <s v="Director, Research Laboratories"/>
    <s v="College of Engineering"/>
    <n v="847"/>
    <n v="8470350"/>
    <s v="KUST - Petroleum Engineering"/>
    <n v="1"/>
    <s v="435508"/>
    <s v="435508-Laboratory - Scientific"/>
    <s v="000000"/>
    <s v="KUST - General"/>
    <n v="847001"/>
    <s v="FA179-Opex Expense"/>
    <n v="200179"/>
    <x v="135"/>
    <s v="435508.Laboratory - Scientific-Number of Students-Number"/>
    <s v="Number"/>
    <n v="60"/>
    <n v="500"/>
    <s v="Helium, Nitrogen, etc Gas Cylinders"/>
    <n v="30000"/>
    <s v="KU Regular operations"/>
    <s v="Recurring"/>
    <s v="Align the postgraduates programs with the research strategy"/>
  </r>
  <r>
    <s v="Academic"/>
    <s v="Director, Research Laboratories"/>
    <s v="College of Engineering"/>
    <n v="847"/>
    <n v="8470350"/>
    <s v="KUST - Petroleum Engineering"/>
    <n v="1"/>
    <s v="435508"/>
    <s v="435508-Laboratory - Scientific"/>
    <s v="000000"/>
    <s v="KUST - General"/>
    <n v="847001"/>
    <s v="FA179-Opex Expense"/>
    <n v="200179"/>
    <x v="135"/>
    <s v="435508.Laboratory - Scientific-Number of Students-Number"/>
    <s v="Number"/>
    <n v="60"/>
    <n v="500"/>
    <s v="Salts, Chemicals and Solvents"/>
    <n v="30000"/>
    <s v="KU Regular operations"/>
    <s v="Recurring"/>
    <s v="Align the postgraduates programs with the research strategy"/>
  </r>
  <r>
    <s v="Academic"/>
    <s v="Director, Research Laboratories"/>
    <s v="College of Engineering"/>
    <n v="847"/>
    <n v="8470350"/>
    <s v="KUST - Petroleum Engineering"/>
    <n v="1"/>
    <s v="435508"/>
    <s v="435508-Laboratory - Scientific"/>
    <s v="000000"/>
    <s v="KUST - General"/>
    <n v="847001"/>
    <s v="FA179-Opex Expense"/>
    <n v="200179"/>
    <x v="135"/>
    <s v="435508.Laboratory - Scientific-Number of Students-Number"/>
    <s v="Number"/>
    <n v="60"/>
    <n v="1200"/>
    <s v="Miscellaneous (Tool boxes, timers, calipers, PPE, workstations hardwares, etc.) "/>
    <n v="72000"/>
    <s v="KU Regular operations"/>
    <s v="Recurring"/>
    <s v="Align the postgraduates programs with the research strategy"/>
  </r>
  <r>
    <s v="Other support"/>
    <s v="No Applicable"/>
    <s v="College of Engineering"/>
    <n v="847"/>
    <n v="8470350"/>
    <s v="KUST - Petroleum Engineering"/>
    <n v="1"/>
    <s v="436110"/>
    <s v="436110-Printing supplies"/>
    <s v="000000"/>
    <s v="KUST - General"/>
    <n v="847001"/>
    <s v="FA179-Opex Expense"/>
    <n v="200179"/>
    <x v="136"/>
    <s v="436110.Printing supplies-Number of Employees-Number"/>
    <s v="Number"/>
    <n v="10"/>
    <n v="500"/>
    <s v="Printing and supplies"/>
    <n v="5000"/>
    <s v="KU Regular operations"/>
    <s v="Recurring"/>
    <s v="Align academic programs with the local and global labor market needs"/>
  </r>
  <r>
    <s v="Academic"/>
    <s v="No Applicable"/>
    <s v="College of Engineering"/>
    <n v="847"/>
    <n v="8470350"/>
    <s v="KUST - Petroleum Engineering"/>
    <n v="1"/>
    <s v="436600"/>
    <s v="436600-Training/Teaching equipment and other educational aid"/>
    <s v="000000"/>
    <s v="KUST - General"/>
    <n v="847001"/>
    <s v="FA179-Opex Expense"/>
    <n v="200179"/>
    <x v="137"/>
    <s v="436600.Training/Teaching equipment and other educational aid-Number of Staff-Number"/>
    <s v="Number"/>
    <n v="4"/>
    <n v="27000"/>
    <s v="Staff training and development"/>
    <n v="108000"/>
    <s v="KU Regular operations"/>
    <s v="Recurring"/>
    <s v="Align academic programs with the local and global labor market needs"/>
  </r>
  <r>
    <s v="Facilities "/>
    <s v="Director, Research Laboratories"/>
    <s v="College of Engineering"/>
    <n v="847"/>
    <n v="8470350"/>
    <s v="KUST - Petroleum Engineering"/>
    <n v="1"/>
    <s v="492316"/>
    <s v="492316-Laboratory equipment"/>
    <s v="000000"/>
    <s v="KUST - General"/>
    <n v="847001"/>
    <s v="FA180-Capex Expense"/>
    <n v="300180"/>
    <x v="138"/>
    <s v="492316.Laboratory equipment-Number of Research-Number"/>
    <s v="Number"/>
    <n v="10"/>
    <n v="10000"/>
    <s v="Vacuum Pumps"/>
    <n v="100000"/>
    <s v="KU Regular operations"/>
    <s v="Recurring"/>
    <s v="Align the postgraduates programs with the research strategy"/>
  </r>
  <r>
    <s v="Facilities "/>
    <s v="Director, Research Laboratories"/>
    <s v="College of Engineering"/>
    <n v="847"/>
    <n v="8470350"/>
    <s v="KUST - Petroleum Engineering"/>
    <n v="1"/>
    <s v="492316"/>
    <s v="492316-Laboratory equipment"/>
    <s v="000000"/>
    <s v="KUST - General"/>
    <n v="847001"/>
    <s v="FA180-Capex Expense"/>
    <n v="300180"/>
    <x v="138"/>
    <s v="492316.Laboratory equipment-Number of Research-Number"/>
    <s v="Number"/>
    <n v="1"/>
    <n v="3000000"/>
    <s v="HPHT Core Flooding System"/>
    <n v="3000000"/>
    <s v="KU Regular operations"/>
    <s v="Recurring"/>
    <s v="Align the postgraduates programs with the research strategy"/>
  </r>
  <r>
    <s v="Facilities "/>
    <s v="Director, Research Laboratories"/>
    <s v="College of Engineering"/>
    <n v="847"/>
    <n v="8470350"/>
    <s v="KUST - Petroleum Engineering"/>
    <n v="1"/>
    <s v="492316"/>
    <s v="492316-Laboratory equipment"/>
    <s v="000000"/>
    <s v="KUST - General"/>
    <n v="847001"/>
    <s v="FA180-Capex Expense"/>
    <n v="300180"/>
    <x v="138"/>
    <s v="495110.Computer software-TBD-TBD"/>
    <s v="TBD"/>
    <n v="3"/>
    <n v="30000"/>
    <s v="Ph.D. students software"/>
    <n v="90000"/>
    <s v="KU Regular operations"/>
    <s v="Recurring"/>
    <s v="Align the postgraduates programs with the research strategy"/>
  </r>
  <r>
    <s v="Academic"/>
    <s v="No Applicable"/>
    <s v="College of Engineering"/>
    <n v="847"/>
    <n v="8470315"/>
    <s v="KUST - Biomedical Engineering"/>
    <n v="1"/>
    <s v="420550"/>
    <s v="420550-Academic Advisory Service"/>
    <s v="000000"/>
    <s v="KUST - General"/>
    <n v="847001"/>
    <s v="FA179-Opex Expense"/>
    <n v="200179"/>
    <x v="139"/>
    <s v="420550.Academic Advisory Service-Number of Services-Number"/>
    <s v="Number"/>
    <n v="1"/>
    <n v="7000"/>
    <s v="Advisory board meeting expenses (2 hours per meeting, 1meeting per year); invitations from abroad, e.g., Cambridge University."/>
    <n v="7000"/>
    <s v="KU Regular operations"/>
    <s v="Recurring"/>
    <s v="Align academic programs with the local and global labor market needs"/>
  </r>
  <r>
    <s v="Communiction &amp; Marketing"/>
    <s v="Director, Marketing and Communication"/>
    <s v="College of Engineering"/>
    <n v="847"/>
    <n v="8470315"/>
    <s v="KUST - Biomedical Engineering"/>
    <n v="1"/>
    <s v="425510"/>
    <s v="425510-Conferences, seminars and exhibitions and other events: - Local Events"/>
    <s v="000000"/>
    <s v="KUST - General"/>
    <n v="847001"/>
    <s v="FA179-Opex Expense"/>
    <n v="200179"/>
    <x v="140"/>
    <s v="425510.Conferences, seminars and exhibitions and other events: - Local Events-Events-Number of Events"/>
    <s v="Number of Events"/>
    <n v="12"/>
    <n v="1000"/>
    <s v="INTERACTION series: 10 seminars per year; Students' exhibitions (3 per year)"/>
    <n v="12000"/>
    <s v="KU Regular operations"/>
    <s v="Recurring"/>
    <s v="Align academic programs with the local and global labor market needs"/>
  </r>
  <r>
    <s v="Student"/>
    <s v="Director, Student Services"/>
    <s v="College of Engineering"/>
    <n v="847"/>
    <n v="8470315"/>
    <s v="KUST - Biomedical Engineering"/>
    <n v="1"/>
    <s v="425760"/>
    <s v="425760-Student activities &amp; field trip expenses"/>
    <s v="000000"/>
    <s v="KUST - General"/>
    <n v="847001"/>
    <s v="FA179-Opex Expense"/>
    <n v="200179"/>
    <x v="141"/>
    <s v="425760.Student activities &amp; field trip expenses-Events-No of Events"/>
    <s v="No of Events"/>
    <n v="7"/>
    <n v="5000"/>
    <s v="Support for IEEE EMBS Chapter (AED10000)+Field trips to hospital labs; students' support in competitions (the total cost is split in five parts)."/>
    <n v="35000"/>
    <s v="KU Regular operations"/>
    <s v="Recurring"/>
    <s v="Align academic programs with the local and global labor market needs"/>
  </r>
  <r>
    <s v="Student"/>
    <s v="No Applicable"/>
    <s v="College of Engineering"/>
    <n v="847"/>
    <n v="8470315"/>
    <s v="KUST - Biomedical Engineering"/>
    <n v="1"/>
    <s v="425763"/>
    <s v="425763-Student Project Expenses"/>
    <s v="000000"/>
    <s v="KUST - General"/>
    <n v="847001"/>
    <s v="FA179-Opex Expense"/>
    <n v="200179"/>
    <x v="142"/>
    <s v="425763.Student Project Expenses-Number of Students UG-Month"/>
    <s v="Month"/>
    <n v="70"/>
    <n v="3000"/>
    <s v="SDP I and SDP II needs, participation in international competitions (the number of undergraduate Senior students are used for the calculation with a cost of AED3000 per Senior student)."/>
    <n v="210000"/>
    <s v="KU Regular operations"/>
    <s v="Recurring"/>
    <s v="Align academic programs with the local and global labor market needs"/>
  </r>
  <r>
    <s v="Academic"/>
    <s v="No Applicable"/>
    <s v="College of Engineering"/>
    <n v="847"/>
    <n v="8470315"/>
    <s v="KUST - Biomedical Engineering"/>
    <n v="1"/>
    <s v="425770"/>
    <s v="425770-Academic Missions - Combined expenses"/>
    <s v="000000"/>
    <s v="KUST - General"/>
    <n v="847001"/>
    <s v="FA179-Opex Expense"/>
    <n v="200179"/>
    <x v="143"/>
    <s v="425770.Academic Missions - Combined expenses-Number of Meeting-Number"/>
    <s v="Number"/>
    <n v="18"/>
    <n v="20000"/>
    <s v="Faculty conferences and meetings"/>
    <n v="360000"/>
    <s v="KU Regular operations"/>
    <s v="Recurring"/>
    <s v="Establish a mobility program for students, faculty, researchers and staff"/>
  </r>
  <r>
    <s v="Other support"/>
    <s v="Director, Human Resources"/>
    <s v="College of Engineering"/>
    <n v="847"/>
    <n v="8470315"/>
    <s v="KUST - Biomedical Engineering"/>
    <n v="1"/>
    <s v="425900"/>
    <s v="425900-Entertainment and hospitality"/>
    <s v="000000"/>
    <s v="KUST - General"/>
    <n v="847001"/>
    <s v="FA179-Opex Expense"/>
    <n v="200179"/>
    <x v="144"/>
    <s v="425900.Entertainment and hospitality-1. No of events/workshops planned-count"/>
    <s v="count"/>
    <n v="16"/>
    <n v="2000"/>
    <s v="Retreats, faculty meetings (10 per year) and Invited speakers expenses for seminars caterings"/>
    <n v="32000"/>
    <s v="KU Regular operations"/>
    <s v="Recurring"/>
    <s v="Align academic programs with the local and global labor market needs"/>
  </r>
  <r>
    <s v="IT"/>
    <s v="Director, Technology Development"/>
    <s v="College of Engineering"/>
    <n v="847"/>
    <n v="8470315"/>
    <s v="KUST - Biomedical Engineering"/>
    <n v="1"/>
    <s v="426610"/>
    <s v="426610-Computer software licenses"/>
    <s v="000000"/>
    <s v="KUST - General"/>
    <n v="847001"/>
    <s v="FA179-Opex Expense"/>
    <n v="200179"/>
    <x v="145"/>
    <s v="426610.Computer software licenses-Software License Renewal-number of licenses-Number"/>
    <s v="Number"/>
    <n v="1"/>
    <n v="107000"/>
    <s v="Software licences for eduactional software: AnyBody Modeling System; SPSS"/>
    <n v="107000"/>
    <s v="KU Regular operations"/>
    <s v="Recurring"/>
    <s v="Align academic programs with the local and global labor market needs"/>
  </r>
  <r>
    <s v="Academic "/>
    <s v="No Applicable"/>
    <s v="College of Engineering"/>
    <n v="847"/>
    <n v="8470315"/>
    <s v="KUST - Biomedical Engineering"/>
    <n v="1"/>
    <s v="428090"/>
    <s v="428090-Business Travel - Combined expenses"/>
    <s v="000000"/>
    <s v="KUST - General"/>
    <n v="847001"/>
    <s v="FA179-Opex Expense"/>
    <n v="200179"/>
    <x v="146"/>
    <s v="428090.Business Travel - Combined expenses-Number of Faculty-Number"/>
    <s v="Number"/>
    <n v="2"/>
    <n v="10000"/>
    <s v="Addition to department specific development trips"/>
    <n v="20000"/>
    <s v="KU Regular operations"/>
    <s v="Recurring"/>
    <s v="Align academic programs with the local and global labor market needs"/>
  </r>
  <r>
    <s v="Academic"/>
    <s v="No Applicable"/>
    <s v="College of Engineering"/>
    <n v="847"/>
    <n v="8470315"/>
    <s v="KUST - Biomedical Engineering"/>
    <n v="1"/>
    <s v="432209"/>
    <s v="432209-Laboratory equipment"/>
    <s v="000000"/>
    <s v="KUST - General"/>
    <n v="847001"/>
    <s v="FA179-Opex Expense"/>
    <n v="200179"/>
    <x v="147"/>
    <s v="432209.Laboratory equipment-Number of Students-Number"/>
    <s v="Number"/>
    <n v="1"/>
    <n v="18000"/>
    <s v="Annual Service Contracts for BME Labs Major Units"/>
    <n v="18000"/>
    <s v="KU Regular operations"/>
    <s v="Recurring"/>
    <s v="Align academic programs with the local and global labor market needs"/>
  </r>
  <r>
    <s v="Academic"/>
    <s v="No Applicable"/>
    <s v="College of Engineering"/>
    <n v="847"/>
    <n v="8470315"/>
    <s v="KUST - Biomedical Engineering"/>
    <n v="1"/>
    <s v="435350"/>
    <s v="435350-Academic Publications"/>
    <s v="000000"/>
    <s v="KUST - General"/>
    <n v="847001"/>
    <s v="FA179-Opex Expense"/>
    <n v="200179"/>
    <x v="148"/>
    <s v="435350.Academic Publications-Number of Publications-Number"/>
    <s v="Number"/>
    <n v="16"/>
    <n v="5000"/>
    <s v="Open access publications (one per faculty)"/>
    <n v="80000"/>
    <s v="KU Regular operations"/>
    <s v="Recurring"/>
    <s v="Increase publications in journals with high impact factor"/>
  </r>
  <r>
    <s v="Academic"/>
    <s v="Director, Research Laboratories"/>
    <s v="College of Engineering"/>
    <n v="847"/>
    <n v="8470315"/>
    <s v="KUST - Biomedical Engineering"/>
    <n v="1"/>
    <s v="435508"/>
    <s v="435508-Laboratory - Scientific"/>
    <s v="000000"/>
    <s v="KUST - General"/>
    <n v="847001"/>
    <s v="FA179-Opex Expense"/>
    <n v="200179"/>
    <x v="149"/>
    <s v="435508.Laboratory - Scientific-Number of Students-Number"/>
    <s v="Number"/>
    <n v="1"/>
    <n v="250000"/>
    <s v="Chemicals and biologocal reagents for teaching; LN2 and CO2 gases; Consumables; Cloud based remote Biosignal recording consumables ; Electrophoresis and visualization system"/>
    <n v="250000"/>
    <s v="KU Regular operations"/>
    <s v="Recurring"/>
    <s v="Develop the university innovation and entrepreneurship system"/>
  </r>
  <r>
    <s v="Other support"/>
    <s v="No Applicable"/>
    <s v="College of Engineering"/>
    <n v="847"/>
    <n v="8470315"/>
    <s v="KUST - Biomedical Engineering"/>
    <n v="1"/>
    <s v="436110"/>
    <s v="436110-Printing supplies"/>
    <s v="000000"/>
    <s v="KUST - General"/>
    <n v="847001"/>
    <s v="FA179-Opex Expense"/>
    <n v="200179"/>
    <x v="150"/>
    <s v="436110.Printing supplies-Number of Employees-Number"/>
    <s v="Number"/>
    <n v="5"/>
    <n v="500"/>
    <s v="Toners/Paper"/>
    <n v="2500"/>
    <s v="KU Regular operations"/>
    <s v="Recurring"/>
    <s v="Align academic programs with the local and global labor market needs"/>
  </r>
  <r>
    <s v="Academic"/>
    <s v="No Applicable"/>
    <s v="College of Engineering"/>
    <n v="847"/>
    <n v="8470315"/>
    <s v="KUST - Biomedical Engineering"/>
    <n v="1"/>
    <s v="436600"/>
    <s v="436600-Training/Teaching equipment and other educational aid"/>
    <s v="000000"/>
    <s v="KUST - General"/>
    <n v="847001"/>
    <s v="FA179-Opex Expense"/>
    <n v="200179"/>
    <x v="151"/>
    <s v="436600.Training/Teaching equipment and other educational aid-Number of Staff-Number"/>
    <s v="Number"/>
    <n v="16"/>
    <n v="1000"/>
    <s v="Educational aid for online/blended teaching-learning "/>
    <n v="16000"/>
    <s v="KU Regular operations"/>
    <s v="Recurring"/>
    <s v="Align academic programs with the local and global labor market needs"/>
  </r>
  <r>
    <s v="Facilities "/>
    <s v="Director, Research Laboratories"/>
    <s v="College of Engineering"/>
    <n v="847"/>
    <n v="8470315"/>
    <s v="KUST - Biomedical Engineering"/>
    <n v="1"/>
    <s v="492316"/>
    <s v="492316-Laboratory equipment"/>
    <s v="000000"/>
    <s v="KUST - General"/>
    <n v="847001"/>
    <s v="FA180-Capex Expense"/>
    <n v="300180"/>
    <x v="152"/>
    <s v="492316.Laboratory equipment-Number of Students-Number"/>
    <s v="Number"/>
    <n v="1"/>
    <n v="140000"/>
    <s v="Western Blot Imaging system "/>
    <n v="140000"/>
    <s v="KU Strategic New Initiative"/>
    <s v="Non-recurring"/>
    <s v="Develop the university innovation and entrepreneurship system"/>
  </r>
  <r>
    <s v="-"/>
    <s v="-"/>
    <s v="College of Engineering"/>
    <n v="847"/>
    <n v="8470315"/>
    <s v="KUST - Biomedical Engineering"/>
    <n v="1"/>
    <s v="492316"/>
    <s v="492316-Laboratory equipment"/>
    <s v="000000"/>
    <s v="KUST - General"/>
    <n v="847001"/>
    <s v="FA180-Capex Expense"/>
    <n v="300180"/>
    <x v="152"/>
    <s v="492316.Laboratory equipment-Number of Students-Number"/>
    <s v="Number"/>
    <n v="1"/>
    <n v="60000"/>
    <s v="qPCR"/>
    <n v="60000"/>
    <s v="KU Strategic New Initiative"/>
    <s v="Non-recurring"/>
    <s v="Develop the university innovation and entrepreneurship system"/>
  </r>
  <r>
    <s v="-"/>
    <s v="-"/>
    <s v="College of Engineering"/>
    <n v="847"/>
    <n v="8470315"/>
    <s v="KUST - Biomedical Engineering"/>
    <n v="1"/>
    <s v="492316"/>
    <s v="492316-Laboratory equipment"/>
    <s v="000000"/>
    <s v="KUST - General"/>
    <n v="847001"/>
    <s v="FA180-Capex Expense"/>
    <n v="300180"/>
    <x v="152"/>
    <s v="492316.Laboratory equipment-Number of Students-Number"/>
    <s v="Number"/>
    <n v="2"/>
    <n v="40000"/>
    <s v="Fridges 4-8 C"/>
    <n v="80000"/>
    <s v="KU Strategic New Initiative"/>
    <s v="Non-recurring"/>
    <s v="Develop the university innovation and entrepreneurship system"/>
  </r>
  <r>
    <s v="-"/>
    <s v="-"/>
    <s v="College of Engineering"/>
    <n v="847"/>
    <n v="8470315"/>
    <s v="KUST - Biomedical Engineering"/>
    <n v="1"/>
    <s v="492316"/>
    <s v="492316-Laboratory equipment"/>
    <s v="000000"/>
    <s v="KUST - General"/>
    <n v="847001"/>
    <s v="FA180-Capex Expense"/>
    <n v="300180"/>
    <x v="152"/>
    <s v="492316.Laboratory equipment-Number of Students-Number"/>
    <s v="Number"/>
    <n v="2"/>
    <n v="45000"/>
    <s v="Freezers -20C"/>
    <n v="90000"/>
    <s v="KU Strategic New Initiative"/>
    <s v="Non-recurring"/>
    <s v="Develop the university innovation and entrepreneurship system"/>
  </r>
  <r>
    <s v="-"/>
    <s v="-"/>
    <s v="College of Engineering"/>
    <n v="847"/>
    <n v="8470315"/>
    <s v="KUST - Biomedical Engineering"/>
    <n v="1"/>
    <s v="492316"/>
    <s v="492316-Laboratory equipment"/>
    <s v="000000"/>
    <s v="KUST - General"/>
    <n v="847001"/>
    <s v="FA180-Capex Expense"/>
    <n v="300180"/>
    <x v="152"/>
    <s v="492316.Laboratory equipment-Number of Students-Number"/>
    <s v="Number"/>
    <n v="2"/>
    <n v="52000"/>
    <s v="CO2 incubator "/>
    <n v="104000"/>
    <s v="KU Strategic New Initiative"/>
    <s v="Non-recurring"/>
    <s v="Develop the university innovation and entrepreneurship system"/>
  </r>
  <r>
    <s v="-"/>
    <s v="-"/>
    <s v="College of Engineering"/>
    <n v="847"/>
    <n v="8470315"/>
    <s v="KUST - Biomedical Engineering"/>
    <n v="1"/>
    <s v="492316"/>
    <s v="492316-Laboratory equipment"/>
    <s v="000000"/>
    <s v="KUST - General"/>
    <n v="847001"/>
    <s v="FA180-Capex Expense"/>
    <n v="300180"/>
    <x v="152"/>
    <s v="492316.Laboratory equipment-Number of Students-Number"/>
    <s v="Number"/>
    <n v="1"/>
    <n v="15647"/>
    <s v="Power Blotter System PB0012"/>
    <n v="15647"/>
    <s v="KU Strategic New Initiative"/>
    <s v="Non-recurring"/>
    <s v="Develop the university innovation and entrepreneurship system"/>
  </r>
  <r>
    <s v="-"/>
    <s v="-"/>
    <s v="College of Engineering"/>
    <n v="847"/>
    <n v="8470315"/>
    <s v="KUST - Biomedical Engineering"/>
    <n v="1"/>
    <s v="492316"/>
    <s v="492316-Laboratory equipment"/>
    <s v="000000"/>
    <s v="KUST - General"/>
    <n v="847001"/>
    <s v="FA180-Capex Expense"/>
    <n v="300180"/>
    <x v="152"/>
    <s v="492316.Laboratory equipment-Number of Students-Number"/>
    <s v="Number"/>
    <n v="1"/>
    <n v="75000"/>
    <s v="Nanodrop Spectrophotometer "/>
    <n v="75000"/>
    <s v="KU Regular operations"/>
    <s v="Non-recurring"/>
    <s v="Develop the university innovation and entrepreneurship system"/>
  </r>
  <r>
    <s v="-"/>
    <s v="-"/>
    <s v="College of Engineering"/>
    <n v="847"/>
    <n v="8470315"/>
    <s v="KUST - Biomedical Engineering"/>
    <n v="1"/>
    <s v="492316"/>
    <s v="492316-Laboratory equipment"/>
    <s v="000000"/>
    <s v="KUST - General"/>
    <n v="847001"/>
    <s v="FA180-Capex Expense"/>
    <n v="300180"/>
    <x v="152"/>
    <s v="492316.Laboratory equipment-Number of Students-Number"/>
    <s v="Number"/>
    <n v="1"/>
    <n v="173750"/>
    <s v="Nexus System 32"/>
    <n v="173750"/>
    <s v="KU Strategic New Initiative"/>
    <s v="Non-recurring"/>
    <s v="Develop the university innovation and entrepreneurship system"/>
  </r>
  <r>
    <s v="-"/>
    <s v="-"/>
    <s v="College of Engineering"/>
    <n v="847"/>
    <n v="8470315"/>
    <s v="KUST - Biomedical Engineering"/>
    <n v="1"/>
    <s v="492316"/>
    <s v="492316-Laboratory equipment"/>
    <s v="000000"/>
    <s v="KUST - General"/>
    <n v="847001"/>
    <s v="FA180-Capex Expense"/>
    <n v="300180"/>
    <x v="152"/>
    <s v="492316.Laboratory equipment-Number of Students-Number"/>
    <s v="Number"/>
    <n v="1"/>
    <n v="50950"/>
    <s v="Nexus System 10"/>
    <n v="50950"/>
    <s v="KU Strategic New Initiative"/>
    <s v="Non-recurring"/>
    <s v="Develop the university innovation and entrepreneurship system"/>
  </r>
  <r>
    <s v="-"/>
    <s v="-"/>
    <s v="College of Engineering"/>
    <n v="847"/>
    <n v="8470315"/>
    <s v="KUST - Biomedical Engineering"/>
    <n v="1"/>
    <s v="492316"/>
    <s v="492316-Laboratory equipment"/>
    <s v="000000"/>
    <s v="KUST - General"/>
    <n v="847001"/>
    <s v="FA180-Capex Expense"/>
    <n v="300180"/>
    <x v="152"/>
    <s v="492316.Laboratory equipment-Number of Students-Number"/>
    <s v="Number"/>
    <n v="1"/>
    <n v="22000"/>
    <s v="Vienna Test battery"/>
    <n v="22000"/>
    <s v="KU Strategic New Initiative"/>
    <s v="Non-recurring"/>
    <s v="Develop the university innovation and entrepreneurship system"/>
  </r>
  <r>
    <s v="-"/>
    <s v="-"/>
    <s v="College of Engineering"/>
    <n v="847"/>
    <n v="8470315"/>
    <s v="KUST - Biomedical Engineering"/>
    <n v="1"/>
    <s v="492316"/>
    <s v="492316-Laboratory equipment"/>
    <s v="000000"/>
    <s v="KUST - General"/>
    <n v="847001"/>
    <s v="FA180-Capex Expense"/>
    <n v="300180"/>
    <x v="152"/>
    <s v="492316.Laboratory equipment-Number of Students-Number"/>
    <s v="Number"/>
    <n v="1"/>
    <n v="360000"/>
    <s v="Live cell plate reader with real time image cytometery"/>
    <n v="360000"/>
    <s v="KU Strategic New Initiative"/>
    <s v="Non-recurring"/>
    <s v="Develop the university innovation and entrepreneurship system"/>
  </r>
  <r>
    <s v="-"/>
    <s v="-"/>
    <s v="College of Engineering"/>
    <n v="847"/>
    <n v="8470315"/>
    <s v="KUST - Biomedical Engineering"/>
    <n v="1"/>
    <s v="492316"/>
    <s v="492316-Laboratory equipment"/>
    <s v="000000"/>
    <s v="KUST - General"/>
    <n v="847001"/>
    <s v="FA180-Capex Expense"/>
    <n v="300180"/>
    <x v="152"/>
    <s v="492316.Laboratory equipment-Number of Students-Number"/>
    <s v="Number"/>
    <n v="1"/>
    <n v="70000"/>
    <s v="Automated vibrating blade microtome"/>
    <n v="70000"/>
    <s v="KU Strategic New Initiative"/>
    <s v="Non-recurring"/>
    <s v="Develop the university innovation and entrepreneurship system"/>
  </r>
  <r>
    <s v="-"/>
    <s v="-"/>
    <s v="College of Engineering"/>
    <n v="847"/>
    <n v="8470315"/>
    <s v="KUST - Biomedical Engineering"/>
    <n v="1"/>
    <s v="492316"/>
    <s v="492316-Laboratory equipment"/>
    <s v="000000"/>
    <s v="KUST - General"/>
    <n v="847001"/>
    <s v="FA180-Capex Expense"/>
    <n v="300180"/>
    <x v="152"/>
    <s v="492316.Laboratory equipment-Number of Students-Number"/>
    <s v="Number"/>
    <n v="1"/>
    <n v="20000"/>
    <s v="micro Doppler radar "/>
    <n v="20000"/>
    <s v="KU Strategic New Initiative"/>
    <s v="Non-recurring"/>
    <s v="Develop the university innovation and entrepreneurship system"/>
  </r>
  <r>
    <s v="-"/>
    <s v="-"/>
    <s v="College of Engineering"/>
    <n v="847"/>
    <n v="8470315"/>
    <s v="KUST - Biomedical Engineering"/>
    <n v="1"/>
    <s v="492316"/>
    <s v="492316-Laboratory equipment"/>
    <s v="000000"/>
    <s v="KUST - General"/>
    <n v="847001"/>
    <s v="FA180-Capex Expense"/>
    <n v="300180"/>
    <x v="152"/>
    <s v="492316.Laboratory equipment-Number of Students-Number"/>
    <s v="Number"/>
    <n v="5"/>
    <n v="133746"/>
    <s v="The PowerLab 26T data acquisition unit"/>
    <n v="668730"/>
    <s v="KU Strategic New Initiative"/>
    <s v="Non-recurring"/>
    <s v="Develop the university innovation and entrepreneurship system"/>
  </r>
  <r>
    <s v="-"/>
    <s v="-"/>
    <s v="College of Engineering"/>
    <n v="847"/>
    <n v="8470315"/>
    <s v="KUST - Biomedical Engineering"/>
    <n v="1"/>
    <s v="492316"/>
    <s v="492316-Laboratory equipment"/>
    <s v="000000"/>
    <s v="KUST - General"/>
    <n v="847001"/>
    <s v="FA180-Capex Expense"/>
    <n v="300180"/>
    <x v="152"/>
    <s v="492316.Laboratory equipment-Number of Students-Number"/>
    <s v="Number"/>
    <n v="10"/>
    <n v="34275"/>
    <s v="NI ELVIS III system"/>
    <n v="342750"/>
    <s v="KU Strategic New Initiative"/>
    <s v="Non-recurring"/>
    <s v="Develop the university innovation and entrepreneurship system"/>
  </r>
  <r>
    <s v="-"/>
    <s v="-"/>
    <s v="College of Engineering"/>
    <n v="847"/>
    <n v="8470315"/>
    <s v="KUST - Biomedical Engineering"/>
    <n v="1"/>
    <s v="492316"/>
    <s v="492316-Laboratory equipment"/>
    <s v="000000"/>
    <s v="KUST - General"/>
    <n v="847001"/>
    <s v="FA180-Capex Expense"/>
    <n v="300180"/>
    <x v="152"/>
    <s v="492316.Laboratory equipment-Number of Students-Number"/>
    <s v="Number"/>
    <n v="1"/>
    <n v="433175"/>
    <s v="CELLINK Bioprinter"/>
    <n v="433175"/>
    <s v="KU Strategic New Initiative"/>
    <s v="Non-recurring"/>
    <s v="Develop the university innovation and entrepreneurship system"/>
  </r>
  <r>
    <s v="Other support"/>
    <s v="Director, Human Resources"/>
    <s v="Academic and Student Services Office"/>
    <n v="847"/>
    <n v="8471210"/>
    <s v="KUST - SVP/ Academic &amp; Student Services Office"/>
    <n v="1"/>
    <s v="425900"/>
    <s v="425900-Entertainment and hospitality"/>
    <s v="000000"/>
    <s v="KUST - General"/>
    <n v="847001"/>
    <s v="FA179-Opex Expense"/>
    <n v="200179"/>
    <x v="153"/>
    <s v="425900.Entertainment and hospitality-1. No of events/workshops planned-count"/>
    <s v="count"/>
    <n v="5"/>
    <n v="3000"/>
    <s v="Catering for VIP meetings_x000a_Catering for the professional training events - Retreat_x000a_Catering for the inhouse workshops "/>
    <n v="15000"/>
    <s v="KU Regular operations"/>
    <s v="Recurring"/>
    <s v="to support the various events through the year"/>
  </r>
  <r>
    <s v="Academic "/>
    <s v="No Applicable"/>
    <s v="Academic and Student Services Office"/>
    <n v="847"/>
    <n v="8471210"/>
    <s v="KUST - SVP/ Academic &amp; Student Services Office"/>
    <n v="1"/>
    <s v="428090"/>
    <s v="428090-Business Travel - Combined expenses"/>
    <s v="000000"/>
    <s v="KUST - General"/>
    <n v="847001"/>
    <s v="FA179-Opex Expense"/>
    <n v="200179"/>
    <x v="154"/>
    <s v="428090.Business Travel - Combined expenses-Number of Staff-Number"/>
    <s v="count"/>
    <n v="4"/>
    <n v="40000"/>
    <s v="Business Travel for SVP"/>
    <n v="160000"/>
    <s v="KU Regular operations"/>
    <s v="Recurring"/>
    <s v="To identify detailed frameworks for cooperation and partnership with foreign intuitions to exchange experiences and develop joint programs for student exchange and research project of comment interest"/>
  </r>
  <r>
    <s v="Communiction &amp; Marketing"/>
    <s v="Director, Marketing and Communication"/>
    <s v="Academic and Student Services Office"/>
    <n v="847"/>
    <n v="8471210"/>
    <s v="KUST - SVP/ Academic &amp; Student Services Office"/>
    <n v="1"/>
    <s v="428640"/>
    <s v="428640-Events - Awards, prizes &amp; gifts"/>
    <s v="000000"/>
    <s v="KUST - General"/>
    <n v="847001"/>
    <s v="FA179-Opex Expense"/>
    <n v="200179"/>
    <x v="155"/>
    <s v="428640.Events - Awards, prizes &amp; gifts-Number of Events-count"/>
    <s v="count"/>
    <n v="5"/>
    <n v="4000"/>
    <s v="providing awards and prizes for students winning competitions"/>
    <n v="20000"/>
    <s v="KU Regular operations"/>
    <s v="Recurring"/>
    <s v="To support in providing awards and prizes for students winning competitions"/>
  </r>
  <r>
    <s v="Academic"/>
    <s v="No Applicable"/>
    <s v="Academic and Student Services Office"/>
    <n v="847"/>
    <n v="8471210"/>
    <s v="KUST - SVP/ Academic &amp; Student Services Office"/>
    <n v="1"/>
    <s v="435530"/>
    <s v="435530-School consumables, not specifically mentioned elsewhere"/>
    <s v="000000"/>
    <s v="KUST - General"/>
    <n v="847001"/>
    <s v="FA179-Opex Expense"/>
    <n v="200179"/>
    <x v="156"/>
    <s v="435530.School consumables, Numbert specifically mentioned elsewhere-Number of Students-Number"/>
    <s v="count"/>
    <n v="4"/>
    <n v="5000"/>
    <s v="Materials &amp; consumables items"/>
    <n v="20000"/>
    <s v="KU Regular operations"/>
    <s v="Recurring"/>
    <s v="Support office tools"/>
  </r>
  <r>
    <s v="Communiction &amp; Marketing"/>
    <s v="Director, Marketing and Communication"/>
    <s v="Academic and Student Services Office"/>
    <n v="847"/>
    <n v="8471240"/>
    <s v="KUST - Student Success"/>
    <n v="1"/>
    <s v="425510"/>
    <s v="425510-Conferences, seminars and exhibitions and other events: - Local Events"/>
    <s v="000000"/>
    <s v="KUST - General"/>
    <n v="847001"/>
    <s v="FA179-Opex Expense"/>
    <n v="200179"/>
    <x v="157"/>
    <s v="425510.Conferences, seminars and exhibitions and other events: - Local Events-Events-Number of Events"/>
    <s v="Number of Events"/>
    <n v="1"/>
    <n v="45000"/>
    <s v="Counseling Day"/>
    <n v="45000"/>
    <s v="KU Regular operations"/>
    <s v="Non-recurring"/>
    <s v="Develop a career guidance system"/>
  </r>
  <r>
    <s v="Communiction &amp; Marketing"/>
    <s v="Director, Marketing and Communication"/>
    <s v="Academic and Student Services Office"/>
    <n v="847"/>
    <n v="8471240"/>
    <s v="KUST - Student Success"/>
    <n v="1"/>
    <s v="425510"/>
    <s v="425510-Conferences, seminars and exhibitions and other events: - Local Events"/>
    <s v="000000"/>
    <s v="KUST - General"/>
    <n v="847001"/>
    <s v="FA179-Opex Expense"/>
    <n v="200179"/>
    <x v="157"/>
    <s v="425510.Conferences, seminars and exhibitions and other events: - Local Events-Events-Number of Events"/>
    <s v="Number of Events"/>
    <n v="1"/>
    <n v="20000"/>
    <s v="vFairs"/>
    <n v="20000"/>
    <s v="KU Regular operations"/>
    <s v="Non-recurring"/>
    <s v="Develop a life-long culture of community service beyond the classroom "/>
  </r>
  <r>
    <s v="Communiction &amp; Marketing"/>
    <s v="Director, Marketing and Communication"/>
    <s v="Academic and Student Services Office"/>
    <n v="847"/>
    <n v="8471240"/>
    <s v="KUST - Student Success"/>
    <n v="1"/>
    <s v="425510"/>
    <s v="425510-Conferences, seminars and exhibitions and other events: - Local Events"/>
    <s v="000000"/>
    <s v="KUST - General"/>
    <n v="847001"/>
    <s v="FA179-Opex Expense"/>
    <n v="200179"/>
    <x v="157"/>
    <s v="425510.Conferences, seminars and exhibitions and other events: - Local Events-Events-Number of Events"/>
    <s v="Number of Events"/>
    <n v="1"/>
    <n v="5000"/>
    <s v="Student Success Open Day"/>
    <n v="5000"/>
    <s v="KU Regular operations"/>
    <s v="Non-recurring"/>
    <s v="Develop a multidimensional program to attract and retain diverse outstanding students"/>
  </r>
  <r>
    <s v="Communiction &amp; Marketing"/>
    <s v="Director, Marketing and Communication"/>
    <s v="Academic and Student Services Office"/>
    <n v="847"/>
    <n v="8471240"/>
    <s v="KUST - Student Success"/>
    <n v="1"/>
    <s v="425510"/>
    <s v="425510-Conferences, seminars and exhibitions and other events: - Local Events"/>
    <s v="000000"/>
    <s v="KUST - General"/>
    <n v="847001"/>
    <s v="FA179-Opex Expense"/>
    <n v="200179"/>
    <x v="157"/>
    <s v="425510.Conferences, seminars and exhibitions and other events: - Local Events-Events-Number of Events"/>
    <s v="Number of Events"/>
    <n v="1"/>
    <n v="80000"/>
    <s v="Honors Day"/>
    <n v="80000"/>
    <s v="KU Regular operations"/>
    <s v="Non-recurring"/>
    <s v="Widen access to students with outstanding academic potential"/>
  </r>
  <r>
    <s v="Communiction &amp; Marketing"/>
    <s v="Director, Marketing and Communication"/>
    <s v="Academic and Student Services Office"/>
    <n v="847"/>
    <n v="8471240"/>
    <s v="KUST - Student Success"/>
    <n v="1"/>
    <s v="425510"/>
    <s v="425510-Conferences, seminars and exhibitions and other events: - Local Events"/>
    <s v="000000"/>
    <s v="KUST - General"/>
    <n v="847001"/>
    <s v="FA179-Opex Expense"/>
    <n v="200179"/>
    <x v="157"/>
    <s v="425510.Conferences, seminars and exhibitions and other events: - Local Events-Events-Number of Events"/>
    <s v="Number of Events"/>
    <n v="1"/>
    <n v="40000"/>
    <s v="Community Service Awareness Day"/>
    <n v="40000"/>
    <s v="KU Regular operations"/>
    <s v="Non-recurring"/>
    <s v="Develop a life-long culture of community service beyond the classroom "/>
  </r>
  <r>
    <s v="Student"/>
    <s v="No Applicable"/>
    <s v="Academic and Student Services Office"/>
    <n v="847"/>
    <n v="8471240"/>
    <s v="KUST - Student Success"/>
    <n v="1"/>
    <s v="425510"/>
    <s v="425510-Conferences, seminars and exhibitions and other events: - Local Events"/>
    <s v="000000"/>
    <s v="KUST - General"/>
    <n v="847001"/>
    <s v="FA179-Opex Expense"/>
    <n v="200179"/>
    <x v="157"/>
    <s v="425510.Conferences, seminars and exhibitions and other events: - Local Events-Events-Number of Events"/>
    <s v="No of Activities"/>
    <n v="1"/>
    <n v="30000"/>
    <s v="UN-SDG Program"/>
    <n v="30000"/>
    <s v="KU Regular operations"/>
    <s v="Non-recurring"/>
    <s v="Develop a multidimensional program to attract and retain diverse outstanding students"/>
  </r>
  <r>
    <s v="Student"/>
    <s v="No Applicable"/>
    <s v="Academic and Student Services Office"/>
    <n v="847"/>
    <n v="8471240"/>
    <s v="KUST - Student Success"/>
    <n v="1"/>
    <s v="425720"/>
    <s v="425720-Education-Outsourced training service"/>
    <s v="000000"/>
    <s v="KUST - General"/>
    <n v="847001"/>
    <s v="FA179-Opex Expense"/>
    <n v="200179"/>
    <x v="158"/>
    <s v="425720.Education-Outsourced training service-Activities-No of Activities"/>
    <s v="No of Activities"/>
    <n v="1"/>
    <n v="75000"/>
    <s v="Entrepreneurship Bootcamp"/>
    <n v="75000"/>
    <s v="KU Regular operations"/>
    <s v="Non-recurring"/>
    <s v="Develop a multidimensional program to attract and retain diverse outstanding students"/>
  </r>
  <r>
    <s v="Student"/>
    <s v="No Applicable"/>
    <s v="Academic and Student Services Office"/>
    <n v="847"/>
    <n v="8471240"/>
    <s v="KUST - Student Success"/>
    <n v="1"/>
    <s v="425720"/>
    <s v="425720-Education-Outsourced training service"/>
    <s v="000000"/>
    <s v="KUST - General"/>
    <n v="847001"/>
    <s v="FA179-Opex Expense"/>
    <n v="200179"/>
    <x v="158"/>
    <s v="425720.Education-Outsourced training service-Activities-No of Activities"/>
    <s v="No of Activities"/>
    <n v="1"/>
    <n v="30000"/>
    <s v="Golden Key International Honour Society"/>
    <n v="30000"/>
    <s v="KU Regular operations"/>
    <s v="Non-recurring"/>
    <s v="Widen access to students with outstanding academic potential"/>
  </r>
  <r>
    <s v="Student"/>
    <s v="No Applicable"/>
    <s v="Academic and Student Services Office"/>
    <n v="847"/>
    <n v="8471240"/>
    <s v="KUST - Student Success"/>
    <n v="1"/>
    <s v="425720"/>
    <s v="425720-Education-Outsourced training service"/>
    <s v="000000"/>
    <s v="KUST - General"/>
    <n v="847001"/>
    <s v="FA179-Opex Expense"/>
    <n v="200179"/>
    <x v="158"/>
    <s v="425720.Education-Outsourced training service-Activities-No of Activities"/>
    <s v="No of Activities"/>
    <n v="3"/>
    <n v="6000"/>
    <s v="Invite professionals to arrange training sessions related to counseling topics"/>
    <n v="18000"/>
    <s v="KU Regular operations"/>
    <s v="Recurring"/>
    <s v="Widen access to students with outstanding academic potential"/>
  </r>
  <r>
    <s v="Student"/>
    <s v="No Applicable"/>
    <s v="Academic and Student Services Office"/>
    <n v="847"/>
    <n v="8471240"/>
    <s v="KUST - Student Success"/>
    <n v="1"/>
    <s v="425720"/>
    <s v="425720-Education-Outsourced training service"/>
    <s v="000000"/>
    <s v="KUST - General"/>
    <n v="847001"/>
    <s v="FA179-Opex Expense"/>
    <n v="200179"/>
    <x v="158"/>
    <s v="425720.Education-Outsourced training service-Activities-No of Activities"/>
    <s v="No of Participating Students"/>
    <n v="10"/>
    <n v="500"/>
    <s v="Organize workshops related to students personal needs"/>
    <n v="5000"/>
    <s v="KU Regular operations"/>
    <s v="Recurring"/>
    <s v="Develop a multidimensional program to attract and retain diverse outstanding students"/>
  </r>
  <r>
    <s v="Student"/>
    <s v="No Applicable"/>
    <s v="Academic and Student Services Office"/>
    <n v="847"/>
    <n v="8471240"/>
    <s v="KUST - Student Success"/>
    <n v="1"/>
    <s v="425750"/>
    <s v="425750-Skill assessment service"/>
    <s v="000000"/>
    <s v="KUST - General"/>
    <n v="847001"/>
    <s v="FA179-Opex Expense"/>
    <n v="200179"/>
    <x v="159"/>
    <s v="425750.Skill assessment service-Participating Students-No of Participating Students"/>
    <s v="No of Events"/>
    <n v="6"/>
    <n v="1400"/>
    <s v="Personality and educational assessment for ex: learning difficulties, dyslexia"/>
    <n v="8400"/>
    <s v="KU Regular operations"/>
    <s v="Recurring"/>
    <s v="Develop a multidimensional program to attract and retain diverse outstanding students"/>
  </r>
  <r>
    <s v="Academic"/>
    <s v="No Applicable"/>
    <s v="Academic and Student Services Office"/>
    <n v="847"/>
    <n v="8471240"/>
    <s v="KUST - Student Success"/>
    <n v="1"/>
    <s v="425750"/>
    <s v="425750-Skill assessment service"/>
    <s v="000000"/>
    <s v="KUST - General"/>
    <n v="847001"/>
    <s v="FA179-Opex Expense"/>
    <n v="200179"/>
    <x v="159"/>
    <s v="425750.Skill assessment service-Events-No of Events"/>
    <s v="No of Events"/>
    <n v="1"/>
    <n v="14600"/>
    <s v="Material to deliver one day workshop"/>
    <n v="14600"/>
    <s v="KU Regular operations"/>
    <s v="Non-recurring"/>
    <s v="Develop a multidimensional program to attract and retain diverse outstanding students"/>
  </r>
  <r>
    <s v="Other support"/>
    <s v="Director, Human Resources"/>
    <s v="Academic and Student Services Office"/>
    <n v="847"/>
    <n v="8471240"/>
    <s v="KUST - Student Success"/>
    <n v="1"/>
    <s v="425761"/>
    <s v="425761-Student Field trips"/>
    <s v="000000"/>
    <s v="KUST - General"/>
    <n v="847001"/>
    <s v="FA179-Opex Expense"/>
    <n v="200179"/>
    <x v="160"/>
    <s v="425761.Student Field trips-Number of Students UG-Month"/>
    <s v="count"/>
    <n v="1"/>
    <n v="1400000"/>
    <s v="Student Success External Activities"/>
    <n v="1200000"/>
    <s v="KU Regular operations"/>
    <s v="Recurring"/>
    <s v="Widen access to students with outstanding academic potential"/>
  </r>
  <r>
    <s v="Other support"/>
    <s v="Director, Human Resources"/>
    <s v="Academic and Student Services Office"/>
    <n v="847"/>
    <n v="8471240"/>
    <s v="KUST - Student Success"/>
    <n v="1"/>
    <s v="425900"/>
    <s v="425900-Entertainment and hospitality"/>
    <s v="000000"/>
    <s v="KUST - General"/>
    <n v="847001"/>
    <s v="FA179-Opex Expense"/>
    <n v="200179"/>
    <x v="161"/>
    <s v="425900.Entertainment and hospitality-1. No of events/workshops planned-count"/>
    <s v="count"/>
    <n v="2"/>
    <n v="7250"/>
    <s v="Catering for Student Success events"/>
    <n v="14500"/>
    <s v="KU Regular operations"/>
    <s v="Recurring"/>
    <m/>
  </r>
  <r>
    <s v="Other support"/>
    <s v="Director, Human Resources"/>
    <s v="Academic and Student Services Office"/>
    <n v="847"/>
    <n v="8471240"/>
    <s v="KUST - Student Success"/>
    <n v="1"/>
    <s v="425900"/>
    <s v="425900-Entertainment and hospitality"/>
    <s v="000000"/>
    <s v="KUST - General"/>
    <n v="847001"/>
    <s v="FA179-Opex Expense"/>
    <n v="200179"/>
    <x v="161"/>
    <s v="425900.Entertainment and hospitality-1. No of events/workshops planned-count"/>
    <s v="count"/>
    <n v="3"/>
    <n v="1500"/>
    <s v="Catering for the professional training events"/>
    <n v="4500"/>
    <s v="KU Regular operations"/>
    <s v="Recurring"/>
    <m/>
  </r>
  <r>
    <s v="IT"/>
    <s v="Director, Technology Development"/>
    <s v="Academic and Student Services Office"/>
    <n v="847"/>
    <n v="8471240"/>
    <s v="KUST - Student Success"/>
    <n v="1"/>
    <s v="425900"/>
    <s v="425900-Entertainment and hospitality"/>
    <s v="000000"/>
    <s v="KUST - General"/>
    <n v="847001"/>
    <s v="FA179-Opex Expense"/>
    <n v="200179"/>
    <x v="161"/>
    <s v="425900.Entertainment and hospitality-1. No of events/workshops planned-count"/>
    <s v="Month"/>
    <n v="10"/>
    <n v="500"/>
    <s v="Catering for the inhouse workshops"/>
    <n v="5000"/>
    <s v="KU Regular operations"/>
    <s v="Recurring"/>
    <m/>
  </r>
  <r>
    <s v="Academic "/>
    <s v="No Applicable"/>
    <s v="Academic and Student Services Office"/>
    <n v="847"/>
    <n v="8471240"/>
    <s v="KUST - Student Success"/>
    <n v="1"/>
    <s v="426610"/>
    <s v="426610-Computer software licenses"/>
    <s v="000000"/>
    <s v="KUST - General"/>
    <n v="847001"/>
    <s v="FA179-Opex Expense"/>
    <n v="200179"/>
    <x v="162"/>
    <s v="426610.Computer software licenses-Software License Renewal-duration of license maintenance/support period-Month"/>
    <s v="Number"/>
    <n v="1"/>
    <n v="400000"/>
    <s v="Student Success Management System (EAB Navigate)"/>
    <n v="400000"/>
    <s v="KU Regular operations"/>
    <s v="Non-recurring"/>
    <s v="Widen access to students with outstanding academic potential"/>
  </r>
  <r>
    <s v="Communiction &amp; Marketing"/>
    <s v="Director, Marketing and Communication"/>
    <s v="Academic and Student Services Office"/>
    <n v="847"/>
    <n v="8471240"/>
    <s v="KUST - Student Success"/>
    <n v="1"/>
    <s v="428090"/>
    <s v="428090-Business Travel - Combined expenses"/>
    <s v="000000"/>
    <s v="KUST - General"/>
    <n v="847001"/>
    <s v="FA179-Opex Expense"/>
    <n v="200179"/>
    <x v="163"/>
    <s v="428090.Business Travel - Combined expenses-Number of Staff-Number"/>
    <s v="count"/>
    <n v="2"/>
    <n v="30000"/>
    <s v="Business Travel for Manager and Heads"/>
    <n v="60000"/>
    <s v="KU Regular operations"/>
    <s v="Recurring"/>
    <s v="Establish a mobility program for students, faculty, researchers and staff"/>
  </r>
  <r>
    <s v="Communiction &amp; Marketing"/>
    <s v="Director, Marketing and Communication"/>
    <s v="Academic and Student Services Office"/>
    <n v="847"/>
    <n v="8471240"/>
    <s v="KUST - Student Success"/>
    <n v="1"/>
    <s v="428640"/>
    <s v="428640-Events - Awards, prizes &amp; gifts"/>
    <s v="000000"/>
    <s v="KUST - General"/>
    <n v="847001"/>
    <s v="FA179-Opex Expense"/>
    <n v="200179"/>
    <x v="164"/>
    <s v="428640.Events - Awards, prizes &amp; gifts-Number of Events-count"/>
    <s v="count"/>
    <n v="2"/>
    <n v="5000"/>
    <s v="Awards, prizes &amp; gifts for events competitions"/>
    <n v="10000"/>
    <s v="KU Regular operations"/>
    <s v="Recurring"/>
    <m/>
  </r>
  <r>
    <s v="Communiction &amp; Marketing"/>
    <s v="Director, Marketing and Communication"/>
    <s v="Academic and Student Services Office"/>
    <n v="847"/>
    <n v="8471240"/>
    <s v="KUST - Student Success"/>
    <n v="1"/>
    <s v="428640"/>
    <s v="428640-Events - Awards, prizes &amp; gifts"/>
    <s v="000000"/>
    <s v="KUST - General"/>
    <n v="847001"/>
    <s v="FA179-Opex Expense"/>
    <n v="200179"/>
    <x v="164"/>
    <s v="428640.Events - Awards, prizes &amp; gifts-Number of Prizes-count"/>
    <s v="count"/>
    <n v="10"/>
    <n v="200"/>
    <s v="Gifts &amp; awards for the guests who are delivering training sessions for the students"/>
    <n v="2000"/>
    <s v="KU Regular operations"/>
    <s v="Non-recurring"/>
    <m/>
  </r>
  <r>
    <s v="Academic"/>
    <s v="No Applicable"/>
    <s v="Academic and Student Services Office"/>
    <n v="847"/>
    <n v="8471240"/>
    <s v="KUST - Student Success"/>
    <n v="1"/>
    <s v="428640"/>
    <s v="428640-Events - Awards, prizes &amp; gifts"/>
    <s v="000000"/>
    <s v="KUST - General"/>
    <n v="847001"/>
    <s v="FA179-Opex Expense"/>
    <n v="200179"/>
    <x v="164"/>
    <s v="428640.Events - Awards, prizes &amp; gifts-Number of Prizes-count"/>
    <s v="Number"/>
    <n v="10"/>
    <n v="200"/>
    <s v="Gift items, branded KU merchandise for external partners"/>
    <n v="2000"/>
    <s v="KU Regular operations"/>
    <s v="Non-recurring"/>
    <m/>
  </r>
  <r>
    <s v="Other support"/>
    <s v="No Applicable"/>
    <s v="Academic and Student Services Office"/>
    <n v="847"/>
    <n v="8471240"/>
    <s v="KUST - Student Success"/>
    <n v="1"/>
    <s v="435330"/>
    <s v="435330-Library books"/>
    <s v="000000"/>
    <s v="KUST - General"/>
    <n v="847001"/>
    <s v="FA179-Opex Expense"/>
    <n v="200179"/>
    <x v="165"/>
    <s v="435330.Library books-Number of Students-Number"/>
    <s v="Number"/>
    <n v="50"/>
    <n v="95"/>
    <s v="Books related to counseling topics and issues to be available for the students for, for ex: time management, self esteem,.."/>
    <n v="4750"/>
    <s v="KU Regular operations"/>
    <s v="Non-recurring"/>
    <m/>
  </r>
  <r>
    <s v="Other support"/>
    <s v="No Applicable"/>
    <s v="Academic and Student Services Office"/>
    <n v="847"/>
    <n v="8471240"/>
    <s v="KUST - Student Success"/>
    <n v="1"/>
    <s v="436110"/>
    <s v="436110-Printing supplies"/>
    <s v="000000"/>
    <s v="KUST - General"/>
    <n v="847001"/>
    <s v="FA179-Opex Expense"/>
    <n v="200179"/>
    <x v="166"/>
    <s v="436110.Printing supplies-Number of Student-Number"/>
    <s v="Number"/>
    <n v="1000"/>
    <n v="35"/>
    <s v="Printing of Booklets, Guides, Brochures, Flyers, etc."/>
    <n v="35000"/>
    <s v="KU Regular operations"/>
    <s v="Non-recurring"/>
    <m/>
  </r>
  <r>
    <s v="Other support"/>
    <s v="No Applicable"/>
    <s v="Academic and Student Services Office"/>
    <n v="847"/>
    <n v="8471240"/>
    <s v="KUST - Student Success"/>
    <n v="1"/>
    <s v="436110"/>
    <s v="436110-Printing supplies"/>
    <s v="000000"/>
    <s v="KUST - General"/>
    <n v="847001"/>
    <s v="FA179-Opex Expense"/>
    <n v="200179"/>
    <x v="166"/>
    <s v="436110.Printing supplies-Number of Student-Number"/>
    <s v="Number"/>
    <n v="10"/>
    <n v="500"/>
    <s v="Advertising and marketing for student success services, events, and workshops"/>
    <n v="5000"/>
    <s v="KU Regular operations"/>
    <s v="Recurring"/>
    <m/>
  </r>
  <r>
    <s v="Other support"/>
    <s v="No Applicable"/>
    <s v="Academic and Student Services Office"/>
    <n v="847"/>
    <n v="8471240"/>
    <s v="KUST - Student Success"/>
    <n v="1"/>
    <s v="436110"/>
    <s v="436110-Printing supplies"/>
    <s v="000000"/>
    <s v="KUST - General"/>
    <n v="847001"/>
    <s v="FA179-Opex Expense"/>
    <n v="200179"/>
    <x v="166"/>
    <s v="436110.Printing supplies-Number of Student-Number"/>
    <s v="Number"/>
    <n v="80"/>
    <n v="25"/>
    <s v="Certificates for the students who attended the workshops"/>
    <n v="2000"/>
    <s v="KU Regular operations"/>
    <s v="Non-recurring"/>
    <m/>
  </r>
  <r>
    <s v="Other support"/>
    <s v="No Applicable"/>
    <s v="Academic and Student Services Office"/>
    <n v="847"/>
    <n v="8471240"/>
    <s v="KUST - Student Success"/>
    <n v="1"/>
    <s v="436120"/>
    <s v="436120-Stationery"/>
    <s v="000000"/>
    <s v="KUST - General"/>
    <n v="847001"/>
    <s v="FA179-Opex Expense"/>
    <n v="200179"/>
    <x v="167"/>
    <s v="436120.Stationery-Number of Staff-Number"/>
    <s v="Number"/>
    <n v="10"/>
    <n v="3400"/>
    <s v="Materials &amp; consumables items"/>
    <n v="34000"/>
    <s v="KU Regular operations"/>
    <s v="Recurring"/>
    <m/>
  </r>
  <r>
    <s v="-"/>
    <s v="-"/>
    <n v="0"/>
    <n v="847"/>
    <n v="8471240"/>
    <s v="KUST - Student Success"/>
    <n v="1"/>
    <s v="436120"/>
    <s v="436120-Stationery"/>
    <s v="000000"/>
    <s v="KUST - General"/>
    <n v="847001"/>
    <s v="FA179-Opex Expense"/>
    <n v="200179"/>
    <x v="167"/>
    <s v="436120.Stationery-Number of Staff-Number"/>
    <s v="Number"/>
    <n v="10"/>
    <n v="100"/>
    <s v="Folders, pens, papers"/>
    <n v="1000"/>
    <s v="KU Regular operations"/>
    <s v="Non-recurring"/>
    <m/>
  </r>
  <r>
    <s v="-"/>
    <s v="-"/>
    <s v="Academic and Student Services Office"/>
    <n v="847"/>
    <n v="8471260"/>
    <s v="KUST - Student Life"/>
    <n v="1"/>
    <s v="421100"/>
    <s v="421100-Manpower supply"/>
    <s v="000000"/>
    <s v="KUST - General"/>
    <n v="847001"/>
    <s v="FA179-Opex Expense"/>
    <n v="200179"/>
    <x v="168"/>
    <s v="421100.Manpower supply-Number of employees and type of service provided-Number of Number of employees and type of service provided"/>
    <s v="-_"/>
    <n v="13"/>
    <n v="118000"/>
    <s v="Outsource staff to support Resident Life Office _ (Resident Assistants)"/>
    <n v="1534000"/>
    <s v="KU Regular operations"/>
    <s v="Recurring"/>
    <s v="Utilize state-of-the-art technologies and facilities in an optimal and efficient manner"/>
  </r>
  <r>
    <s v="HR"/>
    <s v="No Applicable"/>
    <s v="Academic and Student Services Office"/>
    <n v="847"/>
    <n v="8471260"/>
    <s v="KUST - Student Life"/>
    <n v="1"/>
    <s v="421100"/>
    <s v="421100-Manpower supply"/>
    <s v="000000"/>
    <s v="KUST - General"/>
    <n v="847001"/>
    <s v="FA179-Opex Expense"/>
    <n v="200179"/>
    <x v="168"/>
    <s v="421100.Manpower supply-Number of employees and type of service provided-Number of Number of employees and type of service provided"/>
    <s v="-_"/>
    <n v="6"/>
    <n v="99000"/>
    <s v="Sport Coaches for Football, Basketball, Volleyball, Badminton, Martial Art"/>
    <n v="594000"/>
    <s v="KU Regular operations"/>
    <s v="Recurring"/>
    <s v="Utilize state-of-the-art technologies and facilities in an optimal and efficient manner"/>
  </r>
  <r>
    <s v="-"/>
    <s v="-"/>
    <s v="Academic and Student Services Office"/>
    <n v="847"/>
    <n v="8471260"/>
    <s v="KUST - Student Life"/>
    <n v="1"/>
    <s v="425510"/>
    <s v="425510-Conferences, seminars and exhibitions and other events: - Local Events"/>
    <s v="000000"/>
    <s v="KUST - General"/>
    <n v="847001"/>
    <s v="FA179-Opex Expense"/>
    <n v="200179"/>
    <x v="169"/>
    <s v="425510.Conferences, seminars and exhibitions and other events: - Local Events-Number of attendees-count"/>
    <s v="-_"/>
    <n v="1300"/>
    <n v="100"/>
    <s v="UG &amp; PG Student Orientation Program"/>
    <n v="130000"/>
    <s v="KU Regular operations"/>
    <s v="Recurring"/>
    <s v="Develop a multidimensional program to attract and retain diverse outstanding students"/>
  </r>
  <r>
    <s v="-"/>
    <s v="-"/>
    <s v="Academic and Student Services Office"/>
    <n v="847"/>
    <n v="8471260"/>
    <s v="KUST - Student Life"/>
    <n v="1"/>
    <s v="425510"/>
    <s v="425510-Conferences, seminars and exhibitions and other events: - Local Events"/>
    <s v="000000"/>
    <s v="KUST - General"/>
    <n v="847001"/>
    <s v="FA179-Opex Expense"/>
    <n v="200179"/>
    <x v="169"/>
    <s v="425510.Conferences, seminars and exhibitions and other events: - Local Events-Number of attendees-count"/>
    <s v="-_"/>
    <n v="2000"/>
    <n v="50"/>
    <s v="National Day Celebrations "/>
    <n v="100000"/>
    <s v="KU Regular operations"/>
    <s v="Recurring"/>
    <s v="Develop a multidimensional program to attract and retain diverse outstanding students"/>
  </r>
  <r>
    <s v="-"/>
    <s v="-"/>
    <s v="Academic and Student Services Office"/>
    <n v="847"/>
    <n v="8471260"/>
    <s v="KUST - Student Life"/>
    <n v="1"/>
    <s v="425510"/>
    <s v="425510-Conferences, seminars and exhibitions and other events: - Local Events"/>
    <s v="000000"/>
    <s v="KUST - General"/>
    <n v="847001"/>
    <s v="FA179-Opex Expense"/>
    <n v="200179"/>
    <x v="169"/>
    <s v="425510.Conferences, seminars and exhibitions and other events: - Local Events-Number of attendees-count"/>
    <s v="-_"/>
    <n v="800"/>
    <n v="20"/>
    <s v="KU Sport Day "/>
    <n v="16000"/>
    <s v="KU Regular operations"/>
    <s v="Recurring"/>
    <s v="Develop a multidimensional program to attract and retain diverse outstanding students"/>
  </r>
  <r>
    <s v="-"/>
    <s v="-"/>
    <s v="Academic and Student Services Office"/>
    <n v="847"/>
    <n v="8471260"/>
    <s v="KUST - Student Life"/>
    <n v="1"/>
    <s v="425510"/>
    <s v="425510-Conferences, seminars and exhibitions and other events: - Local Events"/>
    <s v="000000"/>
    <s v="KUST - General"/>
    <n v="847001"/>
    <s v="FA179-Opex Expense"/>
    <n v="200179"/>
    <x v="169"/>
    <s v="425510.Conferences, seminars and exhibitions and other events: - Local Events-Number of attendees-count"/>
    <s v="-_"/>
    <n v="1200"/>
    <n v="20"/>
    <s v="Iftar Gathering in Ramadan _ KU Residences (Male &amp; Female) "/>
    <n v="24000"/>
    <s v="KU Regular operations"/>
    <s v="Recurring"/>
    <s v="Develop a multidimensional program to attract and retain diverse outstanding students"/>
  </r>
  <r>
    <s v="Communiction &amp; Marketing"/>
    <s v="Director, Marketing and Communication"/>
    <s v="Academic and Student Services Office"/>
    <n v="847"/>
    <n v="8471260"/>
    <s v="KUST - Student Life"/>
    <n v="1"/>
    <s v="425510"/>
    <s v="425510-Conferences, seminars and exhibitions and other events: - Local Events"/>
    <s v="000000"/>
    <s v="KUST - General"/>
    <n v="847001"/>
    <s v="FA179-Opex Expense"/>
    <n v="200179"/>
    <x v="169"/>
    <s v="425510.Conferences, seminars and exhibitions and other events: - Local Events-Number of attendees-count"/>
    <s v="-_"/>
    <n v="1200"/>
    <n v="40"/>
    <s v="Social Gathering &amp; BBQ Night in KU Residences "/>
    <n v="48000"/>
    <s v="KU Regular operations"/>
    <s v="Recurring"/>
    <s v="Develop a multidimensional program to attract and retain diverse outstanding students"/>
  </r>
  <r>
    <s v="-"/>
    <s v="-"/>
    <s v="Academic and Student Services Office"/>
    <n v="847"/>
    <n v="8471260"/>
    <s v="KUST - Student Life"/>
    <n v="1"/>
    <s v="425746"/>
    <s v="425746-Student Transport"/>
    <s v="000000"/>
    <s v="KUST - General"/>
    <n v="847001"/>
    <s v="FA179-Opex Expense"/>
    <n v="200179"/>
    <x v="170"/>
    <s v="425746.Student Transport-Students_x000a_-No of Students "/>
    <s v="-_"/>
    <n v="390"/>
    <n v="8195"/>
    <s v="Daily Shuttle Services - Bus - 34 seaters"/>
    <n v="3196050"/>
    <s v="KU Regular operations"/>
    <s v="Recurring"/>
    <s v="Utilize state-of-the-art technologies and facilities in an optimal and efficient manner"/>
  </r>
  <r>
    <s v="-"/>
    <s v="-"/>
    <s v="Academic and Student Services Office"/>
    <n v="847"/>
    <n v="8471260"/>
    <s v="KUST - Student Life"/>
    <n v="1"/>
    <s v="425746"/>
    <s v="425746-Student Transport"/>
    <s v="000000"/>
    <s v="KUST - General"/>
    <n v="847001"/>
    <s v="FA179-Opex Expense"/>
    <n v="200179"/>
    <x v="170"/>
    <s v="425746.Student Transport-Students_x000a_-No of Students "/>
    <s v="-_"/>
    <n v="50"/>
    <n v="11435"/>
    <s v="Weekly Transportation Services - 37 seaters"/>
    <n v="571750"/>
    <s v="KU Regular operations"/>
    <s v="Recurring"/>
    <s v="Utilize state-of-the-art technologies and facilities in an optimal and efficient manner"/>
  </r>
  <r>
    <s v="-"/>
    <s v="-"/>
    <s v="Academic and Student Services Office"/>
    <n v="847"/>
    <n v="8471260"/>
    <s v="KUST - Student Life"/>
    <n v="1"/>
    <s v="425746"/>
    <s v="425746-Student Transport"/>
    <s v="000000"/>
    <s v="KUST - General"/>
    <n v="847001"/>
    <s v="FA179-Opex Expense"/>
    <n v="200179"/>
    <x v="170"/>
    <s v="425746.Student Transport-Students_x000a_-No of Students "/>
    <s v="-_"/>
    <n v="130"/>
    <n v="15455"/>
    <s v="Weekly Transportation Services - 50 seaters"/>
    <n v="2009150"/>
    <s v="KU Regular operations"/>
    <s v="Recurring"/>
    <s v="Utilize state-of-the-art technologies and facilities in an optimal and efficient manner"/>
  </r>
  <r>
    <s v="-"/>
    <s v="-"/>
    <s v="Academic and Student Services Office"/>
    <n v="847"/>
    <n v="8471260"/>
    <s v="KUST - Student Life"/>
    <n v="1"/>
    <s v="425746"/>
    <s v="425746-Student Transport"/>
    <s v="000000"/>
    <s v="KUST - General"/>
    <n v="847001"/>
    <s v="FA179-Opex Expense"/>
    <n v="200179"/>
    <x v="170"/>
    <s v="425746.Student Transport-Students_x000a_-No of Students "/>
    <s v="-_"/>
    <n v="73"/>
    <n v="65716"/>
    <s v="Personnel - Heavy Drivers and Lady Attendant"/>
    <n v="4797268"/>
    <s v="KU Regular operations"/>
    <s v="Recurring"/>
    <s v="Utilize state-of-the-art technologies and facilities in an optimal and efficient manner"/>
  </r>
  <r>
    <s v="-"/>
    <s v="-"/>
    <s v="Academic and Student Services Office"/>
    <n v="847"/>
    <n v="8471260"/>
    <s v="KUST - Student Life"/>
    <n v="1"/>
    <s v="425746"/>
    <s v="425746-Student Transport"/>
    <s v="000000"/>
    <s v="KUST - General"/>
    <n v="847001"/>
    <s v="FA179-Opex Expense"/>
    <n v="200179"/>
    <x v="170"/>
    <s v="425746.Student Transport-Students_x000a_-No of Students "/>
    <s v="-_"/>
    <n v="1"/>
    <n v="142085"/>
    <s v="Fuel Cost"/>
    <n v="142085"/>
    <s v="KU Regular operations"/>
    <s v="Recurring"/>
    <s v="Utilize state-of-the-art technologies and facilities in an optimal and efficient manner"/>
  </r>
  <r>
    <s v="-"/>
    <s v="-"/>
    <s v="Academic and Student Services Office"/>
    <n v="847"/>
    <n v="8471260"/>
    <s v="KUST - Student Life"/>
    <n v="1"/>
    <s v="425746"/>
    <s v="425746-Student Transport"/>
    <s v="000000"/>
    <s v="KUST - General"/>
    <n v="847001"/>
    <s v="FA179-Opex Expense"/>
    <n v="200179"/>
    <x v="170"/>
    <s v="425746.Student Transport-Students_x000a_-No of Students "/>
    <s v="-_"/>
    <n v="1"/>
    <n v="525"/>
    <s v="Salik "/>
    <n v="525"/>
    <s v="KU Regular operations"/>
    <s v="Recurring"/>
    <s v="Utilize state-of-the-art technologies and facilities in an optimal and efficient manner"/>
  </r>
  <r>
    <s v="-"/>
    <s v="-"/>
    <s v="Academic and Student Services Office"/>
    <n v="847"/>
    <n v="8471260"/>
    <s v="KUST - Student Life"/>
    <n v="1"/>
    <s v="425746"/>
    <s v="425746-Student Transport"/>
    <s v="000000"/>
    <s v="KUST - General"/>
    <n v="847001"/>
    <s v="FA179-Opex Expense"/>
    <n v="200179"/>
    <x v="170"/>
    <s v="425746.Student Transport-Students_x000a_-No of Students "/>
    <s v="-_"/>
    <n v="10"/>
    <n v="60000"/>
    <s v="Adhoc Trips - Buses - Recreational and Fields Trips "/>
    <n v="600000"/>
    <s v="KU Regular operations"/>
    <s v="Recurring"/>
    <s v="Utilize state-of-the-art technologies and facilities in an optimal and efficient manner"/>
  </r>
  <r>
    <s v="Student"/>
    <s v="No Applicable"/>
    <s v="Academic and Student Services Office"/>
    <n v="847"/>
    <n v="8471260"/>
    <s v="KUST - Student Life"/>
    <n v="1"/>
    <s v="425746"/>
    <s v="425746-Student Transport"/>
    <s v="000000"/>
    <s v="KUST - General"/>
    <n v="847001"/>
    <s v="FA179-Opex Expense"/>
    <n v="200179"/>
    <x v="170"/>
    <s v="425746.Student Transport-Students_x000a_-No of Students "/>
    <s v="-_"/>
    <n v="10"/>
    <n v="30000"/>
    <s v="Limousine Services "/>
    <n v="300000"/>
    <s v="KU Regular operations"/>
    <s v="Recurring"/>
    <s v="Utilize state-of-the-art technologies and facilities in an optimal and efficient manner"/>
  </r>
  <r>
    <s v="-"/>
    <s v="-"/>
    <s v="Academic and Student Services Office"/>
    <n v="847"/>
    <n v="8471260"/>
    <s v="KUST - Student Life"/>
    <n v="1"/>
    <s v="425760"/>
    <s v="425760-Student activities &amp; field trip expenses"/>
    <s v="000000"/>
    <s v="KUST - General"/>
    <n v="847001"/>
    <s v="FA179-Opex Expense"/>
    <n v="200179"/>
    <x v="171"/>
    <s v="425760.Student activities &amp; field trip expenses-Students-No of Students"/>
    <s v="-_"/>
    <n v="26"/>
    <n v="1600"/>
    <s v="Club Day _ Club Fair _ 25 Student Clubs/Chapters "/>
    <n v="41600"/>
    <s v="KU Regular operations"/>
    <s v="Recurring"/>
    <s v="Develop a multidimensional program to attract and retain diverse outstanding students"/>
  </r>
  <r>
    <s v="-"/>
    <s v="-"/>
    <s v="Academic and Student Services Office"/>
    <n v="847"/>
    <n v="8471260"/>
    <s v="KUST - Student Life"/>
    <n v="1"/>
    <s v="425760"/>
    <s v="425760-Student activities &amp; field trip expenses"/>
    <s v="000000"/>
    <s v="KUST - General"/>
    <n v="847001"/>
    <s v="FA179-Opex Expense"/>
    <n v="200179"/>
    <x v="171"/>
    <s v="425760.Student activities &amp; field trip expenses-Students-No of Students"/>
    <s v="-_"/>
    <n v="33"/>
    <n v="2334"/>
    <s v="Global Day 2023"/>
    <n v="77022"/>
    <s v="KU Regular operations"/>
    <s v="Recurring"/>
    <s v="Develop a multidimensional program to attract and retain diverse outstanding students"/>
  </r>
  <r>
    <s v="-"/>
    <s v="-"/>
    <s v="Academic and Student Services Office"/>
    <n v="847"/>
    <n v="8471260"/>
    <s v="KUST - Student Life"/>
    <n v="1"/>
    <s v="425760"/>
    <s v="425760-Student activities &amp; field trip expenses"/>
    <s v="000000"/>
    <s v="KUST - General"/>
    <n v="847001"/>
    <s v="FA179-Opex Expense"/>
    <n v="200179"/>
    <x v="171"/>
    <s v="425760.Student activities &amp; field trip expenses-Students-No of Students"/>
    <s v="-_"/>
    <n v="20"/>
    <n v="4000"/>
    <s v="KU Film Festival "/>
    <n v="80000"/>
    <s v="KU Regular operations"/>
    <s v="Recurring"/>
    <s v="Develop a multidimensional program to attract and retain diverse outstanding students"/>
  </r>
  <r>
    <s v="-"/>
    <s v="-"/>
    <s v="Academic and Student Services Office"/>
    <n v="847"/>
    <n v="8471260"/>
    <s v="KUST - Student Life"/>
    <n v="1"/>
    <s v="425760"/>
    <s v="425760-Student activities &amp; field trip expenses"/>
    <s v="000000"/>
    <s v="KUST - General"/>
    <n v="847001"/>
    <s v="FA179-Opex Expense"/>
    <n v="200179"/>
    <x v="171"/>
    <s v="425760.Student activities &amp; field trip expenses-Students-No of Students"/>
    <s v="-_"/>
    <n v="35"/>
    <n v="2000"/>
    <s v="KU Bazaar 2023 and Entrepreneurship Talks "/>
    <n v="70000"/>
    <s v="KU Regular operations"/>
    <s v="Recurring"/>
    <s v="Develop a multidimensional program to attract and retain diverse outstanding students"/>
  </r>
  <r>
    <s v="-"/>
    <s v="-"/>
    <s v="Academic and Student Services Office"/>
    <n v="847"/>
    <n v="8471260"/>
    <s v="KUST - Student Life"/>
    <n v="1"/>
    <s v="425760"/>
    <s v="425760-Student activities &amp; field trip expenses"/>
    <s v="000000"/>
    <s v="KUST - General"/>
    <n v="847001"/>
    <s v="FA179-Opex Expense"/>
    <n v="200179"/>
    <x v="171"/>
    <s v="425760.Student activities &amp; field trip expenses-Events-No of Events"/>
    <s v="-_"/>
    <n v="50"/>
    <n v="2500"/>
    <s v="Recreational/Sports/ Local Trips "/>
    <n v="125000"/>
    <s v="KU Regular operations"/>
    <s v="Recurring"/>
    <s v="Develop a multidimensional program to attract and retain diverse outstanding students"/>
  </r>
  <r>
    <s v="-"/>
    <s v="-"/>
    <s v="Academic and Student Services Office"/>
    <n v="847"/>
    <n v="8471260"/>
    <s v="KUST - Student Life"/>
    <n v="1"/>
    <s v="425760"/>
    <s v="425760-Student activities &amp; field trip expenses"/>
    <s v="000000"/>
    <s v="KUST - General"/>
    <n v="847001"/>
    <s v="FA179-Opex Expense"/>
    <n v="200179"/>
    <x v="171"/>
    <s v="425760.Student activities &amp; field trip expenses-Events-No of Events"/>
    <s v="-_"/>
    <n v="30"/>
    <n v="1500"/>
    <s v="Clubs/Chapters Events and Activities "/>
    <n v="45000"/>
    <s v="KU Regular operations"/>
    <s v="Recurring"/>
    <s v="Develop a multidimensional program to attract and retain diverse outstanding students"/>
  </r>
  <r>
    <s v="Student"/>
    <s v="Director, Student Services"/>
    <s v="Academic and Student Services Office"/>
    <n v="847"/>
    <n v="8471260"/>
    <s v="KUST - Student Life"/>
    <n v="1"/>
    <s v="425760"/>
    <s v="425760-Student activities &amp; field trip expenses"/>
    <s v="000000"/>
    <s v="KUST - General"/>
    <n v="847001"/>
    <s v="FA179-Opex Expense"/>
    <n v="200179"/>
    <x v="171"/>
    <s v="425760.Student activities &amp; field trip expenses-Events-No of Events"/>
    <s v="-_"/>
    <n v="30"/>
    <n v="25000"/>
    <s v="International Trips "/>
    <n v="750000"/>
    <s v="KU Regular operations"/>
    <s v="Recurring"/>
    <s v="Develop a multidimensional program to attract and retain diverse outstanding students"/>
  </r>
  <r>
    <s v="-"/>
    <s v="-"/>
    <s v="Academic and Student Services Office"/>
    <n v="847"/>
    <n v="8471260"/>
    <s v="KUST - Student Life"/>
    <n v="1"/>
    <s v="425900"/>
    <s v="425900-Entertainment and hospitality"/>
    <s v="000000"/>
    <s v="KUST - General"/>
    <n v="847001"/>
    <s v="FA179-Opex Expense"/>
    <n v="200179"/>
    <x v="172"/>
    <s v="425900.Entertainment and hospitality-1. No of events/workshops planned-count"/>
    <s v="-_"/>
    <n v="1700"/>
    <n v="30"/>
    <s v="Catering for UG &amp; PG Student Orientation Program Fall &amp; Spring "/>
    <n v="51000"/>
    <s v="KU Regular operations"/>
    <s v="Recurring"/>
    <s v="Develop a multidimensional program to attract and retain diverse outstanding students"/>
  </r>
  <r>
    <s v="-"/>
    <s v="-"/>
    <s v="Academic and Student Services Office"/>
    <n v="847"/>
    <n v="8471260"/>
    <s v="KUST - Student Life"/>
    <n v="1"/>
    <s v="425900"/>
    <s v="425900-Entertainment and hospitality"/>
    <s v="000000"/>
    <s v="KUST - General"/>
    <n v="847001"/>
    <s v="FA179-Opex Expense"/>
    <n v="200179"/>
    <x v="172"/>
    <s v="425900.Entertainment and hospitality-1. No of events/workshops planned-count"/>
    <s v="-_"/>
    <n v="1000"/>
    <n v="20"/>
    <s v="Catering/ selected Emirati food items for National Day Event"/>
    <n v="20000"/>
    <s v="KU Regular operations"/>
    <s v="Recurring"/>
    <s v="Develop a multidimensional program to attract and retain diverse outstanding students"/>
  </r>
  <r>
    <s v="-"/>
    <s v="-"/>
    <s v="Academic and Student Services Office"/>
    <n v="847"/>
    <n v="8471260"/>
    <s v="KUST - Student Life"/>
    <n v="1"/>
    <s v="425900"/>
    <s v="425900-Entertainment and hospitality"/>
    <s v="000000"/>
    <s v="KUST - General"/>
    <n v="847001"/>
    <s v="FA179-Opex Expense"/>
    <n v="200179"/>
    <x v="172"/>
    <s v="425900.Entertainment and hospitality-1. No of events/workshops planned-count"/>
    <s v="-_"/>
    <n v="1000"/>
    <n v="15"/>
    <s v="Catering /selected food items from international cuisine For Global Day Event "/>
    <n v="15000"/>
    <s v="KU Regular operations"/>
    <s v="Recurring"/>
    <s v="Develop a multidimensional program to attract and retain diverse outstanding students"/>
  </r>
  <r>
    <s v="-"/>
    <s v="-"/>
    <s v="Academic and Student Services Office"/>
    <n v="847"/>
    <n v="8471260"/>
    <s v="KUST - Student Life"/>
    <n v="1"/>
    <s v="425900"/>
    <s v="425900-Entertainment and hospitality"/>
    <s v="000000"/>
    <s v="KUST - General"/>
    <n v="847001"/>
    <s v="FA179-Opex Expense"/>
    <n v="200179"/>
    <x v="172"/>
    <s v="425900.Entertainment and hospitality-1. No of events/workshops planned-count"/>
    <s v="-_"/>
    <n v="1600"/>
    <n v="20"/>
    <s v="Social Gathering &amp; BBQ Night in KU Residences (Male &amp; Female Residences)  "/>
    <n v="32000"/>
    <s v="KU Regular operations"/>
    <s v="Recurring"/>
    <s v="Develop a multidimensional program to attract and retain diverse outstanding students"/>
  </r>
  <r>
    <s v="-"/>
    <s v="-"/>
    <s v="Academic and Student Services Office"/>
    <n v="847"/>
    <n v="8471260"/>
    <s v="KUST - Student Life"/>
    <n v="1"/>
    <s v="425900"/>
    <s v="425900-Entertainment and hospitality"/>
    <s v="000000"/>
    <s v="KUST - General"/>
    <n v="847001"/>
    <s v="FA179-Opex Expense"/>
    <n v="200179"/>
    <x v="172"/>
    <s v="425900.Entertainment and hospitality-1. No of events/workshops planned-count"/>
    <s v="-_"/>
    <n v="800"/>
    <n v="15"/>
    <s v="Snacks/light food for events, activities, workshops, seminars..etc. "/>
    <n v="12000"/>
    <s v="KU Regular operations"/>
    <s v="Recurring"/>
    <s v="Develop a multidimensional program to attract and retain diverse outstanding students"/>
  </r>
  <r>
    <s v="Other support"/>
    <s v="Director, Human Resources"/>
    <s v="Academic and Student Services Office"/>
    <n v="847"/>
    <n v="8471260"/>
    <s v="KUST - Student Life"/>
    <n v="1"/>
    <s v="425900"/>
    <s v="425900-Entertainment and hospitality"/>
    <s v="000000"/>
    <s v="KUST - General"/>
    <n v="847001"/>
    <s v="FA179-Opex Expense"/>
    <n v="200179"/>
    <x v="172"/>
    <s v="425900.Entertainment and hospitality-1. No of events/workshops planned-count"/>
    <s v="-_"/>
    <n v="2000"/>
    <n v="20"/>
    <s v="Iftar Gathering in Ramadan _ KU Residences (Male &amp; Female) "/>
    <n v="40000"/>
    <s v="KU Regular operations"/>
    <s v="Recurring"/>
    <s v="Develop a multidimensional program to attract and retain diverse outstanding students"/>
  </r>
  <r>
    <s v="-"/>
    <s v="-"/>
    <s v="Academic and Student Services Office"/>
    <n v="847"/>
    <n v="8471260"/>
    <s v="KUST - Student Life"/>
    <n v="1"/>
    <s v="428640"/>
    <s v="428640-Events - Awards, prizes &amp; gifts"/>
    <s v="000000"/>
    <s v="KUST - General"/>
    <n v="847001"/>
    <s v="FA179-Opex Expense"/>
    <n v="200179"/>
    <x v="173"/>
    <s v="428640.Events - Awards, prizes &amp; gifts-Number of gifts-count"/>
    <s v="-_"/>
    <n v="40"/>
    <n v="250"/>
    <s v="Gift cards &amp; vouchers for winners in different competitions "/>
    <n v="10000"/>
    <s v="KU Regular operations"/>
    <s v="Recurring"/>
    <s v="Develop a multidimensional program to attract and retain diverse outstanding students"/>
  </r>
  <r>
    <s v="-"/>
    <s v="-"/>
    <s v="Academic and Student Services Office"/>
    <n v="847"/>
    <n v="8471260"/>
    <s v="KUST - Student Life"/>
    <n v="1"/>
    <s v="428640"/>
    <s v="428640-Events - Awards, prizes &amp; gifts"/>
    <s v="000000"/>
    <s v="KUST - General"/>
    <n v="847001"/>
    <s v="FA179-Opex Expense"/>
    <n v="200179"/>
    <x v="173"/>
    <s v="428640.Events - Awards, prizes &amp; gifts-Number of gifts-count"/>
    <s v="-_"/>
    <n v="30"/>
    <n v="400"/>
    <s v="Trophies for winners &amp; participants in sports competitions and other competitions"/>
    <n v="12000"/>
    <s v="KU Regular operations"/>
    <s v="Recurring"/>
    <s v="Develop a multidimensional program to attract and retain diverse outstanding students"/>
  </r>
  <r>
    <s v="Communiction &amp; Marketing"/>
    <s v="Director, Marketing and Communication"/>
    <s v="Academic and Student Services Office"/>
    <n v="847"/>
    <n v="8471260"/>
    <s v="KUST - Student Life"/>
    <n v="1"/>
    <s v="428640"/>
    <s v="428640-Events - Awards, prizes &amp; gifts"/>
    <s v="000000"/>
    <s v="KUST - General"/>
    <n v="847001"/>
    <s v="FA179-Opex Expense"/>
    <n v="200179"/>
    <x v="173"/>
    <s v="428640.Events - Awards, prizes &amp; gifts-Number of gifts-count"/>
    <s v="-_"/>
    <n v="40"/>
    <n v="250"/>
    <s v="Customized gifts for participants in competitions "/>
    <n v="10000"/>
    <s v="KU Regular operations"/>
    <s v="Recurring"/>
    <s v="Develop a multidimensional program to attract and retain diverse outstanding students"/>
  </r>
  <r>
    <s v="-"/>
    <s v="-"/>
    <s v="Academic and Student Services Office"/>
    <n v="847"/>
    <n v="8471260"/>
    <s v="KUST - Student Life"/>
    <n v="1"/>
    <s v="435530"/>
    <s v="435530-School consumables, not specifically mentioned elsewhere"/>
    <s v="000000"/>
    <s v="KUST - General"/>
    <n v="847001"/>
    <s v="FA179-Opex Expense"/>
    <n v="200179"/>
    <x v="174"/>
    <s v="435530.School consumables, Numbert specifically mentioned elsewhere-Number of Students-Number"/>
    <s v="-_"/>
    <n v="370"/>
    <n v="40"/>
    <s v="Tools, Materials &amp; Equipment for Sports Activities (Balls for table tennis, volleyball, basketball..etc)"/>
    <n v="14800"/>
    <s v="KU Regular operations"/>
    <s v="Recurring"/>
    <s v="Develop a multidimensional program to attract and retain diverse outstanding students"/>
  </r>
  <r>
    <s v="-"/>
    <s v="-"/>
    <s v="Academic and Student Services Office"/>
    <n v="847"/>
    <n v="8471260"/>
    <s v="KUST - Student Life"/>
    <n v="1"/>
    <s v="435530"/>
    <s v="435530-School consumables, not specifically mentioned elsewhere"/>
    <s v="000000"/>
    <s v="KUST - General"/>
    <n v="847001"/>
    <s v="FA179-Opex Expense"/>
    <n v="200179"/>
    <x v="174"/>
    <s v="435530.School consumables, Numbert specifically mentioned elsewhere-Number of Students-Number"/>
    <s v="-_"/>
    <n v="370"/>
    <n v="40"/>
    <s v="PPE and personal tools for sports teams (racket, knee pads, goalkeeper gloves, drawstring bags..etc)"/>
    <n v="14800"/>
    <s v="KU Regular operations"/>
    <s v="Recurring"/>
    <s v="Develop a multidimensional program to attract and retain diverse outstanding students"/>
  </r>
  <r>
    <s v="Academic"/>
    <s v="No Applicable"/>
    <s v="Academic and Student Services Office"/>
    <n v="847"/>
    <n v="8471260"/>
    <s v="KUST - Student Life"/>
    <n v="1"/>
    <s v="435530"/>
    <s v="435530-School consumables, not specifically mentioned elsewhere"/>
    <s v="000000"/>
    <s v="KUST - General"/>
    <n v="847001"/>
    <s v="FA179-Opex Expense"/>
    <n v="200179"/>
    <x v="174"/>
    <s v="435530.School consumables, Numbert specifically mentioned elsewhere-Number of Students-Number"/>
    <s v="-_"/>
    <n v="370"/>
    <n v="150"/>
    <s v="Sports uniforms/jersey/training suits for Sports Teams and Coordinators."/>
    <n v="55500"/>
    <s v="KU Regular operations"/>
    <s v="Recurring"/>
    <s v="Develop a multidimensional program to attract and retain diverse outstanding students"/>
  </r>
  <r>
    <s v="-"/>
    <s v="-"/>
    <s v="Academic and Student Services Office"/>
    <n v="847"/>
    <n v="8471260"/>
    <s v="KUST - Student Life"/>
    <n v="1"/>
    <s v="436110"/>
    <s v="436110-Printing supplies"/>
    <s v="000000"/>
    <s v="KUST - General"/>
    <n v="847001"/>
    <s v="FA179-Opex Expense"/>
    <n v="200179"/>
    <x v="175"/>
    <s v="436110.Printing supplies-Number of Student-Number"/>
    <s v="-_"/>
    <n v="100"/>
    <n v="60"/>
    <s v="Certificates of Appreciations/Participations With Solid Cover"/>
    <n v="6000"/>
    <s v="KU Regular operations"/>
    <s v="Recurring"/>
    <s v="Develop a multidimensional program to attract and retain diverse outstanding students"/>
  </r>
  <r>
    <s v="Other support"/>
    <s v="No Applicable"/>
    <s v="Academic and Student Services Office"/>
    <n v="847"/>
    <n v="8471260"/>
    <s v="KUST - Student Life"/>
    <n v="1"/>
    <s v="436110"/>
    <s v="436110-Printing supplies"/>
    <s v="000000"/>
    <s v="KUST - General"/>
    <n v="847001"/>
    <s v="FA179-Opex Expense"/>
    <n v="200179"/>
    <x v="175"/>
    <s v="436110.Printing supplies-Number of Student-Number"/>
    <s v="-_"/>
    <n v="40"/>
    <n v="160"/>
    <s v="Rollups/Banners for campaigns and events "/>
    <n v="6400"/>
    <s v="KU Regular operations"/>
    <s v="Recurring"/>
    <s v="Develop a multidimensional program to attract and retain diverse outstanding students"/>
  </r>
  <r>
    <s v="Communiction &amp; Marketing"/>
    <s v="Director, Marketing and Communication"/>
    <s v="Academic and Student Services Office"/>
    <n v="847"/>
    <n v="8471220"/>
    <s v="KUST - Registrar"/>
    <n v="1"/>
    <s v="425510"/>
    <s v="425510-Conferences, seminars and exhibitions and other events: - Local Events"/>
    <s v="000000"/>
    <s v="KUST - General"/>
    <n v="847001"/>
    <s v="FA179-Opex Expense"/>
    <n v="200179"/>
    <x v="176"/>
    <s v="435508.Laboratory - Scientific-Number of Faculty-Number"/>
    <s v="Number of Events"/>
    <n v="4"/>
    <m/>
    <s v="20% increase from last year "/>
    <n v="5760"/>
    <s v="KU Regular operations"/>
    <s v="Recurring"/>
    <s v="Widen access to students with outstanding academic potential"/>
  </r>
  <r>
    <s v="Student"/>
    <s v="No Applicable"/>
    <s v="Academic and Student Services Office"/>
    <n v="847"/>
    <n v="8471220"/>
    <s v="KUST - Registrar"/>
    <n v="1"/>
    <s v="425741"/>
    <s v="425741-Student stipend"/>
    <s v="000000"/>
    <s v="KUST - General"/>
    <n v="847001"/>
    <s v="FA179-Opex Expense"/>
    <n v="200179"/>
    <x v="177"/>
    <s v="425741.Student stipend-Students-No of Students"/>
    <s v="No of Students"/>
    <n v="3275"/>
    <m/>
    <s v="20% increase from last year "/>
    <n v="142059750.01457018"/>
    <s v="KU Regular operations"/>
    <s v="Recurring"/>
    <s v="Widen access to students with outstanding academic potential"/>
  </r>
  <r>
    <s v="HR"/>
    <s v="No Applicable"/>
    <s v="Academic and Student Services Office"/>
    <n v="847"/>
    <n v="8471220"/>
    <s v="KUST - Registrar"/>
    <n v="1"/>
    <s v="426900"/>
    <s v="426900-Postal, courier and other document delivery expenses"/>
    <s v="000000"/>
    <s v="KUST - General"/>
    <n v="847001"/>
    <s v="FA179-Opex Expense"/>
    <n v="200179"/>
    <x v="178"/>
    <s v="426900.Postal, courier and other document delivery expenses-Number of Staff-Number"/>
    <s v="Number"/>
    <n v="5871"/>
    <m/>
    <s v="20% increase from last year "/>
    <n v="7473.6"/>
    <s v="KU Regular operations"/>
    <s v="Recurring"/>
    <s v="Widen access to students with outstanding academic potential"/>
  </r>
  <r>
    <s v="Academic"/>
    <s v="No Applicable"/>
    <s v="Academic and Student Services Office"/>
    <n v="847"/>
    <n v="8471220"/>
    <s v="KUST - Registrar"/>
    <n v="1"/>
    <s v="435340"/>
    <s v="435340-Text books and library books"/>
    <s v="000000"/>
    <s v="KUST - General"/>
    <n v="847001"/>
    <s v="FA179-Opex Expense"/>
    <n v="200179"/>
    <x v="179"/>
    <s v="435340.Text books and library books-Students-Number of students"/>
    <m/>
    <n v="5871"/>
    <n v="1"/>
    <s v="20% increase from last year considering the fluctuation in market price and increase in number of students each year. Especially CMHS adding periods in each year"/>
    <n v="16416000"/>
    <s v="KU Regular operations"/>
    <s v="Recurring"/>
    <s v="Widen access to students with outstanding academic potential"/>
  </r>
  <r>
    <s v="Other support"/>
    <s v="No Applicable"/>
    <s v="Academic and Student Services Office"/>
    <n v="847"/>
    <n v="8471220"/>
    <s v="KUST - Registrar"/>
    <n v="1"/>
    <s v="436110"/>
    <s v="436110-Printing supplies"/>
    <s v="000000"/>
    <s v="KUST - General"/>
    <n v="847001"/>
    <s v="FA179-Opex Expense"/>
    <n v="200179"/>
    <x v="180"/>
    <s v="436110.Printing supplies-Number of Student-Number"/>
    <s v="Number"/>
    <n v="5871"/>
    <m/>
    <s v="20% increase from last year "/>
    <n v="519840"/>
    <s v="KU Regular operations"/>
    <s v="Recurring"/>
    <s v="Widen access to students with outstanding academic potential"/>
  </r>
  <r>
    <s v="Other support"/>
    <s v="No Applicable"/>
    <s v="Academic and Student Services Office"/>
    <n v="847"/>
    <n v="8471220"/>
    <s v="KUST - Registrar"/>
    <n v="1"/>
    <s v="436120"/>
    <s v="436120-Stationery"/>
    <s v="000000"/>
    <s v="KUST - General"/>
    <n v="847001"/>
    <s v="FA179-Opex Expense"/>
    <n v="200179"/>
    <x v="181"/>
    <s v="436120.Stationery-Number of Staff-Number"/>
    <s v="Number"/>
    <n v="18"/>
    <m/>
    <s v="20% increase from last year "/>
    <n v="3456"/>
    <s v="KU Regular operations"/>
    <s v="Recurring"/>
    <s v="Widen access to students with outstanding academic potential"/>
  </r>
  <r>
    <s v="Other support"/>
    <s v="Director, Human Resources"/>
    <s v="Academic and Student Services Office"/>
    <n v="847"/>
    <n v="8471270"/>
    <s v="KUST - Libraries"/>
    <n v="1"/>
    <s v="425900"/>
    <s v="425900-Entertainment and hospitality"/>
    <s v="000000"/>
    <s v="KUST - General"/>
    <n v="847001"/>
    <s v="FA179-Opex Expense"/>
    <n v="200179"/>
    <x v="182"/>
    <s v="425900.Entertainment and hospitality-1. No of events/workshops planned-count"/>
    <s v="count"/>
    <n v="1"/>
    <n v="50000"/>
    <m/>
    <n v="50000"/>
    <s v="KU Regular operations"/>
    <s v="Recurring"/>
    <s v="Enhance the communication plan and outreach activities"/>
  </r>
  <r>
    <s v="Academic "/>
    <s v="No Applicable"/>
    <s v="Academic and Student Services Office"/>
    <n v="847"/>
    <n v="8471270"/>
    <s v="KUST - Libraries"/>
    <n v="1"/>
    <s v="428090"/>
    <s v="428090-Business Travel - Combined expenses"/>
    <s v="000000"/>
    <s v="KUST - General"/>
    <n v="847001"/>
    <s v="FA179-Opex Expense"/>
    <n v="200179"/>
    <x v="183"/>
    <s v="428090.Business Travel - Combined expenses-Number of Staff-Number"/>
    <s v="Number"/>
    <n v="16"/>
    <n v="18750"/>
    <m/>
    <n v="300000"/>
    <s v="KU Regular operations"/>
    <s v="Recurring"/>
    <s v="Design and implement professional development programs for researchers, faculty, and  staff to contribute to the university strategic plan"/>
  </r>
  <r>
    <s v="Academic"/>
    <s v="No Applicable"/>
    <s v="Academic and Student Services Office"/>
    <n v="847"/>
    <n v="8471270"/>
    <s v="KUST - Libraries"/>
    <n v="1"/>
    <s v="435330"/>
    <s v="435330-Library books"/>
    <s v="000000"/>
    <s v="KUST - General"/>
    <n v="847001"/>
    <s v="FA179-Opex Expense"/>
    <n v="200179"/>
    <x v="184"/>
    <s v="435330.Library books-Number of Students-Number"/>
    <s v="Number"/>
    <n v="4000"/>
    <n v="4290"/>
    <m/>
    <n v="17160000"/>
    <s v="KU Regular operations"/>
    <s v="Recurring"/>
    <s v="Widen access to students with outstanding academic potential"/>
  </r>
  <r>
    <s v="Other support"/>
    <s v="No Applicable"/>
    <s v="Academic and Student Services Office"/>
    <n v="847"/>
    <n v="8471270"/>
    <s v="KUST - Libraries"/>
    <n v="1"/>
    <s v="436110"/>
    <s v="436110-Printing supplies"/>
    <s v="000000"/>
    <s v="KUST - General"/>
    <n v="847001"/>
    <s v="FA179-Opex Expense"/>
    <n v="200179"/>
    <x v="185"/>
    <s v="436110.Printing supplies-Number of Faculty-Number"/>
    <s v="Number"/>
    <n v="4000"/>
    <n v="125"/>
    <m/>
    <n v="500000"/>
    <m/>
    <m/>
    <s v="Widen access to students with outstanding academic potential"/>
  </r>
  <r>
    <s v="Other support"/>
    <s v="No Applicable"/>
    <s v="Academic and Student Services Office"/>
    <n v="847"/>
    <n v="8471270"/>
    <s v="KUST - Libraries"/>
    <n v="1"/>
    <s v="435310"/>
    <s v="435310-Newspapers, magazines, journals, etc"/>
    <s v="000000"/>
    <s v="KUST - General"/>
    <n v="847001"/>
    <s v="FA179-Opex Expense"/>
    <n v="200179"/>
    <x v="186"/>
    <m/>
    <s v="Number"/>
    <m/>
    <m/>
    <m/>
    <n v="0"/>
    <m/>
    <m/>
    <m/>
  </r>
  <r>
    <s v="Academic"/>
    <s v="No Applicable"/>
    <s v="Academic and Student Services Office"/>
    <n v="847"/>
    <n v="8471230"/>
    <s v="KUST - Student Enrollment"/>
    <n v="1"/>
    <s v="425742"/>
    <s v="425742-Enrollment expenses"/>
    <s v="000000"/>
    <s v="KUST - General"/>
    <n v="847001"/>
    <s v="FA179-Opex Expense"/>
    <n v="200179"/>
    <x v="187"/>
    <s v="425510.Conferences, seminars and exhibitions and other events: - Local Events-Conferences-Number of Conferences"/>
    <s v="Number of Conferences"/>
    <n v="15"/>
    <n v="50000"/>
    <s v="Local exhibitions such as Najah Exhibition, Sharjah International Show, KU Open Day, Education Interface, AETEX, GETEX, TVET Week, NAPO Tour..etc"/>
    <n v="750000"/>
    <s v="KU Regular operations"/>
    <s v="Recurring"/>
    <s v="Develop a multidimensional program to attract and retain diverse outstanding students"/>
  </r>
  <r>
    <s v="IT"/>
    <s v="Director, Technology Development"/>
    <s v="Academic and Student Services Office"/>
    <n v="847"/>
    <n v="8471230"/>
    <s v="KUST - Student Enrollment"/>
    <n v="1"/>
    <s v="425742"/>
    <s v="425742-Enrollment expenses"/>
    <s v="000000"/>
    <s v="KUST - General"/>
    <n v="847001"/>
    <s v="FA179-Opex Expense"/>
    <n v="200179"/>
    <x v="187"/>
    <s v="425550.Conferences, seminars and exhibitions and other events: - Overseas event-Conferences-Number of Conferences"/>
    <s v="Number of Conferences"/>
    <n v="15"/>
    <n v="50000"/>
    <s v="International Recruitment Trips for UG and PG"/>
    <n v="750000"/>
    <s v="KU Regular operations"/>
    <s v="Recurring"/>
    <s v="Develop a multidimensional program to attract and retain diverse outstanding students"/>
  </r>
  <r>
    <s v="-"/>
    <s v="-"/>
    <s v="Academic and Student Services Office"/>
    <n v="847"/>
    <n v="8471230"/>
    <s v="KUST - Student Enrollment"/>
    <n v="1"/>
    <s v="425742"/>
    <s v="425742-Enrollment expenses"/>
    <s v="000000"/>
    <s v="KUST - General"/>
    <n v="847001"/>
    <s v="FA179-Opex Expense"/>
    <n v="200179"/>
    <x v="187"/>
    <s v="428640.Events - Awards, prizes &amp; gifts-Number of gifts-count"/>
    <s v="count"/>
    <n v="30000"/>
    <n v="10"/>
    <s v="Givaways and gifts "/>
    <n v="300000"/>
    <s v="KU Regular operations"/>
    <s v="Recurring"/>
    <s v="Develop a multidimensional program to attract and retain diverse outstanding students"/>
  </r>
  <r>
    <s v="-"/>
    <s v="-"/>
    <s v="Academic and Student Services Office"/>
    <n v="847"/>
    <n v="8471230"/>
    <s v="KUST - Student Enrollment"/>
    <n v="1"/>
    <s v="425742"/>
    <s v="425742-Enrollment expenses"/>
    <s v="000000"/>
    <s v="KUST - General"/>
    <n v="847001"/>
    <s v="FA179-Opex Expense"/>
    <n v="200179"/>
    <x v="187"/>
    <s v="425742.Enrollment expenses-Number of Students-Number"/>
    <s v="Number"/>
    <n v="10"/>
    <n v="70000"/>
    <s v="Number of Projects: Al Nokhba Program, Scholarship Digital Campigan, Abu Dhabi Science Festival, Think Science ….etc"/>
    <n v="700000"/>
    <s v="KU Regular operations"/>
    <s v="Recurring"/>
    <s v="Develop a multidimensional program to attract and retain diverse outstanding students"/>
  </r>
  <r>
    <s v="-"/>
    <s v="-"/>
    <s v="Academic and Student Services Office"/>
    <n v="847"/>
    <n v="8471230"/>
    <s v="KUST - Student Enrollment"/>
    <n v="1"/>
    <s v="426610"/>
    <s v="426610-Computer software licenses"/>
    <s v="000000"/>
    <s v="KUST - General"/>
    <n v="847001"/>
    <s v="FA179-Opex Expense"/>
    <n v="200179"/>
    <x v="188"/>
    <s v="426610.Computer software licenses-Software License Renewal-number of licenses-Number"/>
    <s v="Number"/>
    <n v="1000"/>
    <n v="100"/>
    <s v="Webinars and Placement Tests. "/>
    <n v="100000"/>
    <s v="KU Regular operations"/>
    <s v="Recurring"/>
    <s v="Develop a multidimensional program to attract and retain diverse outstanding students"/>
  </r>
  <r>
    <s v="Communiction &amp; Marketing"/>
    <s v="Director, Marketing and Communication"/>
    <s v="Academic and Student Services Office"/>
    <n v="847"/>
    <n v="8471280"/>
    <s v="KUST - Center for Teaching &amp; Learning"/>
    <n v="1"/>
    <s v="425100"/>
    <s v="425100-Advertising"/>
    <s v="000000"/>
    <s v="KUST - General"/>
    <n v="847001"/>
    <s v="FA179-Opex Expense"/>
    <n v="200179"/>
    <x v="189"/>
    <s v="425100.Advertising Services (General)-Digital Marketing Campaigns-count"/>
    <s v="count"/>
    <n v="3"/>
    <n v="1625"/>
    <s v="Digital/hardcopy publication banner/poster/brochures"/>
    <n v="4875"/>
    <s v="KU Regular operations"/>
    <s v="Recurring"/>
    <s v="Widen access to students with outstanding academic potential"/>
  </r>
  <r>
    <s v="Communiction &amp; Marketing"/>
    <s v="Director, Marketing and Communication"/>
    <s v="Academic and Student Services Office"/>
    <n v="847"/>
    <n v="8471280"/>
    <s v="KUST - Center for Teaching &amp; Learning"/>
    <n v="1"/>
    <s v="425510"/>
    <s v="425510-Conferences, seminars and exhibitions and other events: - Local Events"/>
    <s v="000000"/>
    <s v="KUST - General"/>
    <n v="847001"/>
    <s v="FA179-Opex Expense"/>
    <n v="200179"/>
    <x v="190"/>
    <s v="425510.Conferences, seminars and exhibitions and other events: - Local Events-Conferences-Number of Conferences"/>
    <s v="Number of Conferences"/>
    <n v="30"/>
    <n v="1950"/>
    <s v="20-30 workshops and seminars"/>
    <n v="58500"/>
    <s v="KU Regular operations"/>
    <s v="Recurring"/>
    <s v="Design and implement professional development programs for researchers, faculty, and  staff to contribute to the university strategic plan"/>
  </r>
  <r>
    <s v="Communiction &amp; Marketing"/>
    <s v="No Applicable"/>
    <s v="Academic and Student Services Office"/>
    <n v="847"/>
    <n v="8471280"/>
    <s v="KUST - Center for Teaching &amp; Learning"/>
    <n v="1"/>
    <s v="425550"/>
    <s v="425550-Conferences, seminars and exhibitions and other events: - Overseas event"/>
    <s v="000000"/>
    <s v="KUST - General"/>
    <n v="847001"/>
    <s v="FA179-Opex Expense"/>
    <n v="200179"/>
    <x v="191"/>
    <s v="425550.Conferences, seminars and exhibitions and other events: - Overseas event-Conferences-Number of Conferences"/>
    <s v="Number of Conferences"/>
    <n v="4"/>
    <n v="29250"/>
    <s v="4 conferences for AED 15,000 each"/>
    <n v="117000"/>
    <s v="KU Regular operations"/>
    <s v="Recurring"/>
    <s v="Build partnerships with local and international universities"/>
  </r>
  <r>
    <n v="0"/>
    <s v="No Applicable"/>
    <s v="Academic and Student Services Office"/>
    <n v="847"/>
    <n v="8471280"/>
    <s v="KUST - Center for Teaching &amp; Learning"/>
    <n v="1"/>
    <s v="425710"/>
    <s v="425710-Higher education and specialisation incentives"/>
    <s v="000000"/>
    <s v="KUST - General"/>
    <n v="847001"/>
    <s v="FA179-Opex Expense"/>
    <n v="200179"/>
    <x v="192"/>
    <s v="425710.Higher education and specialisation incentives-number of faculty-number"/>
    <s v="Number"/>
    <n v="2"/>
    <n v="292500"/>
    <s v="10 Faculty Mini-Grants, and Accreditation &amp; Faculty Fellowship"/>
    <n v="585000"/>
    <s v="KU Regular operations"/>
    <s v="Recurring"/>
    <s v="Develop a new learning outcomes assessment framework at the course, programs, and institutional levels"/>
  </r>
  <r>
    <s v="Student"/>
    <s v="Director, Student Services"/>
    <s v="Academic and Student Services Office"/>
    <n v="847"/>
    <n v="8471280"/>
    <s v="KUST - Center for Teaching &amp; Learning"/>
    <n v="1"/>
    <s v="425760"/>
    <s v="425760-Student activities &amp; field trip expenses"/>
    <s v="000000"/>
    <s v="KUST - General"/>
    <n v="847001"/>
    <s v="FA179-Opex Expense"/>
    <n v="200179"/>
    <x v="193"/>
    <s v="425760.Student activities &amp; field trip expenses-Events-No of Events"/>
    <s v="No of Events"/>
    <n v="2"/>
    <n v="29250"/>
    <s v="workshop and training for AED 15,000  / symposium for AED 15,000"/>
    <n v="58500"/>
    <s v="KU Regular operations"/>
    <s v="Recurring"/>
    <s v="Develop a life-long culture of community service beyond the classroom "/>
  </r>
  <r>
    <s v="Academic"/>
    <s v="No Applicable"/>
    <s v="Academic and Student Services Office"/>
    <n v="847"/>
    <n v="8471280"/>
    <s v="KUST - Center for Teaching &amp; Learning"/>
    <n v="1"/>
    <s v="425770"/>
    <s v="425770-Academic Missions - Combined expenses"/>
    <s v="000000"/>
    <s v="KUST - General"/>
    <n v="847001"/>
    <s v="FA179-Opex Expense"/>
    <n v="200179"/>
    <x v="194"/>
    <s v="425770.Academic Missions - Combined expenses-Number of Conference-Number"/>
    <s v="Number"/>
    <n v="6"/>
    <n v="65000"/>
    <s v="guest speakers, honorarium and  blended courses"/>
    <n v="390000"/>
    <s v="KU Regular operations"/>
    <s v="Recurring"/>
    <s v="Attract and organize international conferences and summits"/>
  </r>
  <r>
    <s v="IT"/>
    <s v="Director, Technology Development"/>
    <s v="Academic and Student Services Office"/>
    <n v="847"/>
    <n v="8471280"/>
    <s v="KUST - Center for Teaching &amp; Learning"/>
    <n v="1"/>
    <s v="426610"/>
    <s v="426610-Computer software licenses"/>
    <s v="000000"/>
    <s v="KUST - General"/>
    <n v="847001"/>
    <s v="FA179-Opex Expense"/>
    <n v="200179"/>
    <x v="195"/>
    <s v="426610.Computer software licenses-Software License Renewal-number of licenses-Number"/>
    <s v="Number"/>
    <n v="25"/>
    <n v="114112"/>
    <s v="tools/software for exam, collaborative, survey, assessment, project management, authoring, polling, learners reporting, statistics, awards and management"/>
    <n v="2852800"/>
    <s v="KU Regular operations"/>
    <s v="Recurring"/>
    <s v="Utilize state-of-the-art technologies and facilities in an optimal and efficient manner"/>
  </r>
  <r>
    <s v="Communiction &amp; Marketing"/>
    <s v="Director, Marketing and Communication"/>
    <s v="Academic and Student Services Office"/>
    <n v="847"/>
    <n v="8471280"/>
    <s v="KUST - Center for Teaching &amp; Learning"/>
    <n v="1"/>
    <s v="428640"/>
    <s v="428640-Events - Awards, prizes &amp; gifts"/>
    <s v="000000"/>
    <s v="KUST - General"/>
    <n v="847001"/>
    <s v="FA179-Opex Expense"/>
    <n v="200179"/>
    <x v="196"/>
    <s v="428640.Events - Awards, prizes &amp; gifts-Number of awards-count"/>
    <s v="count"/>
    <n v="5"/>
    <n v="6000"/>
    <s v="faculty and student competition, activities, and services"/>
    <n v="30000"/>
    <s v="KU Regular operations"/>
    <s v="Recurring"/>
    <s v="Enhance the communication plan and outreach activities"/>
  </r>
  <r>
    <s v="Facilities"/>
    <s v="No Applicable"/>
    <s v="Academic and Student Services Office"/>
    <n v="847"/>
    <n v="8471280"/>
    <s v="KUST - Center for Teaching &amp; Learning"/>
    <n v="1"/>
    <s v="432170"/>
    <s v="432170-Bldg decoration &amp; minor improvements"/>
    <s v="000000"/>
    <s v="KUST - General"/>
    <n v="847001"/>
    <s v="FA179-Opex Expense"/>
    <n v="200179"/>
    <x v="197"/>
    <s v="432170.Bldg decoration &amp; miNumberr improvements-Number of Buildings-Number"/>
    <s v="Number"/>
    <n v="2"/>
    <n v="195000"/>
    <s v="Upgrade and fix the learning spaces and workshop areas into quiet and individualized environment that meet the minimum standards."/>
    <n v="390000"/>
    <s v="KU Regular operations"/>
    <s v="Recurring"/>
    <s v="Utilize state-of-the-art technologies and facilities in an optimal and efficient manner"/>
  </r>
  <r>
    <s v="Academic"/>
    <s v="No Applicable"/>
    <s v="Academic and Student Services Office"/>
    <n v="847"/>
    <n v="8471280"/>
    <s v="KUST - Center for Teaching &amp; Learning"/>
    <n v="1"/>
    <s v="435340"/>
    <s v="435340-Text books and library books"/>
    <s v="000000"/>
    <s v="KUST - General"/>
    <n v="847001"/>
    <s v="FA179-Opex Expense"/>
    <n v="200179"/>
    <x v="198"/>
    <s v="435340.Text books and library books-Design cost of the book-Number of pages"/>
    <s v="Number of pages"/>
    <n v="50"/>
    <n v="390"/>
    <s v="Teaching and learning resources including access to as e-books  "/>
    <n v="19500"/>
    <s v="KU Regular operations"/>
    <s v="Recurring"/>
    <s v="Establish a mobility program for students, faculty, researchers and staff"/>
  </r>
  <r>
    <s v="Academic"/>
    <s v="No Applicable"/>
    <s v="Academic and Student Services Office"/>
    <n v="847"/>
    <n v="8471280"/>
    <s v="KUST - Center for Teaching &amp; Learning"/>
    <n v="1"/>
    <s v="435530"/>
    <s v="435530-School consumables, not specifically mentioned elsewhere"/>
    <s v="000000"/>
    <s v="KUST - General"/>
    <n v="847001"/>
    <s v="FA179-Opex Expense"/>
    <n v="200179"/>
    <x v="199"/>
    <s v="435530.School consumables, Numbert specifically mentioned elsewhere-Number of Faculty-Number"/>
    <s v="Number"/>
    <n v="50"/>
    <n v="200"/>
    <s v="Stationery supplies and resources not in the store"/>
    <n v="10000"/>
    <s v="KU Regular operations"/>
    <s v="Recurring"/>
    <s v="Ensure the university sustainability "/>
  </r>
  <r>
    <s v="Facilities "/>
    <s v="Director, Research Laboratories"/>
    <s v="Academic and Student Services Office"/>
    <n v="847"/>
    <n v="8471280"/>
    <s v="KUST - Center for Teaching &amp; Learning"/>
    <n v="1"/>
    <s v="492316"/>
    <s v="492316-Laboratory equipment"/>
    <s v="000000"/>
    <s v="KUST - General"/>
    <n v="847001"/>
    <s v="FA180-Capex Expense"/>
    <n v="300180"/>
    <x v="200"/>
    <s v="492316.Laboratory equipment-Number of Research-Number"/>
    <s v="Number"/>
    <n v="5"/>
    <n v="2800"/>
    <s v="Converting face to face courses to hybrid format (SME, ID, IT) and developing blended online courses (SME, ID, IT)"/>
    <n v="14000"/>
    <m/>
    <s v="Recurring"/>
    <s v="Utilize state-of-the-art technologies and facilities in an optimal and efficient manner"/>
  </r>
  <r>
    <s v="Academic "/>
    <s v="No Applicable"/>
    <s v="Academic and Student Services Office"/>
    <n v="847"/>
    <n v="8471280"/>
    <s v="KUST - Center for Teaching &amp; Learning"/>
    <n v="1"/>
    <s v="428090"/>
    <s v="428090-Business Travel - Combined expenses"/>
    <s v="000000"/>
    <s v="KUST - General"/>
    <n v="847001"/>
    <s v="FA179-Opex Expense"/>
    <n v="200179"/>
    <x v="201"/>
    <s v="428090.Business Travel - Combined expenses-Number of Staff-Number"/>
    <s v="Number"/>
    <n v="3"/>
    <n v="1400"/>
    <s v="overseas conferences for staff"/>
    <n v="4200"/>
    <s v="KU Regular operations"/>
    <s v="Recurring"/>
    <s v="Align academic programs with the local and global labor market needs"/>
  </r>
  <r>
    <s v="Communiction &amp; Marketing"/>
    <s v="Director, Marketing and Communication"/>
    <s v="Academic and Student Services Office"/>
    <n v="847"/>
    <n v="8471250"/>
    <s v="KUST - Career Services"/>
    <n v="1"/>
    <s v="425510"/>
    <s v="425510-Conferences, seminars and exhibitions and other events: - Local Events"/>
    <s v="000000"/>
    <s v="KUST - General"/>
    <n v="847001"/>
    <s v="FA179-Opex Expense"/>
    <n v="200179"/>
    <x v="202"/>
    <s v="425510.Conferences, seminars and exhibitions and other events: - Local Events-Number of Event-Number"/>
    <s v="-_"/>
    <n v="5"/>
    <n v="200000"/>
    <s v="Career Fair, Alumni Reunion, Majors Day and Employer Recognition -  event organization/ venue setup"/>
    <n v="1000000"/>
    <s v="KU Strategic New Initiative"/>
    <s v="Recurring"/>
    <s v="Develop a career guidance system"/>
  </r>
  <r>
    <s v="Student"/>
    <s v="No Applicable"/>
    <s v="Academic and Student Services Office"/>
    <n v="847"/>
    <n v="8471250"/>
    <s v="KUST - Career Services"/>
    <n v="1"/>
    <s v="425720"/>
    <s v="425720-Education-Outsourced training service"/>
    <s v="000000"/>
    <s v="KUST - General"/>
    <n v="847001"/>
    <s v="FA179-Opex Expense"/>
    <n v="200179"/>
    <x v="203"/>
    <s v="425720.Education-Outsourced training service-Activities-No of Activities"/>
    <s v="-_"/>
    <n v="2"/>
    <n v="280000"/>
    <s v="Outsourced: Career Development Course Content"/>
    <n v="560000"/>
    <s v="KU Strategic New Initiative"/>
    <s v="Recurring"/>
    <s v="Develop a career guidance system"/>
  </r>
  <r>
    <s v="Student"/>
    <s v="No Applicable"/>
    <s v="Academic and Student Services Office"/>
    <n v="847"/>
    <n v="8471250"/>
    <s v="KUST - Career Services"/>
    <n v="1"/>
    <s v="425762"/>
    <s v="425762-Student Internship"/>
    <s v="000000"/>
    <s v="KUST - General"/>
    <n v="847001"/>
    <s v="FA179-Opex Expense"/>
    <n v="200179"/>
    <x v="204"/>
    <s v="425762.Student Internship-Number of Students UG-Month"/>
    <s v="-_"/>
    <n v="80"/>
    <n v="26800"/>
    <s v="International placements: to cover accomodation, travel expenses, air tickets and per diem"/>
    <n v="2144000"/>
    <s v="KU Strategic New Initiative"/>
    <s v="Recurring"/>
    <s v="Develop holistic internship programs "/>
  </r>
  <r>
    <s v="Other support"/>
    <s v="Director, Human Resources"/>
    <s v="Academic and Student Services Office"/>
    <n v="847"/>
    <n v="8471250"/>
    <s v="KUST - Career Services"/>
    <n v="1"/>
    <s v="425900"/>
    <s v="425900-Entertainment and hospitality"/>
    <s v="000000"/>
    <s v="KUST - General"/>
    <n v="847001"/>
    <s v="FA179-Opex Expense"/>
    <n v="200179"/>
    <x v="205"/>
    <s v="425900.Entertainment and hospitality-1. No of events/workshops planned-count"/>
    <s v="-_"/>
    <n v="5"/>
    <n v="15000"/>
    <s v="To cover the various events held during the academic year"/>
    <n v="75000"/>
    <s v="KU Regular operations"/>
    <s v="Recurring"/>
    <m/>
  </r>
  <r>
    <s v="IT"/>
    <s v="Director, Technology Development"/>
    <s v="Academic and Student Services Office"/>
    <n v="847"/>
    <n v="8471250"/>
    <s v="KUST - Career Services"/>
    <n v="1"/>
    <s v="426610"/>
    <s v="426610-Computer software licenses"/>
    <s v="000000"/>
    <s v="KUST - General"/>
    <n v="847001"/>
    <s v="FA179-Opex Expense"/>
    <n v="200179"/>
    <x v="206"/>
    <s v="426610.Computer software licenses-Software License Renewal-number of licenses-Number"/>
    <s v="-_"/>
    <n v="3"/>
    <n v="373152"/>
    <s v="Systems renewal cost"/>
    <n v="1119456"/>
    <s v="KU Regular operations"/>
    <s v="Recurring"/>
    <m/>
  </r>
  <r>
    <s v="Academic "/>
    <s v="No Applicable"/>
    <s v="Academic and Student Services Office"/>
    <n v="847"/>
    <n v="8471250"/>
    <s v="KUST - Career Services"/>
    <n v="1"/>
    <s v="428090"/>
    <s v="428090-Business Travel - Combined expenses"/>
    <s v="000000"/>
    <s v="KUST - General"/>
    <n v="847001"/>
    <s v="FA179-Opex Expense"/>
    <n v="200179"/>
    <x v="207"/>
    <s v="428090.Business Travel - Combined expenses-Number of Staff-Number"/>
    <s v="-_"/>
    <m/>
    <m/>
    <m/>
    <n v="0"/>
    <s v="KU Regular operations"/>
    <s v="Recurring"/>
    <m/>
  </r>
  <r>
    <s v="Communiction &amp; Marketing"/>
    <s v="Director, Marketing and Communication"/>
    <s v="Academic and Student Services Office"/>
    <n v="847"/>
    <n v="8471250"/>
    <s v="KUST - Career Services"/>
    <n v="1"/>
    <s v="428640"/>
    <s v="428640-Events - Awards, prizes &amp; gifts"/>
    <s v="000000"/>
    <s v="KUST - General"/>
    <n v="847001"/>
    <s v="FA179-Opex Expense"/>
    <n v="200179"/>
    <x v="208"/>
    <s v="428640.Events - Awards, prizes &amp; gifts-Number of gifts-count"/>
    <s v="-_"/>
    <n v="200"/>
    <n v="400"/>
    <s v="Trophies for participants in major events as an appreciation for their contribution to further students career development "/>
    <n v="80000"/>
    <s v="KU Regular operations"/>
    <s v="Recurring"/>
    <m/>
  </r>
  <r>
    <s v="Other support"/>
    <s v="No Applicable"/>
    <s v="Academic and Student Services Office"/>
    <n v="847"/>
    <n v="8471250"/>
    <s v="KUST - Career Services"/>
    <n v="1"/>
    <s v="436110"/>
    <s v="436110-Printing supplies"/>
    <s v="000000"/>
    <s v="KUST - General"/>
    <n v="847001"/>
    <s v="FA179-Opex Expense"/>
    <n v="200179"/>
    <x v="209"/>
    <s v="436110.Printing supplies-Number of Employees-Number"/>
    <s v="-_"/>
    <n v="5"/>
    <n v="2000"/>
    <s v="branding and collaterals, flyers and handbooks to be printed for events "/>
    <n v="10000"/>
    <s v="KU Regular operations"/>
    <s v="Recurring"/>
    <m/>
  </r>
  <r>
    <s v="Communiction &amp; Marketing"/>
    <s v="Director, Marketing and Communication"/>
    <s v="Continuing Education"/>
    <n v="847"/>
    <n v="8471010"/>
    <s v="KUST - Continuing Education Office"/>
    <n v="1"/>
    <s v="425100"/>
    <s v="425100-Advertising"/>
    <s v="000000"/>
    <s v="KUST - General"/>
    <n v="847001"/>
    <s v="FA179-Opex Expense"/>
    <n v="200179"/>
    <x v="210"/>
    <s v="425100.Advertising Services (General)-Digital advertizing (Radio, TV, Social Media)  -count"/>
    <s v="count"/>
    <n v="2"/>
    <n v="70000"/>
    <s v="Digital Marketing campaign to increase visibility and to _x000a_promote the KU-CE trainings and other related activities."/>
    <n v="140000"/>
    <s v="KU Regular operations"/>
    <s v="Recurring"/>
    <s v="Enhance the communication plan and outreach activities"/>
  </r>
  <r>
    <s v="Communiction &amp; Marketing"/>
    <s v="Director, Marketing and Communication"/>
    <s v="Continuing Education"/>
    <n v="847"/>
    <n v="8471010"/>
    <s v="KUST - Continuing Education Office"/>
    <n v="1"/>
    <s v="425510"/>
    <s v="425510-Conferences, seminars and exhibitions and other events: - Local Events"/>
    <s v="000000"/>
    <s v="KUST - General"/>
    <n v="847001"/>
    <s v="FA179-Opex Expense"/>
    <n v="200179"/>
    <x v="211"/>
    <s v="425510.Conferences, seminars and exhibitions and other events: - Local Events-Seminars-Number of Seminars"/>
    <s v="Number of Seminars"/>
    <n v="2"/>
    <n v="50000"/>
    <s v="To participate in the local / _x000a_regional seminars, conferences &amp; exhibits to expand the network."/>
    <n v="100000"/>
    <s v="KU Strategic New Initiative"/>
    <s v="Recurring"/>
    <s v="Attract and organize international conferences and summits"/>
  </r>
  <r>
    <s v="Student"/>
    <s v="No Applicable"/>
    <s v="Continuing Education"/>
    <n v="847"/>
    <n v="8471010"/>
    <s v="KUST - Continuing Education Office"/>
    <n v="1"/>
    <s v="425720"/>
    <s v="425720-Education-Outsourced training service"/>
    <s v="000000"/>
    <s v="KUST - General"/>
    <n v="847001"/>
    <s v="FA179-Opex Expense"/>
    <n v="200179"/>
    <x v="212"/>
    <s v="425720.Education-Outsourced training service-Activities-No of Activities"/>
    <s v="No of Activities"/>
    <n v="24"/>
    <n v="6920"/>
    <s v="Payment for the outsourced logistics as per the signed agreement."/>
    <n v="166080"/>
    <s v="KU Regular operations"/>
    <s v="Recurring"/>
    <s v="Build partnerships with local and international universities"/>
  </r>
  <r>
    <s v="Other support"/>
    <s v="Director, Human Resources"/>
    <s v="Continuing Education"/>
    <n v="847"/>
    <n v="8471010"/>
    <s v="KUST - Continuing Education Office"/>
    <n v="1"/>
    <s v="425900"/>
    <s v="425900-Entertainment and hospitality"/>
    <s v="000000"/>
    <s v="KUST - General"/>
    <n v="847001"/>
    <s v="FA179-Opex Expense"/>
    <n v="200179"/>
    <x v="213"/>
    <s v="425900.Entertainment and hospitality-1. No of events/workshops planned-count"/>
    <s v="count"/>
    <n v="15"/>
    <n v="7000"/>
    <s v="Catering services for the _x000a_students/ participants of the face to face trainings and other related activities."/>
    <n v="105000"/>
    <s v="KU Regular operations"/>
    <s v="Recurring"/>
    <s v="Ensure the university sustainability "/>
  </r>
  <r>
    <s v="Other support"/>
    <s v="No Applicable"/>
    <s v="Continuing Education"/>
    <n v="847"/>
    <n v="8471010"/>
    <s v="KUST - Continuing Education Office"/>
    <n v="1"/>
    <s v="436110"/>
    <s v="436110-Printing supplies"/>
    <s v="000000"/>
    <s v="KUST - General"/>
    <n v="847001"/>
    <s v="FA179-Opex Expense"/>
    <n v="200179"/>
    <x v="214"/>
    <s v="436110.Printing supplies-Number of Student-Number"/>
    <s v="Number"/>
    <n v="8"/>
    <n v="4000"/>
    <s v="Printing training_x000a_materials (Students' training manual)._x000a_"/>
    <n v="32000"/>
    <s v="KU Regular operations"/>
    <s v="Recurring"/>
    <s v="Ensure the university sustainability "/>
  </r>
  <r>
    <s v="Other support"/>
    <s v="No Applicable"/>
    <s v="Continuing Education"/>
    <n v="847"/>
    <n v="8471010"/>
    <s v="KUST - Continuing Education Office"/>
    <n v="1"/>
    <s v="436120"/>
    <s v="436120-Stationery"/>
    <s v="000000"/>
    <s v="KUST - General"/>
    <n v="847001"/>
    <s v="FA179-Opex Expense"/>
    <n v="200179"/>
    <x v="215"/>
    <s v="436120.Stationery-Number of Employees-Number"/>
    <s v="Number"/>
    <n v="12"/>
    <n v="500"/>
    <s v="Students' training supplies/ stationeries pens, note pads and etc._x000a_Faculty training supplies, whiteboard markers, flip charts paper  and etc._x000a_ "/>
    <n v="6000"/>
    <s v="KU Regular operations"/>
    <s v="Recurring"/>
    <s v="Ensure the university sustainability "/>
  </r>
  <r>
    <s v="Academic"/>
    <s v="No Applicable"/>
    <s v="Academic and Student Services Office"/>
    <n v="847"/>
    <n v="8470230"/>
    <s v="KUST - Graduate Studies"/>
    <n v="1"/>
    <s v="420550"/>
    <s v="420550-Academic Advisory Service"/>
    <s v="000000"/>
    <s v="KUST - General"/>
    <n v="847001"/>
    <s v="FA179-Opex Expense"/>
    <n v="200179"/>
    <x v="216"/>
    <s v="420550.Academic Advisory Service-Number of Students-Number"/>
    <s v="Number"/>
    <n v="180"/>
    <n v="31420"/>
    <s v="Number of PhD students graduating - Refer to attached Itemised Details"/>
    <n v="5655600"/>
    <s v="KU Regular operations"/>
    <s v="Recurring"/>
    <s v="Align the postgraduates programs with the research strategy"/>
  </r>
  <r>
    <s v="Communiction &amp; Marketing"/>
    <s v="Director, Marketing and Communication"/>
    <s v="Academic and Student Services Office"/>
    <n v="847"/>
    <n v="8470230"/>
    <s v="KUST - Graduate Studies"/>
    <n v="1"/>
    <s v="425100"/>
    <s v="425100-Advertising"/>
    <s v="000000"/>
    <s v="KUST - General"/>
    <n v="847001"/>
    <s v="FA179-Opex Expense"/>
    <n v="200179"/>
    <x v="217"/>
    <s v="425100.Advertising Services (General)-Digital Marketing Campaigns-count"/>
    <s v="count"/>
    <n v="8"/>
    <n v="37500"/>
    <s v="Refer to attached Itemised Details"/>
    <n v="300000"/>
    <s v="KU Regular operations"/>
    <s v="Recurring"/>
    <s v="Increase number of postgraduate students"/>
  </r>
  <r>
    <s v="Communiction &amp; Marketing"/>
    <s v="Director, Marketing and Communication"/>
    <s v="Academic and Student Services Office"/>
    <n v="847"/>
    <n v="8470230"/>
    <s v="KUST - Graduate Studies"/>
    <n v="1"/>
    <s v="425510"/>
    <s v="425510-Conferences, seminars and exhibitions and other events: - Local Events"/>
    <s v="000000"/>
    <s v="KUST - General"/>
    <n v="847001"/>
    <s v="FA179-Opex Expense"/>
    <n v="200179"/>
    <x v="218"/>
    <s v="425510.Conferences, seminars and exhibitions and other events: - Local Events-Number of attendees-count"/>
    <s v="count"/>
    <n v="20"/>
    <n v="3200"/>
    <s v="Number of students expected to apply for conference funding - Refer to attached Itemised Details"/>
    <n v="64000"/>
    <s v="KU Regular operations"/>
    <s v="Recurring"/>
    <s v="Increase publications in journals with high impact factor"/>
  </r>
  <r>
    <s v="Communiction &amp; Marketing"/>
    <s v="No Applicable"/>
    <s v="Academic and Student Services Office"/>
    <n v="847"/>
    <n v="8470230"/>
    <s v="KUST - Graduate Studies"/>
    <n v="1"/>
    <s v="425550"/>
    <s v="425550-Conferences, seminars and exhibitions and other events: - Overseas event"/>
    <s v="000000"/>
    <s v="KUST - General"/>
    <n v="847001"/>
    <s v="FA179-Opex Expense"/>
    <n v="200179"/>
    <x v="219"/>
    <s v="425550.Conferences, seminars and exhibitions and other events: - Overseas event-Conferences-Number of Conferences"/>
    <s v="Number of Conferences"/>
    <n v="40"/>
    <n v="14800"/>
    <s v="Number of students expected to apply for conference funding - Refer to attached Itemised Details"/>
    <n v="592000"/>
    <s v="KU Regular operations"/>
    <s v="Recurring"/>
    <s v="Increase publications in journals with high impact factor"/>
  </r>
  <r>
    <s v="Student"/>
    <s v="No Applicable"/>
    <s v="Academic and Student Services Office"/>
    <n v="847"/>
    <n v="8470230"/>
    <s v="KUST - Graduate Studies"/>
    <n v="1"/>
    <s v="425743"/>
    <s v="425743-Graduation rewards"/>
    <s v="000000"/>
    <s v="KUST - General"/>
    <n v="847001"/>
    <s v="FA179-Opex Expense"/>
    <n v="200179"/>
    <x v="220"/>
    <m/>
    <s v="-_"/>
    <m/>
    <m/>
    <s v="Not required - zero MI legacy students eligible for graduation rewards after 2022."/>
    <n v="0"/>
    <m/>
    <m/>
    <m/>
  </r>
  <r>
    <s v="Student"/>
    <s v="No Applicable"/>
    <s v="Academic and Student Services Office"/>
    <n v="847"/>
    <n v="8470230"/>
    <s v="KUST - Graduate Studies"/>
    <n v="1"/>
    <s v="425744"/>
    <s v="425744-Student medical insurance"/>
    <s v="000000"/>
    <s v="KUST - General"/>
    <n v="847001"/>
    <s v="FA179-Opex Expense"/>
    <n v="200179"/>
    <x v="221"/>
    <s v="425744.Student medical insurance-Number Student Phd-Number"/>
    <s v="Number"/>
    <n v="1206"/>
    <n v="4000"/>
    <s v="Number of eligible expat students - Refer to attached Itemised Details"/>
    <n v="4824000"/>
    <s v="KU Regular operations"/>
    <s v="Recurring"/>
    <s v="Increase number of postgraduate students"/>
  </r>
  <r>
    <s v="Student"/>
    <s v="No Applicable"/>
    <s v="Academic and Student Services Office"/>
    <n v="847"/>
    <n v="8470230"/>
    <s v="KUST - Graduate Studies"/>
    <n v="1"/>
    <s v="425745"/>
    <s v="425745-Student relocation &amp; travel exps"/>
    <s v="000000"/>
    <s v="KUST - General"/>
    <n v="847001"/>
    <s v="FA179-Opex Expense"/>
    <n v="200179"/>
    <x v="222"/>
    <s v="425745.Student relocation &amp; travel exps-Number of Students Phd-Month"/>
    <s v="Month"/>
    <n v="1250"/>
    <n v="3145"/>
    <s v="Number of eligible expat students - Refer to attached Itemised Details"/>
    <n v="3931250"/>
    <s v="KU Regular operations"/>
    <s v="Recurring"/>
    <s v="Increase number of postgraduate students"/>
  </r>
  <r>
    <s v="Student"/>
    <s v="No Applicable"/>
    <s v="Academic and Student Services Office"/>
    <n v="847"/>
    <n v="8470230"/>
    <s v="KUST - Graduate Studies"/>
    <n v="1"/>
    <s v="425749"/>
    <s v="425749-Postgraduate Student Salaries"/>
    <s v="000000"/>
    <s v="KUST - General"/>
    <n v="847001"/>
    <s v="FA179-Opex Expense"/>
    <n v="200179"/>
    <x v="223"/>
    <s v="425749.Postgraduate Student Salaries-Post Graduate students-No of Post Graduate Students"/>
    <s v="No of Post Graduate Students"/>
    <n v="1540"/>
    <n v="178000"/>
    <s v="Refer to attached Itemised Details"/>
    <n v="274120000"/>
    <s v="KU Regular operations"/>
    <s v="Recurring"/>
    <s v="Increase number of postgraduate students"/>
  </r>
  <r>
    <s v="Academic"/>
    <s v="No Applicable"/>
    <s v="Academic and Student Services Office"/>
    <n v="847"/>
    <n v="8470230"/>
    <s v="KUST - Graduate Studies"/>
    <n v="1"/>
    <s v="425761"/>
    <s v="425761-Student Field trips"/>
    <s v="000000"/>
    <s v="KUST - General"/>
    <n v="847001"/>
    <s v="FA179-Opex Expense"/>
    <n v="200179"/>
    <x v="224"/>
    <s v="425761.Student Field trips-Number Student Phd-Number"/>
    <s v="Number"/>
    <n v="20"/>
    <n v="15000"/>
    <s v="Number of students expected to apply for field trip - Refer to attached Itemised Details"/>
    <n v="300000"/>
    <s v="KU Regular operations"/>
    <s v="Recurring"/>
    <s v="Establish a mobility program for students, faculty, researchers and staff"/>
  </r>
  <r>
    <s v="Student"/>
    <s v="No Applicable"/>
    <s v="Academic and Student Services Office"/>
    <n v="847"/>
    <n v="8470230"/>
    <s v="KUST - Graduate Studies"/>
    <n v="1"/>
    <s v="425762"/>
    <s v="425762-Student Internship"/>
    <s v="000000"/>
    <s v="KUST - General"/>
    <n v="847001"/>
    <s v="FA179-Opex Expense"/>
    <n v="200179"/>
    <x v="225"/>
    <s v="425762.Student Internship-Number Student Phd-Number"/>
    <s v="Number"/>
    <n v="20"/>
    <n v="15000"/>
    <s v="Number of students expected to apply for internship - Refer to attached Itemised Details"/>
    <n v="300000"/>
    <s v="KU Regular operations"/>
    <s v="Recurring"/>
    <s v="Establish a mobility program for students, faculty, researchers and staff"/>
  </r>
  <r>
    <s v="Other support"/>
    <s v="Director, Human Resources"/>
    <s v="Academic and Student Services Office"/>
    <n v="847"/>
    <n v="8470230"/>
    <s v="KUST - Graduate Studies"/>
    <n v="1"/>
    <s v="425900"/>
    <s v="425900-Entertainment and hospitality"/>
    <s v="000000"/>
    <s v="KUST - General"/>
    <n v="847001"/>
    <s v="FA179-Opex Expense"/>
    <n v="200179"/>
    <x v="226"/>
    <s v="425900.Entertainment and hospitality-1. No of events/workshops planned-count"/>
    <s v="count"/>
    <n v="290"/>
    <n v="268"/>
    <s v="Refer to attached Itemised Details"/>
    <n v="77720"/>
    <s v="KU Regular operations"/>
    <s v="Recurring"/>
    <m/>
  </r>
  <r>
    <s v="IT"/>
    <s v="Director, Technology Development"/>
    <s v="Academic and Student Services Office"/>
    <n v="847"/>
    <n v="8470230"/>
    <s v="KUST - Graduate Studies"/>
    <n v="1"/>
    <s v="426610"/>
    <s v="426610-Computer software licenses"/>
    <s v="000000"/>
    <s v="KUST - General"/>
    <n v="847001"/>
    <s v="FA179-Opex Expense"/>
    <n v="200179"/>
    <x v="227"/>
    <s v="426610.Computer software licenses-Software License Renewal-number of licenses-Number"/>
    <s v="Number"/>
    <n v="1"/>
    <n v="10000"/>
    <s v="Refer to attached Itemised Details"/>
    <n v="10000"/>
    <s v="KU Regular operations"/>
    <s v="Recurring"/>
    <m/>
  </r>
  <r>
    <s v="Academic "/>
    <s v="No Applicable"/>
    <s v="Academic and Student Services Office"/>
    <n v="847"/>
    <n v="8470230"/>
    <s v="KUST - Graduate Studies"/>
    <n v="1"/>
    <s v="428090"/>
    <s v="428090-Business Travel - Combined expenses"/>
    <s v="000000"/>
    <s v="KUST - General"/>
    <n v="847001"/>
    <s v="FA179-Opex Expense"/>
    <n v="200179"/>
    <x v="228"/>
    <s v="428090.Business Travel - Combined expenses-Number of Staff-Number"/>
    <s v="Number"/>
    <n v="5"/>
    <n v="19160"/>
    <s v="Number of trips per year - Refer to attached Itemised Details"/>
    <n v="95800"/>
    <s v="KU Regular operations"/>
    <s v="Recurring"/>
    <s v="Increase number of postgraduate students"/>
  </r>
  <r>
    <s v="Communiction &amp; Marketing"/>
    <s v="Director, Marketing and Communication"/>
    <s v="Academic and Student Services Office"/>
    <n v="847"/>
    <n v="8470230"/>
    <s v="KUST - Graduate Studies"/>
    <n v="1"/>
    <s v="428640"/>
    <s v="428640-Events - Awards, prizes &amp; gifts"/>
    <s v="000000"/>
    <s v="KUST - General"/>
    <n v="847001"/>
    <s v="FA179-Opex Expense"/>
    <n v="200179"/>
    <x v="229"/>
    <s v="428640.Events - Awards, prizes &amp; gifts-Number of prizes-count"/>
    <s v="count"/>
    <n v="1650"/>
    <n v="78"/>
    <s v="Refer to attached Itemised Details"/>
    <n v="128700"/>
    <s v="KU Regular operations"/>
    <s v="Recurring"/>
    <m/>
  </r>
  <r>
    <s v="Other support"/>
    <s v="No Applicable"/>
    <s v="Academic and Student Services Office"/>
    <n v="847"/>
    <n v="8470230"/>
    <s v="KUST - Graduate Studies"/>
    <n v="1"/>
    <s v="436110"/>
    <s v="436110-Printing supplies"/>
    <s v="000000"/>
    <s v="KUST - General"/>
    <n v="847001"/>
    <s v="FA179-Opex Expense"/>
    <n v="200179"/>
    <x v="230"/>
    <s v="436110.Printing supplies-Number of Employees-Number"/>
    <s v="Number"/>
    <n v="1"/>
    <n v="5000"/>
    <s v="General cost for the office - Refer to attached Itemised Details"/>
    <n v="5000"/>
    <s v="KU Regular operations"/>
    <s v="Recurring"/>
    <m/>
  </r>
  <r>
    <s v="IT"/>
    <s v="Director, Technology Development"/>
    <s v="Academic and Student Services Office"/>
    <n v="847"/>
    <n v="8470230"/>
    <s v="KUST - Graduate Studies"/>
    <n v="1"/>
    <s v="492310"/>
    <s v="492310-Hardware &amp; peripherals"/>
    <s v="000000"/>
    <s v="KUST - General"/>
    <n v="847001"/>
    <s v="FA180-Capex Expense"/>
    <n v="300180"/>
    <x v="231"/>
    <s v="492310.Hardware &amp; peripherals-number of hardware devices-Month"/>
    <s v="Month"/>
    <n v="207"/>
    <n v="4500"/>
    <s v="Number of PhD students - Refer to attached Itemised Details"/>
    <n v="931500"/>
    <s v="KU Regular operations"/>
    <s v="Recurring"/>
    <s v="Develop competitive fellowship programs for students"/>
  </r>
  <r>
    <s v="Academic"/>
    <s v="No Applicable"/>
    <s v="College of Medicine &amp; Health Sciences"/>
    <n v="847"/>
    <n v="8471305"/>
    <s v="KUST - Dean Of Medicine"/>
    <n v="1"/>
    <s v="420570"/>
    <s v="420570-Academic Collaborative Partnership Services"/>
    <s v="000000"/>
    <s v="KUST - General"/>
    <n v="847001"/>
    <s v="FA179-Opex Expense"/>
    <n v="200179"/>
    <x v="232"/>
    <s v="420550.Academic Advisory Service-Number of Students-Number"/>
    <s v="Number"/>
    <n v="1"/>
    <n v="36443299.200000003"/>
    <s v="As per the Signed Agreement for Clinical training for MD students between SSMC-SEHA and KU"/>
    <n v="36443299.200000003"/>
    <s v="KU Regular operations"/>
    <s v="Recurring"/>
    <s v="Widen access to students with outstanding academic potential"/>
  </r>
  <r>
    <s v="IT"/>
    <s v="Director, Technology Development"/>
    <s v="College of Medicine &amp; Health Sciences"/>
    <n v="847"/>
    <n v="8471305"/>
    <s v="KUST - Dean Of Medicine"/>
    <n v="1"/>
    <s v="420811"/>
    <s v="420811-IT Systems &amp; Support expenses-Application/Systems Operation"/>
    <s v="000000"/>
    <s v="KUST - General"/>
    <n v="847001"/>
    <s v="FA179-Opex Expense"/>
    <n v="200179"/>
    <x v="233"/>
    <s v="420811.IT Systems &amp; Support expenses-Application/Systems Operation-Number of Students-Number"/>
    <s v="Number"/>
    <n v="1"/>
    <n v="449801.00000000006"/>
    <s v="Learning platforms to support new P1  class of 50 students plus  P 2,3, and 4 matriculation students for learning platform resouces, required to be successful on international exam performance. "/>
    <n v="449801.00000000006"/>
    <s v="KU Regular operations"/>
    <s v="Recurring"/>
    <s v="Widen access to students with outstanding academic potential"/>
  </r>
  <r>
    <s v="HR"/>
    <s v="Manager, Business Development"/>
    <s v="College of Medicine &amp; Health Sciences"/>
    <n v="847"/>
    <n v="8471305"/>
    <s v="KUST - Dean Of Medicine"/>
    <n v="1"/>
    <s v="421000"/>
    <s v="421000-Management consultancy"/>
    <s v="000000"/>
    <s v="KUST - General"/>
    <n v="847001"/>
    <s v="FA179-Opex Expense"/>
    <n v="200179"/>
    <x v="234"/>
    <s v="421000.Management consultancy-Number of contracted consultations -count"/>
    <s v="count"/>
    <n v="10"/>
    <n v="50000"/>
    <s v="High level consultants to review and evaluate or teach faculty and staff what is required to set plans, evaluation and success of students.  USMLE, CAA, Student Health, coaching, external speakers etc. advisory for curriculumn "/>
    <n v="500000"/>
    <s v="KU Regular operations"/>
    <s v="Recurring"/>
    <s v="Promote a working culture of excellence and accountability"/>
  </r>
  <r>
    <s v="Academic"/>
    <s v="Director, Institutional Research and Planning"/>
    <s v="College of Medicine &amp; Health Sciences"/>
    <n v="847"/>
    <n v="8471305"/>
    <s v="KUST - Dean Of Medicine"/>
    <n v="1"/>
    <s v="421700"/>
    <s v="421700-Standards certification (e.g. ISO)"/>
    <s v="000000"/>
    <s v="KUST - General"/>
    <n v="847001"/>
    <s v="FA179-Opex Expense"/>
    <n v="200179"/>
    <x v="235"/>
    <s v="421700.Standards Certification Services (e.g. ISO)-professional services scope/deliverables-Number"/>
    <s v="Number"/>
    <n v="4"/>
    <n v="110000.00000000001"/>
    <s v="BLS Certification: for P1/P2 students + staff, ACLC Certification"/>
    <n v="440000.00000000006"/>
    <s v="KU Regular operations"/>
    <s v="Recurring"/>
    <s v="Develop and implement of performance management system across the university"/>
  </r>
  <r>
    <s v="Facilities "/>
    <s v="No Applicable"/>
    <s v="College of Medicine &amp; Health Sciences"/>
    <n v="847"/>
    <n v="8471305"/>
    <s v="KUST - Dean Of Medicine"/>
    <n v="1"/>
    <s v="422100"/>
    <s v="422100-Waste management service"/>
    <s v="000000"/>
    <s v="KUST - General"/>
    <n v="847001"/>
    <s v="FA179-Opex Expense"/>
    <n v="200179"/>
    <x v="236"/>
    <s v="422100.Waste management service-Number of Services-Number"/>
    <s v="Number"/>
    <n v="3"/>
    <n v="5000"/>
    <s v="to ensure that contaminated waste removal to include blood products, tissue &amp; science matter as properly removed and destroyed."/>
    <n v="396000.00000000006"/>
    <s v="KU Regular operations"/>
    <s v="Recurring"/>
    <s v="Realize a sustainable , healthy and safe campus environment for all community members"/>
  </r>
  <r>
    <s v="Communiction &amp; Marketing"/>
    <s v="Director, Marketing and Communication"/>
    <s v="College of Medicine &amp; Health Sciences"/>
    <n v="847"/>
    <n v="8471305"/>
    <s v="KUST - Dean Of Medicine"/>
    <n v="1"/>
    <s v="425510"/>
    <s v="425510-Conferences, seminars and exhibitions and other events: - Local Events"/>
    <s v="000000"/>
    <s v="KUST - General"/>
    <n v="847001"/>
    <s v="FA179-Opex Expense"/>
    <n v="200179"/>
    <x v="237"/>
    <s v="425510.Conferences, seminars and exhibitions and other events: - Local Events-Events-Number of Events"/>
    <s v="Number of Events"/>
    <n v="34"/>
    <n v="30000"/>
    <s v="1- hosting, presenting and attending at local conferences, networking and learning to increase the KU CMHS visibilty and ranking. 50/6000AED_x000a_2- Department cermonial expenses 4/10000 AED"/>
    <n v="1020000"/>
    <s v="KU Regular operations"/>
    <s v="Recurring"/>
    <s v="Strengthen research ethical culture framework across the university"/>
  </r>
  <r>
    <s v="Communiction &amp; Marketing"/>
    <s v="No Applicable"/>
    <s v="College of Medicine &amp; Health Sciences"/>
    <n v="847"/>
    <n v="8471305"/>
    <s v="KUST - Dean Of Medicine"/>
    <n v="1"/>
    <s v="425550"/>
    <s v="425550-Conferences, seminars and exhibitions and other events: - Overseas event"/>
    <s v="000000"/>
    <s v="KUST - General"/>
    <n v="847001"/>
    <s v="FA179-Opex Expense"/>
    <n v="200179"/>
    <x v="238"/>
    <s v="425550.Conferences, seminars and exhibitions and other events: - Overseas event-Conferences-Number of Conferences"/>
    <s v="Number of Conferences"/>
    <n v="38"/>
    <n v="30000"/>
    <s v="presenting at international conferences, networking and recruitment. Exposure to move to top 100 universities  24/30000AED"/>
    <n v="1140000"/>
    <s v="KU Regular operations"/>
    <s v="Recurring"/>
    <s v="Build partnerships with local and international universities"/>
  </r>
  <r>
    <s v="Student"/>
    <s v="No Applicable"/>
    <s v="College of Medicine &amp; Health Sciences"/>
    <n v="847"/>
    <n v="8471305"/>
    <s v="KUST - Dean Of Medicine"/>
    <n v="1"/>
    <s v="425720"/>
    <s v="425720-Education-Outsourced training service"/>
    <s v="000000"/>
    <s v="KUST - General"/>
    <n v="847001"/>
    <s v="FA179-Opex Expense"/>
    <n v="200179"/>
    <x v="239"/>
    <s v="425720.Education-Outsourced training service-Activities-No of Activities"/>
    <s v="No of Activities"/>
    <n v="10"/>
    <n v="310000"/>
    <s v="KAPLAN,MCAT standardized exams, predicting students success and progession academically and benchmark. Standardized patient exams"/>
    <n v="3100000"/>
    <s v="KU Regular operations"/>
    <s v="Recurring"/>
    <s v="Widen access to students with outstanding academic potential"/>
  </r>
  <r>
    <s v="Academic"/>
    <s v="No Applicable"/>
    <s v="College of Medicine &amp; Health Sciences"/>
    <n v="847"/>
    <n v="8471305"/>
    <s v="KUST - Dean Of Medicine"/>
    <n v="1"/>
    <s v="425742"/>
    <s v="425742-Enrollment expenses"/>
    <s v="000000"/>
    <s v="KUST - General"/>
    <n v="847001"/>
    <s v="FA179-Opex Expense"/>
    <n v="200179"/>
    <x v="240"/>
    <s v="425742.Enrollment expenses-Number of Students-Number"/>
    <s v="Number"/>
    <n v="145"/>
    <n v="2100"/>
    <s v="Added 50 new P1 students to have a total of 145 returning for courses this 2023 -2024 academic year. _x000a_Visa processing and health insurance requirments for students_x000a_"/>
    <n v="304500"/>
    <s v="KU Regular operations"/>
    <s v="Recurring"/>
    <s v="Widen access to students with outstanding academic potential"/>
  </r>
  <r>
    <s v="Student"/>
    <s v="No Applicable"/>
    <s v="College of Medicine &amp; Health Sciences"/>
    <n v="847"/>
    <n v="8471305"/>
    <s v="KUST - Dean Of Medicine"/>
    <n v="1"/>
    <s v="425745"/>
    <s v="425745-Student relocation &amp; travel exps"/>
    <s v="000000"/>
    <s v="KUST - General"/>
    <n v="847001"/>
    <s v="FA179-Opex Expense"/>
    <n v="200179"/>
    <x v="241"/>
    <s v="425745.Student relocation &amp; travel exps-Number of Students UG-Month"/>
    <s v="Month"/>
    <n v="25"/>
    <n v="33000"/>
    <s v="Travel for student abroad coming to KU for academic studies."/>
    <n v="825000"/>
    <s v="KU Regular operations"/>
    <s v="Recurring"/>
    <s v="Widen access to students with outstanding academic potential"/>
  </r>
  <r>
    <s v="Student"/>
    <s v="No Applicable"/>
    <s v="College of Medicine &amp; Health Sciences"/>
    <n v="847"/>
    <n v="8471305"/>
    <s v="KUST - Dean Of Medicine"/>
    <n v="1"/>
    <s v="425746"/>
    <s v="425746-Student Transport"/>
    <s v="000000"/>
    <s v="KUST - General"/>
    <n v="847001"/>
    <s v="FA179-Opex Expense"/>
    <n v="200179"/>
    <x v="242"/>
    <s v="425746.Student Transport-Students_x000a_-No of Students "/>
    <s v="No of Students "/>
    <n v="90"/>
    <n v="4200"/>
    <s v="transport students to and from accommodation and other activities provided by KU"/>
    <n v="378000"/>
    <s v="KU Regular operations"/>
    <s v="Recurring"/>
    <s v="Widen access to students with outstanding academic potential"/>
  </r>
  <r>
    <s v="Student"/>
    <s v="No Applicable"/>
    <s v="College of Medicine &amp; Health Sciences"/>
    <n v="847"/>
    <n v="8471305"/>
    <s v="KUST - Dean Of Medicine"/>
    <n v="1"/>
    <s v="425749"/>
    <s v="425749-Postgraduate Student Salaries"/>
    <s v="000000"/>
    <s v="KUST - General"/>
    <n v="847001"/>
    <s v="FA179-Opex Expense"/>
    <n v="200179"/>
    <x v="243"/>
    <s v="425749.Postgraduate Student Salaries-Post Graduate students-No of Post Graduate Students"/>
    <s v="No of Post Graduate Students"/>
    <n v="1"/>
    <n v="44963600"/>
    <s v="Salaries paid to Emirati and expat students for financial support and the ability to focus on academic  studies in medicine to meet standards at the international level.  To reduce this salary puts the students at a disadvantage for cover of living expenses"/>
    <n v="44963600"/>
    <s v="KU Regular operations"/>
    <s v="Recurring"/>
    <s v="Increase number of postgraduate students"/>
  </r>
  <r>
    <s v="Student"/>
    <s v="No Applicable"/>
    <s v="College of Medicine &amp; Health Sciences"/>
    <n v="847"/>
    <n v="8471305"/>
    <s v="KUST - Dean Of Medicine"/>
    <n v="1"/>
    <s v="425750"/>
    <s v="425750-Skill assessment service"/>
    <s v="000000"/>
    <s v="KUST - General"/>
    <n v="847001"/>
    <s v="FA179-Opex Expense"/>
    <n v="200179"/>
    <x v="244"/>
    <s v="425750.Skill assessment service-Events-No of Events"/>
    <s v="No of Events"/>
    <n v="145"/>
    <n v="20342.300000000003"/>
    <s v="Required standardized exams NBME exam, IFOM, MCAT, USMLE STEP 1 AND STEP 2, Peer tutor for success for international internships. "/>
    <n v="2949633.5000000005"/>
    <s v="KU Regular operations"/>
    <s v="Recurring"/>
    <s v="Widen access to students with outstanding academic potential"/>
  </r>
  <r>
    <s v="Student"/>
    <s v="No Applicable"/>
    <s v="College of Medicine &amp; Health Sciences"/>
    <n v="847"/>
    <n v="8471305"/>
    <s v="KUST - Dean Of Medicine"/>
    <n v="1"/>
    <s v="425762"/>
    <s v="425762-Student Internship"/>
    <s v="000000"/>
    <s v="KUST - General"/>
    <n v="847001"/>
    <s v="FA179-Opex Expense"/>
    <n v="200179"/>
    <x v="245"/>
    <s v="425762.Student Internship-Number of Students UG-Month"/>
    <s v="Month"/>
    <n v="29"/>
    <n v="125626.6"/>
    <s v="P4 Student internships for 29 students. internships increase knowledge, skill and competencies required to function as an independent medical (general) practitioner and to facilitate entry into postgraduate medical education. Abillity to enter top academic postgrad sites abroad."/>
    <n v="3643171.4000000004"/>
    <s v="KU Regular operations"/>
    <s v="Recurring"/>
    <s v="Widen access to students with outstanding academic potential"/>
  </r>
  <r>
    <s v="Student"/>
    <s v="No Applicable"/>
    <s v="College of Medicine &amp; Health Sciences"/>
    <n v="847"/>
    <n v="8471305"/>
    <s v="KUST - Dean Of Medicine"/>
    <n v="1"/>
    <s v="425763"/>
    <s v="425763-Student Project Expenses"/>
    <s v="000000"/>
    <s v="KUST - General"/>
    <n v="847001"/>
    <s v="FA179-Opex Expense"/>
    <n v="200179"/>
    <x v="246"/>
    <s v="425763.Student Project Expenses-Number of Students UG-Month"/>
    <s v="Month"/>
    <n v="11"/>
    <n v="25679.5"/>
    <s v="Ongoing research per individual students and with faculty for a total of 145 students who can utilize this as required."/>
    <n v="282474.5"/>
    <s v="KU Regular operations"/>
    <s v="Recurring"/>
    <s v="Widen access to students with outstanding academic potential"/>
  </r>
  <r>
    <s v="Other support"/>
    <s v="Director, Human Resources"/>
    <s v="College of Medicine &amp; Health Sciences"/>
    <n v="847"/>
    <n v="8471305"/>
    <s v="KUST - Dean Of Medicine"/>
    <n v="1"/>
    <s v="425900"/>
    <s v="425900-Entertainment and hospitality"/>
    <s v="000000"/>
    <s v="KUST - General"/>
    <n v="847001"/>
    <s v="FA179-Opex Expense"/>
    <n v="200179"/>
    <x v="247"/>
    <s v="425900.Entertainment and hospitality-1. No of events/workshops planned-count"/>
    <s v="count"/>
    <n v="25"/>
    <n v="16220.600000000002"/>
    <s v="12 events during the year to support faculty, staff and students related to recognition, visitors, awards, interal workgroups"/>
    <n v="405515.00000000006"/>
    <s v="KU Regular operations"/>
    <s v="Recurring"/>
    <s v="Develop and implement of performance management system across the university"/>
  </r>
  <r>
    <s v="Facilities "/>
    <s v="No Applicable"/>
    <s v="College of Medicine &amp; Health Sciences"/>
    <n v="847"/>
    <n v="8471305"/>
    <s v="KUST - Dean Of Medicine"/>
    <n v="1"/>
    <s v="426100"/>
    <s v="426100-Freight and shipping costs, not included elsewhere under purchase costs"/>
    <s v="000000"/>
    <s v="KUST - General"/>
    <n v="847001"/>
    <s v="FA179-Opex Expense"/>
    <n v="200179"/>
    <x v="248"/>
    <s v="426100.Freight and shipping costs, Numbert included elsewhere under purchase costs-Number of items-Number"/>
    <s v="Number"/>
    <n v="12"/>
    <n v="9350.0000000000018"/>
    <s v="2500 DHS per academic - shipping samples to collaborators nationally and internationally _x000a_samples collection and shipping cost- others"/>
    <n v="112200.00000000001"/>
    <s v="KU Regular operations"/>
    <s v="Recurring"/>
    <s v="Attract and organize international conferences and summits"/>
  </r>
  <r>
    <s v="IT"/>
    <s v="Director, Technology Development"/>
    <s v="College of Medicine &amp; Health Sciences"/>
    <n v="847"/>
    <n v="8471305"/>
    <s v="KUST - Dean Of Medicine"/>
    <n v="1"/>
    <s v="426610"/>
    <s v="426610-Computer software licenses"/>
    <s v="000000"/>
    <s v="KUST - General"/>
    <n v="847001"/>
    <s v="FA179-Opex Expense"/>
    <n v="200179"/>
    <x v="249"/>
    <s v="426610.Computer software licenses-Software License Renewal-number of licenses-Number"/>
    <s v="Number"/>
    <n v="1"/>
    <n v="1075099.3"/>
    <s v=" strategically aligned with student academic excellence.  This applies to academic sequel updates to versions for current practice.  One45, Lecturio, and others to underpin USMLE scores and content knowledge.  Top 10 recognition. "/>
    <n v="1075099.3"/>
    <s v="KU Regular operations"/>
    <s v="Recurring"/>
    <s v="Widen access to students with outstanding academic potential"/>
  </r>
  <r>
    <s v="HR"/>
    <s v="No Applicable"/>
    <s v="College of Medicine &amp; Health Sciences"/>
    <n v="847"/>
    <n v="8471305"/>
    <s v="KUST - Dean Of Medicine"/>
    <n v="1"/>
    <s v="426900"/>
    <s v="426900-Postal, courier and other document delivery expenses"/>
    <s v="000000"/>
    <s v="KUST - General"/>
    <n v="847001"/>
    <s v="FA179-Opex Expense"/>
    <n v="200179"/>
    <x v="250"/>
    <s v="426900.Postal, courier and other document delivery expenses-Number of Faculty-Number"/>
    <s v="Number"/>
    <n v="12"/>
    <n v="1925.0000000000002"/>
    <s v="1750 DHS per academic - shipping samples or documents to collaborators nationally and internationally "/>
    <n v="23100.000000000004"/>
    <s v="KU Regular operations"/>
    <s v="Recurring"/>
    <s v="Provide reliable, accurate and timely reports to different stakeholders"/>
  </r>
  <r>
    <s v="Communiction &amp; Marketing"/>
    <s v="No Applicable"/>
    <s v="College of Medicine &amp; Health Sciences"/>
    <n v="847"/>
    <n v="8471305"/>
    <s v="KUST - Dean Of Medicine"/>
    <n v="1"/>
    <s v="427200"/>
    <s v="427200-Printing and publishing"/>
    <s v="000000"/>
    <s v="KUST - General"/>
    <n v="847001"/>
    <s v="FA179-Opex Expense"/>
    <n v="200179"/>
    <x v="251"/>
    <s v="427200.Printing and publishing-The cost of design for the entity's publications to reflect the entity's identity-count"/>
    <s v="count"/>
    <n v="45"/>
    <n v="16500.000000000004"/>
    <s v="publishing in Top Quarter Rated Journals to increase visibility of KU and CMHS, top 100 university goal_x000a_Free standing posters, badges, certificates, embriodery, logo pins_x000a_"/>
    <n v="742500.00000000012"/>
    <s v="KU Regular operations"/>
    <s v="Recurring"/>
    <s v="Increase publications in journals with high impact factor"/>
  </r>
  <r>
    <s v="Academic"/>
    <s v="No Applicable"/>
    <s v="College of Medicine &amp; Health Sciences"/>
    <n v="847"/>
    <n v="8471305"/>
    <s v="KUST - Dean Of Medicine"/>
    <n v="1"/>
    <s v="427710"/>
    <s v="427710-Subscriptions and membership fees: Trade organisations"/>
    <s v="000000"/>
    <s v="KUST - General"/>
    <n v="847001"/>
    <s v="FA179-Opex Expense"/>
    <n v="200179"/>
    <x v="252"/>
    <s v="427710.Subscriptions and membership fees: Trade organisations-Number  of Memberships-Number"/>
    <s v="Number"/>
    <n v="43"/>
    <n v="6072.0000000000009"/>
    <s v="5520 DHS per academic (membership to professional societies e.g. FENS, IBRO, AAMC, AMEE physiological society, pharmacological society, Alzheimer society, American Neuroscience, ASPET etc…)"/>
    <n v="261096.00000000003"/>
    <s v="KU Regular operations"/>
    <s v="Recurring"/>
    <s v="Increase publications in journals with high impact factor"/>
  </r>
  <r>
    <s v="IT"/>
    <s v="No Applicable"/>
    <s v="College of Medicine &amp; Health Sciences"/>
    <n v="847"/>
    <n v="8471305"/>
    <s v="KUST - Dean Of Medicine"/>
    <n v="1"/>
    <s v="427810"/>
    <s v="427810-Telephone and telefax charges"/>
    <s v="000000"/>
    <s v="KUST - General"/>
    <n v="847001"/>
    <s v="FA179-Opex Expense"/>
    <n v="200179"/>
    <x v="253"/>
    <s v="427810.Telephone and telefax charges-Telecommunication, Satellite services-number of connection lines-Month"/>
    <s v="Month"/>
    <n v="4"/>
    <n v="0"/>
    <s v="telephonic and telefax services as required per assign faculty"/>
    <n v="0"/>
    <s v="KU Regular operations"/>
    <s v="Recurring"/>
    <s v="Enhance the communication plan and outreach activities"/>
  </r>
  <r>
    <s v="Academic "/>
    <s v="No Applicable"/>
    <s v="College of Medicine &amp; Health Sciences"/>
    <n v="847"/>
    <n v="8471305"/>
    <s v="KUST - Dean Of Medicine"/>
    <n v="1"/>
    <s v="428090"/>
    <s v="428090-Business Travel - Combined expenses"/>
    <s v="000000"/>
    <s v="KUST - General"/>
    <n v="847001"/>
    <s v="FA179-Opex Expense"/>
    <n v="200179"/>
    <x v="254"/>
    <s v="428090.Business Travel - Combined expenses-Number of Staff-Number"/>
    <s v="Number"/>
    <n v="30"/>
    <n v="30000"/>
    <s v="professional travel for Assoc/Asst Deans, faculty or staff as assigned based on international invitations and meetings with academic sites for potential partnerships. "/>
    <n v="495000.00000000006"/>
    <s v="KU Regular operations"/>
    <s v="Recurring"/>
    <s v="Build partnerships with local and international universities"/>
  </r>
  <r>
    <s v="Communiction &amp; Marketing"/>
    <s v="Director, Marketing and Communication"/>
    <s v="College of Medicine &amp; Health Sciences"/>
    <n v="847"/>
    <n v="8471305"/>
    <s v="KUST - Dean Of Medicine"/>
    <n v="1"/>
    <s v="428640"/>
    <s v="428640-Events - Awards, prizes &amp; gifts"/>
    <s v="000000"/>
    <s v="KUST - General"/>
    <n v="847001"/>
    <s v="FA179-Opex Expense"/>
    <n v="200179"/>
    <x v="255"/>
    <s v="428640.Events - Awards, prizes &amp; gifts-Number of Events-count"/>
    <s v="count"/>
    <n v="4"/>
    <n v="27500.000000000004"/>
    <s v="3500/Events for students that engage fellowship, appreciation, extra-academic activities"/>
    <n v="110000.00000000001"/>
    <s v="KU Regular operations"/>
    <s v="Recurring"/>
    <s v="Widen access to students with outstanding academic potential"/>
  </r>
  <r>
    <s v="IT"/>
    <s v="Director, Technology Development"/>
    <s v="College of Medicine &amp; Health Sciences"/>
    <n v="847"/>
    <n v="8471305"/>
    <s v="KUST - Dean Of Medicine"/>
    <n v="1"/>
    <s v="432205"/>
    <s v="432205-Computers and peripherals"/>
    <s v="000000"/>
    <s v="KUST - General"/>
    <n v="847001"/>
    <s v="FA179-Opex Expense"/>
    <n v="200179"/>
    <x v="256"/>
    <s v="432205.Computers and peripherals-End user and Infrastructure components maintenance and support-number of hardware devices-Month"/>
    <s v="Month"/>
    <n v="1"/>
    <n v="2144450"/>
    <s v="to protect our high level investment maintenance and support-is required for the number of hardware devices or warrenty may expire for laboratory and advanced learning systems.  This relates to high level competency of students, staff and external clients.  "/>
    <n v="2144450"/>
    <s v="KU Regular operations"/>
    <s v="Recurring"/>
    <s v="Widen access to students with outstanding academic potential"/>
  </r>
  <r>
    <s v="Academic"/>
    <s v="No Applicable"/>
    <s v="College of Medicine &amp; Health Sciences"/>
    <n v="847"/>
    <n v="8471305"/>
    <s v="KUST - Dean Of Medicine"/>
    <n v="1"/>
    <s v="432209"/>
    <s v="432209-Laboratory equipment"/>
    <s v="000000"/>
    <s v="KUST - General"/>
    <n v="847001"/>
    <s v="FA179-Opex Expense"/>
    <n v="200179"/>
    <x v="257"/>
    <s v="432209.Laboratory equipment-Number of Students-Number"/>
    <s v="Number"/>
    <n v="4"/>
    <n v="165000"/>
    <s v="Maintenance of Similation laboratory equiement  and warranty renewals_x000a_Care and function of science and technology for major advances in health and medicine, to reach a Top 100 distinction, to have a significant societal and economic impact and increase recognition in publications. _x000a_"/>
    <n v="660000"/>
    <s v="KU Regular operations"/>
    <s v="Recurring"/>
    <s v="Align the postgraduates programs with the research strategy"/>
  </r>
  <r>
    <s v="-"/>
    <s v="-"/>
    <s v="College of Medicine &amp; Health Sciences"/>
    <n v="847"/>
    <n v="8471305"/>
    <s v="KUST - Dean Of Medicine"/>
    <n v="1"/>
    <s v="432210"/>
    <s v="432210-Medical equipment"/>
    <s v="000000"/>
    <s v="KUST - General"/>
    <n v="847001"/>
    <s v="FA179-Opex Expense"/>
    <n v="200179"/>
    <x v="258"/>
    <s v="432210-Medical equipment"/>
    <s v="-_"/>
    <n v="4"/>
    <n v="55000.000000000007"/>
    <s v="development of science and technology for major advances in health and medicine, to reach a Top 100 distinction, to have a significant societal and economic impact and increase recognition in publications. "/>
    <n v="220000.00000000003"/>
    <s v="KU Regular operations"/>
    <s v="Recurring"/>
    <s v="Align the postgraduates programs with the research strategy"/>
  </r>
  <r>
    <s v="Academic"/>
    <s v="No Applicable"/>
    <s v="College of Medicine &amp; Health Sciences"/>
    <n v="847"/>
    <n v="8471305"/>
    <s v="KUST - Dean Of Medicine"/>
    <n v="1"/>
    <s v="435330"/>
    <s v="435330-Library books"/>
    <s v="000000"/>
    <s v="KUST - General"/>
    <n v="847001"/>
    <s v="FA179-Opex Expense"/>
    <n v="200179"/>
    <x v="259"/>
    <s v="435330.Library books-Number of Students-Number"/>
    <s v="Number"/>
    <n v="12"/>
    <n v="58841.200000000004"/>
    <s v="These are electronic platform best practice RESOUCES FOR STUDENTS.resources in library for student use to ensure academic success and improve CMHS and KU rankings. "/>
    <n v="706094.4"/>
    <s v="KU Regular operations"/>
    <s v="Recurring"/>
    <s v="Widen access to students with outstanding academic potential"/>
  </r>
  <r>
    <s v="Academic"/>
    <s v="No Applicable"/>
    <s v="College of Medicine &amp; Health Sciences"/>
    <n v="847"/>
    <n v="8471305"/>
    <s v="KUST - Dean Of Medicine"/>
    <n v="1"/>
    <s v="435340"/>
    <s v="435340-Text books and library books"/>
    <s v="000000"/>
    <s v="KUST - General"/>
    <n v="847001"/>
    <s v="FA179-Opex Expense"/>
    <n v="200179"/>
    <x v="260"/>
    <s v="435340.Text books and library books-The cost of printing a book-Number of pages"/>
    <s v="Number of pages"/>
    <n v="12"/>
    <n v="27500"/>
    <s v="medical reference and medical references, books. Purchase of subject specific books required by the departments as they are essintial resources for lecture preparation, resources in library for student use to ensure academic success and improve CMHS and KU rankings. "/>
    <n v="330000"/>
    <s v="KU Regular operations"/>
    <s v="Recurring"/>
    <s v="Widen access to students with outstanding academic potential"/>
  </r>
  <r>
    <s v="Academic"/>
    <s v="No Applicable"/>
    <s v="College of Medicine &amp; Health Sciences"/>
    <n v="847"/>
    <n v="8471305"/>
    <s v="KUST - Dean Of Medicine"/>
    <n v="1"/>
    <s v="435350"/>
    <s v="435350-Academic Publications"/>
    <s v="000000"/>
    <s v="KUST - General"/>
    <n v="847001"/>
    <s v="FA179-Opex Expense"/>
    <n v="200179"/>
    <x v="261"/>
    <s v="435350.Academic Publications-Number of Publications-Number"/>
    <s v="Number"/>
    <n v="84"/>
    <n v="16500"/>
    <s v="Required to increase h-ndex by publications in Q1 journals and move the Top 100 goal closer to its goal.  Increase visibility and reputation of KU and CMHS by pulications."/>
    <n v="1386000"/>
    <s v="KU Regular operations"/>
    <s v="Recurring"/>
    <s v="Increase publications in journals with high impact factor"/>
  </r>
  <r>
    <s v="Academic"/>
    <s v="Director, Research Laboratories"/>
    <s v="College of Medicine &amp; Health Sciences"/>
    <n v="847"/>
    <n v="8471305"/>
    <s v="KUST - Dean Of Medicine"/>
    <n v="1"/>
    <s v="435508"/>
    <s v="435508-Laboratory - Scientific"/>
    <s v="000000"/>
    <s v="KUST - General"/>
    <n v="847001"/>
    <s v="FA179-Opex Expense"/>
    <n v="200179"/>
    <x v="262"/>
    <s v="435508.Laboratory - Scientific-Number of Faculty-Number"/>
    <s v="Number"/>
    <n v="1"/>
    <n v="15485785.700000001"/>
    <s v="Laundry service, moulage &amp; props, medical disposables, new laundry, medical gas_x000a_small equipments/consumabales for different lab requirements"/>
    <n v="15485785.700000001"/>
    <s v="KU Regular operations"/>
    <s v="Recurring"/>
    <s v="Strengthen research ethical culture framework across the university"/>
  </r>
  <r>
    <s v="Academic"/>
    <s v="No Applicable"/>
    <s v="College of Medicine &amp; Health Sciences"/>
    <n v="847"/>
    <n v="8471305"/>
    <s v="KUST - Dean Of Medicine"/>
    <n v="1"/>
    <s v="435530"/>
    <s v="435530-School consumables, not specifically mentioned elsewhere"/>
    <s v="000000"/>
    <s v="KUST - General"/>
    <n v="847001"/>
    <s v="FA179-Opex Expense"/>
    <n v="200179"/>
    <x v="263"/>
    <s v="435530.School consumables, Numbert specifically mentioned elsewhere-Number of Students-Number"/>
    <s v="Number"/>
    <n v="1"/>
    <n v="247500.00000000003"/>
    <s v="Student supplies, posters, post it, paper, carboard, creative presentation needs, research items"/>
    <n v="247500.00000000003"/>
    <s v="KU Regular operations"/>
    <s v="Recurring"/>
    <s v="Widen access to students with outstanding academic potential"/>
  </r>
  <r>
    <s v="Other support"/>
    <s v="No Applicable"/>
    <s v="College of Medicine &amp; Health Sciences"/>
    <n v="847"/>
    <n v="8471305"/>
    <s v="KUST - Dean Of Medicine"/>
    <n v="1"/>
    <s v="436120"/>
    <s v="436120-Stationery"/>
    <s v="000000"/>
    <s v="KUST - General"/>
    <n v="847001"/>
    <s v="FA179-Opex Expense"/>
    <n v="200179"/>
    <x v="264"/>
    <s v="436120.Stationery-Number of Faculty-Number"/>
    <s v="Number"/>
    <n v="64"/>
    <n v="5500"/>
    <s v="Business cards, research promotion, office based stationary, needs for faculty, staff, postdocs, informtionals at conferences etc.."/>
    <n v="352000"/>
    <s v="KU Regular operations"/>
    <s v="Recurring"/>
    <s v="Build partnerships with local and international universities"/>
  </r>
  <r>
    <s v="Other support"/>
    <s v="No Applicable"/>
    <s v="College of Medicine &amp; Health Sciences"/>
    <n v="847"/>
    <n v="8471305"/>
    <s v="KUST - Dean Of Medicine"/>
    <n v="1"/>
    <s v="422900"/>
    <s v="422900-Other specialised professional services, not mentioned elsewhere"/>
    <s v="000000"/>
    <s v="KUST - General"/>
    <n v="847001"/>
    <s v="FA179-Opex Expense"/>
    <n v="200179"/>
    <x v="265"/>
    <s v="422900.Other specialised professional services, not mentioned elsewhere-Assets Verification-Number of assets"/>
    <s v="Number of assets"/>
    <n v="10"/>
    <n v="27500"/>
    <s v="Teaching and Learning needs for students and faculty "/>
    <n v="275000"/>
    <s v="KU Regular operations"/>
    <s v="Recurring"/>
    <s v="Widen access to students with outstanding academic potential"/>
  </r>
  <r>
    <s v="-"/>
    <s v="-"/>
    <s v="College of Medicine &amp; Health Sciences"/>
    <n v="847"/>
    <n v="8471305"/>
    <s v="KUST - Dean Of Medicine"/>
    <n v="1"/>
    <s v="436110"/>
    <s v="436110-Printing supplies"/>
    <s v="000000"/>
    <s v="KUST - General"/>
    <n v="847001"/>
    <s v="FA179-Opex Expense"/>
    <n v="200179"/>
    <x v="266"/>
    <s v="436110.Printing supplies-Number of Employees-Number"/>
    <s v="Number"/>
    <n v="1"/>
    <n v="330000"/>
    <s v="Business cards, Research fylers, informtionals, use in conferences or local worships, meetings or networking at formal events to promote KU"/>
    <n v="330000"/>
    <s v="KU Regular operations"/>
    <s v="Recurring"/>
    <s v="Enhance the communication plan and outreach activities"/>
  </r>
  <r>
    <s v="-"/>
    <s v="-"/>
    <s v="College of Medicine &amp; Health Sciences"/>
    <n v="847"/>
    <n v="8471305"/>
    <s v="KUST - Dean Of Medicine"/>
    <n v="1"/>
    <s v="425100"/>
    <s v="425100.Advertising Services (General"/>
    <s v="000000"/>
    <s v="KUST - General"/>
    <n v="847001"/>
    <s v="FA179-Opex Expense"/>
    <n v="200179"/>
    <x v="267"/>
    <s v="425100.Advertising Services (General)-Advertising through newspapers and other print media-cm2 - Word"/>
    <m/>
    <n v="1"/>
    <n v="1122000"/>
    <s v="Top 100 Recognition Media, paper, web, search engine, video, hoto shoots, international media digital/other to promote kU CMHS regionally, and internationally. "/>
    <n v="1122000"/>
    <s v="KU Regular operations"/>
    <s v="Recurring"/>
    <s v="Build partnerships with local and international universities"/>
  </r>
  <r>
    <s v="Other support"/>
    <s v="No Applicable"/>
    <s v="SVP/ Support Services Office"/>
    <n v="847"/>
    <n v="8470620"/>
    <s v="KUST - Finance Operations"/>
    <n v="1"/>
    <s v="420130"/>
    <s v="420130-External Audit service"/>
    <s v="000000"/>
    <s v="KUST - General"/>
    <n v="847001"/>
    <s v="FA179-Opex Expense"/>
    <n v="200179"/>
    <x v="268"/>
    <s v="420130.External Audit service-Number of reports to be audited-Number of reports to be audited"/>
    <s v="Number of reports to be audited"/>
    <n v="1"/>
    <n v="236850"/>
    <s v="* yearend AED 90,900+50000_x000a_* midyear AED 35,350_x000a_*internal control (ICFR) AED 60,600"/>
    <n v="236850"/>
    <s v="KU Regular operations"/>
    <s v="Recurring"/>
    <s v="Promote a working culture of excellence and accountability"/>
  </r>
  <r>
    <s v="-"/>
    <s v="No Applicable"/>
    <s v="SVP/ Support Services Office"/>
    <n v="847"/>
    <n v="8470620"/>
    <s v="KUST - Finance Operations"/>
    <n v="1"/>
    <s v="422900"/>
    <s v="422900-Other specialized professional services, not mentioned elsewhere"/>
    <s v="000000"/>
    <s v="KUST - General"/>
    <s v="847001"/>
    <s v="FA179-Opex Expense"/>
    <n v="200179"/>
    <x v="269"/>
    <s v="422900.Other specialized professional services, not mentioned elsewhere-Assets Verification-Number of assets"/>
    <s v="Number"/>
    <n v="120000"/>
    <n v="4"/>
    <s v="120,000 assets * AED 4"/>
    <n v="480000"/>
    <s v="KU Regular operations"/>
    <s v="Recurring"/>
    <s v="Promote a working culture of excellence and accountability"/>
  </r>
  <r>
    <s v="Finance"/>
    <s v="No Applicable"/>
    <s v="SVP/ Support Services Office"/>
    <n v="847"/>
    <n v="8470620"/>
    <s v="KUST - Finance Operations"/>
    <n v="1"/>
    <s v="425300"/>
    <s v="425300-Banking service charges / Fees"/>
    <s v="000000"/>
    <s v="KUST - General"/>
    <n v="847001"/>
    <s v="FA179-Opex Expense"/>
    <n v="200179"/>
    <x v="270"/>
    <s v="425300.Banking service charges / Fees-Number of Transactions-Number"/>
    <s v="Number"/>
    <n v="1"/>
    <n v="3000"/>
    <s v="Monthly average AED 250"/>
    <n v="3000"/>
    <s v="KU Regular operations"/>
    <s v="Recurring"/>
    <s v="Provide reliable, accurate and timely reports to different stakeholders"/>
  </r>
  <r>
    <s v="Finance"/>
    <s v="No Applicable"/>
    <s v="SVP/ Support Services Office"/>
    <n v="847"/>
    <n v="8470620"/>
    <s v="KUST - Finance Operations"/>
    <n v="1"/>
    <s v="425350"/>
    <s v="425350-Fees for processing e-payments"/>
    <s v="000000"/>
    <s v="KUST - General"/>
    <n v="847001"/>
    <s v="FA179-Opex Expense"/>
    <n v="200179"/>
    <x v="271"/>
    <s v="425350.Fees for processing e-payments-e-Payment operation-Number of Bank Transfers-Number"/>
    <s v="Number"/>
    <n v="1"/>
    <n v="121000"/>
    <s v="monthly average AED 10,000"/>
    <n v="121000"/>
    <s v="KU Regular operations"/>
    <s v="Recurring"/>
    <s v="Provide reliable, accurate and timely reports to different stakeholders"/>
  </r>
  <r>
    <s v="IT"/>
    <s v="Director, Technology Development"/>
    <s v="SVP/ Support Services Office"/>
    <n v="847"/>
    <n v="8470620"/>
    <s v="KUST - Finance Operations"/>
    <n v="1"/>
    <s v="426610"/>
    <s v="426610-Computer software licenses"/>
    <s v="000000"/>
    <s v="KUST - General"/>
    <n v="847001"/>
    <s v="FA179-Opex Expense"/>
    <n v="200179"/>
    <x v="272"/>
    <s v="426610.Computer software licenses-Software License Renewal-number of licenses-Number"/>
    <s v="Number"/>
    <n v="11"/>
    <n v="2880"/>
    <s v="11 license * AED 2880"/>
    <n v="31680"/>
    <s v="KU Regular operations"/>
    <s v="Recurring"/>
    <s v="Promote a working culture of excellence and accountability"/>
  </r>
  <r>
    <s v="Other support"/>
    <s v="No Applicable"/>
    <s v="SVP/ Support Services Office"/>
    <n v="847"/>
    <n v="8470620"/>
    <s v="KUST - Finance Operations"/>
    <n v="1"/>
    <s v="436120"/>
    <s v="436120-Stationery"/>
    <s v="000000"/>
    <s v="KUST - General"/>
    <n v="847001"/>
    <s v="FA179-Opex Expense"/>
    <n v="200179"/>
    <x v="273"/>
    <s v="436120.Stationery-Number of Staff-Number"/>
    <s v="Number"/>
    <n v="5000"/>
    <n v="1"/>
    <s v="5000 asset tag * AED 1"/>
    <n v="5000"/>
    <s v="KU Regular operations"/>
    <s v="Recurring"/>
    <s v="Provide reliable, accurate and timely reports to different stakeholders"/>
  </r>
  <r>
    <s v="Other support"/>
    <s v="Director, Human Resources"/>
    <s v="SVP/ Support Services Office"/>
    <n v="847"/>
    <n v="8470620"/>
    <s v="KUST - Finance Operations"/>
    <n v="1"/>
    <s v="425900"/>
    <s v="425900-Entertainment and hospitality"/>
    <s v="000000"/>
    <s v="KUST - General"/>
    <n v="847001"/>
    <s v="FA179-Opex Expense"/>
    <n v="200179"/>
    <x v="274"/>
    <s v="425900.Entertainment and hospitality-1. No of events/workshops planned-count"/>
    <s v="count"/>
    <n v="1"/>
    <n v="8000"/>
    <s v="finance retreat meeting_x000a_20 staff * AED 400"/>
    <n v="8000"/>
    <s v="KU Regular operations"/>
    <s v="Recurring"/>
    <s v="Promote a working culture of excellence and accountability"/>
  </r>
  <r>
    <s v="Other support"/>
    <s v="No Applicable"/>
    <s v="SVP/ Support Services Office"/>
    <n v="847"/>
    <n v="8470630"/>
    <s v="KUST- Business Development"/>
    <n v="1"/>
    <s v="425100"/>
    <s v="425100-Advertising Services (General)"/>
    <s v="000000"/>
    <s v="KUST - General"/>
    <n v="847001"/>
    <s v="FA179-Opex Expense"/>
    <n v="200179"/>
    <x v="275"/>
    <s v="425100.Advertising Services (General)-International Publicity-count"/>
    <s v="count"/>
    <n v="4"/>
    <n v="25000"/>
    <s v="Ads to promote Ku AND ATTRACT MORE STUDENTS"/>
    <n v="100000"/>
    <s v="KU Regular operations"/>
    <s v="Recurring"/>
    <s v="Ensure the university sustainability "/>
  </r>
  <r>
    <s v="HR"/>
    <s v="No Applicable"/>
    <s v="SVP/ Support Services Office"/>
    <n v="847"/>
    <n v="8470630"/>
    <s v="KUST- Business Development"/>
    <n v="1"/>
    <s v="425550"/>
    <s v="425550-Conferences, seminars and exhibitions and other events: - Overseas event"/>
    <s v="000000"/>
    <s v="KUST - General"/>
    <n v="847001"/>
    <s v="FA179-Opex Expense"/>
    <n v="200179"/>
    <x v="276"/>
    <s v="425500.Conferences, seminars and exhibitions and other events:-Number of events &amp; attendees-Number of Number of events &amp; attendees"/>
    <s v="Number of Number of events &amp; attendees"/>
    <n v="4"/>
    <n v="50000"/>
    <s v="to run number of events"/>
    <n v="200000"/>
    <s v="KU Regular operations"/>
    <s v="Recurring"/>
    <s v="Ensure the university sustainability "/>
  </r>
  <r>
    <s v="Other support"/>
    <s v="No Applicable"/>
    <s v="SVP/ Support Services Office"/>
    <n v="847"/>
    <n v="8470630"/>
    <s v="KUST- Business Development"/>
    <n v="1"/>
    <s v="427200"/>
    <s v="427200-Printing and publishing"/>
    <s v="000000"/>
    <s v="KUST - General"/>
    <n v="847001"/>
    <s v="FA179-Opex Expense"/>
    <n v="200179"/>
    <x v="277"/>
    <s v="427200.Printing and publishing-The cost of design for the entity's publications to reflect the entity's identity-count"/>
    <s v="count"/>
    <n v="10"/>
    <n v="1000"/>
    <s v="print ads and event details"/>
    <n v="10000"/>
    <s v="KU Regular operations"/>
    <s v="Recurring"/>
    <s v="Ensure the university sustainability "/>
  </r>
  <r>
    <s v="Other support"/>
    <s v="No Applicable"/>
    <s v="SVP/ Support Services Office"/>
    <n v="847"/>
    <n v="8470630"/>
    <s v="KUST- Business Development"/>
    <n v="1"/>
    <s v="436600"/>
    <s v="436600-Training/Teaching equipment and other educational aid"/>
    <s v="000000"/>
    <s v="KUST - General"/>
    <s v="847001"/>
    <s v="FA179-Opex Expense"/>
    <n v="200179"/>
    <x v="278"/>
    <s v="436600.Training/Teaching equipment and other educational aid-Number of Faculty-Number"/>
    <s v="Number"/>
    <n v="4"/>
    <n v="3000"/>
    <m/>
    <n v="12000"/>
    <s v="KU Strategic New Initiative"/>
    <s v="Non-recurring"/>
    <s v="Ensure the university sustainability "/>
  </r>
  <r>
    <s v="Other support"/>
    <s v="Director, Human Resources"/>
    <s v="SVP/ Support Services Office"/>
    <n v="847"/>
    <n v="8470730"/>
    <s v="KUST - Human Resources"/>
    <n v="1"/>
    <s v="426610"/>
    <s v="426610-Computer software licenses"/>
    <s v="000000"/>
    <s v="KUST - General"/>
    <n v="847001"/>
    <s v="FA179-Opex Expense"/>
    <n v="200179"/>
    <x v="279"/>
    <s v="426610.Computer software licenses-Software License Renewal-number of licenses-Number"/>
    <s v="number"/>
    <n v="1"/>
    <n v="175000"/>
    <s v="Taleo Subscription"/>
    <n v="175000"/>
    <s v="KU Regular operations"/>
    <s v="Recurring"/>
    <s v="Ensure the university sustainability "/>
  </r>
  <r>
    <s v="IT"/>
    <s v="Director, Technology Development"/>
    <s v="SVP/ Support Services Office"/>
    <n v="847"/>
    <n v="8470730"/>
    <s v="KUST - Human Resources"/>
    <n v="1"/>
    <s v="426610"/>
    <s v="426610-Computer software licenses"/>
    <s v="000000"/>
    <s v="KUST - General"/>
    <n v="847001"/>
    <s v="FA179-Opex Expense"/>
    <n v="200179"/>
    <x v="279"/>
    <s v="426610.Computer software licenses-Software License Renewal-number of licenses-Number"/>
    <s v="number"/>
    <n v="1"/>
    <n v="300000"/>
    <s v="Attendance system enhancment"/>
    <n v="300000"/>
    <s v="KU Regular operations"/>
    <s v="Recurring"/>
    <s v="Ensure the university sustainability "/>
  </r>
  <r>
    <s v="Other support"/>
    <s v="No Applicable"/>
    <s v="SVP/ Support Services Office"/>
    <n v="847"/>
    <n v="8470730"/>
    <s v="KUST - Human Resources"/>
    <n v="1"/>
    <s v="427900"/>
    <s v="427900-Translation and interpretation service"/>
    <s v="000000"/>
    <s v="KUST - General"/>
    <n v="847001"/>
    <s v="FA179-Opex Expense"/>
    <n v="200179"/>
    <x v="280"/>
    <s v="427900.Translation and interpretation service-Number of Employees-Number"/>
    <s v="number"/>
    <n v="100"/>
    <n v="100"/>
    <s v="Document Translation"/>
    <n v="10000"/>
    <s v="KU Regular operations"/>
    <s v="Recurring"/>
    <s v="Ensure the university sustainability "/>
  </r>
  <r>
    <s v="Communiction &amp; Marketing"/>
    <s v="Director, Marketing and Communication"/>
    <s v="SVP/ Support Services Office"/>
    <n v="847"/>
    <n v="8470730"/>
    <s v="KUST - Human Resources"/>
    <n v="1"/>
    <s v="428640"/>
    <s v="428640-Events - Awards, prizes &amp; gifts"/>
    <s v="000000"/>
    <s v="KUST - General"/>
    <n v="847001"/>
    <s v="FA179-Opex Expense"/>
    <n v="200179"/>
    <x v="281"/>
    <s v="428640.Events - Awards, prizes &amp; gifts-Number of Events-count"/>
    <s v="number"/>
    <n v="1"/>
    <n v="500000"/>
    <s v="Engagement  programs  "/>
    <n v="500000"/>
    <s v="KU Regular operations"/>
    <s v="Recurring"/>
    <s v="Ensure the university sustainability "/>
  </r>
  <r>
    <s v="Other support"/>
    <s v="No Applicable"/>
    <s v="SVP/ Support Services Office"/>
    <n v="847"/>
    <n v="8470730"/>
    <s v="KUST - Human Resources"/>
    <n v="1"/>
    <s v="436110"/>
    <s v="436110-Printing supplies"/>
    <s v="000000"/>
    <s v="KUST - General"/>
    <n v="847001"/>
    <s v="FA179-Opex Expense"/>
    <n v="200179"/>
    <x v="282"/>
    <s v="436110.Printing supplies-Number of Employees-Number"/>
    <s v="number"/>
    <n v="100"/>
    <n v="100"/>
    <s v="Employee Folders"/>
    <n v="10000"/>
    <s v="KU Regular operations"/>
    <s v="Recurring"/>
    <s v="Ensure the university sustainability "/>
  </r>
  <r>
    <s v="Other support"/>
    <s v="Director, Human Resources"/>
    <s v="Senior Vice President, Research Office"/>
    <n v="847"/>
    <n v="8471110"/>
    <s v="KUST - SVP/ Research &amp; Development Office"/>
    <n v="1"/>
    <s v="425900"/>
    <s v="425900-Entertainment and hospitality"/>
    <s v="000000"/>
    <s v="KUST - General"/>
    <n v="847001"/>
    <s v="FA179-Opex Expense"/>
    <n v="200179"/>
    <x v="283"/>
    <s v="425900.Entertainment and hospitality-1. No of events/workshops planned-count"/>
    <s v="count"/>
    <n v="10"/>
    <n v="3000"/>
    <s v="Inviting candidates for campus visit, Hosting of events eg IAEE, Invited lectures, Workshops, Conferences etc"/>
    <n v="30000"/>
    <s v="KU Regular operations"/>
    <s v="Recurring"/>
    <s v="Attract and organize international conferences and summits"/>
  </r>
  <r>
    <s v="Academic"/>
    <s v="No Applicable"/>
    <s v="Senior Vice President, Research Office"/>
    <n v="847"/>
    <n v="8471110"/>
    <s v="KUST - SVP/ Research &amp; Development Office"/>
    <n v="1"/>
    <s v="427710"/>
    <s v="427710-Subscriptions and membership fees: Trade organisations"/>
    <s v="000000"/>
    <s v="KUST - General"/>
    <n v="847001"/>
    <s v="FA179-Opex Expense"/>
    <n v="200179"/>
    <x v="284"/>
    <s v="427710.Subscriptions and membership fees: Trade organisations-Number  of Memberships-Number"/>
    <s v="Number"/>
    <n v="5"/>
    <n v="77942"/>
    <s v="MEED,Frost &amp; Sullivan,MEES, IAEE,Lux Research "/>
    <n v="389707"/>
    <s v="KU Regular operations"/>
    <s v="Recurring"/>
    <s v="Diversify and increase external research funds"/>
  </r>
  <r>
    <s v="Academic "/>
    <s v="No Applicable"/>
    <s v="Senior Vice President, Research Office"/>
    <n v="847"/>
    <n v="8471110"/>
    <s v="KUST - SVP/ Research &amp; Development Office"/>
    <n v="1"/>
    <s v="428090"/>
    <s v="428090-Business Travel - Combined expenses"/>
    <s v="000000"/>
    <s v="KUST - General"/>
    <n v="847001"/>
    <s v="FA179-Opex Expense"/>
    <n v="200179"/>
    <x v="285"/>
    <s v="428090.Business Travel - Combined expenses-Number of Staff-Number"/>
    <s v="Number"/>
    <n v="5"/>
    <n v="30000"/>
    <s v="Collaboration Trips and other Missions"/>
    <n v="150000"/>
    <s v="KU Regular operations"/>
    <s v="Recurring"/>
    <s v="Build partnerships with local and international universities"/>
  </r>
  <r>
    <s v="IT"/>
    <s v="Director, Technology Development"/>
    <s v="Senior Vice President, Research Office"/>
    <n v="847"/>
    <n v="8471130"/>
    <s v="KUST - Research Service"/>
    <n v="1"/>
    <s v="420811"/>
    <s v="420811-IT Systems &amp; Support expenses-Application/Systems Operation"/>
    <s v="000000"/>
    <s v="KUST - General"/>
    <n v="847001"/>
    <s v="FA179-Opex Expense"/>
    <n v="200179"/>
    <x v="286"/>
    <s v="420811.IT Systems &amp; Support expenses-Application/Systems Operation-professional services scope/deliverables-Month"/>
    <s v="Month"/>
    <n v="12"/>
    <n v="15000"/>
    <s v="Monthly"/>
    <n v="180000"/>
    <s v="KU Regular operations"/>
    <s v="Recurring"/>
    <s v="Strengthen research ethical culture framework across the university"/>
  </r>
  <r>
    <s v="IT"/>
    <s v="Director, Technology Development"/>
    <s v="Senior Vice President, Research Office"/>
    <n v="847"/>
    <n v="8471130"/>
    <s v="KUST - Research Service"/>
    <n v="1"/>
    <s v="426610"/>
    <s v="426610-Computer software licenses"/>
    <s v="000000"/>
    <s v="KUST - General"/>
    <n v="847001"/>
    <s v="FA179-Opex Expense"/>
    <n v="200179"/>
    <x v="287"/>
    <s v="425500.Conferences, seminars and exhibitions and other events:-Number of events &amp; attendees-Number of Number of events &amp; attendees"/>
    <s v="Number of Number of events &amp; attendees"/>
    <n v="6"/>
    <n v="20000"/>
    <s v="each"/>
    <n v="120000"/>
    <s v="KU Regular operations"/>
    <s v="Recurring"/>
    <s v="Diversify and increase external research funds"/>
  </r>
  <r>
    <s v="Other support"/>
    <s v="No Applicable"/>
    <s v="Senior Vice President, Research Office"/>
    <n v="847"/>
    <n v="8471130"/>
    <s v="KUST - Research Service"/>
    <n v="1"/>
    <s v="427900"/>
    <s v="427900-Translation and interpretation service"/>
    <s v="000000"/>
    <s v="KUST - General"/>
    <n v="847001"/>
    <s v="FA179-Opex Expense"/>
    <n v="200179"/>
    <x v="288"/>
    <s v="495112.Computer software-Database-number of licenses-Number"/>
    <s v="Number"/>
    <n v="1"/>
    <n v="187500"/>
    <s v="each"/>
    <n v="187500"/>
    <s v="KU Regular operations"/>
    <s v="Recurring"/>
    <s v="Diversify and increase external research funds"/>
  </r>
  <r>
    <s v="Academic "/>
    <s v="No Applicable"/>
    <s v="Senior Vice President, Research Office"/>
    <n v="847"/>
    <n v="8471130"/>
    <s v="KUST - Research Service"/>
    <n v="1"/>
    <s v="428090"/>
    <s v="428090-Business Travel - Combined expenses"/>
    <s v="000000"/>
    <s v="KUST - General"/>
    <n v="847001"/>
    <s v="FA179-Opex Expense"/>
    <n v="200179"/>
    <x v="289"/>
    <s v="427900.Translation and interpretation service-Number of Employees-Number"/>
    <s v="Number"/>
    <n v="10"/>
    <n v="500"/>
    <m/>
    <n v="5000"/>
    <s v="KU Regular operations"/>
    <s v="Recurring"/>
    <s v="Diversify and increase external research funds"/>
  </r>
  <r>
    <s v="Research"/>
    <s v="No Applicable"/>
    <s v="Senior Vice President, Research Office"/>
    <n v="847"/>
    <n v="8471130"/>
    <s v="KUST - Research Service"/>
    <n v="1"/>
    <s v="435523"/>
    <s v="435523-Scientific"/>
    <s v="000000"/>
    <s v="KUST - General"/>
    <n v="847001"/>
    <s v="FA179-Opex Expense"/>
    <n v="200179"/>
    <x v="290"/>
    <s v="435523.Scientific-Number of Research-Number"/>
    <s v="Number"/>
    <n v="1"/>
    <n v="200000"/>
    <m/>
    <n v="200000"/>
    <s v="KU Strategic New Initiative"/>
    <s v="Recurring"/>
    <s v="Diversify and increase external research funds"/>
  </r>
  <r>
    <s v="Academic"/>
    <s v="No Applicable"/>
    <s v="Senior Vice President, Research Office"/>
    <n v="847"/>
    <n v="8471140"/>
    <s v="KUST - University Sponsored Research"/>
    <n v="1"/>
    <s v="420570"/>
    <s v="420570-Academic Collaborative Partnership Services"/>
    <s v="000000"/>
    <s v="KUST - General"/>
    <n v="847001"/>
    <s v="FA179-Opex Expense"/>
    <n v="200179"/>
    <x v="291"/>
    <s v="420570.Academic Collaborative Partnership Services- Research Projects Agreements-No of Research Projects Agreement"/>
    <s v="No of Research Projects Agreement"/>
    <n v="1"/>
    <n v="231525"/>
    <s v="Estimated 140 proposals x 3 reviewers each @ $150 per review. "/>
    <n v="231525"/>
    <s v="KU Regular operations"/>
    <s v="Recurring"/>
    <s v="Develop a comprehensive competitive internal research funding program"/>
  </r>
  <r>
    <s v="Academic "/>
    <s v="No Applicable"/>
    <s v="Senior Vice President, Research Office"/>
    <n v="847"/>
    <n v="8471140"/>
    <s v="KUST - University Sponsored Research"/>
    <n v="1"/>
    <s v="428090"/>
    <s v="428090-Business Travel - Combined expenses"/>
    <s v="000000"/>
    <s v="KUST - General"/>
    <n v="847001"/>
    <s v="FA179-Opex Expense"/>
    <n v="200179"/>
    <x v="292"/>
    <s v="428090.Business Travel - Combined expenses-Number of Staff-Number"/>
    <s v="-_"/>
    <n v="6"/>
    <n v="20000"/>
    <s v="AED 20k per FTE for Training/Conference"/>
    <n v="120000"/>
    <s v="KU Regular operations"/>
    <s v="Recurring"/>
    <s v="Develop a comprehensive competitive internal research funding program"/>
  </r>
  <r>
    <s v="Research"/>
    <s v="No Applicable"/>
    <s v="Senior Vice President, Research Office"/>
    <n v="847"/>
    <n v="8471140"/>
    <s v="KUST - University Sponsored Research"/>
    <n v="1"/>
    <s v="435523"/>
    <s v="435523-Scientific"/>
    <s v="000000"/>
    <s v="KUST - General"/>
    <n v="847001"/>
    <s v="FA179-Opex Expense"/>
    <n v="200179"/>
    <x v="293"/>
    <s v="435523.Scientific-Number of Research-Number"/>
    <s v="Number"/>
    <n v="1"/>
    <n v="49947695.709999979"/>
    <s v="Each project has a defined budget (split by expense type) which is managed at sub-GL level within the ORACLE Projects Module.  Awards have been made through specific funding call cycles."/>
    <n v="49947695.709999979"/>
    <s v="KU Regular operations"/>
    <s v="Recurring"/>
    <s v="Develop a comprehensive competitive internal research funding program"/>
  </r>
  <r>
    <s v="Research"/>
    <s v="No Applicable"/>
    <s v="Senior Vice President, Research Office"/>
    <n v="847"/>
    <n v="8471140"/>
    <s v="KUST - University Sponsored Research"/>
    <n v="1"/>
    <s v="435523"/>
    <s v="435523-Scientific"/>
    <s v="000000"/>
    <s v="KUST - General"/>
    <n v="847001"/>
    <s v="FA179-Opex Expense"/>
    <n v="200179"/>
    <x v="293"/>
    <s v="435523.Scientific-Number of Research-Number"/>
    <s v="Number"/>
    <n v="1"/>
    <n v="98251562.5"/>
    <s v="These are projects to be awarded in 2024 via a variety of research funding calls (KURIA/FSU/International Partnerships/Other).  Award value differs depending on the program type."/>
    <n v="98251562.5"/>
    <s v="KU Regular operations"/>
    <s v="Recurring"/>
    <s v="Develop a comprehensive competitive internal research funding program"/>
  </r>
  <r>
    <s v="Research"/>
    <s v="No Applicable"/>
    <s v="Senior Vice President, Research Office"/>
    <n v="847"/>
    <n v="8471150"/>
    <s v="KUST - Technology Management &amp; Innovation"/>
    <n v="1"/>
    <s v="420900"/>
    <s v="420900-Legal services"/>
    <s v="000000"/>
    <s v="KUST - General"/>
    <n v="847001"/>
    <s v="FA179-Opex Expense"/>
    <n v="200179"/>
    <x v="294"/>
    <s v="420900.Legal services-Patent-Number of Patents"/>
    <s v="Number of Patents"/>
    <n v="1"/>
    <n v="6303000"/>
    <s v="Increased Patent Application filings, Increased Provisional Filings, Increased responses filed, increased assessments"/>
    <n v="6303000"/>
    <s v="KU Regular operations"/>
    <s v="Recurring"/>
    <s v="Increase filed and issued patents in USPTO and PCT"/>
  </r>
  <r>
    <s v="Research"/>
    <s v="No Applicable"/>
    <s v="Senior Vice President, Research Office"/>
    <n v="847"/>
    <n v="8471150"/>
    <s v="KUST - Technology Management &amp; Innovation"/>
    <n v="1"/>
    <s v="425510"/>
    <s v="425510-Conferences, seminars and exhibitions and other events: - Local Events"/>
    <s v="000000"/>
    <s v="KUST - General"/>
    <n v="847001"/>
    <s v="FA179-Opex Expense"/>
    <n v="200179"/>
    <x v="295"/>
    <s v="425510.Conferences, seminars and exhibitions and other events: - Local Events-The area of rented halls for events, seminars, and exhibition.-2m"/>
    <s v="2m"/>
    <n v="2"/>
    <n v="35000"/>
    <s v="Local outreach to other UAE Universities and institutions - open house and TMI Outreach/ Participation in ADNEC Exhibitions"/>
    <n v="70000"/>
    <s v="KU Regular operations"/>
    <s v="Non-recurring"/>
    <s v="Build partnerships with local and international universities"/>
  </r>
  <r>
    <s v="Research"/>
    <s v="No Applicable"/>
    <s v="Senior Vice President, Research Office"/>
    <n v="847"/>
    <n v="8471150"/>
    <s v="KUST - Technology Management &amp; Innovation"/>
    <n v="1"/>
    <s v="425550"/>
    <s v="425550-Conferences, seminars and exhibitions and other events: - Overseas event"/>
    <s v="000000"/>
    <s v="KUST - General"/>
    <n v="847001"/>
    <s v="FA179-Opex Expense"/>
    <n v="200179"/>
    <x v="296"/>
    <s v="425500.Conferences, seminars and exhibitions and other events:-Number of events &amp; attendees-Number of Number of events &amp; attendees"/>
    <s v="Number of Number of events &amp; attendees"/>
    <n v="3"/>
    <n v="50000"/>
    <s v="Active participation in AUTM, ATSP, and other Technology Innovation Conferences worldwide"/>
    <n v="150000"/>
    <s v="KU Regular operations"/>
    <s v="Recurring"/>
    <s v="Build partnerships with local and international universities"/>
  </r>
  <r>
    <s v="Research"/>
    <s v="No Applicable"/>
    <s v="Senior Vice President, Research Office"/>
    <n v="847"/>
    <n v="8471150"/>
    <s v="KUST - Technology Management &amp; Innovation"/>
    <n v="1"/>
    <s v="426610"/>
    <s v="426610-Computer software licenses-Software License Renewal"/>
    <s v="000000"/>
    <s v="KUST - General"/>
    <n v="847001"/>
    <s v="FA179-Opex Expense"/>
    <n v="200179"/>
    <x v="297"/>
    <s v="495113.Computer software-Application, Platform -duration of license maintenance/support period-Month"/>
    <s v="Month"/>
    <n v="1"/>
    <n v="200000"/>
    <s v="Computer Software needed for Dept. operations and possible moving to another functional platform"/>
    <n v="200000"/>
    <s v="KU Regular operations"/>
    <s v="Recurring"/>
    <s v="Review and revise as needed the research strategic plan"/>
  </r>
  <r>
    <s v="Research"/>
    <s v="No Applicable"/>
    <s v="Senior Vice President, Research Office"/>
    <n v="847"/>
    <n v="8471150"/>
    <s v="KUST - Technology Management &amp; Innovation"/>
    <n v="1"/>
    <s v="428090"/>
    <s v="428090-Business Travel - Combined expenses"/>
    <s v="000000"/>
    <s v="KUST - General"/>
    <n v="847001"/>
    <s v="FA179-Opex Expense"/>
    <n v="200179"/>
    <x v="298"/>
    <s v="428090.Business Travel - Combined expenses-Number of Staff-Number"/>
    <s v="Number"/>
    <n v="3"/>
    <n v="50000"/>
    <s v="Active participation in AUTM, ATSP, and other Technology Innovation Conferences worldwide"/>
    <n v="150000"/>
    <s v="KU Regular operations"/>
    <s v="Recurring"/>
    <s v="Review and revise as needed the research strategic plan"/>
  </r>
  <r>
    <s v="Research"/>
    <s v="No Applicable"/>
    <s v="Senior Vice President, Research Office"/>
    <n v="847"/>
    <n v="8471150"/>
    <s v="KUST - Technology Management &amp; Innovation"/>
    <n v="1"/>
    <s v="435310"/>
    <s v="435310-Newspapers, magazines, journals, etc"/>
    <s v="000000"/>
    <s v="KUST - General"/>
    <n v="847001"/>
    <s v="FA179-Opex Expense"/>
    <n v="200179"/>
    <x v="299"/>
    <s v="435310.Newspapers, magazines, journals, etc-Number of Staff-Number"/>
    <s v="Number"/>
    <n v="1"/>
    <n v="15000"/>
    <s v="usiness &amp; Operation Development – world leading content provider in Tech Transfer and Research Commercialization. It offers a unique, practical, and advanced strategies, case studies, best practices, and expert guidance on a broad range of challenges and opportunities for technology transfer offices and professionals"/>
    <n v="15000"/>
    <s v="KU Regular operations"/>
    <s v="Recurring"/>
    <s v="Utilize state-of-the-art technologies and facilities in an optimal and efficient manner"/>
  </r>
  <r>
    <s v="IT"/>
    <s v="Director, Technology Development"/>
    <s v="Senior Vice President, Research Office"/>
    <n v="847"/>
    <n v="8471170"/>
    <s v="KUST - Research Computing"/>
    <n v="1"/>
    <s v="420811"/>
    <s v="420811-IT Systems &amp; Support expenses-Application/Systems Operation"/>
    <s v="000000"/>
    <s v="KUST - General"/>
    <n v="847001"/>
    <s v="FA179-Opex Expense"/>
    <n v="200179"/>
    <x v="300"/>
    <s v="420811.IT Systems &amp; Support expenses-Application/Systems Operation-professional services scope/deliverables-Month"/>
    <s v="Month"/>
    <n v="12"/>
    <n v="43750.35"/>
    <s v="Support for HPC management software, workload management software, and parallel filesystem software "/>
    <n v="525004.19999999995"/>
    <s v="KU Regular operations"/>
    <s v="Recurring"/>
    <s v="Utilize state-of-the-art technologies and facilities in an optimal and efficient manner"/>
  </r>
  <r>
    <s v="-"/>
    <s v="-"/>
    <s v="Senior Vice President, Research Office"/>
    <n v="847"/>
    <n v="8471170"/>
    <s v="KUST - Research Computing"/>
    <n v="1"/>
    <s v="420811"/>
    <s v="420811-IT Systems &amp; Support expenses-Application/Systems Operation"/>
    <s v="000000"/>
    <s v="KUST - General"/>
    <s v="847001"/>
    <s v="FA179-Opex Expense"/>
    <n v="200179"/>
    <x v="300"/>
    <s v="420811.IT Systems &amp; Support expenses-Application/Systems Operation-professional services scope/deliverables-Month"/>
    <s v="Month"/>
    <n v="12"/>
    <n v="440231.45354999998"/>
    <s v="Estimate a 7% increase on 2023 to account for expansion, and renewal of hardware support from vendor"/>
    <n v="5282777.4425999997"/>
    <s v="KU Regular operations"/>
    <s v="Recurring"/>
    <s v="Utilize state-of-the-art technologies and facilities in an optimal and efficient manner"/>
  </r>
  <r>
    <s v="Other support"/>
    <s v="Director, Human Resources"/>
    <s v="Senior Vice President, Research Office"/>
    <n v="847"/>
    <n v="8471170"/>
    <s v="KUST - Research Computing"/>
    <n v="1"/>
    <s v="425900"/>
    <s v="425900-Entertainment and hospitality"/>
    <s v="000000"/>
    <s v="KUST - General"/>
    <n v="847001"/>
    <s v="FA179-Opex Expense"/>
    <n v="200179"/>
    <x v="301"/>
    <s v="425900.Entertainment and hospitality-1. No of events/workshops planned-count"/>
    <s v="count"/>
    <n v="2"/>
    <n v="5000"/>
    <s v="estimate of cost of event"/>
    <n v="10000"/>
    <s v="KU Regular operations"/>
    <s v="Recurring"/>
    <s v="Utilize state-of-the-art technologies and facilities in an optimal and efficient manner"/>
  </r>
  <r>
    <s v="IT"/>
    <s v="Director, Technology Development"/>
    <s v="Senior Vice President, Research Office"/>
    <n v="847"/>
    <n v="8471170"/>
    <s v="KUST - Research Computing"/>
    <n v="1"/>
    <s v="426610"/>
    <s v="426610-Computer software licenses"/>
    <s v="000000"/>
    <s v="KUST - General"/>
    <n v="847001"/>
    <s v="FA179-Opex Expense"/>
    <n v="200179"/>
    <x v="302"/>
    <s v="426610.Computer software licenses-Software License Renewal-number of licenses-Number"/>
    <s v="Number"/>
    <n v="124"/>
    <n v="52755.276527338705"/>
    <s v="See attached excel sheet for details all software to be renewed"/>
    <n v="6541654.2893899996"/>
    <s v="KU Regular operations"/>
    <s v="Recurring"/>
    <s v="Utilize state-of-the-art technologies and facilities in an optimal and efficient manner"/>
  </r>
  <r>
    <s v="Academic "/>
    <s v="No Applicable"/>
    <s v="Senior Vice President, Research Office"/>
    <n v="847"/>
    <n v="8471170"/>
    <s v="KUST - Research Computing"/>
    <n v="1"/>
    <s v="428090"/>
    <s v="428090-Business Travel - Combined expenses"/>
    <s v="000000"/>
    <s v="KUST - General"/>
    <n v="847001"/>
    <s v="FA179-Opex Expense"/>
    <n v="200179"/>
    <x v="303"/>
    <s v="428090.Business Travel - Combined expenses-Number of Staff-Number"/>
    <s v="Number"/>
    <n v="3"/>
    <n v="15000"/>
    <s v="Attendance of 2 major domain specific international conferences, and one regional conference."/>
    <n v="45000"/>
    <s v="KU Regular operations"/>
    <s v="Recurring"/>
    <s v="Utilize state-of-the-art technologies and facilities in an optimal and efficient manner"/>
  </r>
  <r>
    <n v="0"/>
    <s v="No Applicable"/>
    <s v="Senior Vice President, Research Office"/>
    <n v="847"/>
    <n v="8471170"/>
    <s v="KUST - Research Computing"/>
    <n v="1"/>
    <s v="495110"/>
    <s v="495110-Computer software"/>
    <s v="000000"/>
    <s v="KUST - General"/>
    <n v="847001"/>
    <s v="FA180-Capex Expense"/>
    <n v="300180"/>
    <x v="304"/>
    <s v="495113.Computer software-Application, Platform -number of licenses-Number"/>
    <s v="Number"/>
    <n v="3"/>
    <n v="100000"/>
    <s v="Estimate for new software still to be decided\"/>
    <n v="300000"/>
    <s v="KU Strategic New Initiative"/>
    <s v="Non-recurring"/>
    <s v="Utilize state-of-the-art technologies and facilities in an optimal and efficient manner"/>
  </r>
  <r>
    <s v="Academic"/>
    <s v="No Applicable"/>
    <s v="College of Arts &amp; Science"/>
    <n v="847"/>
    <n v="8470405"/>
    <s v="KUST - Dean Of Arts &amp; Science"/>
    <n v="1"/>
    <n v="420550"/>
    <s v="420550-Academic Advisory Service"/>
    <s v="000000"/>
    <s v="KUST - General"/>
    <n v="847001"/>
    <s v="FA179-Opex Expense"/>
    <n v="200179"/>
    <x v="305"/>
    <s v="420550.Academic Advisory Service-Number of Services-Number"/>
    <s v="Number"/>
    <n v="18"/>
    <n v="1469"/>
    <s v="standard cost according to policy"/>
    <n v="26442"/>
    <s v="KU Regular operations"/>
    <s v="Recurring"/>
    <s v="Design and implement professional development programs for researchers, faculty, and  staff to contribute to the university strategic plan"/>
  </r>
  <r>
    <s v="Academic"/>
    <s v="Director, Institutional Research and Planning"/>
    <s v="College of Arts &amp; Science"/>
    <n v="847"/>
    <n v="8470405"/>
    <s v="KUST - Dean Of Arts &amp; Science"/>
    <n v="1"/>
    <n v="421700"/>
    <s v="421700-Standards certification (e.g. ISO)"/>
    <s v="000000"/>
    <s v="KUST - General"/>
    <n v="847001"/>
    <s v="FA179-Opex Expense"/>
    <n v="200179"/>
    <x v="306"/>
    <s v="421700.Standards Certification Services (e.g. ISO)-Number of Academic programs-Number"/>
    <s v="Number"/>
    <n v="2"/>
    <n v="140000"/>
    <s v="standard cost according to policy"/>
    <n v="280000"/>
    <s v="KU Strategic New Initiative"/>
    <s v="Non-recurring"/>
    <s v="Increase number of postgraduate students"/>
  </r>
  <r>
    <s v="Communiction &amp; Marketing"/>
    <s v="Director, Marketing and Communication"/>
    <s v="College of Arts &amp; Science"/>
    <n v="847"/>
    <n v="8470405"/>
    <s v="KUST - Dean Of Arts &amp; Science"/>
    <n v="1"/>
    <n v="425510"/>
    <s v="425510-Conferences, seminars and exhibitions and other events: - Local Events"/>
    <s v="000000"/>
    <s v="KUST - General"/>
    <n v="847001"/>
    <s v="FA179-Opex Expense"/>
    <n v="200179"/>
    <x v="307"/>
    <s v="425510.Conferences, seminars and exhibitions and other events: - Local Events-Seminars-Number of Seminars"/>
    <s v="Number of Seminars"/>
    <n v="1"/>
    <n v="15000"/>
    <s v="standard cost according to policy"/>
    <n v="15000"/>
    <s v="KU Regular operations"/>
    <s v="Recurring"/>
    <s v="Increase publications in journals with high impact factor"/>
  </r>
  <r>
    <s v="Communiction &amp; Marketing"/>
    <s v="No Applicable"/>
    <s v="College of Arts &amp; Science"/>
    <n v="847"/>
    <n v="8470405"/>
    <s v="KUST - Dean Of Arts &amp; Science"/>
    <n v="1"/>
    <n v="425550"/>
    <s v="425550-Conferences, seminars and exhibitions and other events: - Overseas event"/>
    <s v="000000"/>
    <s v="KUST - General"/>
    <n v="847001"/>
    <s v="FA179-Opex Expense"/>
    <n v="200179"/>
    <x v="308"/>
    <s v="425550.Conferences, seminars and exhibitions and other events: - Overseas event-Conferences-Number of Conferences"/>
    <s v="Number of Conferences"/>
    <n v="1"/>
    <n v="15000"/>
    <s v="standard cost according to policy"/>
    <n v="15000"/>
    <s v="KU Regular operations"/>
    <s v="Recurring"/>
    <s v="Attract and organize international conferences and summits"/>
  </r>
  <r>
    <s v="Academic"/>
    <s v="No Applicable"/>
    <s v="College of Arts &amp; Science"/>
    <n v="847"/>
    <n v="8470405"/>
    <s v="KUST - Dean Of Arts &amp; Science"/>
    <n v="1"/>
    <n v="425770"/>
    <s v="425770-Academic Missions - Combined expenses"/>
    <s v="000000"/>
    <s v="KUST - General"/>
    <n v="847001"/>
    <s v="FA179-Opex Expense"/>
    <n v="200179"/>
    <x v="309"/>
    <s v="425770.Academic Missions - Combined expenses-Number of Meeting-Number"/>
    <s v="Number"/>
    <n v="10"/>
    <n v="5000"/>
    <s v="Academic Mission/Continue to build collaborations through networking with world class entities"/>
    <n v="50000"/>
    <s v="KU Regular operations"/>
    <s v="Recurring"/>
    <s v="Recruit and retain high caliber faculty, researchers and staff"/>
  </r>
  <r>
    <s v="Academic"/>
    <s v="No Applicable"/>
    <s v="College of Arts &amp; Science"/>
    <n v="847"/>
    <n v="8470405"/>
    <s v="KUST - Dean Of Arts &amp; Science"/>
    <n v="1"/>
    <n v="427710"/>
    <s v="427710-Subscriptions and membership fees: Trade organisations"/>
    <s v="000000"/>
    <s v="KUST - General"/>
    <n v="847001"/>
    <s v="FA179-Opex Expense"/>
    <n v="200179"/>
    <x v="310"/>
    <s v="427710.Subscriptions and membership fees: Trade organisations-Number  of Memberships-Number"/>
    <s v="Number"/>
    <n v="20"/>
    <n v="1681"/>
    <s v="Membership Subscription Keep faculty and staff informed of new information and methods"/>
    <n v="33620"/>
    <s v="KU Regular operations"/>
    <s v="Recurring"/>
    <s v="Increase publications in journals with high impact factor"/>
  </r>
  <r>
    <s v="Academic"/>
    <s v="Director, Research Laboratories"/>
    <s v="College of Arts &amp; Science"/>
    <n v="847"/>
    <n v="8470405"/>
    <s v="KUST - Dean Of Arts &amp; Science"/>
    <n v="1"/>
    <n v="435508"/>
    <s v="435508-Laboratory - Scientific"/>
    <s v="000000"/>
    <s v="KUST - General"/>
    <n v="847001"/>
    <s v="FA179-Opex Expense"/>
    <n v="200179"/>
    <x v="311"/>
    <s v="435508.Laboratory - Scientific-Number of Students-Number"/>
    <s v="Number"/>
    <n v="5"/>
    <n v="40000"/>
    <s v="Materials Consumables develop high quality labs for top teaching"/>
    <n v="200000"/>
    <s v="KU Regular operations"/>
    <s v="Recurring"/>
    <s v="Align the postgraduates programs with the research strategy"/>
  </r>
  <r>
    <s v="Academic"/>
    <s v="No Applicable"/>
    <s v="College of Arts &amp; Science"/>
    <n v="847"/>
    <n v="8470405"/>
    <s v="KUST - Dean Of Arts &amp; Science"/>
    <n v="1"/>
    <n v="435350"/>
    <s v="435350-Academic Publications"/>
    <s v="000000"/>
    <s v="KUST - General"/>
    <n v="847001"/>
    <s v="FA179-Opex Expense"/>
    <n v="200179"/>
    <x v="312"/>
    <s v="435350.Academic Publications-Number of Publications-Number"/>
    <s v="Number"/>
    <n v="20"/>
    <n v="1500"/>
    <s v="Academic Publications Keep faculty and staff informed of new information and methods"/>
    <n v="30000"/>
    <s v="KU Regular operations"/>
    <s v="Recurring"/>
    <s v="Increase publications in journals with high impact factor"/>
  </r>
  <r>
    <s v="Academic"/>
    <s v="No Applicable"/>
    <s v="College of Arts &amp; Science"/>
    <n v="847"/>
    <n v="8470410"/>
    <s v="KUST - Institute of International &amp; Civil Security"/>
    <n v="1"/>
    <n v="425761"/>
    <s v="425761-Student Field trips"/>
    <s v="000000"/>
    <s v="KUST - General"/>
    <n v="847001"/>
    <s v="FA179-Opex Expense"/>
    <n v="200179"/>
    <x v="313"/>
    <s v="425761.Student Field trips-Number of Students UG-Month"/>
    <s v="Month"/>
    <n v="5"/>
    <n v="200"/>
    <s v="one bus"/>
    <n v="1000"/>
    <s v="KU Regular operations"/>
    <s v="Non-recurring"/>
    <s v="Widen access to students with outstanding academic potential"/>
  </r>
  <r>
    <s v="Academic"/>
    <s v="No Applicable"/>
    <s v="College of Arts &amp; Science"/>
    <n v="847"/>
    <n v="8470410"/>
    <s v="KUST - Institute of International &amp; Civil Security"/>
    <n v="1"/>
    <n v="425770"/>
    <s v="425770-Academic Missions - Combined expenses"/>
    <s v="000000"/>
    <s v="KUST - General"/>
    <n v="847001"/>
    <s v="FA179-Opex Expense"/>
    <n v="200179"/>
    <x v="314"/>
    <s v="425770.Academic Missions - Combined expenses-Number of Conference-Number"/>
    <s v="Number"/>
    <n v="12"/>
    <n v="12000"/>
    <s v="each conference"/>
    <n v="144000"/>
    <s v="KU Regular operations"/>
    <s v="Non-recurring"/>
    <s v="Increase publications in journals with high impact factor"/>
  </r>
  <r>
    <s v="IT"/>
    <s v="Director, Technology Development"/>
    <s v="College of Arts &amp; Science"/>
    <n v="847"/>
    <n v="8470410"/>
    <s v="KUST - Institute of International &amp; Civil Security"/>
    <n v="1"/>
    <n v="426610"/>
    <s v="426610-Computer software licenses"/>
    <s v="000000"/>
    <s v="KUST - General"/>
    <n v="847001"/>
    <s v="FA179-Opex Expense"/>
    <n v="200179"/>
    <x v="315"/>
    <s v="426610.Computer software licenses-Software License Renewal-number of licenses-Number"/>
    <s v="Number"/>
    <n v="1"/>
    <n v="5600"/>
    <s v="one software"/>
    <n v="5600"/>
    <s v="KU Regular operations"/>
    <s v="Recurring"/>
    <s v="Increase publications in journals with high impact factor"/>
  </r>
  <r>
    <s v="Other support"/>
    <s v="No Applicable"/>
    <s v="College of Arts &amp; Science"/>
    <n v="847"/>
    <n v="8470410"/>
    <s v="KUST - Institute of International &amp; Civil Security"/>
    <n v="1"/>
    <n v="435310"/>
    <s v="435310-Newspapers, magazines, journals, etc"/>
    <s v="000000"/>
    <s v="KUST - General"/>
    <n v="847001"/>
    <s v="FA179-Opex Expense"/>
    <n v="200179"/>
    <x v="316"/>
    <s v="435310.Newspapers, magazines, journals, etc-Number of Staff-Number"/>
    <s v="Number"/>
    <n v="4"/>
    <n v="21307"/>
    <s v="4 journal subscriptions"/>
    <n v="85228"/>
    <s v="KU Regular operations"/>
    <s v="Recurring"/>
    <s v="Increase publications in journals with high impact factor"/>
  </r>
  <r>
    <s v="Academic"/>
    <s v="No Applicable"/>
    <s v="College of Arts &amp; Science"/>
    <n v="847"/>
    <n v="8470410"/>
    <s v="KUST - Institute of International &amp; Civil Security"/>
    <n v="1"/>
    <n v="435350"/>
    <s v="435350-Academic Publications"/>
    <s v="000000"/>
    <s v="KUST - General"/>
    <n v="847001"/>
    <s v="FA179-Opex Expense"/>
    <n v="200179"/>
    <x v="317"/>
    <s v="435350.Academic Publications-Number of Publications-Number"/>
    <s v="Number"/>
    <n v="10"/>
    <n v="10000"/>
    <s v="open source publication costs"/>
    <n v="100000"/>
    <s v="KU Regular operations"/>
    <s v="Non-recurring"/>
    <s v="Increase publications in journals with high impact factor"/>
  </r>
  <r>
    <s v="Communiction &amp; Marketing"/>
    <s v="Director, Marketing and Communication"/>
    <s v="College of Arts &amp; Science"/>
    <n v="847"/>
    <n v="8470415"/>
    <s v="KUST - Chemistry"/>
    <n v="1"/>
    <n v="425100"/>
    <s v="425100-Advertising"/>
    <s v="000000"/>
    <s v="KUST - General"/>
    <n v="847001"/>
    <s v="FA179-Opex Expense"/>
    <n v="200179"/>
    <x v="318"/>
    <s v="425100.Advertising Services (General)-International Publicity-count"/>
    <s v="count"/>
    <n v="1"/>
    <n v="50000"/>
    <s v="Continuing to publicise the MSc and PhD courses in relevant markets"/>
    <n v="50000"/>
    <s v="KU Regular operations"/>
    <s v="Recurring"/>
    <s v="Increase number of postgraduate students"/>
  </r>
  <r>
    <s v="Student"/>
    <s v="Director, Student Services"/>
    <s v="College of Arts &amp; Science"/>
    <n v="847"/>
    <n v="8470415"/>
    <s v="KUST - Chemistry"/>
    <n v="1"/>
    <n v="425760"/>
    <s v="425760-Student activities &amp; field trip expenses"/>
    <s v="000000"/>
    <s v="KUST - General"/>
    <n v="847001"/>
    <s v="FA179-Opex Expense"/>
    <n v="200179"/>
    <x v="319"/>
    <s v="425760.Student activities &amp; field trip expenses-Certification-No of Certifications"/>
    <s v="No of Certifications"/>
    <n v="8"/>
    <n v="2500"/>
    <s v="Strengthen relation of BSc tracks with industrial / professional organisations. 2 trips for each of our BSc final tracks (4)"/>
    <n v="20000"/>
    <s v="KU Regular operations"/>
    <s v="Recurring"/>
    <s v="Align academic programs with the local and global labor market needs"/>
  </r>
  <r>
    <s v="Student"/>
    <s v="No Applicable"/>
    <s v="College of Arts &amp; Science"/>
    <n v="847"/>
    <n v="8470415"/>
    <s v="KUST - Chemistry"/>
    <n v="1"/>
    <n v="425763"/>
    <s v="425763-Student Project Expenses"/>
    <s v="000000"/>
    <s v="KUST - General"/>
    <n v="847001"/>
    <s v="FA179-Opex Expense"/>
    <n v="200179"/>
    <x v="320"/>
    <s v="425763.Student Project Expenses-Number Student Phd-Number"/>
    <s v="Number"/>
    <n v="3"/>
    <n v="15000"/>
    <s v="To support exploratory research in the department. Other students funded by grants."/>
    <n v="45000"/>
    <s v="KU Regular operations"/>
    <s v="Recurring"/>
    <s v="Increase publications in journals with high impact factor"/>
  </r>
  <r>
    <s v="Student"/>
    <s v="No Applicable"/>
    <s v="College of Arts &amp; Science"/>
    <n v="847"/>
    <n v="8470415"/>
    <s v="KUST - Chemistry"/>
    <n v="1"/>
    <n v="425763"/>
    <s v="425763-Student Project Expenses"/>
    <s v="000000"/>
    <s v="KUST - General"/>
    <n v="847001"/>
    <s v="FA179-Opex Expense"/>
    <n v="200179"/>
    <x v="320"/>
    <s v="425763.Student Project Expenses-Number of Students Master-Month"/>
    <s v="Month"/>
    <n v="20"/>
    <n v="1200"/>
    <s v="To support exploratory research for 2 MSc students in the department working for 10 months. Other students funded by grants."/>
    <n v="24000"/>
    <s v="KU Regular operations"/>
    <s v="Recurring"/>
    <s v="Increase publications in journals with high impact factor"/>
  </r>
  <r>
    <s v="Student"/>
    <s v="No Applicable"/>
    <s v="College of Arts &amp; Science"/>
    <n v="847"/>
    <n v="8470415"/>
    <s v="KUST - Chemistry"/>
    <n v="1"/>
    <n v="425763"/>
    <s v="425763-Student Project Expenses"/>
    <s v="000000"/>
    <s v="KUST - General"/>
    <n v="847001"/>
    <s v="FA179-Opex Expense"/>
    <n v="200179"/>
    <x v="320"/>
    <s v="425763.Student Project Expenses-Number of Students UG-Month"/>
    <s v="Month"/>
    <n v="120"/>
    <n v="1000"/>
    <s v="Increased number - 24 - of senior BSc students each working for 5 months"/>
    <n v="120000"/>
    <s v="KU Regular operations"/>
    <s v="Recurring"/>
    <s v="Align academic programs with the local and global labor market needs"/>
  </r>
  <r>
    <s v="Academic"/>
    <s v="No Applicable"/>
    <s v="College of Arts &amp; Science"/>
    <n v="847"/>
    <n v="8470415"/>
    <s v="KUST - Chemistry"/>
    <n v="1"/>
    <n v="425770"/>
    <s v="425770-Academic Missions - Combined expenses"/>
    <s v="000000"/>
    <s v="KUST - General"/>
    <n v="847001"/>
    <s v="FA179-Opex Expense"/>
    <n v="200179"/>
    <x v="321"/>
    <s v="425770.Academic Missions - Combined expenses-Number of Conference-Number"/>
    <s v="Number"/>
    <n v="30"/>
    <n v="15000"/>
    <s v="30 faculty at 15000 per conference (Note projected increase in faculty)."/>
    <n v="450000"/>
    <s v="KU Regular operations"/>
    <s v="Recurring"/>
    <s v="Recruit and retain high caliber faculty, researchers and staff"/>
  </r>
  <r>
    <s v="Academic"/>
    <s v="No Applicable"/>
    <s v="College of Arts &amp; Science"/>
    <n v="847"/>
    <n v="8470415"/>
    <s v="KUST - Chemistry"/>
    <n v="1"/>
    <n v="425770"/>
    <s v="425770-Academic Missions - Combined expenses"/>
    <s v="000000"/>
    <s v="KUST - General"/>
    <n v="847001"/>
    <s v="FA179-Opex Expense"/>
    <n v="200179"/>
    <x v="321"/>
    <s v="425770.Academic Missions - Combined expenses-Number of Conference-Number"/>
    <s v="Number"/>
    <n v="5"/>
    <n v="15000"/>
    <s v="Visits for Chair and/or senior staff to potential collaborating institutions to set up research collaborations."/>
    <n v="75000"/>
    <s v="KU Regular operations"/>
    <s v="Recurring"/>
    <s v="Build partnerships with local and international universities"/>
  </r>
  <r>
    <s v="Other support"/>
    <s v="Director, Human Resources"/>
    <s v="College of Arts &amp; Science"/>
    <n v="847"/>
    <n v="8470415"/>
    <s v="KUST - Chemistry"/>
    <n v="1"/>
    <n v="425900"/>
    <s v="425900-Entertainment and hospitality"/>
    <s v="000000"/>
    <s v="KUST - General"/>
    <n v="847001"/>
    <s v="FA179-Opex Expense"/>
    <n v="200179"/>
    <x v="322"/>
    <s v="425900.Entertainment and hospitality-1. No of events/workshops planned-count"/>
    <s v="count"/>
    <n v="12"/>
    <n v="1500"/>
    <s v="Chemistry seminar series inviting distinguisjed speakers/visitors to give research lectures."/>
    <n v="18000"/>
    <s v="KU Regular operations"/>
    <s v="Recurring"/>
    <s v="Build partnerships with local and international universities"/>
  </r>
  <r>
    <s v="Other support"/>
    <s v="Director, Human Resources"/>
    <s v="College of Arts &amp; Science"/>
    <n v="847"/>
    <n v="8470415"/>
    <s v="KUST - Chemistry"/>
    <n v="1"/>
    <n v="425900"/>
    <s v="425900-Entertainment and hospitality"/>
    <s v="000000"/>
    <s v="KUST - General"/>
    <n v="847001"/>
    <s v="FA179-Opex Expense"/>
    <n v="200179"/>
    <x v="322"/>
    <s v="425900.Entertainment and hospitality-1. No of events/workshops planned-count"/>
    <s v="count"/>
    <n v="1"/>
    <n v="140000"/>
    <s v="Meeting of advisory board for BSc / MSc programmes - rate as circulated"/>
    <n v="140000"/>
    <s v="KU Regular operations"/>
    <s v="Recurring"/>
    <s v="Align academic programs with the local and global labor market needs"/>
  </r>
  <r>
    <s v="IT"/>
    <s v="Director, Technology Development"/>
    <s v="College of Arts &amp; Science"/>
    <n v="847"/>
    <n v="8470415"/>
    <s v="KUST - Chemistry"/>
    <n v="1"/>
    <n v="426610"/>
    <s v="426610-Computer software licenses"/>
    <s v="000000"/>
    <s v="KUST - General"/>
    <n v="847001"/>
    <s v="FA179-Opex Expense"/>
    <n v="200179"/>
    <x v="323"/>
    <s v="426610.Computer software licenses-Software License Renewal-number of licenses-Number"/>
    <s v="Number"/>
    <n v="1"/>
    <n v="97617"/>
    <s v="Spartan molecular modelling for undergraduate students. Budget taken from CoAS Academic Software list."/>
    <n v="97617"/>
    <s v="KU Regular operations"/>
    <s v="Recurring"/>
    <s v="Align academic programs with the local and global labor market needs"/>
  </r>
  <r>
    <s v="IT"/>
    <s v="Director, Technology Development"/>
    <s v="College of Arts &amp; Science"/>
    <n v="847"/>
    <n v="8470415"/>
    <s v="KUST - Chemistry"/>
    <n v="1"/>
    <n v="426610"/>
    <s v="426610-Computer software licenses"/>
    <s v="000000"/>
    <s v="KUST - General"/>
    <n v="847001"/>
    <s v="FA179-Opex Expense"/>
    <n v="200179"/>
    <x v="323"/>
    <s v="426610.Computer software licenses-Software License Renewal-number of licenses-Number"/>
    <s v="Number"/>
    <n v="1"/>
    <n v="30000"/>
    <s v="Subscription to Cambridge Crystallographic Data Centre. Important resource of researchers and also used in Sophomore and Senior teaching. Based on 2022 cost GBP6305.80.  Quotation Chem1"/>
    <n v="30000"/>
    <s v="KU Regular operations"/>
    <s v="Recurring"/>
    <s v="Align academic programs with the local and global labor market needs"/>
  </r>
  <r>
    <s v="IT"/>
    <s v="Director, Technology Development"/>
    <s v="College of Arts &amp; Science"/>
    <n v="847"/>
    <n v="8470415"/>
    <s v="KUST - Chemistry"/>
    <n v="1"/>
    <n v="426610"/>
    <s v="426610-Computer software licenses"/>
    <s v="000000"/>
    <s v="KUST - General"/>
    <n v="847001"/>
    <s v="FA179-Opex Expense"/>
    <n v="200179"/>
    <x v="323"/>
    <s v="426610.Computer software licenses-Software License Renewal-number of licenses-Number"/>
    <s v="Number"/>
    <n v="1"/>
    <n v="31195"/>
    <s v="Chemdraw programme used for all chemistry students (UG &amp; PG)  and faculty. Rising numbers in Chemistry mean an upgrade to Medium licence - up to 300 users. Based on 2022 cost US$8500.  Quotation Chem2."/>
    <n v="31195"/>
    <s v="KU Regular operations"/>
    <s v="Recurring"/>
    <s v="Align academic programs with the local and global labor market needs"/>
  </r>
  <r>
    <s v="Communiction &amp; Marketing"/>
    <s v="Director, Marketing and Communication"/>
    <s v="College of Arts &amp; Science"/>
    <n v="847"/>
    <n v="8470415"/>
    <s v="KUST - Chemistry"/>
    <n v="1"/>
    <n v="428640"/>
    <s v="428640-Events - Awards, prizes &amp; gifts"/>
    <s v="000000"/>
    <s v="KUST - General"/>
    <n v="847001"/>
    <s v="FA179-Opex Expense"/>
    <n v="200179"/>
    <x v="324"/>
    <s v="428640.Events - Awards, prizes &amp; gifts-Number of awards-count"/>
    <s v="count"/>
    <n v="1"/>
    <n v="25000"/>
    <s v="Gifts etc. for outreach / open day work with prospective students. Based on 2018 (last year pre-covid) expenditure"/>
    <n v="25000"/>
    <s v="KU Regular operations"/>
    <s v="Recurring"/>
    <s v="Widen access to students with outstanding academic potential"/>
  </r>
  <r>
    <s v="Academic "/>
    <s v="No Applicable"/>
    <s v="College of Arts &amp; Science"/>
    <n v="847"/>
    <n v="8470415"/>
    <s v="KUST - Chemistry"/>
    <n v="1"/>
    <n v="428090"/>
    <s v="428090-Business Travel - Combined expenses"/>
    <s v="000000"/>
    <s v="KUST - General"/>
    <n v="847001"/>
    <s v="FA179-Opex Expense"/>
    <n v="200179"/>
    <x v="325"/>
    <s v="428090.Business Travel - Combined expenses-Number of Staff-Number"/>
    <s v="Number"/>
    <n v="10"/>
    <n v="500"/>
    <s v="10 visits to schools (or hosting visits) and related venues for outreach activity."/>
    <n v="5000"/>
    <s v="KU Regular operations"/>
    <s v="Recurring"/>
    <s v="Widen access to students with outstanding academic potential"/>
  </r>
  <r>
    <s v="Academic"/>
    <s v="No Applicable"/>
    <s v="College of Arts &amp; Science"/>
    <n v="847"/>
    <n v="8470415"/>
    <s v="KUST - Chemistry"/>
    <n v="1"/>
    <n v="432209"/>
    <s v="432209-Laboratory equipment"/>
    <s v="000000"/>
    <s v="KUST - General"/>
    <n v="847001"/>
    <s v="FA179-Opex Expense"/>
    <n v="200179"/>
    <x v="326"/>
    <s v="432209.Laboratory equipment-Number of Faculty-Number"/>
    <s v="Number"/>
    <n v="1"/>
    <n v="526000"/>
    <s v="Expenses for laboratory classes. 2024 value adjusted for 10% p.a. inflation."/>
    <n v="526000"/>
    <s v="KU Regular operations"/>
    <s v="Recurring"/>
    <s v="Align academic programs with the local and global labor market needs"/>
  </r>
  <r>
    <s v="Academic"/>
    <s v="No Applicable"/>
    <s v="College of Arts &amp; Science"/>
    <n v="847"/>
    <n v="8470415"/>
    <s v="KUST - Chemistry"/>
    <n v="1"/>
    <n v="435350"/>
    <s v="435350-Academic Publications"/>
    <s v="000000"/>
    <s v="KUST - General"/>
    <n v="847001"/>
    <s v="FA179-Opex Expense"/>
    <n v="200179"/>
    <x v="327"/>
    <s v="435350.Academic Publications-Number of Publications-Number"/>
    <s v="Number"/>
    <n v="20"/>
    <n v="15000"/>
    <s v="Publication or open access charges for high quality (Q1, IF&gt;6, top 10%) journals. Average cost is $/€ 3-4000, we aim for 15 papers."/>
    <n v="300000"/>
    <s v="KU Regular operations"/>
    <s v="Recurring"/>
    <s v="Increase publications in journals with high impact factor"/>
  </r>
  <r>
    <s v="Academic"/>
    <s v="Director, Research Laboratories"/>
    <s v="College of Arts &amp; Science"/>
    <n v="847"/>
    <n v="8470415"/>
    <s v="KUST - Chemistry"/>
    <n v="1"/>
    <n v="435508"/>
    <s v="435508-Laboratory - Scientific"/>
    <s v="000000"/>
    <s v="KUST - General"/>
    <n v="847001"/>
    <s v="FA179-Opex Expense"/>
    <n v="200179"/>
    <x v="328"/>
    <s v="435508.Laboratory - Scientific-Number of Students-Number"/>
    <s v="Number"/>
    <n v="1"/>
    <n v="900000"/>
    <s v="Expenses for laboratory classes. 2024 value adjusted for 10% p.a. inflation."/>
    <n v="900000"/>
    <s v="KU Regular operations"/>
    <s v="Recurring"/>
    <s v="Align academic programs with the local and global labor market needs"/>
  </r>
  <r>
    <s v="Communiction &amp; Marketing"/>
    <s v="No Applicable"/>
    <s v="College of Arts &amp; Science"/>
    <n v="847"/>
    <n v="8470415"/>
    <s v="KUST - Chemistry"/>
    <n v="1"/>
    <n v="427200"/>
    <s v="427200-Printing and publishing"/>
    <s v="000000"/>
    <s v="KUST - General"/>
    <n v="847001"/>
    <s v="FA179-Opex Expense"/>
    <n v="200179"/>
    <x v="329"/>
    <s v="427200.Printing and publishing-The printing cost of the department's publications-count"/>
    <s v="count"/>
    <n v="1"/>
    <n v="25000"/>
    <s v="Printing of posters for conferences, laboratories, schools' outreach"/>
    <n v="25000"/>
    <s v="KU Regular operations"/>
    <s v="Recurring"/>
    <s v="Recruit and retain high caliber faculty, researchers and staff"/>
  </r>
  <r>
    <s v="Facilities "/>
    <s v="Director, Research Laboratories"/>
    <s v="College of Arts &amp; Science"/>
    <n v="847"/>
    <n v="8470415"/>
    <s v="KUST - Chemistry"/>
    <n v="1"/>
    <n v="492316"/>
    <s v="492316-Laboratory equipment"/>
    <s v="000000"/>
    <s v="KUST - General"/>
    <n v="847001"/>
    <s v="FA180-Capex Expense"/>
    <n v="300180"/>
    <x v="330"/>
    <s v="492316.Laboratory equipment-Number of Faculty-Number"/>
    <s v="Number"/>
    <n v="1"/>
    <n v="196260"/>
    <s v="UV/visible spectrophotometers. Replacement of old and damaged units. Quotation Chem21"/>
    <n v="196260"/>
    <s v="KU Strategic New Initiative"/>
    <s v="Non-recurring"/>
    <s v="Recruit and retain high caliber faculty, researchers and staff"/>
  </r>
  <r>
    <s v="Facilities "/>
    <s v="Director, Research Laboratories"/>
    <s v="College of Arts &amp; Science"/>
    <n v="847"/>
    <n v="8470415"/>
    <s v="KUST - Chemistry"/>
    <n v="1"/>
    <n v="492316"/>
    <s v="492316-Laboratory equipment"/>
    <s v="000000"/>
    <s v="KUST - General"/>
    <n v="847001"/>
    <s v="FA180-Capex Expense"/>
    <n v="300180"/>
    <x v="330"/>
    <s v="492316.Laboratory equipment-Number of Faculty-Number"/>
    <s v="Number"/>
    <n v="3"/>
    <n v="50000"/>
    <s v="FTIR spectrometers will need to be re4placed in the teaching laboratories. Estimated cost - can be confirmed at the approriate time."/>
    <n v="150000"/>
    <s v="KU Strategic New Initiative"/>
    <s v="Non-recurring"/>
    <s v="Recruit and retain high caliber faculty, researchers and staff"/>
  </r>
  <r>
    <s v="Communiction &amp; Marketing"/>
    <s v="Director, Marketing and Communication"/>
    <s v="College of Arts &amp; Science"/>
    <n v="847"/>
    <n v="8470425"/>
    <s v="KUST - Physics"/>
    <n v="1"/>
    <n v="425510"/>
    <s v="425510-Conferences, seminars and exhibitions and other events: - Local Events"/>
    <s v="000000"/>
    <s v="KUST - General"/>
    <n v="847001"/>
    <s v="FA179-Opex Expense"/>
    <n v="200179"/>
    <x v="331"/>
    <s v="425510.Conferences, seminars and exhibitions and other events: - Local Events-The area of rented halls for events, seminars, and exhibition.-2m"/>
    <s v="2m"/>
    <n v="9"/>
    <n v="5000"/>
    <s v="Faculty partcipation in local conference"/>
    <n v="45000"/>
    <s v="KU Regular operations"/>
    <s v="Recurring"/>
    <s v="Enhance the communication plan and outreach activities"/>
  </r>
  <r>
    <s v="Communiction &amp; Marketing"/>
    <s v="Director, Marketing and Communication"/>
    <s v="College of Arts &amp; Science"/>
    <n v="847"/>
    <n v="8470425"/>
    <s v="KUST - Physics"/>
    <n v="1"/>
    <n v="425510"/>
    <s v="425510-Conferences, seminars and exhibitions and other events: - Local Events"/>
    <s v="000000"/>
    <s v="KUST - General"/>
    <n v="847001"/>
    <s v="FA179-Opex Expense"/>
    <n v="200179"/>
    <x v="331"/>
    <s v="425510.Conferences, seminars and exhibitions and other events: - Local Events-Events-Number of Events"/>
    <s v="Number of Events"/>
    <n v="1"/>
    <n v="250000"/>
    <s v="bring an iternational conference to our department"/>
    <n v="250000"/>
    <s v="KU Regular operations"/>
    <s v="Recurring"/>
    <s v="Attract and organize international conferences and summits"/>
  </r>
  <r>
    <s v="Communiction &amp; Marketing"/>
    <s v="No Applicable"/>
    <s v="College of Arts &amp; Science"/>
    <n v="847"/>
    <n v="8470425"/>
    <s v="KUST - Physics"/>
    <n v="1"/>
    <n v="425550"/>
    <s v="425550-Conferences, seminars and exhibitions and other events: - Overseas event"/>
    <s v="000000"/>
    <s v="KUST - General"/>
    <n v="847001"/>
    <s v="FA179-Opex Expense"/>
    <n v="200179"/>
    <x v="332"/>
    <s v="425550.Conferences, seminars and exhibitions and other events: - Overseas event-Conferences-Number of Conferences"/>
    <s v="Number of Conferences"/>
    <n v="15"/>
    <n v="22500"/>
    <s v="Faculty partcipation in international conference"/>
    <n v="337500"/>
    <s v="KU Regular operations"/>
    <s v="Recurring"/>
    <s v="Enhance the communication plan and outreach activities"/>
  </r>
  <r>
    <s v="Academic"/>
    <s v="No Applicable"/>
    <s v="College of Arts &amp; Science"/>
    <n v="847"/>
    <n v="8470425"/>
    <s v="KUST - Physics"/>
    <n v="1"/>
    <n v="425770"/>
    <s v="425770-Academic Missions - Combined expenses"/>
    <s v="000000"/>
    <s v="KUST - General"/>
    <n v="847001"/>
    <s v="FA179-Opex Expense"/>
    <n v="200179"/>
    <x v="333"/>
    <s v="425770.Academic Missions - Combined expenses-Number of Meeting-Number"/>
    <s v="Number"/>
    <n v="5"/>
    <n v="22500"/>
    <s v="Academic Mission to attract student"/>
    <n v="112500"/>
    <s v="KU Regular operations"/>
    <s v="Recurring"/>
    <s v="Increase number of postgraduate students"/>
  </r>
  <r>
    <s v="Other support"/>
    <s v="Director, Human Resources"/>
    <s v="College of Arts &amp; Science"/>
    <n v="847"/>
    <n v="8470425"/>
    <s v="KUST - Physics"/>
    <n v="1"/>
    <n v="425900"/>
    <s v="425900-Entertainment and hospitality"/>
    <s v="000000"/>
    <s v="KUST - General"/>
    <n v="847001"/>
    <s v="FA179-Opex Expense"/>
    <n v="200179"/>
    <x v="334"/>
    <s v="425900.Entertainment and hospitality-1. No of events/workshops planned-count"/>
    <s v="count"/>
    <n v="5"/>
    <n v="20000"/>
    <s v="1 visit a year for a high profiles talk+ 4 regional talks "/>
    <n v="100000"/>
    <s v="KU Regular operations"/>
    <s v="Recurring"/>
    <s v="Enhance the communication plan and outreach activities"/>
  </r>
  <r>
    <s v="Other support"/>
    <s v="Director, Human Resources"/>
    <s v="College of Arts &amp; Science"/>
    <n v="847"/>
    <n v="8470425"/>
    <s v="KUST - Physics"/>
    <n v="1"/>
    <n v="425900"/>
    <s v="425900-Entertainment and hospitality"/>
    <s v="000000"/>
    <s v="KUST - General"/>
    <n v="847001"/>
    <s v="FA179-Opex Expense"/>
    <n v="200179"/>
    <x v="334"/>
    <s v="425900.Entertainment and hospitality-1. No of events/workshops planned-count"/>
    <s v="count"/>
    <n v="2"/>
    <n v="10000"/>
    <s v="Department Retreat"/>
    <n v="20000"/>
    <s v="KU Regular operations"/>
    <s v="Recurring"/>
    <s v="Review and revise as needed the research strategic plan"/>
  </r>
  <r>
    <s v="IT"/>
    <s v="Director, Technology Development"/>
    <s v="College of Arts &amp; Science"/>
    <n v="847"/>
    <n v="8470425"/>
    <s v="KUST - Physics"/>
    <n v="1"/>
    <n v="426610"/>
    <s v="426610-Computer software licenses"/>
    <s v="000000"/>
    <s v="KUST - General"/>
    <n v="847001"/>
    <s v="FA179-Opex Expense"/>
    <n v="200179"/>
    <x v="335"/>
    <s v="426610.Computer software licenses-Software License Renewal-duration of license maintenance/support period-Month"/>
    <s v="Month"/>
    <n v="10"/>
    <n v="40000"/>
    <s v="Teaching Software License Renewal "/>
    <n v="400000"/>
    <s v="KU Regular operations"/>
    <s v="Recurring"/>
    <s v="Increase number of postgraduate students"/>
  </r>
  <r>
    <s v="Academic "/>
    <s v="No Applicable"/>
    <s v="College of Arts &amp; Science"/>
    <n v="847"/>
    <n v="8470425"/>
    <s v="KUST - Physics"/>
    <n v="1"/>
    <n v="428090"/>
    <s v="428090-Business Travel - Combined expenses"/>
    <s v="000000"/>
    <s v="KUST - General"/>
    <n v="847001"/>
    <s v="FA179-Opex Expense"/>
    <n v="200179"/>
    <x v="336"/>
    <s v="428090.Business Travel - Combined expenses-Number of Faculty-Number"/>
    <s v="Number"/>
    <n v="5"/>
    <n v="22500"/>
    <s v="Business Travel"/>
    <n v="112500"/>
    <s v="KU Regular operations"/>
    <s v="Recurring"/>
    <s v="Enhance the communication plan and outreach activities"/>
  </r>
  <r>
    <s v="Academic"/>
    <s v="No Applicable"/>
    <s v="College of Arts &amp; Science"/>
    <n v="847"/>
    <n v="8470425"/>
    <s v="KUST - Physics"/>
    <n v="1"/>
    <n v="435350"/>
    <s v="435350-Academic Publications"/>
    <s v="000000"/>
    <s v="KUST - General"/>
    <n v="847001"/>
    <s v="FA179-Opex Expense"/>
    <n v="200179"/>
    <x v="337"/>
    <s v="435350.Academic Publications-Number of Publications-Number"/>
    <s v="Number"/>
    <n v="25"/>
    <n v="10000"/>
    <s v="Research Publication in OA Journals by Physics Faculty"/>
    <n v="250000"/>
    <s v="KU Regular operations"/>
    <s v="Recurring"/>
    <s v="Increase publications in journals with high impact factor"/>
  </r>
  <r>
    <s v="Academic"/>
    <s v="Director, Research Laboratories"/>
    <s v="College of Arts &amp; Science"/>
    <n v="847"/>
    <n v="8470425"/>
    <s v="KUST - Physics"/>
    <n v="1"/>
    <n v="435508"/>
    <s v="435508-Laboratory - Scientific"/>
    <s v="000000"/>
    <s v="KUST - General"/>
    <n v="847001"/>
    <s v="FA179-Opex Expense"/>
    <n v="200179"/>
    <x v="338"/>
    <s v="435508.Laboratory - Scientific-Number of Students-Number"/>
    <s v="Number"/>
    <n v="20"/>
    <n v="50000"/>
    <s v="Scientiffic Equiments for Teaching labs"/>
    <n v="1000000"/>
    <s v="KU Regular operations"/>
    <s v="Recurring"/>
    <s v="Increase number of postgraduate students"/>
  </r>
  <r>
    <s v="IT"/>
    <s v="Director, Technology Development"/>
    <s v="College of Arts &amp; Science"/>
    <n v="847"/>
    <n v="8470425"/>
    <s v="KUST - Physics"/>
    <n v="1"/>
    <n v="492310"/>
    <s v="492310-Hardware &amp; peripherals"/>
    <s v="000000"/>
    <s v="KUST - General"/>
    <n v="847001"/>
    <s v="FA180-Capex Expense"/>
    <n v="300180"/>
    <x v="339"/>
    <s v="492310.Hardware &amp; peripherals-number of hardware devices-Month"/>
    <s v="Month"/>
    <n v="10"/>
    <n v="75000"/>
    <s v="Workstation and Computers for Teaching computational and astronomy courses "/>
    <n v="750000"/>
    <s v="KU Regular operations"/>
    <m/>
    <s v="Increase number of postgraduate students"/>
  </r>
  <r>
    <s v="Facilities "/>
    <s v="Director, Research Laboratories"/>
    <s v="College of Arts &amp; Science"/>
    <n v="847"/>
    <n v="8470425"/>
    <s v="KUST - Physics"/>
    <n v="1"/>
    <n v="492316"/>
    <s v="492316-Laboratory equipment"/>
    <s v="000000"/>
    <s v="KUST - General"/>
    <n v="847001"/>
    <s v="FA180-Capex Expense"/>
    <n v="300180"/>
    <x v="340"/>
    <s v="492316.Laboratory equipment-Number of Students-Number"/>
    <s v="Number"/>
    <n v="15"/>
    <n v="200000"/>
    <s v="Equipments for Nanophysics observations of nanomaterials, clusters, etc. for teaching students Phys705, 707 course"/>
    <n v="3000000"/>
    <s v="KU Regular operations"/>
    <s v="Recurring"/>
    <s v="Increase number of postgraduate students"/>
  </r>
  <r>
    <s v="Academic"/>
    <s v="No Applicable"/>
    <s v="College of Arts &amp; Science"/>
    <n v="847"/>
    <n v="8470430"/>
    <s v="KUST - Preparatory Program"/>
    <n v="1"/>
    <n v="425761"/>
    <s v="425761-Student Field trips"/>
    <s v="000000"/>
    <s v="KUST - General"/>
    <n v="847001"/>
    <s v="FA179-Opex Expense"/>
    <n v="200179"/>
    <x v="341"/>
    <s v="425761.Student Field trips-Number of Students UG-Month"/>
    <s v="Month"/>
    <n v="2"/>
    <n v="4250"/>
    <s v="Student Field Trips/estimate"/>
    <n v="8500"/>
    <s v="KU Regular operations"/>
    <s v="Recurring"/>
    <s v="Widen access to students with outstanding academic potential"/>
  </r>
  <r>
    <s v="Academic"/>
    <s v="No Applicable"/>
    <s v="College of Arts &amp; Science"/>
    <n v="847"/>
    <n v="8470430"/>
    <s v="KUST - Preparatory Program"/>
    <n v="1"/>
    <n v="425770"/>
    <s v="425770-Academic Missions - Combined expenses"/>
    <s v="000000"/>
    <s v="KUST - General"/>
    <n v="847001"/>
    <s v="FA179-Opex Expense"/>
    <n v="200179"/>
    <x v="342"/>
    <s v="425770.Academic Missions - Combined expenses-Number of Conference-Number"/>
    <s v="Number"/>
    <n v="10"/>
    <n v="37342.5"/>
    <s v="Academic Mission/KU formula"/>
    <n v="373425"/>
    <s v="KU Regular operations"/>
    <s v="Recurring"/>
    <s v="Increase publications in journals with high impact factor"/>
  </r>
  <r>
    <s v="Other support"/>
    <s v="Director, Human Resources"/>
    <s v="College of Arts &amp; Science"/>
    <n v="847"/>
    <n v="8470430"/>
    <s v="KUST - Preparatory Program"/>
    <n v="1"/>
    <n v="425900"/>
    <s v="425900-Entertainment and hospitality"/>
    <s v="000000"/>
    <s v="KUST - General"/>
    <n v="847001"/>
    <s v="FA179-Opex Expense"/>
    <n v="200179"/>
    <x v="343"/>
    <s v="425900.Entertainment and hospitality-1. No of events/workshops planned-count"/>
    <s v="count"/>
    <n v="4"/>
    <n v="3000"/>
    <s v="estimate - 25 people - "/>
    <n v="12000"/>
    <s v="KU Regular operations"/>
    <s v="Recurring"/>
    <s v="Ensure the university sustainability "/>
  </r>
  <r>
    <s v="IT"/>
    <s v="Director, Technology Development"/>
    <s v="College of Arts &amp; Science"/>
    <n v="847"/>
    <n v="8470430"/>
    <s v="KUST - Preparatory Program"/>
    <n v="1"/>
    <n v="426610"/>
    <s v="426610-Computer software licenses"/>
    <s v="000000"/>
    <s v="KUST - General"/>
    <n v="847001"/>
    <s v="FA179-Opex Expense"/>
    <n v="200179"/>
    <x v="344"/>
    <s v="426610.Computer software licenses-Software License Renewal-number of licenses-Number"/>
    <s v="Number"/>
    <n v="3"/>
    <n v="8717.3333333333339"/>
    <s v="existing licenses"/>
    <n v="26152"/>
    <s v="KU Regular operations"/>
    <s v="Recurring"/>
    <s v="Ensure the university sustainability "/>
  </r>
  <r>
    <s v="Academic"/>
    <s v="No Applicable"/>
    <s v="College of Arts &amp; Science"/>
    <n v="847"/>
    <n v="8470430"/>
    <s v="KUST - Preparatory Program"/>
    <n v="1"/>
    <n v="432209"/>
    <s v="432209-Laboratory equipment"/>
    <s v="000000"/>
    <s v="KUST - General"/>
    <n v="847001"/>
    <s v="FA179-Opex Expense"/>
    <n v="200179"/>
    <x v="345"/>
    <s v="432209.Laboratory equipment-Number of Students-Number"/>
    <s v="Number"/>
    <n v="1"/>
    <n v="1575"/>
    <s v="Laboratory Equipment/no appropriate category"/>
    <n v="1575"/>
    <s v="KU Regular operations"/>
    <s v="Recurring"/>
    <s v="Utilize state-of-the-art technologies and facilities in an optimal and efficient manner"/>
  </r>
  <r>
    <s v="Academic"/>
    <s v="Director, Research Laboratories"/>
    <s v="College of Arts &amp; Science"/>
    <n v="847"/>
    <n v="8470430"/>
    <s v="KUST - Preparatory Program"/>
    <n v="1"/>
    <n v="435508"/>
    <s v="435508-Laboratory - Scientific"/>
    <s v="000000"/>
    <s v="KUST - General"/>
    <n v="847001"/>
    <s v="FA179-Opex Expense"/>
    <n v="200179"/>
    <x v="346"/>
    <s v="435508.Laboratory - Scientific-Number of Students-Number"/>
    <s v="Number"/>
    <n v="2"/>
    <n v="42300"/>
    <s v="Materials&amp;Consumables/historical calculations"/>
    <n v="84600"/>
    <s v="KU Regular operations"/>
    <s v="Recurring"/>
    <s v="Ensure the university sustainability "/>
  </r>
  <r>
    <s v="Academic"/>
    <s v="No Applicable"/>
    <s v="College of Arts &amp; Science"/>
    <n v="847"/>
    <n v="8470440"/>
    <s v="KUST - Humanities &amp; Social Sciences"/>
    <n v="1"/>
    <n v="420550"/>
    <s v="420550-Academic Advisory Service"/>
    <s v="000000"/>
    <s v="KUST - General"/>
    <n v="847001"/>
    <s v="FA179-Opex Expense"/>
    <n v="200179"/>
    <x v="347"/>
    <s v="420550.Academic Advisory Service-Number of Services-Number"/>
    <m/>
    <n v="4"/>
    <n v="140000"/>
    <s v="Academic Advisory Service-Number of Services-Number"/>
    <n v="560000"/>
    <s v="Regular operations"/>
    <s v="Recurring"/>
    <s v="Align academic programs with the local and global labor market needs"/>
  </r>
  <r>
    <s v="Academic"/>
    <s v="No Applicable"/>
    <s v="College of Arts &amp; Science"/>
    <n v="847"/>
    <n v="8470440"/>
    <s v="KUST - Humanities &amp; Social Sciences"/>
    <n v="1"/>
    <n v="420570"/>
    <s v="420570-Academic Collaborative Partnership Services"/>
    <s v="000000"/>
    <s v="KUST - General"/>
    <n v="847001"/>
    <s v="FA179-Opex Expense"/>
    <n v="200179"/>
    <x v="348"/>
    <s v="420570.Academic Collaborative Partnership Services-Partnership Agreement or Academic Collaboration -No of Partneship/collaboration Agreement"/>
    <m/>
    <n v="10"/>
    <n v="15000"/>
    <s v="Academic Collaborative Partnership Services-Partnership Agreement or Academic Collaboration -No of Partneship/collaboration Agreement"/>
    <n v="150000"/>
    <s v="Regular operations"/>
    <s v="Recurring"/>
    <s v="Align academic programs with the local and global labor market needs"/>
  </r>
  <r>
    <s v="Academic"/>
    <s v="Director, Institutional Research and Planning"/>
    <s v="College of Arts &amp; Science"/>
    <n v="847"/>
    <n v="8470440"/>
    <s v="KUST - Humanities &amp; Social Sciences"/>
    <n v="1"/>
    <n v="421700"/>
    <s v="421700-Standards certification (e.g. ISO)"/>
    <s v="000000"/>
    <s v="KUST - General"/>
    <n v="847001"/>
    <s v="FA179-Opex Expense"/>
    <n v="200179"/>
    <x v="349"/>
    <s v="421700.Standards Certification Services (e.g. ISO)-Number of Academic programs-Number"/>
    <m/>
    <n v="2"/>
    <n v="140000"/>
    <s v="Standards Certification Services (e.g. ISO)-professional services scope/deliverables-Number"/>
    <n v="280000"/>
    <s v="Regular operations"/>
    <s v="Non-recurring"/>
    <s v="Align academic programs with the local and global labor market needs"/>
  </r>
  <r>
    <s v="Communiction &amp; Marketing"/>
    <s v="Director, Marketing and Communication"/>
    <s v="College of Arts &amp; Science"/>
    <n v="847"/>
    <n v="8470440"/>
    <s v="KUST - Humanities &amp; Social Sciences"/>
    <n v="1"/>
    <n v="425100"/>
    <s v="425100-Advertising"/>
    <s v="000000"/>
    <s v="KUST - General"/>
    <n v="847001"/>
    <s v="FA179-Opex Expense"/>
    <n v="200179"/>
    <x v="350"/>
    <s v="425100.Advertising Services (General)-Branding -count"/>
    <m/>
    <n v="2"/>
    <n v="5000"/>
    <s v="Advertising Services (General)-TV advertising cost-Second"/>
    <n v="10000"/>
    <s v="Regular operations"/>
    <s v="Recurring"/>
    <s v="Align academic programs with the local and global labor market needs"/>
  </r>
  <r>
    <s v="Communiction &amp; Marketing"/>
    <s v="Director, Marketing and Communication"/>
    <s v="College of Arts &amp; Science"/>
    <n v="847"/>
    <n v="8470440"/>
    <s v="KUST - Humanities &amp; Social Sciences"/>
    <n v="1"/>
    <n v="425510"/>
    <s v="425510-Conferences, seminars and exhibitions and other events: - Local Events"/>
    <s v="000000"/>
    <s v="KUST - General"/>
    <n v="847001"/>
    <s v="FA179-Opex Expense"/>
    <n v="200179"/>
    <x v="351"/>
    <s v="425510.Conferences, seminars and exhibitions and other events: - Local Events-Events-Number of Events"/>
    <m/>
    <n v="15"/>
    <n v="15000"/>
    <s v="Conferences, seminars and exhibitions and other events: - Local Events-Number of attendees-count"/>
    <n v="225000"/>
    <s v="Regular operations"/>
    <s v="Recurring"/>
    <s v="Align academic programs with the local and global labor market needs"/>
  </r>
  <r>
    <s v="Communiction &amp; Marketing"/>
    <s v="No Applicable"/>
    <s v="College of Arts &amp; Science"/>
    <n v="847"/>
    <n v="8470440"/>
    <s v="KUST - Humanities &amp; Social Sciences"/>
    <n v="1"/>
    <n v="425550"/>
    <s v="425550-Conferences, seminars and exhibitions and other events: - Overseas event"/>
    <s v="000000"/>
    <s v="KUST - General"/>
    <n v="847001"/>
    <s v="FA179-Opex Expense"/>
    <n v="200179"/>
    <x v="352"/>
    <s v="425550.Conferences, seminars and exhibitions and other events: - Overseas event-Conferences-Number of Conferences"/>
    <m/>
    <n v="15"/>
    <n v="15000"/>
    <s v="Conferences, seminars and exhibitions and other events: - Overseas event-Conferences-Number of Conferences"/>
    <n v="225000"/>
    <s v="Regular operations"/>
    <s v="Recurring"/>
    <s v="Align academic programs with the local and global labor market needs"/>
  </r>
  <r>
    <s v="Academic"/>
    <s v="No Applicable"/>
    <s v="College of Arts &amp; Science"/>
    <n v="847"/>
    <n v="8470440"/>
    <s v="KUST - Humanities &amp; Social Sciences"/>
    <n v="1"/>
    <n v="425761"/>
    <s v="425761-Student Field trips"/>
    <s v="000000"/>
    <s v="KUST - General"/>
    <n v="847001"/>
    <s v="FA179-Opex Expense"/>
    <n v="200179"/>
    <x v="353"/>
    <s v="425761.Student Field trips-Number of Students UG-Month"/>
    <m/>
    <n v="300"/>
    <n v="2500"/>
    <s v="Student Field trips-Number Student Phd-Number"/>
    <n v="750000"/>
    <s v="Strategic New Initiative"/>
    <s v="Recurring"/>
    <s v="Align academic programs with the local and global labor market needs"/>
  </r>
  <r>
    <s v="Academic"/>
    <s v="No Applicable"/>
    <s v="College of Arts &amp; Science"/>
    <n v="847"/>
    <n v="8470440"/>
    <s v="KUST - Humanities &amp; Social Sciences"/>
    <n v="1"/>
    <n v="425770"/>
    <s v="425770-Academic Missions - Combined expenses"/>
    <s v="000000"/>
    <s v="KUST - General"/>
    <n v="847001"/>
    <s v="FA179-Opex Expense"/>
    <n v="200179"/>
    <x v="354"/>
    <s v="425770.Academic Missions - Combined expenses-Number of Conference-Number"/>
    <m/>
    <n v="15"/>
    <n v="20000"/>
    <s v="Academic Missions - Combined expenses-Number of Conference-Number"/>
    <n v="300000"/>
    <s v="Regular operations"/>
    <s v="Recurring"/>
    <s v="Align academic programs with the local and global labor market needs"/>
  </r>
  <r>
    <s v="IT"/>
    <s v="Director, Technology Development"/>
    <s v="College of Arts &amp; Science"/>
    <n v="847"/>
    <n v="8470440"/>
    <s v="KUST - Humanities &amp; Social Sciences"/>
    <n v="1"/>
    <n v="426610"/>
    <s v="426610-Computer software licenses"/>
    <s v="000000"/>
    <s v="KUST - General"/>
    <n v="847001"/>
    <s v="FA179-Opex Expense"/>
    <n v="200179"/>
    <x v="355"/>
    <s v="426610.Computer software licenses-Software License Renewal-service level agreement-Service"/>
    <m/>
    <n v="4"/>
    <n v="30000"/>
    <s v="Computer software licenses-Software License Renewal-number of licenses-Number"/>
    <n v="120000"/>
    <s v="Regular operations"/>
    <s v="Recurring"/>
    <s v="Align academic programs with the local and global labor market needs"/>
  </r>
  <r>
    <s v="Academic"/>
    <s v="No Applicable"/>
    <s v="College of Arts &amp; Science"/>
    <n v="847"/>
    <n v="8470440"/>
    <s v="KUST - Humanities &amp; Social Sciences"/>
    <n v="1"/>
    <n v="427710"/>
    <s v="427710-Subscriptions and membership fees: Trade organisations"/>
    <s v="000000"/>
    <s v="KUST - General"/>
    <n v="847001"/>
    <s v="FA179-Opex Expense"/>
    <n v="200179"/>
    <x v="356"/>
    <s v="427710.Subscriptions and membership fees: Trade organisations-Number  of Memberships-Number"/>
    <m/>
    <n v="15"/>
    <n v="1000"/>
    <s v="Subscriptions and membership fees: Trade organisations-Number  of Memberships-Number"/>
    <n v="15000"/>
    <s v="Regular operations"/>
    <s v="Recurring"/>
    <s v="Align academic programs with the local and global labor market needs"/>
  </r>
  <r>
    <s v="Academic "/>
    <s v="No Applicable"/>
    <s v="College of Arts &amp; Science"/>
    <n v="847"/>
    <n v="8470440"/>
    <s v="KUST - Humanities &amp; Social Sciences"/>
    <n v="1"/>
    <n v="428090"/>
    <s v="428090-Business Travel - Combined expenses"/>
    <s v="000000"/>
    <s v="KUST - General"/>
    <n v="847001"/>
    <s v="FA179-Opex Expense"/>
    <n v="200179"/>
    <x v="357"/>
    <s v="428090.Business Travel - Combined expenses-Number of Staff-Number"/>
    <m/>
    <n v="15"/>
    <n v="15000"/>
    <s v="Business Travel - Combined expenses-Number of Faculty-Number"/>
    <n v="225000"/>
    <s v="Regular operations"/>
    <s v="Recurring"/>
    <s v="Align academic programs with the local and global labor market needs"/>
  </r>
  <r>
    <s v="Communiction &amp; Marketing"/>
    <s v="Director, Marketing and Communication"/>
    <s v="College of Arts &amp; Science"/>
    <n v="847"/>
    <n v="8470440"/>
    <s v="KUST - Humanities &amp; Social Sciences"/>
    <n v="1"/>
    <n v="428640"/>
    <s v="428640-Events - Awards, prizes &amp; gifts"/>
    <s v="000000"/>
    <s v="KUST - General"/>
    <n v="847001"/>
    <s v="FA179-Opex Expense"/>
    <n v="200179"/>
    <x v="358"/>
    <s v="428640.Events - Awards, prizes &amp; gifts-Number of awards-count"/>
    <m/>
    <n v="20"/>
    <n v="5000"/>
    <s v="Events - Awards, prizes &amp; gifts-Number of awards-count"/>
    <n v="100000"/>
    <s v="Regular operations"/>
    <s v="Recurring"/>
    <s v="Align academic programs with the local and global labor market needs"/>
  </r>
  <r>
    <s v="Academic"/>
    <s v="No Applicable"/>
    <s v="College of Arts &amp; Science"/>
    <n v="847"/>
    <n v="8470440"/>
    <s v="KUST - Humanities &amp; Social Sciences"/>
    <n v="1"/>
    <n v="435340"/>
    <s v="435340-Text books and library books"/>
    <s v="000000"/>
    <s v="KUST - General"/>
    <n v="847001"/>
    <s v="FA179-Opex Expense"/>
    <n v="200179"/>
    <x v="359"/>
    <s v="435340.Text books and library books-Faculty-Number oF Faculty"/>
    <m/>
    <n v="4"/>
    <n v="30000"/>
    <s v="Text books and library books-Faculty-Number oF Faculty"/>
    <n v="120000"/>
    <s v="Regular operations"/>
    <s v="Recurring"/>
    <s v="Align academic programs with the local and global labor market needs"/>
  </r>
  <r>
    <s v="Academic"/>
    <s v="No Applicable"/>
    <s v="College of Arts &amp; Science"/>
    <n v="847"/>
    <n v="8470440"/>
    <s v="KUST - Humanities &amp; Social Sciences"/>
    <n v="1"/>
    <n v="435350"/>
    <s v="435350-Academic Publications"/>
    <s v="000000"/>
    <s v="KUST - General"/>
    <n v="847001"/>
    <s v="FA179-Opex Expense"/>
    <n v="200179"/>
    <x v="360"/>
    <s v="435350.Academic Publications-Number of Publications-Number"/>
    <m/>
    <n v="20"/>
    <n v="2000"/>
    <s v="Academic Publications-Number of Publications-Number"/>
    <n v="40000"/>
    <s v="Regular operations"/>
    <s v="Recurring"/>
    <s v="Align academic programs with the local and global labor market needs"/>
  </r>
  <r>
    <s v="Academic"/>
    <s v="No Applicable"/>
    <s v="College of Arts &amp; Science"/>
    <n v="847"/>
    <n v="8470440"/>
    <s v="KUST - Humanities &amp; Social Sciences"/>
    <n v="1"/>
    <n v="436600"/>
    <s v="436600-Training/Teaching equipment and other educational aid"/>
    <s v="000000"/>
    <s v="KUST - General"/>
    <n v="847001"/>
    <s v="FA179-Opex Expense"/>
    <n v="200179"/>
    <x v="361"/>
    <s v="436600.Training/Teaching equipment and other educational aid-Number of Faculty-Number"/>
    <m/>
    <n v="15"/>
    <n v="1500"/>
    <s v="Training/Teaching equipment and other educational aid-Number of Faculty-Number"/>
    <n v="22500"/>
    <s v="Regular operations"/>
    <s v="Recurring"/>
    <s v="Align academic programs with the local and global labor market needs"/>
  </r>
  <r>
    <s v="Communiction &amp; Marketing"/>
    <s v="Director, Marketing and Communication"/>
    <s v="College of Arts &amp; Science"/>
    <n v="847"/>
    <n v="8470445"/>
    <s v="KUST - Mathematics"/>
    <n v="1"/>
    <n v="425100"/>
    <s v="425100-Advertising"/>
    <s v="000000"/>
    <s v="KUST - General"/>
    <n v="847001"/>
    <s v="FA179-Opex Expense"/>
    <n v="200179"/>
    <x v="362"/>
    <s v="425100.Advertising Services (General)-International Publicity-count"/>
    <s v="count"/>
    <n v="1"/>
    <n v="100000"/>
    <s v="Advertisement/Multiplication"/>
    <n v="100000"/>
    <s v="KU Strategic New Initiative"/>
    <s v="Recurring"/>
    <s v="Recruit and retain high caliber faculty, researchers and staff"/>
  </r>
  <r>
    <s v="Student"/>
    <s v="No Applicable"/>
    <s v="College of Arts &amp; Science"/>
    <n v="847"/>
    <n v="8470445"/>
    <s v="KUST - Mathematics"/>
    <n v="1"/>
    <n v="425720"/>
    <s v="425720-Education-Outsourced training service"/>
    <s v="000000"/>
    <s v="KUST - General"/>
    <n v="847001"/>
    <s v="FA179-Opex Expense"/>
    <n v="200179"/>
    <x v="363"/>
    <s v="425720.Education-Outsourced training service-Activities-No of Activities"/>
    <s v="No of Activities"/>
    <n v="1"/>
    <n v="36730"/>
    <s v="Education outsource/Multiplication"/>
    <n v="36730"/>
    <s v="KU Regular operations"/>
    <s v="Recurring"/>
    <s v="Utilize state-of-the-art technologies and facilities in an optimal and efficient manner"/>
  </r>
  <r>
    <s v="Student"/>
    <s v="Director, Student Services"/>
    <s v="College of Arts &amp; Science"/>
    <n v="847"/>
    <n v="8470445"/>
    <s v="KUST - Mathematics"/>
    <n v="1"/>
    <n v="425760"/>
    <s v="425760-Student activities &amp; field trip expenses"/>
    <s v="000000"/>
    <s v="KUST - General"/>
    <n v="847001"/>
    <s v="FA179-Opex Expense"/>
    <n v="200179"/>
    <x v="364"/>
    <s v="425760.Student activities &amp; field trip expenses-Events-No of Events"/>
    <s v="No of Events"/>
    <n v="1"/>
    <n v="165000"/>
    <s v="Student Activity-Multiplication"/>
    <n v="165000"/>
    <s v="KU Strategic New Initiative"/>
    <s v="Recurring"/>
    <s v="Widen access to students with outstanding academic potential"/>
  </r>
  <r>
    <s v="Student"/>
    <s v="No Applicable"/>
    <s v="College of Arts &amp; Science"/>
    <n v="847"/>
    <n v="8470445"/>
    <s v="KUST - Mathematics"/>
    <n v="1"/>
    <n v="425763"/>
    <s v="425763-Student Project Expenses"/>
    <s v="000000"/>
    <s v="KUST - General"/>
    <n v="847001"/>
    <s v="FA179-Opex Expense"/>
    <n v="200179"/>
    <x v="365"/>
    <s v="425763.Student Project Expenses-Number of Students UG-Month"/>
    <s v="Month"/>
    <n v="30"/>
    <n v="500"/>
    <s v="Student Projects/Multiplication"/>
    <n v="15000"/>
    <s v="KU Regular operations"/>
    <s v="Recurring"/>
    <s v="Widen access to students with outstanding academic potential"/>
  </r>
  <r>
    <s v="Academic"/>
    <s v="No Applicable"/>
    <s v="College of Arts &amp; Science"/>
    <n v="847"/>
    <n v="8470445"/>
    <s v="KUST - Mathematics"/>
    <n v="1"/>
    <n v="425770"/>
    <s v="425770-Academic Missions - Combined expenses"/>
    <s v="000000"/>
    <s v="KUST - General"/>
    <n v="847001"/>
    <s v="FA179-Opex Expense"/>
    <n v="200179"/>
    <x v="366"/>
    <s v="425770.Academic Missions - Combined expenses-Number of Conference-Number"/>
    <s v="Number"/>
    <n v="40"/>
    <n v="15000"/>
    <s v="Academic Mission/Multiplication"/>
    <n v="600000"/>
    <s v="KU Regular operations"/>
    <s v="Recurring"/>
    <s v="Align academic programs with the local and global labor market needs"/>
  </r>
  <r>
    <s v="IT"/>
    <s v="Director, Technology Development"/>
    <s v="College of Arts &amp; Science"/>
    <n v="847"/>
    <n v="8470445"/>
    <s v="KUST - Mathematics"/>
    <n v="1"/>
    <n v="426610"/>
    <s v="426610-Computer software licenses"/>
    <s v="000000"/>
    <s v="KUST - General"/>
    <n v="847001"/>
    <s v="FA179-Opex Expense"/>
    <n v="200179"/>
    <x v="367"/>
    <s v="426610.Computer software licenses-Software License Renewal-number of licenses-Number"/>
    <s v="Number"/>
    <n v="1"/>
    <n v="25000"/>
    <s v="license per department"/>
    <n v="25000"/>
    <s v="KU Regular operations"/>
    <s v="Recurring"/>
    <s v="Align academic programs with the local and global labor market needs"/>
  </r>
  <r>
    <s v="Academic"/>
    <s v="No Applicable"/>
    <s v="College of Arts &amp; Science"/>
    <n v="847"/>
    <n v="8470445"/>
    <s v="KUST - Mathematics"/>
    <n v="1"/>
    <n v="435350"/>
    <s v="435350-Academic Publications"/>
    <s v="000000"/>
    <s v="KUST - General"/>
    <n v="847001"/>
    <s v="FA179-Opex Expense"/>
    <n v="200179"/>
    <x v="368"/>
    <s v="435350.Academic Publications-Number of Publications-Number"/>
    <s v="Number"/>
    <n v="55"/>
    <n v="16000"/>
    <s v="expected number of Q1 departmental publications times unit rate of 16000 AED"/>
    <n v="880000"/>
    <s v="KU Regular operations"/>
    <s v="Recurring"/>
    <s v="Increase publications in journals with high impact factor"/>
  </r>
  <r>
    <s v="Academic"/>
    <s v="No Applicable"/>
    <s v="College of Arts &amp; Science"/>
    <n v="847"/>
    <n v="8470445"/>
    <s v="KUST - Mathematics"/>
    <n v="1"/>
    <n v="427710"/>
    <s v="427710-Subscriptions and membership fees: Trade organisations"/>
    <s v="000000"/>
    <s v="KUST - General"/>
    <n v="847001"/>
    <s v="FA179-Opex Expense"/>
    <n v="200179"/>
    <x v="369"/>
    <s v="427710.Subscriptions and membership fees: Trade organisations-Number  of Memberships-Number"/>
    <s v="Number"/>
    <n v="1"/>
    <n v="13700"/>
    <s v="Fixed part plus a rate for each deparrment faculty 1282 + 48*51 = 3730 USD (for 2025)"/>
    <n v="13700"/>
    <s v="KU Regular operations"/>
    <s v="Recurring"/>
    <s v="Build partnerships with local and international universities"/>
  </r>
  <r>
    <s v="Other support"/>
    <s v="Director, Human Resources"/>
    <s v="College of Arts &amp; Science"/>
    <n v="847"/>
    <n v="8470445"/>
    <s v="KUST - Mathematics"/>
    <n v="1"/>
    <n v="425900"/>
    <s v="425900-Entertainment and hospitality"/>
    <s v="000000"/>
    <s v="KUST - General"/>
    <n v="847001"/>
    <s v="FA179-Opex Expense"/>
    <n v="200179"/>
    <x v="370"/>
    <s v="425900.Entertainment and hospitality-1. No of events/workshops planned-count"/>
    <s v="count"/>
    <n v="12"/>
    <n v="10000"/>
    <s v="Monthly seminar and guest"/>
    <n v="120000"/>
    <s v="KU Regular operations"/>
    <s v="Recurring"/>
    <s v="Build partnerships with local and international universities"/>
  </r>
  <r>
    <s v="Academic"/>
    <s v="No Applicable"/>
    <s v="College of Arts &amp; Science"/>
    <n v="847"/>
    <n v="8470445"/>
    <s v="KUST - Mathematics"/>
    <n v="1"/>
    <n v="420550"/>
    <s v="420550-Academic Advisory Service"/>
    <s v="000000"/>
    <s v="KUST - General"/>
    <n v="847001"/>
    <s v="FA179-Opex Expense"/>
    <n v="200179"/>
    <x v="371"/>
    <s v="420550.Academic Advisory Service-Number of Services-Number"/>
    <s v="Number"/>
    <n v="1"/>
    <n v="200000"/>
    <s v=" return trips and local expenses for each of the advisory board members (40000AED each)"/>
    <n v="200000"/>
    <s v="KU Regular operations"/>
    <s v="Recurring"/>
    <s v="Build partnerships with local and international universities"/>
  </r>
  <r>
    <s v="Academic"/>
    <s v="Director, Research Laboratories"/>
    <s v="College of Arts &amp; Science"/>
    <n v="847"/>
    <n v="8470445"/>
    <s v="KUST - Mathematics"/>
    <n v="1"/>
    <n v="435508"/>
    <s v="435508-Laboratory - Scientific"/>
    <s v="000000"/>
    <s v="KUST- Sas Al Nakhl Campus"/>
    <n v="847001"/>
    <s v="FA179-Opex Expense"/>
    <n v="200179"/>
    <x v="372"/>
    <s v="435508.Laboratory - Scientific-Number of Students-Number"/>
    <s v="Number"/>
    <n v="10"/>
    <n v="600000"/>
    <s v="expected 10 more PhD students"/>
    <n v="6000000"/>
    <s v="KU Strategic New Initiative"/>
    <s v="Non-recurring"/>
    <s v="Utilize state-of-the-art technologies and facilities in an optimal and efficient manner"/>
  </r>
  <r>
    <s v="Academic"/>
    <s v="No Applicable"/>
    <s v="College of Arts &amp; Science"/>
    <n v="847"/>
    <n v="8470450"/>
    <s v="KUST - Earth Science"/>
    <n v="1"/>
    <n v="425761"/>
    <s v="425761-Student Field trips"/>
    <s v="000000"/>
    <s v="KUST - General"/>
    <n v="847001"/>
    <s v="FA179-Opex Expense"/>
    <n v="200179"/>
    <x v="373"/>
    <s v="425761.Student Field trips-Number of Students UG-Month"/>
    <s v="Month"/>
    <n v="1"/>
    <n v="600000"/>
    <s v="Variable according to the nature of the field trip. Local overnigth (2500 AED per student); international (25000 per student); daily (1000 AED for transportation). Calculated taking into account the number of UG, MS, and PhD students."/>
    <n v="600000"/>
    <s v="KU Regular operations"/>
    <s v="Recurring"/>
    <s v="Align academic programs with the local and global labor market needs"/>
  </r>
  <r>
    <s v="Academic"/>
    <s v="No Applicable"/>
    <s v="College of Arts &amp; Science"/>
    <n v="847"/>
    <n v="8470450"/>
    <s v="KUST - Earth Science"/>
    <n v="1"/>
    <n v="425770"/>
    <s v="425770-Academic Missions - Combined expenses"/>
    <s v="000000"/>
    <s v="KUST - General"/>
    <n v="847001"/>
    <s v="FA179-Opex Expense"/>
    <n v="200179"/>
    <x v="374"/>
    <s v="425770.Academic Missions - Combined expenses-Number of Conference-Number"/>
    <s v="Number"/>
    <n v="14"/>
    <n v="15000"/>
    <s v="1 conference per faculty at 15000 AED"/>
    <n v="210000"/>
    <s v="KU Regular operations"/>
    <s v="Recurring"/>
    <s v="Recruit and retain high caliber faculty, researchers and staff"/>
  </r>
  <r>
    <s v="IT"/>
    <s v="Director, Technology Development"/>
    <s v="College of Arts &amp; Science"/>
    <n v="847"/>
    <n v="8470450"/>
    <s v="KUST - Earth Science"/>
    <n v="1"/>
    <n v="426610"/>
    <s v="426610-Computer software licenses"/>
    <s v="000000"/>
    <s v="KUST - General"/>
    <n v="847001"/>
    <s v="FA179-Opex Expense"/>
    <n v="200179"/>
    <x v="375"/>
    <s v="426610.Computer software licenses-Software License Renewal-number of licenses-Number"/>
    <s v="Number"/>
    <n v="1"/>
    <n v="81000"/>
    <s v="Total cost for licences renewal for various software"/>
    <n v="81000"/>
    <s v="KU Regular operations"/>
    <s v="Recurring"/>
    <s v="Utilize state-of-the-art technologies and facilities in an optimal and efficient manner"/>
  </r>
  <r>
    <s v="Academic"/>
    <s v="No Applicable"/>
    <s v="College of Arts &amp; Science"/>
    <n v="847"/>
    <n v="8470450"/>
    <s v="KUST - Earth Science"/>
    <n v="1"/>
    <n v="435508"/>
    <s v="435508-Laboratory - Scientific"/>
    <s v="000000"/>
    <s v="KUST - General"/>
    <n v="847001"/>
    <s v="FA179-Opex Expense"/>
    <n v="200179"/>
    <x v="376"/>
    <s v="435508.Laboratory - Scientific-Number of Faculty-Number"/>
    <s v="Number"/>
    <n v="1"/>
    <n v="320000"/>
    <s v="Maintenance and Consumables for department equipment and teaching labs needed for UG and PG courses, and undergraduate research "/>
    <n v="320000"/>
    <s v="KU Regular operations"/>
    <s v="Recurring"/>
    <s v="Utilize state-of-the-art technologies and facilities in an optimal and efficient manner"/>
  </r>
  <r>
    <s v="Academic"/>
    <s v="Director, Research Laboratories"/>
    <s v="College of Arts &amp; Science"/>
    <n v="847"/>
    <n v="8470450"/>
    <s v="KUST - Earth Science"/>
    <n v="1"/>
    <n v="435350"/>
    <s v="435350-Academic Publications"/>
    <s v="000000"/>
    <s v="KUST - General"/>
    <n v="847001"/>
    <s v="FA179-Opex Expense"/>
    <n v="200179"/>
    <x v="377"/>
    <s v="435350.Academic Publications-Number of Publications-Number"/>
    <s v="Number"/>
    <n v="14"/>
    <n v="10000"/>
    <s v="Cost of publication in Q1 journals (c. 10000 per faculty)"/>
    <n v="140000"/>
    <s v="KU Regular operations"/>
    <s v="Recurring"/>
    <s v="Recruit and retain high caliber faculty, researchers and staff"/>
  </r>
  <r>
    <s v="Facilities "/>
    <s v="Director, Research Laboratories"/>
    <s v="College of Arts &amp; Science"/>
    <n v="847"/>
    <n v="8470450"/>
    <s v="KUST - Earth Science"/>
    <n v="1"/>
    <n v="492310"/>
    <s v="492310-Hardware &amp; peripherals"/>
    <s v="000000"/>
    <s v="KUST - General"/>
    <n v="847001"/>
    <s v="FA180-Capex Expense"/>
    <n v="300180"/>
    <x v="378"/>
    <s v="492310.Hardware &amp; peripherals-number of hardware devices-Month"/>
    <s v="Month"/>
    <n v="5"/>
    <n v="20000"/>
    <s v="New Computers for (3229) Earth Sciences lab"/>
    <n v="100000"/>
    <s v="KU Regular operations"/>
    <s v="Recurring"/>
    <s v="Utilize state-of-the-art technologies and facilities in an optimal and efficient manner"/>
  </r>
  <r>
    <s v="Student"/>
    <s v="Director, Student Services"/>
    <s v="College of Arts &amp; Science"/>
    <n v="847"/>
    <n v="8470455"/>
    <s v="KUST – Biology"/>
    <n v="1"/>
    <n v="425760"/>
    <s v="425760-Student activities &amp; field trip expenses"/>
    <s v="000000"/>
    <s v="KUST - General"/>
    <n v="847001"/>
    <s v="FA179-Opex Expense"/>
    <n v="200179"/>
    <x v="379"/>
    <s v="425760.Student activities &amp; field trip expenses-Students-No of Students"/>
    <s v="No of Students"/>
    <n v="101"/>
    <n v="150"/>
    <s v="Student activities &amp; field trip expenses/cost per student"/>
    <n v="15150"/>
    <s v="KU Regular operations"/>
    <s v="Recurring"/>
    <s v="Develop the university innovation and entrepreneurship system"/>
  </r>
  <r>
    <s v="Academic"/>
    <s v="No Applicable"/>
    <s v="College of Arts &amp; Science"/>
    <n v="847"/>
    <n v="8470455"/>
    <s v="KUST – Biology"/>
    <n v="1"/>
    <n v="425770"/>
    <s v="425770-Academic Missions - Combined expenses"/>
    <s v="000000"/>
    <s v="KUST - General"/>
    <n v="847001"/>
    <s v="FA179-Opex Expense"/>
    <n v="200179"/>
    <x v="380"/>
    <s v="425770.Academic Missions - Combined expenses-Number of Conference-Number"/>
    <s v="Number"/>
    <n v="10"/>
    <n v="16000"/>
    <s v="Conference Participation/Cost per faculty"/>
    <n v="160000"/>
    <s v="KU Regular operations"/>
    <s v="Recurring"/>
    <s v="Recruit and retain high caliber faculty, researchers and staff"/>
  </r>
  <r>
    <s v="Other support"/>
    <s v="Director, Human Resources"/>
    <s v="College of Arts &amp; Science"/>
    <n v="847"/>
    <n v="8470455"/>
    <s v="KUST – Biology"/>
    <n v="1"/>
    <n v="425900"/>
    <s v="425900-Entertainment and hospitality"/>
    <s v="000000"/>
    <s v="KUST - General"/>
    <n v="847001"/>
    <s v="FA179-Opex Expense"/>
    <n v="200179"/>
    <x v="381"/>
    <s v="425900.Entertainment and hospitality-1. No of events/workshops planned-count"/>
    <s v="count"/>
    <n v="3"/>
    <n v="15000"/>
    <s v="Departmental &amp; Advisory Board meetings"/>
    <n v="45000"/>
    <s v="KU Strategic New Initiative"/>
    <s v="Recurring"/>
    <s v="Align academic programs with the local and global labor market needs"/>
  </r>
  <r>
    <s v="IT"/>
    <s v="Director, Technology Development"/>
    <s v="College of Arts &amp; Science"/>
    <n v="847"/>
    <n v="8470455"/>
    <s v="KUST – Biology"/>
    <n v="1"/>
    <n v="426610"/>
    <s v="426610-Computer software licenses"/>
    <s v="000000"/>
    <s v="KUST - General"/>
    <n v="847001"/>
    <s v="FA179-Opex Expense"/>
    <n v="200179"/>
    <x v="382"/>
    <s v="426610.Computer software licenses-Software License Renewal-duration of license maintenance/support period-Month"/>
    <s v="Month"/>
    <n v="10"/>
    <n v="5000"/>
    <s v="ChemDraw &amp; Prism GraphPad"/>
    <n v="50000"/>
    <s v="KU Regular operations"/>
    <s v="Recurring"/>
    <s v="Increase publications in journals with high impact factor"/>
  </r>
  <r>
    <s v="Academic "/>
    <s v="No Applicable"/>
    <s v="College of Arts &amp; Science"/>
    <n v="847"/>
    <n v="8470455"/>
    <s v="KUST – Biology"/>
    <n v="1"/>
    <n v="428090"/>
    <s v="428090-Business Travel - Combined expenses"/>
    <s v="000000"/>
    <s v="KUST - General"/>
    <n v="847001"/>
    <s v="FA179-Opex Expense"/>
    <n v="200179"/>
    <x v="383"/>
    <s v="428090.Business Travel - Combined expenses-Number of Staff-Number"/>
    <s v="Number"/>
    <n v="3"/>
    <n v="25000"/>
    <s v="Advisory Board meetings"/>
    <n v="75000"/>
    <s v="KU Strategic New Initiative"/>
    <s v="Recurring"/>
    <s v="Align academic programs with the local and global labor market needs"/>
  </r>
  <r>
    <s v="Communiction &amp; Marketing"/>
    <s v="Director, Marketing and Communication"/>
    <s v="College of Arts &amp; Science"/>
    <n v="847"/>
    <n v="8470455"/>
    <s v="KUST – Biology"/>
    <n v="1"/>
    <n v="428640"/>
    <s v="428640-Events - Awards, prizes &amp; gifts"/>
    <s v="000000"/>
    <s v="KUST - General"/>
    <n v="847001"/>
    <s v="FA179-Opex Expense"/>
    <n v="200179"/>
    <x v="384"/>
    <s v="428640.Events - Awards, prizes &amp; gifts-Number of Prizes-count"/>
    <s v="count"/>
    <n v="7"/>
    <n v="2500"/>
    <s v="Student Competitions"/>
    <n v="17500"/>
    <s v="KU Strategic New Initiative"/>
    <s v="Recurring"/>
    <s v="Widen access to students with outstanding academic potential"/>
  </r>
  <r>
    <s v="Academic"/>
    <s v="No Applicable"/>
    <s v="College of Arts &amp; Science"/>
    <n v="847"/>
    <n v="8470455"/>
    <s v="KUST – Biology"/>
    <n v="1"/>
    <n v="432209"/>
    <s v="432209-Laboratory equipment"/>
    <s v="000000"/>
    <s v="KUST - General"/>
    <n v="847001"/>
    <s v="FA179-Opex Expense"/>
    <n v="200179"/>
    <x v="385"/>
    <s v="432209.Laboratory equipment-Number of Students-Number"/>
    <s v="Number"/>
    <n v="2"/>
    <n v="300000"/>
    <s v="Operational, maintenance &amp; spare parts for LCMSMS &amp; Oxford Nanopore sequencers"/>
    <n v="600000"/>
    <s v="KU Regular operations"/>
    <s v="Recurring"/>
    <s v="Develop the university innovation and entrepreneurship system"/>
  </r>
  <r>
    <s v="Academic"/>
    <s v="No Applicable"/>
    <s v="College of Arts &amp; Science"/>
    <n v="847"/>
    <n v="8470455"/>
    <s v="KUST – Biology"/>
    <n v="1"/>
    <n v="435350"/>
    <s v="435350-Academic Publications"/>
    <s v="000000"/>
    <s v="KUST - General"/>
    <n v="847001"/>
    <s v="FA179-Opex Expense"/>
    <n v="200179"/>
    <x v="386"/>
    <s v="435350.Academic Publications-Number of Publications-Number"/>
    <s v="Number"/>
    <n v="20"/>
    <n v="10000"/>
    <s v="Open Access Publication/Cost per publication"/>
    <n v="200000"/>
    <s v="KU Regular operations"/>
    <s v="Recurring"/>
    <s v="Increase publications in journals with high impact factor"/>
  </r>
  <r>
    <s v="Academic"/>
    <s v="Director, Research Laboratories"/>
    <s v="College of Arts &amp; Science"/>
    <n v="847"/>
    <n v="8470455"/>
    <s v="KUST – Biology"/>
    <n v="1"/>
    <n v="435508"/>
    <s v="435508-Laboratory - Scientific"/>
    <s v="000000"/>
    <s v="KUST - General"/>
    <n v="847001"/>
    <s v="FA179-Opex Expense"/>
    <n v="200179"/>
    <x v="387"/>
    <s v="435508.Laboratory - Scientific-Number of Students-Number"/>
    <s v="Number"/>
    <n v="102"/>
    <n v="11000"/>
    <s v="Chemicals and consumables for teaching lab"/>
    <n v="1122000"/>
    <s v="KU Regular operations"/>
    <s v="Recurring"/>
    <s v="Align academic programs with the local and global labor market needs"/>
  </r>
  <r>
    <s v="Other support"/>
    <s v="No Applicable"/>
    <s v="College of Arts &amp; Science"/>
    <n v="847"/>
    <n v="8470455"/>
    <s v="KUST – Biology"/>
    <n v="1"/>
    <n v="436110"/>
    <s v="436110-Printing supplies"/>
    <s v="000000"/>
    <s v="KUST - General"/>
    <n v="847001"/>
    <s v="FA179-Opex Expense"/>
    <n v="200179"/>
    <x v="388"/>
    <s v="436110.Printing supplies-Number of Faculty-Number"/>
    <s v="Number"/>
    <n v="10"/>
    <n v="1000"/>
    <s v="Printers and printer cartridges"/>
    <n v="10000"/>
    <s v="KU Regular operations"/>
    <s v="Recurring"/>
    <s v="Increase publications in journals with high impact factor"/>
  </r>
  <r>
    <s v="Facilities "/>
    <s v="Director, Research Laboratories"/>
    <s v="College of Arts &amp; Science"/>
    <n v="847"/>
    <n v="8470455"/>
    <s v="KUST – Biology"/>
    <n v="1"/>
    <n v="492316"/>
    <s v="492316-Laboratory equipment"/>
    <s v="000000"/>
    <s v="KUST - General"/>
    <n v="847001"/>
    <s v="FA180-Capex Expense"/>
    <n v="300180"/>
    <x v="389"/>
    <s v="492316.Laboratory equipment-Number of Faculty-Number"/>
    <s v="Number"/>
    <n v="10"/>
    <n v="300000"/>
    <s v="Capital instruments for teaching and research"/>
    <n v="3000000"/>
    <s v="KU Regular operations"/>
    <s v="Non-recurring"/>
    <s v="Develop the university innovation and entrepreneurship system"/>
  </r>
  <r>
    <s v="HR"/>
    <s v="Manager, Business Development"/>
    <s v="Executive Vice President Office"/>
    <n v="847"/>
    <n v="8470130"/>
    <s v="KUST - Institutional Research &amp; Planning"/>
    <n v="1"/>
    <n v="421000"/>
    <s v="421000-Management consultancy"/>
    <s v="000000"/>
    <s v="KUST - General"/>
    <n v="847001"/>
    <s v="FA179-Opex Expense"/>
    <n v="200179"/>
    <x v="390"/>
    <s v="421000.Management consultancy-Number of contracted studies-count"/>
    <s v="count"/>
    <n v="1"/>
    <n v="540000"/>
    <s v="3 Consultant @AED2000 for 3 months engagement"/>
    <n v="540000"/>
    <s v="KU Strategic New Initiative"/>
    <s v="Recurring"/>
    <s v="Increase publications in journals with high impact factor"/>
  </r>
  <r>
    <s v="IT"/>
    <s v="Director, Technology Development"/>
    <s v="Executive Vice President Office"/>
    <n v="847"/>
    <n v="8470130"/>
    <s v="KUST - Institutional Research &amp; Planning"/>
    <n v="1"/>
    <n v="426610"/>
    <s v="426610-Computer software licenses"/>
    <s v="000000"/>
    <s v="KUST - General"/>
    <n v="847001"/>
    <s v="FA179-Opex Expense"/>
    <n v="200179"/>
    <x v="391"/>
    <s v="426610.Computer software licenses-Software License Renewal-number of licenses-Number"/>
    <s v="Number"/>
    <n v="8"/>
    <n v="22500"/>
    <s v="Academic Quality Assurance Software Product @$150k"/>
    <n v="180000"/>
    <s v="KU Strategic New Initiative"/>
    <s v="Recurring"/>
    <s v="Build partnerships with local and international universities"/>
  </r>
  <r>
    <s v="Academic "/>
    <s v="No Applicable"/>
    <s v="Executive Vice President Office"/>
    <n v="847"/>
    <n v="8470130"/>
    <s v="KUST - Institutional Research &amp; Planning"/>
    <n v="1"/>
    <n v="428090"/>
    <s v="428090-Business Travel - Combined expenses"/>
    <s v="000000"/>
    <s v="KUST - General"/>
    <n v="847001"/>
    <s v="FA179-Opex Expense"/>
    <n v="200179"/>
    <x v="392"/>
    <s v="428090.Business Travel - Combined expenses-Number of Staff-Number"/>
    <s v="Number"/>
    <n v="1"/>
    <n v="551250"/>
    <s v="Attending 8 summits/conferences for the staff @AED1500 for 8 days + tickets@AED15,000"/>
    <n v="551250"/>
    <s v="KU Strategic New Initiative"/>
    <s v="Recurring"/>
    <s v="Develop a new learning outcomes assessment framework at the course, programs, and institutional levels"/>
  </r>
  <r>
    <s v="Communiction &amp; Marketing"/>
    <s v="Director, Marketing and Communication"/>
    <s v="Executive Vice President Office"/>
    <n v="847"/>
    <n v="8470140"/>
    <s v="KUST - Communication"/>
    <n v="1"/>
    <n v="425100"/>
    <s v="425100-Advertising"/>
    <s v="000000"/>
    <s v="KUST - General"/>
    <n v="847001"/>
    <s v="FA179-Opex Expense"/>
    <n v="200179"/>
    <x v="393"/>
    <s v="425100.Advertising Services (General)-Digital Marketing Campaigns-count"/>
    <s v="count"/>
    <n v="4"/>
    <n v="500000"/>
    <s v="The total spends of this account is U6:U14ona monthly basisi operations which is varies from  (general DM campaign, news content preperation, magazine content development, proffesional photography a dn videography for the uni, daily web content updates including video, photos, infographic)."/>
    <n v="2000000"/>
    <s v="KU Regular operations"/>
    <s v="Recurring"/>
    <s v="Enhance the communication plan and outreach activities"/>
  </r>
  <r>
    <s v="Communiction &amp; Marketing"/>
    <s v="Director, Marketing and Communication"/>
    <s v="Executive Vice President Office"/>
    <n v="847"/>
    <n v="8470140"/>
    <s v="KUST - Communication"/>
    <n v="1"/>
    <n v="425100"/>
    <s v="425100-Advertising"/>
    <s v="000000"/>
    <s v="KUST - General"/>
    <n v="847001"/>
    <s v="FA179-Opex Expense"/>
    <n v="200179"/>
    <x v="393"/>
    <s v="425100.Advertising Services (General)-Website Maintenance -count"/>
    <s v="count"/>
    <n v="2"/>
    <n v="580000"/>
    <s v="This includes updating content in the website, creating pages, creating websits and new system."/>
    <n v="1160000"/>
    <s v="KU Regular operations"/>
    <s v="Recurring"/>
    <s v="Enhance the communication plan and outreach activities"/>
  </r>
  <r>
    <s v="Communiction &amp; Marketing"/>
    <s v="Director, Marketing and Communication"/>
    <s v="Executive Vice President Office"/>
    <n v="847"/>
    <n v="8470140"/>
    <s v="KUST - Communication"/>
    <n v="1"/>
    <n v="425100"/>
    <s v="425100-Advertising"/>
    <s v="000000"/>
    <s v="KUST - General"/>
    <n v="847001"/>
    <s v="FA179-Opex Expense"/>
    <n v="200179"/>
    <x v="393"/>
    <s v="425100.Advertising Services (General)-Animation Videos -count"/>
    <s v="count"/>
    <n v="8"/>
    <n v="160000"/>
    <s v="This includes Storyboard, Style frame, Music, Editing "/>
    <n v="1280000"/>
    <s v="KU Regular operations"/>
    <s v="Recurring"/>
    <s v="Enhance the communication plan and outreach activities"/>
  </r>
  <r>
    <s v="Communiction &amp; Marketing"/>
    <s v="Director, Marketing and Communication"/>
    <s v="Executive Vice President Office"/>
    <n v="847"/>
    <n v="8470140"/>
    <s v="KUST - Communication"/>
    <n v="1"/>
    <n v="425100"/>
    <s v="425100-Advertising"/>
    <s v="000000"/>
    <s v="KUST - General"/>
    <n v="847001"/>
    <s v="FA179-Opex Expense"/>
    <n v="200179"/>
    <x v="393"/>
    <s v="425100.Advertising Services (General)-Search Engine Optimization (SEO)-count"/>
    <s v="count"/>
    <n v="2"/>
    <n v="393320"/>
    <s v="This is to improve the search of rhe university ranking on the google search engen"/>
    <n v="786640"/>
    <s v="KU Regular operations"/>
    <s v="Recurring"/>
    <s v="Enhance the communication plan and outreach activities"/>
  </r>
  <r>
    <s v="Communiction &amp; Marketing"/>
    <s v="Director, Marketing and Communication"/>
    <s v="Executive Vice President Office"/>
    <n v="847"/>
    <n v="8470140"/>
    <s v="KUST - Communication"/>
    <n v="1"/>
    <n v="425100"/>
    <s v="425100-Advertising"/>
    <s v="000000"/>
    <s v="KUST - General"/>
    <n v="847001"/>
    <s v="FA179-Opex Expense"/>
    <n v="200179"/>
    <x v="393"/>
    <s v="425100.Advertising Services (General)-Video production-second "/>
    <s v="second "/>
    <n v="6"/>
    <n v="100500"/>
    <s v="Creative concept, pre production, 3-4 days shoot, filming crew &amp; equipment, "/>
    <n v="603000"/>
    <s v="KU Regular operations"/>
    <s v="Recurring"/>
    <s v="Enhance the communication plan and outreach activities"/>
  </r>
  <r>
    <s v="Communiction &amp; Marketing"/>
    <s v="Director, Marketing and Communication"/>
    <s v="Executive Vice President Office"/>
    <n v="847"/>
    <n v="8470140"/>
    <s v="KUST - Communication"/>
    <n v="1"/>
    <n v="425100"/>
    <s v="425100-Advertising"/>
    <s v="000000"/>
    <s v="KUST - General"/>
    <n v="847001"/>
    <s v="FA179-Opex Expense"/>
    <n v="200179"/>
    <x v="393"/>
    <s v="425100.Advertising Services (General)-Corporate Photoshoot-count"/>
    <s v="count"/>
    <n v="4"/>
    <n v="500000"/>
    <s v="This includes Photoshooting secions for Facultty &amp; Staff"/>
    <n v="2000000"/>
    <s v="KU Regular operations"/>
    <s v="Recurring"/>
    <s v="Enhance the communication plan and outreach activities"/>
  </r>
  <r>
    <s v="Communiction &amp; Marketing"/>
    <s v="Director, Marketing and Communication"/>
    <s v="Executive Vice President Office"/>
    <n v="847"/>
    <n v="8470140"/>
    <s v="KUST - Communication"/>
    <n v="1"/>
    <n v="425100"/>
    <s v="425100-Advertising"/>
    <s v="000000"/>
    <s v="KUST - General"/>
    <n v="847001"/>
    <s v="FA179-Opex Expense"/>
    <n v="200179"/>
    <x v="393"/>
    <s v="425100.Advertising Services (General)-International Publicity-count"/>
    <s v="count"/>
    <n v="4"/>
    <n v="800000"/>
    <s v="This includes branding for the university rank"/>
    <n v="3200000"/>
    <s v="KU Regular operations"/>
    <s v="Recurring"/>
    <s v="Enhance the communication plan and outreach activities"/>
  </r>
  <r>
    <s v="Communiction &amp; Marketing"/>
    <s v="Director, Marketing and Communication"/>
    <s v="Executive Vice President Office"/>
    <n v="847"/>
    <n v="8470140"/>
    <s v="KUST - Communication"/>
    <n v="1"/>
    <n v="425100"/>
    <s v="425100-Advertising"/>
    <s v="000000"/>
    <s v="KUST - General"/>
    <n v="847001"/>
    <s v="FA179-Opex Expense"/>
    <n v="200179"/>
    <x v="393"/>
    <s v="425100.Advertising Services (General)-Branding -count"/>
    <s v="count"/>
    <n v="8"/>
    <n v="500000"/>
    <s v="This includes monthly basisi operations which is varies from (TV commersials, radio, Social Media)"/>
    <n v="4000000"/>
    <s v="KU Regular operations"/>
    <s v="Recurring"/>
    <s v="Enhance the communication plan and outreach activities"/>
  </r>
  <r>
    <s v="Communiction &amp; Marketing"/>
    <s v="Director, Marketing and Communication"/>
    <s v="Executive Vice President Office"/>
    <n v="847"/>
    <n v="8470140"/>
    <s v="KUST - Communication"/>
    <n v="1"/>
    <n v="425100"/>
    <s v="425100-Advertising"/>
    <s v="000000"/>
    <s v="KUST - General"/>
    <n v="847001"/>
    <s v="FA179-Opex Expense"/>
    <n v="200179"/>
    <x v="393"/>
    <s v="425100.Advertising Services (General)-Digital advertizing (Radio, TV, Social Media)  -count"/>
    <s v="count"/>
    <n v="14"/>
    <n v="100000"/>
    <s v="This includes monthly basisi operations which is varies from (TV commersials, radio, Social Media)"/>
    <n v="1400000"/>
    <s v="KU Regular operations"/>
    <s v="Recurring"/>
    <s v="Enhance the communication plan and outreach activities"/>
  </r>
  <r>
    <s v="Communiction &amp; Marketing"/>
    <s v="Director, Marketing and Communication"/>
    <s v="Executive Vice President Office"/>
    <n v="847"/>
    <n v="8470140"/>
    <s v="KUST - Communication"/>
    <n v="1"/>
    <n v="425510"/>
    <s v="425510-Conferences, seminars and exhibitions and other events: - Local Events"/>
    <s v="000000"/>
    <s v="KUST - General"/>
    <n v="847001"/>
    <s v="FA179-Opex Expense"/>
    <n v="200179"/>
    <x v="394"/>
    <s v="425510.Conferences, seminars and exhibitions and other events: - Local Events-Conferences-Number of Conferences"/>
    <s v="Number of Conferences"/>
    <n v="1"/>
    <n v="220000"/>
    <s v="This includes the major conferences partisipation such as (WFES, AQDAR,)"/>
    <n v="220000"/>
    <s v="KU Regular operations"/>
    <s v="Recurring"/>
    <s v="Enhance the communication plan and outreach activities"/>
  </r>
  <r>
    <s v="Communiction &amp; Marketing"/>
    <s v="Director, Marketing and Communication"/>
    <s v="Executive Vice President Office"/>
    <n v="847"/>
    <n v="8470140"/>
    <s v="KUST - Communication"/>
    <n v="1"/>
    <n v="425510"/>
    <s v="425510-Conferences, seminars and exhibitions and other events: - Local Events"/>
    <s v="000000"/>
    <s v="KUST - General"/>
    <n v="847001"/>
    <s v="FA179-Opex Expense"/>
    <n v="200179"/>
    <x v="394"/>
    <s v="425510.Conferences, seminars and exhibitions and other events: - Local Events-Exhibitions-Number of Exhibitions"/>
    <s v="Number of Exhibitions"/>
    <n v="10"/>
    <n v="390000"/>
    <s v="This includes the major exhibitions partisipation such as (ADIPEC, IDEX, NAJAH, AD Book Fair)"/>
    <n v="3900000"/>
    <s v="KU Regular operations"/>
    <s v="Recurring"/>
    <s v="Enhance the communication plan and outreach activities"/>
  </r>
  <r>
    <s v="Communiction &amp; Marketing"/>
    <s v="Director, Marketing and Communication"/>
    <s v="Executive Vice President Office"/>
    <n v="847"/>
    <n v="8470140"/>
    <s v="KUST - Communication"/>
    <n v="1"/>
    <n v="425510"/>
    <s v="425510-Conferences, seminars and exhibitions and other events: - Local Events"/>
    <s v="000000"/>
    <s v="KUST - General"/>
    <n v="847001"/>
    <s v="FA179-Opex Expense"/>
    <n v="200179"/>
    <x v="394"/>
    <s v="425510.Conferences, seminars and exhibitions and other events: - Local Events-Events-Number of Events"/>
    <s v="Number of Events"/>
    <n v="6"/>
    <n v="810895"/>
    <s v="This includes the major Events hosted such as (Graduation,  National Day,KU Century Challenge  )"/>
    <n v="4865370"/>
    <s v="KU Regular operations"/>
    <s v="Recurring"/>
    <s v="Enhance the communication plan and outreach activities"/>
  </r>
  <r>
    <s v="Communiction &amp; Marketing"/>
    <s v="No Applicable"/>
    <s v="Executive Vice President Office"/>
    <n v="847"/>
    <n v="8470140"/>
    <s v="KUST - Communication"/>
    <n v="1"/>
    <n v="425550"/>
    <s v="425550-Conferences, seminars and exhibitions and other events: - Overseas event"/>
    <s v="000000"/>
    <s v="KUST - General"/>
    <n v="847001"/>
    <s v="FA179-Opex Expense"/>
    <n v="200179"/>
    <x v="395"/>
    <s v="425550.Conferences, seminars and exhibitions and other events: - Overseas event-Conferences-Number of Conferences"/>
    <s v="Number of Conferences"/>
    <n v="6"/>
    <n v="500300"/>
    <s v="This includes the major Global conferences partisipation such as (ICRA, IROS, IMSH, AMEE,Ottawa Conferences,AAMC Annual conferences,LCI)"/>
    <n v="3001800"/>
    <s v="KU Regular operations"/>
    <s v="Recurring"/>
    <s v="Enhance the communication plan and outreach activities"/>
  </r>
  <r>
    <s v="Student"/>
    <s v="No Applicable"/>
    <s v="Executive Vice President Office"/>
    <n v="847"/>
    <n v="8470140"/>
    <s v="KUST - Communication"/>
    <n v="1"/>
    <n v="425763"/>
    <s v="425763-Student Project Expenses"/>
    <s v="000000"/>
    <s v="KUST - CSR Activities"/>
    <n v="847001"/>
    <s v="FA179-Opex Expense"/>
    <n v="200179"/>
    <x v="396"/>
    <s v="425763.Student Project Expenses-Number of Students UG-Month"/>
    <s v="Month"/>
    <m/>
    <n v="100000"/>
    <s v="Use for CSR projects "/>
    <n v="0"/>
    <s v="KU Regular operations"/>
    <s v="Recurring"/>
    <s v="Enhance the communication plan and outreach activities"/>
  </r>
  <r>
    <s v="Communiction &amp; Marketing"/>
    <s v="Director, Marketing and Communication"/>
    <s v="Executive Vice President Office"/>
    <n v="847"/>
    <n v="8470140"/>
    <s v="KUST - Communication"/>
    <n v="1"/>
    <n v="427100"/>
    <s v="427100-Public relations"/>
    <s v="000000"/>
    <s v="KUST - General"/>
    <n v="847001"/>
    <s v="FA179-Opex Expense"/>
    <n v="200179"/>
    <x v="397"/>
    <s v="427100.Public relations-Media Monitoring -count"/>
    <s v="count"/>
    <n v="1"/>
    <n v="100000"/>
    <s v="We have a media monitoring subscription, and media management for local and international press distribution and management."/>
    <n v="100000"/>
    <s v="KU Regular operations"/>
    <s v="Recurring"/>
    <s v="Enhance the communication plan and outreach activities"/>
  </r>
  <r>
    <s v="Communiction &amp; Marketing"/>
    <s v="Director, Marketing and Communication"/>
    <s v="Executive Vice President Office"/>
    <n v="847"/>
    <n v="8470140"/>
    <s v="KUST - Communication"/>
    <n v="1"/>
    <n v="427100"/>
    <s v="427100-Public relations"/>
    <s v="000000"/>
    <s v="KUST - General"/>
    <n v="847001"/>
    <s v="FA179-Opex Expense"/>
    <n v="200179"/>
    <x v="397"/>
    <s v="427100.Public relations-Media services -count"/>
    <s v="count"/>
    <n v="1"/>
    <n v="2400000"/>
    <s v="This includes engagemement with exernal local and international media outlets"/>
    <n v="2400000"/>
    <s v="KU Regular operations"/>
    <s v="Recurring"/>
    <s v="Enhance the communication plan and outreach activities"/>
  </r>
  <r>
    <s v="Communiction &amp; Marketing"/>
    <s v="No Applicable"/>
    <s v="Executive Vice President Office"/>
    <n v="847"/>
    <n v="8470140"/>
    <s v="KUST - Communication"/>
    <n v="1"/>
    <n v="427200"/>
    <s v="427200-Printing and publishing"/>
    <s v="000000"/>
    <s v="KUST - General"/>
    <n v="847001"/>
    <s v="FA179-Opex Expense"/>
    <n v="200179"/>
    <x v="398"/>
    <s v="427200.Printing and publishing-The cost of design for the entity's publications to reflect the entity's identity-count"/>
    <s v="count"/>
    <n v="40"/>
    <n v="3375"/>
    <s v="This includes our printing of all marketing collatorals for conferences, exhibitions, gift items, invitations, marketing documents, KU's general publication, stationar, and items for inperson events"/>
    <n v="135000"/>
    <s v="KU Regular operations"/>
    <s v="Recurring"/>
    <s v="Enhance the communication plan and outreach activities"/>
  </r>
  <r>
    <s v="Communiction &amp; Marketing"/>
    <s v="No Applicable"/>
    <s v="Executive Vice President Office"/>
    <n v="847"/>
    <n v="8470140"/>
    <s v="KUST - Communication"/>
    <n v="1"/>
    <n v="427200"/>
    <s v="427200-Printing and publishing"/>
    <s v="000000"/>
    <s v="KUST - General"/>
    <n v="847001"/>
    <s v="FA179-Opex Expense"/>
    <n v="200179"/>
    <x v="398"/>
    <s v="427200.Printing and publishing-Design cost of the entity's forms-count"/>
    <s v="count"/>
    <n v="30"/>
    <n v="2666.6666599999999"/>
    <s v="Company profile, Window branding stickers, Designing brochures,Magazain "/>
    <n v="79999.999799999991"/>
    <s v="KU Regular operations"/>
    <s v="Recurring"/>
    <s v="Enhance the communication plan and outreach activities"/>
  </r>
  <r>
    <s v="Communiction &amp; Marketing"/>
    <s v="No Applicable"/>
    <s v="Executive Vice President Office"/>
    <n v="847"/>
    <n v="8470140"/>
    <s v="KUST - Communication"/>
    <n v="1"/>
    <n v="427200"/>
    <s v="427200-Printing and publishing"/>
    <s v="000000"/>
    <s v="KUST - General"/>
    <n v="847001"/>
    <s v="FA179-Opex Expense"/>
    <n v="200179"/>
    <x v="398"/>
    <s v="427200.Printing and publishing-Design cost of educational publications-count"/>
    <s v="count"/>
    <n v="15"/>
    <n v="2333.3332999999998"/>
    <s v="Rollups, Brochures, certificates,"/>
    <n v="34999.999499999998"/>
    <s v="KU Regular operations"/>
    <s v="Recurring"/>
    <s v="Enhance the communication plan and outreach activities"/>
  </r>
  <r>
    <s v="Communiction &amp; Marketing"/>
    <s v="No Applicable"/>
    <s v="Executive Vice President Office"/>
    <n v="847"/>
    <n v="8470140"/>
    <s v="KUST - Communication"/>
    <n v="1"/>
    <n v="427200"/>
    <s v="427200-Printing and publishing"/>
    <s v="000000"/>
    <s v="KUST - General"/>
    <n v="847001"/>
    <s v="FA179-Opex Expense"/>
    <n v="200179"/>
    <x v="398"/>
    <s v="427200.Printing and publishing-The printing cost of the department's publications-count"/>
    <s v="count"/>
    <n v="2000"/>
    <n v="100"/>
    <s v="Posters, Flyers,  leaf let &amp; Agenda, Envelpoes, Cards (Z-card, graduation card, Business cards.) "/>
    <n v="200000"/>
    <s v="KU Regular operations"/>
    <s v="Recurring"/>
    <s v="Enhance the communication plan and outreach activities"/>
  </r>
  <r>
    <s v="Communiction &amp; Marketing"/>
    <s v="No Applicable"/>
    <s v="Executive Vice President Office"/>
    <n v="847"/>
    <n v="8470140"/>
    <s v="KUST - Communication"/>
    <n v="1"/>
    <n v="427200"/>
    <s v="427200-Printing and publishing"/>
    <s v="000000"/>
    <s v="KUST - General"/>
    <n v="847001"/>
    <s v="FA179-Opex Expense"/>
    <n v="200179"/>
    <x v="398"/>
    <s v="427200.Printing and publishing-Cost of printing the entity's paper forms-count"/>
    <s v="count"/>
    <n v="3000"/>
    <n v="100"/>
    <s v="KU Times Magazain, Shopping bags, Notebook (A6, A5,A4), pens"/>
    <n v="300000"/>
    <s v="KU Regular operations"/>
    <s v="Recurring"/>
    <s v="Enhance the communication plan and outreach activities"/>
  </r>
  <r>
    <s v="Communiction &amp; Marketing"/>
    <s v="Director, Marketing and Communication"/>
    <s v="Executive Vice President Office"/>
    <n v="847"/>
    <n v="8470140"/>
    <s v="KUST - Communication"/>
    <n v="1"/>
    <n v="428640"/>
    <s v="428640-Events - Awards, prizes &amp; gifts"/>
    <s v="000000"/>
    <s v="KUST - General"/>
    <n v="847001"/>
    <s v="FA179-Opex Expense"/>
    <n v="200179"/>
    <x v="399"/>
    <s v="428640.Events - Awards, prizes &amp; gifts-Number of Events-count"/>
    <s v="count"/>
    <n v="100"/>
    <n v="1100"/>
    <s v="This includes gifts for out VIP and non VIP events and visits"/>
    <n v="110000"/>
    <s v="KU Regular operations"/>
    <s v="Recurring"/>
    <s v="Enhance the communication plan and outreach activities"/>
  </r>
  <r>
    <s v="Communiction &amp; Marketing"/>
    <s v="Director, Marketing and Communication"/>
    <s v="Executive Vice President Office"/>
    <n v="847"/>
    <n v="8470140"/>
    <s v="KUST - Communication"/>
    <n v="1"/>
    <n v="428640"/>
    <s v="428640-Events - Awards, prizes &amp; gifts"/>
    <s v="000000"/>
    <s v="KUST - General"/>
    <n v="847001"/>
    <s v="FA179-Opex Expense"/>
    <n v="200179"/>
    <x v="399"/>
    <s v="428640.Events - Awards, prizes &amp; gifts-Number of awards-count"/>
    <s v="count"/>
    <n v="100"/>
    <n v="3600"/>
    <s v=" Includes the KU's commersial merchandise to be distributed during events and conferences"/>
    <n v="360000"/>
    <s v="KU Regular operations"/>
    <s v="Recurring"/>
    <s v="Enhance the communication plan and outreach activities"/>
  </r>
  <r>
    <s v="Communiction &amp; Marketing"/>
    <s v="Director, Marketing and Communication"/>
    <s v="Executive Vice President Office"/>
    <n v="847"/>
    <n v="8470140"/>
    <s v="KUST - Communication"/>
    <n v="1"/>
    <n v="428640"/>
    <s v="428640-Events - Awards, prizes &amp; gifts"/>
    <s v="000000"/>
    <s v="KUST - General"/>
    <n v="847001"/>
    <s v="FA179-Opex Expense"/>
    <n v="200179"/>
    <x v="399"/>
    <s v="428640.Events - Awards, prizes &amp; gifts-Number of prizes-count"/>
    <s v="count"/>
    <n v="3000"/>
    <n v="50"/>
    <s v="Includes prizes use in Challenges &amp; Competions (medals, tophies, backpack,)"/>
    <n v="150000"/>
    <s v="KU Regular operations"/>
    <s v="Recurring"/>
    <s v="Enhance the communication plan and outreach activities"/>
  </r>
  <r>
    <s v="Communiction &amp; Marketing"/>
    <s v="Director, Marketing and Communication"/>
    <s v="Executive Vice President Office"/>
    <n v="847"/>
    <n v="8470140"/>
    <s v="KUST - Communication"/>
    <n v="1"/>
    <n v="428640"/>
    <s v="428640-Events - Awards, prizes &amp; gifts"/>
    <s v="000000"/>
    <s v="KUST - General"/>
    <n v="847001"/>
    <s v="FA179-Opex Expense"/>
    <n v="200179"/>
    <x v="399"/>
    <s v="428640.Events - Awards, prizes &amp; gifts-Number of gifts-count"/>
    <s v="count"/>
    <n v="3000"/>
    <n v="100"/>
    <s v="Gifts for Ramdan,National day, Eids (Coffee Mugs, Adapter, USB) "/>
    <n v="300000"/>
    <s v="KU Regular operations"/>
    <s v="Recurring"/>
    <s v="Enhance the communication plan and outreach activities"/>
  </r>
  <r>
    <s v="Other support"/>
    <s v="No Applicable"/>
    <s v="Executive Vice President Office"/>
    <n v="847"/>
    <n v="8470140"/>
    <s v="KUST - Communication"/>
    <n v="1"/>
    <n v="435310"/>
    <s v="435310-Newspapers, magazines, journals, etc"/>
    <s v="000000"/>
    <s v="KUST - General"/>
    <n v="847001"/>
    <s v="FA179-Opex Expense"/>
    <n v="200179"/>
    <x v="400"/>
    <s v="435310.Newspapers, magazines, journals, etc-Number of Staff-Number"/>
    <s v="Number"/>
    <n v="2"/>
    <n v="5000"/>
    <s v="Our yearly news subscription (magazines, newspapers) locally and globally"/>
    <n v="10000"/>
    <s v="KU Regular operations"/>
    <s v="Recurring"/>
    <s v="Enhance the communication plan and outreach activities"/>
  </r>
  <r>
    <s v="Communiction &amp; Marketing"/>
    <s v="Director, Marketing and Communication"/>
    <s v="Executive Vice President Office"/>
    <n v="847"/>
    <n v="8470140"/>
    <s v="KUST - Communication"/>
    <n v="1"/>
    <n v="435519"/>
    <s v="435519-Photography - Consumable materials /Tools"/>
    <s v="000000"/>
    <s v="KUST - General"/>
    <n v="847001"/>
    <s v="FA179-Opex Expense"/>
    <n v="200179"/>
    <x v="401"/>
    <s v="435519.Photography - Consumable materials /Tools-Number of Staff-Number"/>
    <s v="Number"/>
    <n v="1"/>
    <n v="135000"/>
    <s v="Items for the omedia office use such us softwares and hardwears like cameras, lenses, lights, tripods, microphones. "/>
    <n v="135000"/>
    <s v="KU Regular operations"/>
    <s v="Recurring"/>
    <s v="Enhance the communication plan and outreach activities"/>
  </r>
  <r>
    <s v="IT"/>
    <s v="Director, Technology Development"/>
    <s v="Executive Vice President Office"/>
    <n v="847"/>
    <n v="8470140"/>
    <s v="KUST - Communication"/>
    <n v="1"/>
    <n v="492310"/>
    <s v="492310-Hardware &amp; peripherals"/>
    <s v="000000"/>
    <s v="KUST - General"/>
    <n v="847001"/>
    <s v="FA180-Capex Expense"/>
    <n v="300180"/>
    <x v="402"/>
    <s v="492310.Hardware &amp; peripherals-number of hardware devices-Month"/>
    <s v="Month"/>
    <n v="2"/>
    <n v="100000"/>
    <s v="To purchace MAC supported harwears and application to help the department in development of the ongoing inhouse projects "/>
    <n v="200000"/>
    <s v="KU Regular operations"/>
    <s v="Recurring"/>
    <s v="Enhance the communication plan and outreach activities"/>
  </r>
  <r>
    <s v="Other support"/>
    <s v="Director, Human Resources"/>
    <s v="Executive Vice President Office"/>
    <n v="847"/>
    <n v="8470910"/>
    <s v="KUST - Executive Vice President Office"/>
    <n v="1"/>
    <n v="425900"/>
    <s v="425900-Entertainment and hospitality"/>
    <s v="000000"/>
    <s v="KUST - General"/>
    <n v="847001"/>
    <s v="FA179-Opex Expense"/>
    <n v="200179"/>
    <x v="403"/>
    <s v="425900.Entertainment and hospitality-1. No of events/workshops planned-count"/>
    <s v="count"/>
    <n v="10"/>
    <n v="5000"/>
    <s v="Caterings requests/Meetings/Retreet/Workshop"/>
    <n v="50000"/>
    <s v="KU Regular operations"/>
    <s v="Recurring"/>
    <s v="Build partnerships with local and international universities"/>
  </r>
  <r>
    <s v="Academic "/>
    <s v="No Applicable"/>
    <s v="Executive Vice President Office"/>
    <n v="847"/>
    <n v="8470910"/>
    <s v="KUST - Executive Vice President Office"/>
    <n v="1"/>
    <n v="428090"/>
    <s v="428090-Business Travel - Combined expenses"/>
    <s v="000000"/>
    <s v="KUST - General"/>
    <n v="847001"/>
    <s v="FA179-Opex Expense"/>
    <n v="200179"/>
    <x v="404"/>
    <s v="428090.Business Travel - Combined expenses-Number of Faculty-Number"/>
    <s v="Number"/>
    <n v="10"/>
    <n v="100000"/>
    <s v="For costs connected to Senior Management business trips within and outside UAE, including travel costs, per diem and registrations"/>
    <n v="1000000"/>
    <s v="KU Strategic New Initiative"/>
    <s v="Recurring"/>
    <s v="Build partnerships with local and international universities"/>
  </r>
  <r>
    <s v="Other support"/>
    <s v="No Applicable"/>
    <s v="Executive Vice President Office"/>
    <n v="847"/>
    <n v="8470910"/>
    <s v="KUST - Executive Vice President Office"/>
    <n v="1"/>
    <n v="429900"/>
    <s v="429900-Other services, not specifically mentioned elsewhere"/>
    <s v="000000"/>
    <s v="KUST - General"/>
    <n v="847001"/>
    <s v="FA179-Opex Expense"/>
    <n v="200179"/>
    <x v="405"/>
    <s v="429900.Other services, not specifically mentioned elsewhere-TBD-Number of TBD"/>
    <s v="Number of TBD"/>
    <n v="3"/>
    <n v="1000000"/>
    <s v="Special Projects( Projects that gets assigned by the chairman and the board) Like Khalifa COVID FACE MASK and Satellites."/>
    <n v="3000000"/>
    <s v="KU Strategic New Initiative"/>
    <s v="Recurring"/>
    <s v="Build partnerships with local and international universities"/>
  </r>
  <r>
    <s v="Academic"/>
    <s v="No Applicable"/>
    <s v="Executive Vice President Office"/>
    <n v="847"/>
    <n v="8470910"/>
    <s v="KUST - Executive Vice President Office"/>
    <n v="1"/>
    <n v="420570"/>
    <s v="420570-Academic Collaborative Partnership Services"/>
    <s v="000000"/>
    <s v="KUST - General"/>
    <n v="847001"/>
    <s v="FA179-Opex Expense"/>
    <n v="200179"/>
    <x v="406"/>
    <s v="420570.Academic Collaborative Partnership Services-Partnership Agreement or Academic Collaboration -No of Partneship/collaboration Agreement"/>
    <s v="No of Partneship/collaboration Agreement"/>
    <n v="10"/>
    <n v="1500000"/>
    <s v="For payments made to collaborating institutions, as part of partnership agreements. This would include a potential affilation partnership for the greaduate school of busineess"/>
    <n v="15000000"/>
    <s v="KU Strategic New Initiative"/>
    <s v="Recurring"/>
    <s v="Build partnerships with local and international universities"/>
  </r>
  <r>
    <s v="Communiction &amp; Marketing"/>
    <s v="Director, Marketing and Communication"/>
    <s v="SVP/ Support Services Office"/>
    <n v="847"/>
    <n v="8470510"/>
    <s v="KUST - VP/ Administration, Facilities &amp; EHS Office"/>
    <n v="1"/>
    <n v="425510"/>
    <s v="425510-Conferences, seminars and exhibitions and other events: - Local Events"/>
    <s v="000000"/>
    <s v="KUST - General"/>
    <n v="847001"/>
    <s v="FA179-Opex Expense"/>
    <n v="200179"/>
    <x v="407"/>
    <s v="425510.Conferences, seminars and exhibitions and other events: - Local Events-The area of rented halls for events, seminars, and exhibition.-2m"/>
    <n v="1"/>
    <n v="1"/>
    <n v="50000"/>
    <s v="Conferences, seminars and exhibitions and other events: - Local Events"/>
    <n v="50000"/>
    <s v="KU Regular operations"/>
    <s v="Recurring"/>
    <s v="Ensure the university sustainability "/>
  </r>
  <r>
    <s v="Other support"/>
    <s v="Director, Human Resources"/>
    <s v="SVP/ Support Services Office"/>
    <n v="847"/>
    <n v="8470510"/>
    <s v="KUST - VP/ Administration, Facilities &amp; EHS Office"/>
    <n v="1"/>
    <n v="425900"/>
    <s v="425900-Entertainment and hospitality"/>
    <s v="000000"/>
    <s v="KUST - General"/>
    <n v="847001"/>
    <s v="FA179-Opex Expense"/>
    <n v="200179"/>
    <x v="408"/>
    <s v="425900.Entertainment and hospitality-1. No of events/workshops planned-count"/>
    <n v="1"/>
    <n v="1"/>
    <n v="60000"/>
    <s v="Entertainment and hospitality"/>
    <n v="60000"/>
    <s v="KU Regular operations"/>
    <s v="Recurring"/>
    <s v="Ensure the university sustainability "/>
  </r>
  <r>
    <s v="Academic "/>
    <s v="No Applicable"/>
    <s v="SVP/ Support Services Office"/>
    <n v="847"/>
    <n v="8470510"/>
    <s v="KUST - VP/ Administration, Facilities &amp; EHS Office"/>
    <n v="1"/>
    <n v="428090"/>
    <s v="428090-Business Travel - Combined expenses"/>
    <s v="000000"/>
    <s v="KUST - General"/>
    <n v="847001"/>
    <s v="FA179-Opex Expense"/>
    <n v="200179"/>
    <x v="409"/>
    <s v="428090.Business Travel - Combined expenses-Number of Staff-Number"/>
    <n v="1"/>
    <n v="1"/>
    <n v="200000"/>
    <s v="Business Travel - Combined expenses"/>
    <n v="200000"/>
    <s v="KU Regular operations"/>
    <s v="Recurring"/>
    <s v="Ensure the university sustainability "/>
  </r>
  <r>
    <s v="Communiction &amp; Marketing"/>
    <s v="Director, Marketing and Communication"/>
    <s v="SVP/ Support Services Office"/>
    <n v="847"/>
    <n v="8470520"/>
    <s v="KUST - Environment, Health &amp; Safety"/>
    <n v="1"/>
    <n v="425510"/>
    <s v="425510-Conferences, seminars and exhibitions and other events: - Local Events"/>
    <s v="000000"/>
    <s v="KUST - General"/>
    <n v="847001"/>
    <s v="FA179-Opex Expense"/>
    <n v="200179"/>
    <x v="410"/>
    <s v="425510.Conferences, seminars and exhibitions and other events: - Local Events-Exhibitions-Number of Exhibitions"/>
    <s v="Number of Exhibitions"/>
    <n v="1"/>
    <n v="25000"/>
    <s v="HSE Day &amp; Small Events"/>
    <n v="25000"/>
    <s v="KU Regular operations"/>
    <s v="Recurring"/>
    <s v="Realize a sustainable , healthy and safe campus environment for all community members"/>
  </r>
  <r>
    <s v="Facilities "/>
    <s v="No Applicable"/>
    <s v="SVP/ Support Services Office"/>
    <n v="847"/>
    <n v="8470520"/>
    <s v="KUST - Environment, Health &amp; Safety"/>
    <n v="1"/>
    <n v="426100"/>
    <s v="426100-Freight and shipping costs, not included elsewhere under purchase costs"/>
    <s v="000000"/>
    <s v="KUST - General"/>
    <n v="847001"/>
    <s v="FA179-Opex Expense"/>
    <n v="200179"/>
    <x v="411"/>
    <s v="426100.Freight and shipping costs, Numbert included elsewhere under purchase costs-Number of Quantity-Number"/>
    <s v="Number"/>
    <n v="1"/>
    <n v="20000"/>
    <s v="Purchasing"/>
    <n v="20000"/>
    <s v="KU Regular operations"/>
    <s v="Recurring"/>
    <s v="Realize a sustainable , healthy and safe campus environment for all community members"/>
  </r>
  <r>
    <s v="Academic"/>
    <s v="No Applicable"/>
    <s v="SVP/ Support Services Office"/>
    <n v="847"/>
    <n v="8470520"/>
    <s v="KUST - Environment, Health &amp; Safety"/>
    <n v="1"/>
    <n v="427710"/>
    <s v="427710-Subscriptions and membership fees: Trade organisations"/>
    <s v="000000"/>
    <s v="KUST - General"/>
    <n v="847001"/>
    <s v="FA179-Opex Expense"/>
    <n v="200179"/>
    <x v="412"/>
    <s v="427710.Subscriptions and membership fees: Trade organisations-Number  of Memberships-Number"/>
    <s v="Number"/>
    <n v="1"/>
    <n v="42000"/>
    <s v="Subscriptions and membership"/>
    <n v="42000"/>
    <s v="KU Regular operations"/>
    <s v="Recurring"/>
    <s v="Realize a sustainable , healthy and safe campus environment for all community members"/>
  </r>
  <r>
    <s v="Facilities "/>
    <s v="No Applicable"/>
    <s v="SVP/ Support Services Office"/>
    <n v="847"/>
    <n v="8470520"/>
    <s v="KUST - Environment, Health &amp; Safety"/>
    <n v="1"/>
    <n v="428200"/>
    <s v="428200-Health,safety&amp;environment awareness"/>
    <s v="000000"/>
    <s v="KUST - General"/>
    <n v="847001"/>
    <s v="FA179-Opex Expense"/>
    <n v="200179"/>
    <x v="413"/>
    <s v="428200.Health,safety&amp;environment awareness-Number of Buildings-Number"/>
    <s v="Number"/>
    <m/>
    <m/>
    <m/>
    <n v="0"/>
    <s v="KU Regular operations"/>
    <s v="Recurring"/>
    <s v="Recruit and retain high caliber faculty, researchers and staff"/>
  </r>
  <r>
    <s v="Facilities "/>
    <s v="No Applicable"/>
    <s v="SVP/ Support Services Office"/>
    <n v="847"/>
    <n v="8470520"/>
    <s v="KUST - Environment, Health &amp; Safety"/>
    <n v="1"/>
    <n v="428200"/>
    <s v="428200-Health,safety&amp;environment awareness"/>
    <s v="000000"/>
    <s v="KUST - General"/>
    <n v="847001"/>
    <s v="FA179-Opex Expense"/>
    <n v="200179"/>
    <x v="413"/>
    <s v="428200.Health,safety&amp;environment awareness-Number of Buildings-Number"/>
    <s v="Number"/>
    <n v="1"/>
    <n v="70000"/>
    <s v="Surveillance Audit of ISO Standards &amp; OSHAD Audit"/>
    <n v="70000"/>
    <s v="KU Regular operations"/>
    <s v="Recurring"/>
    <s v="Realize a sustainable , healthy and safe campus environment for all community members"/>
  </r>
  <r>
    <s v="Facilities "/>
    <s v="No Applicable"/>
    <s v="SVP/ Support Services Office"/>
    <n v="847"/>
    <n v="8470520"/>
    <s v="KUST - Environment, Health &amp; Safety"/>
    <n v="1"/>
    <n v="428200"/>
    <s v="428200-Health,safety&amp;environment awareness"/>
    <s v="000000"/>
    <s v="KUST - General"/>
    <n v="847001"/>
    <s v="FA179-Opex Expense"/>
    <n v="200179"/>
    <x v="413"/>
    <s v="428200.Health,safety&amp;environment awareness-Number of Buildings-Number"/>
    <s v="Number"/>
    <n v="1"/>
    <n v="60000"/>
    <s v="Blanket Contract for Clinic Supplies"/>
    <n v="60000"/>
    <s v="KU Regular operations"/>
    <s v="Recurring"/>
    <s v="Realize a sustainable , healthy and safe campus environment for all community members"/>
  </r>
  <r>
    <s v="Facilities "/>
    <s v="No Applicable"/>
    <s v="SVP/ Support Services Office"/>
    <n v="847"/>
    <n v="8470520"/>
    <s v="KUST - Environment, Health &amp; Safety"/>
    <n v="1"/>
    <n v="428200"/>
    <s v="428200-Health,safety&amp;environment awareness"/>
    <s v="000000"/>
    <s v="KUST - General"/>
    <n v="847001"/>
    <s v="FA179-Opex Expense"/>
    <n v="200179"/>
    <x v="413"/>
    <s v="428200.Health,safety&amp;environment awareness-Number of Buildings-Number"/>
    <s v="Number"/>
    <n v="1"/>
    <n v="35000"/>
    <s v="Blanket Contract for Environment Monitoring"/>
    <n v="35000"/>
    <s v="KU Regular operations"/>
    <s v="Recurring"/>
    <s v="Realize a sustainable , healthy and safe campus environment for all community members"/>
  </r>
  <r>
    <s v="Facilities "/>
    <s v="No Applicable"/>
    <s v="SVP/ Support Services Office"/>
    <n v="847"/>
    <n v="8470520"/>
    <s v="KUST - Environment, Health &amp; Safety"/>
    <n v="1"/>
    <n v="428200"/>
    <s v="428200-Health,safety&amp;environment awareness"/>
    <s v="000000"/>
    <s v="KUST - General"/>
    <n v="847001"/>
    <s v="FA179-Opex Expense"/>
    <n v="200179"/>
    <x v="413"/>
    <s v="428200.Health,safety&amp;environment awareness-Number of Buildings-Number"/>
    <s v="Number"/>
    <n v="1"/>
    <n v="30000"/>
    <s v="Capacity Buiding (Center- IOSH&amp; NEBOSH)"/>
    <n v="30000"/>
    <s v="KU Regular operations"/>
    <s v="Recurring"/>
    <s v="Realize a sustainable , healthy and safe campus environment for all community members"/>
  </r>
  <r>
    <s v="Facilities "/>
    <s v="No Applicable"/>
    <s v="SVP/ Support Services Office"/>
    <n v="847"/>
    <n v="8470520"/>
    <s v="KUST - Environment, Health &amp; Safety"/>
    <n v="1"/>
    <n v="428200"/>
    <s v="428200-Health,safety&amp;environment awareness"/>
    <s v="000000"/>
    <s v="KUST - General"/>
    <n v="847001"/>
    <s v="FA179-Opex Expense"/>
    <n v="200179"/>
    <x v="413"/>
    <s v="428200.Health,safety&amp;environment awareness-Number of Buildings-Number"/>
    <s v="Number"/>
    <n v="1"/>
    <n v="50000"/>
    <s v="Calibration of EHS &amp; Clinic Instrument"/>
    <n v="50000"/>
    <s v="KU Regular operations"/>
    <s v="Recurring"/>
    <s v="Realize a sustainable , healthy and safe campus environment for all community members"/>
  </r>
  <r>
    <s v="Facilities "/>
    <s v="No Applicable"/>
    <s v="SVP/ Support Services Office"/>
    <n v="847"/>
    <n v="8470520"/>
    <s v="KUST - Environment, Health &amp; Safety"/>
    <n v="1"/>
    <n v="428200"/>
    <s v="428200-Health,safety&amp;environment awareness"/>
    <s v="000000"/>
    <s v="KUST - General"/>
    <n v="847001"/>
    <s v="FA179-Opex Expense"/>
    <n v="200179"/>
    <x v="413"/>
    <s v="428200.Health,safety&amp;environment awareness-Number of Buildings-Number"/>
    <s v="Number"/>
    <n v="1"/>
    <n v="80000"/>
    <s v="Blanket Contract for First Aid Kit Supplies"/>
    <n v="80000"/>
    <s v="KU Regular operations"/>
    <s v="Recurring"/>
    <s v="Realize a sustainable , healthy and safe campus environment for all community members"/>
  </r>
  <r>
    <s v="Facilities "/>
    <s v="No Applicable"/>
    <s v="SVP/ Support Services Office"/>
    <n v="847"/>
    <n v="8470520"/>
    <s v="KUST - Environment, Health &amp; Safety"/>
    <n v="1"/>
    <n v="428200"/>
    <s v="428200-Health,safety&amp;environment awareness"/>
    <s v="000000"/>
    <s v="KUST - General"/>
    <n v="847001"/>
    <s v="FA179-Opex Expense"/>
    <n v="200179"/>
    <x v="413"/>
    <s v="428200.Health,safety&amp;environment awareness-Number of Buildings-Number"/>
    <s v="Number"/>
    <n v="1"/>
    <n v="25000"/>
    <s v="Dosimeter Services"/>
    <n v="25000"/>
    <s v="KU Regular operations"/>
    <s v="Recurring"/>
    <s v="Realize a sustainable , healthy and safe campus environment for all community members"/>
  </r>
  <r>
    <s v="Facilities "/>
    <s v="No Applicable"/>
    <s v="SVP/ Support Services Office"/>
    <n v="847"/>
    <n v="8470520"/>
    <s v="KUST - Environment, Health &amp; Safety"/>
    <n v="1"/>
    <n v="428200"/>
    <s v="428200-Health,safety&amp;environment awareness"/>
    <s v="000000"/>
    <s v="KUST - General"/>
    <n v="847001"/>
    <s v="FA179-Opex Expense"/>
    <n v="200179"/>
    <x v="413"/>
    <s v="428200.Health,safety&amp;environment awareness-Number of Buildings-Number"/>
    <s v="Number"/>
    <n v="1"/>
    <n v="40000"/>
    <s v="Blanket  Contract for EHS Signage"/>
    <n v="40000"/>
    <s v="KU Regular operations"/>
    <s v="Recurring"/>
    <s v="Realize a sustainable , healthy and safe campus environment for all community members"/>
  </r>
  <r>
    <s v="Facilities "/>
    <s v="No Applicable"/>
    <s v="SVP/ Support Services Office"/>
    <n v="847"/>
    <n v="8470520"/>
    <s v="KUST - Environment, Health &amp; Safety"/>
    <n v="1"/>
    <n v="428200"/>
    <s v="428200-Health,safety&amp;environment awareness"/>
    <s v="000000"/>
    <s v="KUST - General"/>
    <n v="847001"/>
    <s v="FA179-Opex Expense"/>
    <n v="200179"/>
    <x v="413"/>
    <s v="428200.Health,safety&amp;environment awareness-Number of Buildings-Number"/>
    <s v="Number"/>
    <n v="1"/>
    <n v="50000"/>
    <s v="3D Evacuation Map"/>
    <n v="50000"/>
    <s v="KU Regular operations"/>
    <s v="Recurring"/>
    <s v="Realize a sustainable , healthy and safe campus environment for all community members"/>
  </r>
  <r>
    <s v="Facilities "/>
    <s v="No Applicable"/>
    <s v="SVP/ Support Services Office"/>
    <n v="847"/>
    <n v="8470520"/>
    <s v="KUST - Environment, Health &amp; Safety"/>
    <n v="1"/>
    <n v="428200"/>
    <s v="428200-Health,safety&amp;environment awareness"/>
    <s v="000000"/>
    <s v="KUST - General"/>
    <n v="847001"/>
    <s v="FA179-Opex Expense"/>
    <n v="200179"/>
    <x v="413"/>
    <s v="428200.Health,safety&amp;environment awareness-Number of Buildings-Number"/>
    <s v="Number"/>
    <n v="1"/>
    <n v="15000"/>
    <s v="Eniscope Software"/>
    <n v="15000"/>
    <s v="KU Regular operations"/>
    <s v="Recurring"/>
    <s v="Ensure the university sustainability "/>
  </r>
  <r>
    <s v="Facilities "/>
    <s v="No Applicable"/>
    <s v="SVP/ Support Services Office"/>
    <n v="847"/>
    <n v="8470520"/>
    <s v="KUST - Environment, Health &amp; Safety"/>
    <n v="1"/>
    <n v="428200"/>
    <s v="428200-Health,safety&amp;environment awareness"/>
    <s v="000000"/>
    <s v="KUST - General"/>
    <n v="847001"/>
    <s v="FA179-Opex Expense"/>
    <n v="200179"/>
    <x v="413"/>
    <s v="428200.Health,safety&amp;environment awareness-Number of Buildings-Number"/>
    <s v="Number"/>
    <n v="1"/>
    <n v="50000"/>
    <s v="Emergency Notification System"/>
    <n v="50000"/>
    <s v="KU Regular operations"/>
    <s v="Recurring"/>
    <s v="Realize a sustainable , healthy and safe campus environment for all community members"/>
  </r>
  <r>
    <s v="Facilities "/>
    <s v="No Applicable"/>
    <s v="SVP/ Support Services Office"/>
    <n v="847"/>
    <n v="8470520"/>
    <s v="KUST - Environment, Health &amp; Safety"/>
    <n v="1"/>
    <n v="428200"/>
    <s v="428200-Health,safety&amp;environment awareness"/>
    <s v="000000"/>
    <s v="KUST - General"/>
    <n v="847001"/>
    <s v="FA179-Opex Expense"/>
    <n v="200179"/>
    <x v="413"/>
    <s v="428200.Health,safety&amp;environment awareness-Number of Buildings-Number"/>
    <s v="Number"/>
    <n v="1"/>
    <n v="50000"/>
    <s v="EHS Components"/>
    <n v="50000"/>
    <s v="KU Regular operations"/>
    <s v="Recurring"/>
    <s v="Realize a sustainable , healthy and safe campus environment for all community members"/>
  </r>
  <r>
    <s v="Facilities "/>
    <s v="No Applicable"/>
    <s v="SVP/ Support Services Office"/>
    <n v="847"/>
    <n v="8470520"/>
    <s v="KUST - Environment, Health &amp; Safety"/>
    <n v="1"/>
    <n v="428200"/>
    <s v="428200-Health,safety&amp;environment awareness"/>
    <s v="000000"/>
    <s v="KUST - General"/>
    <n v="847001"/>
    <s v="FA179-Opex Expense"/>
    <n v="200179"/>
    <x v="413"/>
    <s v="428200.Health,safety&amp;environment awareness-Number of Buildings-Number"/>
    <s v="Number"/>
    <n v="1"/>
    <n v="20000"/>
    <s v="First Aiders Competency Requirement"/>
    <n v="20000"/>
    <s v="KU Regular operations"/>
    <s v="Recurring"/>
    <s v="Realize a sustainable , healthy and safe campus environment for all community members"/>
  </r>
  <r>
    <s v="Facilities "/>
    <s v="No Applicable"/>
    <s v="SVP/ Support Services Office"/>
    <n v="847"/>
    <n v="8470530"/>
    <s v="KUST - Facilities Management"/>
    <n v="1"/>
    <n v="420310"/>
    <s v="420310-Cleaning: Business premises"/>
    <s v="000000"/>
    <s v="KUST - Main Campus"/>
    <n v="847010"/>
    <s v="FA179-Opex Expense"/>
    <n v="200179"/>
    <x v="414"/>
    <s v="420310.Cleaning Services: Business premises-1. Size of Premises (Area)-2m"/>
    <s v="2m"/>
    <n v="1"/>
    <n v="4056438.64"/>
    <s v="Soft Service Payment to West Coast against Contract C303"/>
    <n v="4056438.64"/>
    <s v="KU Regular operations"/>
    <s v="Recurring"/>
    <s v="Ensure the university sustainability "/>
  </r>
  <r>
    <s v="Facilities "/>
    <s v="No Applicable"/>
    <s v="SVP/ Support Services Office"/>
    <n v="847"/>
    <n v="8470530"/>
    <s v="KUST - Facilities Management"/>
    <n v="1"/>
    <n v="420310"/>
    <s v="420310-Cleaning: Business premises"/>
    <s v="000000"/>
    <s v="Student Related Costs"/>
    <n v="847015"/>
    <s v="FA179-Opex Expense"/>
    <n v="200179"/>
    <x v="415"/>
    <s v="420310.Cleaning Services: Business premises-1. Size of Premises (Area)-2m"/>
    <s v="2m"/>
    <n v="1"/>
    <n v="747242"/>
    <s v="Soft Service Payment to West Coast against Contract C303"/>
    <n v="747242"/>
    <s v="KU Regular operations"/>
    <s v="Recurring"/>
    <s v="Ensure the university sustainability "/>
  </r>
  <r>
    <s v="Facilities "/>
    <s v="No Applicable"/>
    <s v="SVP/ Support Services Office"/>
    <n v="847"/>
    <n v="8470530"/>
    <s v="KUST - Facilities Management"/>
    <n v="1"/>
    <n v="420310"/>
    <s v="420310-Cleaning: Business premises"/>
    <s v="000000"/>
    <s v="KUST- Sas Al Nakhl Campus"/>
    <n v="847020"/>
    <s v="FA179-Opex Expense"/>
    <n v="200179"/>
    <x v="416"/>
    <s v="420310.Cleaning Services: Business premises-1. Size of Premises (Area)-2m"/>
    <s v="2m"/>
    <n v="1"/>
    <n v="4118107"/>
    <s v="Soft Service Payment to West Coast against Contract C303"/>
    <n v="4118107"/>
    <s v="KU Regular operations"/>
    <s v="Recurring"/>
    <s v="Ensure the university sustainability "/>
  </r>
  <r>
    <s v="-"/>
    <s v="-"/>
    <s v="SVP/ Support Services Office"/>
    <n v="847"/>
    <n v="8470530"/>
    <s v="KUST - Facilities Management"/>
    <n v="1"/>
    <n v="429900"/>
    <s v="429900-Other services, not specifically mentioned elsewhere"/>
    <s v="000000"/>
    <s v="KUST - Main Campus"/>
    <s v="847010"/>
    <s v="-"/>
    <n v="200179"/>
    <x v="417"/>
    <s v="429900.Other services, not specifically mentioned elsewhere-TBD-Number of TBD"/>
    <s v="Number of TBD"/>
    <n v="1"/>
    <n v="220000"/>
    <s v="movement request"/>
    <n v="220000"/>
    <s v="KU Regular operations"/>
    <s v="Recurring"/>
    <s v="Ensure the university sustainability "/>
  </r>
  <r>
    <s v="HR"/>
    <s v="Manager, Business Development"/>
    <s v="SVP/ Support Services Office"/>
    <n v="847"/>
    <n v="8470530"/>
    <s v="KUST - Facilities Management"/>
    <n v="1"/>
    <n v="421000"/>
    <s v="421000-Management consultancy"/>
    <s v="000000"/>
    <s v="KUST - Main Campus"/>
    <n v="847010"/>
    <s v="FA179-Opex Expense"/>
    <n v="200179"/>
    <x v="418"/>
    <m/>
    <s v="count"/>
    <m/>
    <m/>
    <m/>
    <n v="0"/>
    <m/>
    <m/>
    <m/>
  </r>
  <r>
    <s v="HR"/>
    <s v="No Applicable"/>
    <s v="SVP/ Support Services Office"/>
    <n v="847"/>
    <n v="8470530"/>
    <s v="KUST - Facilities Management"/>
    <n v="1"/>
    <n v="421100"/>
    <s v="421100-Manpower supply"/>
    <s v="000000"/>
    <s v="KUST - Main Campus"/>
    <n v="847010"/>
    <s v="FA179-Opex Expense"/>
    <n v="200179"/>
    <x v="419"/>
    <m/>
    <s v="-_"/>
    <n v="1"/>
    <m/>
    <m/>
    <n v="0"/>
    <m/>
    <m/>
    <m/>
  </r>
  <r>
    <s v="-"/>
    <s v="-"/>
    <s v="SVP/ Support Services Office"/>
    <n v="847"/>
    <n v="8470530"/>
    <s v="KUST - Facilities Management"/>
    <n v="1"/>
    <n v="430110"/>
    <s v="430110-Rental - Land"/>
    <s v="000000"/>
    <s v="KUST - Main Campus"/>
    <n v="847010"/>
    <s v="-"/>
    <n v="200179"/>
    <x v="420"/>
    <s v="430110.Rental- Land-2m-"/>
    <m/>
    <n v="1"/>
    <n v="233000"/>
    <s v="SAN Campus-rent temporary land as temporary parking"/>
    <n v="233000"/>
    <s v="KU Regular operations"/>
    <s v="Recurring"/>
    <s v="Ensure the university sustainability "/>
  </r>
  <r>
    <s v="Facilities"/>
    <s v="No Applicable"/>
    <s v="SVP/ Support Services Office"/>
    <n v="847"/>
    <n v="8470530"/>
    <s v="KUST - Facilities Management"/>
    <n v="1"/>
    <n v="430120"/>
    <s v="430120-Rental - Buildings, other than staff residences"/>
    <s v="000000"/>
    <s v="KUST- Masdar city campus"/>
    <s v="847030"/>
    <s v="FA179-Opex Expense"/>
    <n v="200179"/>
    <x v="421"/>
    <s v="430120.Rental - Buildings, other than staff residences-Area-2m"/>
    <s v="2m"/>
    <n v="1"/>
    <n v="4725991"/>
    <s v="Masder complex"/>
    <n v="4725991"/>
    <s v="KU Regular operations"/>
    <s v="Recurring"/>
    <s v="Ensure the university sustainability "/>
  </r>
  <r>
    <s v="Facilities"/>
    <s v="No Applicable"/>
    <s v="SVP/ Support Services Office"/>
    <n v="847"/>
    <n v="8470530"/>
    <s v="KUST - Facilities Management"/>
    <n v="1"/>
    <n v="430120"/>
    <s v="430120-Rental - Buildings, other than staff residences"/>
    <s v="000000"/>
    <s v="KUST- Sas Al Nakhl Campus"/>
    <n v="847020"/>
    <s v="FA179-Opex Expense"/>
    <n v="200179"/>
    <x v="422"/>
    <s v="430120.Rental - Buildings, other than staff residences-Area-2m"/>
    <s v="2m"/>
    <n v="1"/>
    <n v="18000000"/>
    <s v="ADNOC School and Um lulu Accommedation"/>
    <n v="18000000"/>
    <s v="KU Regular operations"/>
    <s v="Recurring"/>
    <s v="Ensure the university sustainability "/>
  </r>
  <r>
    <s v="Facilities "/>
    <s v="No Applicable"/>
    <s v="SVP/ Support Services Office"/>
    <n v="847"/>
    <n v="8470530"/>
    <s v="KUST - Facilities Management"/>
    <n v="1"/>
    <n v="421600"/>
    <s v="421600-Security service"/>
    <s v="000000"/>
    <s v="KUST - Main Campus"/>
    <n v="847010"/>
    <s v="FA179-Opex Expense"/>
    <n v="200179"/>
    <x v="423"/>
    <s v="421600.Security service-Number of guard workers-count"/>
    <s v="count"/>
    <n v="1"/>
    <n v="4395006"/>
    <s v="Security Services Main Campus "/>
    <n v="4395006"/>
    <s v="KU Regular operations"/>
    <s v="Recurring"/>
    <s v="Ensure the university sustainability "/>
  </r>
  <r>
    <s v="Facilities "/>
    <s v="No Applicable"/>
    <s v="SVP/ Support Services Office"/>
    <n v="847"/>
    <n v="8470530"/>
    <s v="KUST - Facilities Management"/>
    <n v="1"/>
    <n v="421600"/>
    <s v="421600-Security service"/>
    <s v="000000"/>
    <s v="Student Related Costs"/>
    <n v="847015"/>
    <s v="FA179-Opex Expense"/>
    <n v="200179"/>
    <x v="424"/>
    <s v="421600.Security service-Number of guard workers-count"/>
    <s v="count"/>
    <n v="1"/>
    <n v="2703285"/>
    <s v="Security Services SAN Campus Hostels "/>
    <n v="2703285"/>
    <s v="KU Regular operations"/>
    <s v="Recurring"/>
    <s v="Ensure the university sustainability "/>
  </r>
  <r>
    <s v="Facilities "/>
    <s v="No Applicable"/>
    <s v="SVP/ Support Services Office"/>
    <n v="847"/>
    <n v="8470530"/>
    <s v="KUST - Facilities Management"/>
    <n v="1"/>
    <n v="421600"/>
    <s v="421600-Security service"/>
    <s v="000000"/>
    <s v="KUST- Sas Al Nakhl Campus"/>
    <n v="847020"/>
    <s v="FA179-Opex Expense"/>
    <n v="200179"/>
    <x v="425"/>
    <s v="421600.Security service-Number of guard workers-count"/>
    <s v="count"/>
    <n v="1"/>
    <n v="2291635"/>
    <s v="Security Services SAN Campus "/>
    <n v="2291635"/>
    <s v="KU Regular operations"/>
    <s v="Recurring"/>
    <s v="Ensure the university sustainability "/>
  </r>
  <r>
    <s v="Facilities "/>
    <s v="No Applicable"/>
    <s v="SVP/ Support Services Office"/>
    <n v="847"/>
    <n v="8470530"/>
    <s v="KUST - Facilities Management"/>
    <n v="1"/>
    <n v="421600"/>
    <s v="421600-Security service"/>
    <s v="000000"/>
    <s v="KUST- Masdar city campus"/>
    <n v="847030"/>
    <s v="FA179-Opex Expense"/>
    <n v="200179"/>
    <x v="426"/>
    <s v="421600.Security service-Number of guard workers-count"/>
    <s v="count"/>
    <n v="1"/>
    <n v="439000"/>
    <s v="Security Services MASDAR Leased Hostels "/>
    <n v="439000"/>
    <s v="KU Regular operations"/>
    <s v="Recurring"/>
    <s v="Ensure the university sustainability "/>
  </r>
  <r>
    <s v="Academic"/>
    <s v="Director, Institutional Research and Planning"/>
    <s v="SVP/ Support Services Office"/>
    <n v="847"/>
    <n v="8470530"/>
    <s v="KUST - Facilities Management"/>
    <n v="1"/>
    <n v="421700"/>
    <s v="421700-Standards Certification Services (e.g. ISO)"/>
    <s v="000000"/>
    <s v="KUST - Main Campus"/>
    <n v="847010"/>
    <s v="FA179-Opex Expense"/>
    <n v="200179"/>
    <x v="427"/>
    <s v="421700.Standards Certification Services (e.g. ISO)-professional services scope/deliverables-Number"/>
    <s v="Number"/>
    <n v="1"/>
    <m/>
    <m/>
    <m/>
    <m/>
    <m/>
    <m/>
  </r>
  <r>
    <s v="Communiction &amp; Marketing"/>
    <s v="Director, Marketing and Communication"/>
    <s v="SVP/ Support Services Office"/>
    <n v="847"/>
    <n v="8470530"/>
    <s v="KUST - Facilities Management"/>
    <n v="1"/>
    <n v="425510"/>
    <s v="425510-Conferences, seminars and exhibitions and other events: - Local Events"/>
    <s v="000000"/>
    <s v="KUST - Main Campus"/>
    <n v="847010"/>
    <s v="FA179-Opex Expense"/>
    <n v="200179"/>
    <x v="428"/>
    <s v="425510.Conferences, seminars and exhibitions and other events: - Local Events-Conferences-Number of Conferences"/>
    <s v="Number of Conferences"/>
    <n v="1"/>
    <n v="70000"/>
    <s v="Conferences, seminars and exhibitions and other events: - Local Events"/>
    <n v="70000"/>
    <s v="KU Regular operations"/>
    <s v="Recurring"/>
    <s v="Ensure the university sustainability "/>
  </r>
  <r>
    <s v="Other support"/>
    <s v="Director, Human Resources"/>
    <s v="SVP/ Support Services Office"/>
    <n v="847"/>
    <n v="8470530"/>
    <s v="KUST - Facilities Management"/>
    <n v="1"/>
    <n v="425900"/>
    <s v="425900-Entertainment and hospitality"/>
    <s v="000000"/>
    <s v="KUST - Main Campus"/>
    <n v="847010"/>
    <s v="FA179-Opex Expense"/>
    <n v="200179"/>
    <x v="429"/>
    <s v="425900.Entertainment and hospitality-1. No of events/workshops planned-count"/>
    <s v="count"/>
    <n v="1"/>
    <n v="60000"/>
    <s v="Entertainment and hospitality"/>
    <n v="60000"/>
    <s v="KU Regular operations"/>
    <s v="Recurring"/>
    <s v="Ensure the university sustainability "/>
  </r>
  <r>
    <s v="Facilities "/>
    <s v="No Applicable"/>
    <s v="SVP/ Support Services Office"/>
    <n v="847"/>
    <n v="8470530"/>
    <s v="KUST - Facilities Management"/>
    <n v="1"/>
    <n v="426220"/>
    <s v="426220-Insurance - Fire and allied perils"/>
    <s v="000000"/>
    <s v="KUST - Main Campus"/>
    <n v="847010"/>
    <s v="FA179-Opex Expense"/>
    <n v="200179"/>
    <x v="430"/>
    <s v="426220.Insurance - Fire and allied perils-Number of Buildings-Number"/>
    <s v="Number"/>
    <n v="1"/>
    <n v="960437"/>
    <s v="Insurance - Finance"/>
    <n v="960437"/>
    <s v="KU Regular operations"/>
    <s v="Recurring"/>
    <s v="Ensure the university sustainability "/>
  </r>
  <r>
    <s v="Facilities "/>
    <s v="No Applicable"/>
    <s v="SVP/ Support Services Office"/>
    <n v="847"/>
    <n v="8470530"/>
    <s v="KUST - Facilities Management"/>
    <n v="1"/>
    <n v="426220"/>
    <s v="426220-Insurance - Fire and allied perils"/>
    <s v="000000"/>
    <s v="KUST- Masdar city campus"/>
    <n v="847030"/>
    <s v="FA179-Opex Expense"/>
    <n v="200179"/>
    <x v="431"/>
    <s v="426220.Insurance - Fire and allied perils-Number of Buildings-Number"/>
    <s v="Number"/>
    <n v="1"/>
    <n v="23714"/>
    <s v="Insurance - Finance"/>
    <n v="23714"/>
    <s v="KU Regular operations"/>
    <s v="Recurring"/>
    <s v="Ensure the university sustainability "/>
  </r>
  <r>
    <s v="Facilities "/>
    <s v="No Applicable"/>
    <s v="SVP/ Support Services Office"/>
    <n v="847"/>
    <n v="8470530"/>
    <s v="KUST - Facilities Management"/>
    <n v="1"/>
    <n v="426250"/>
    <s v="426250-Insurance - Motor vehicles"/>
    <s v="000000"/>
    <s v="KUST - Main Campus"/>
    <n v="847010"/>
    <s v="FA179-Opex Expense"/>
    <n v="200179"/>
    <x v="432"/>
    <m/>
    <s v="-_"/>
    <m/>
    <m/>
    <m/>
    <n v="0"/>
    <m/>
    <m/>
    <s v="Ensure the university sustainability "/>
  </r>
  <r>
    <s v="Academic "/>
    <s v="No Applicable"/>
    <s v="SVP/ Support Services Office"/>
    <n v="847"/>
    <n v="8470530"/>
    <s v="KUST - Facilities Management"/>
    <n v="1"/>
    <n v="428090"/>
    <s v="428090-Business Travel - Combined expenses"/>
    <s v="000000"/>
    <s v="KUST - General"/>
    <n v="847001"/>
    <s v="FA179-Opex Expense"/>
    <n v="200179"/>
    <x v="433"/>
    <s v="428090.Business Travel - Combined expenses-Number of Staff-Number"/>
    <s v="Number"/>
    <n v="1"/>
    <n v="300000"/>
    <s v="Business Travel"/>
    <n v="300000"/>
    <s v="KU Regular operations"/>
    <s v="Recurring"/>
    <s v="Ensure the university sustainability "/>
  </r>
  <r>
    <s v="Facilities "/>
    <s v="No Applicable"/>
    <s v="SVP/ Support Services Office"/>
    <n v="847"/>
    <n v="8470530"/>
    <s v="KUST - Facilities Management"/>
    <n v="1"/>
    <n v="432120"/>
    <s v="432120-Bldg maintenance-Business premises"/>
    <s v="000000"/>
    <s v="KUST - Main Campus"/>
    <n v="847010"/>
    <s v="FA179-Opex Expense"/>
    <n v="200179"/>
    <x v="434"/>
    <s v="432120.Bldg maintenance-Business premises-The area of major maintenance HQ-2m"/>
    <s v="2m"/>
    <n v="1"/>
    <n v="13077621"/>
    <s v="FM Hard Services Contract Agreement "/>
    <n v="13077621"/>
    <s v="KU Regular operations"/>
    <s v="Recurring"/>
    <s v="Ensure the university sustainability "/>
  </r>
  <r>
    <s v="Facilities "/>
    <s v="No Applicable"/>
    <s v="SVP/ Support Services Office"/>
    <n v="847"/>
    <n v="8470530"/>
    <s v="KUST - Facilities Management"/>
    <n v="1"/>
    <n v="432120"/>
    <s v="432120-Bldg maintenance-Business premises"/>
    <s v="000000"/>
    <s v="KUST - Main Campus"/>
    <n v="847010"/>
    <s v="FA179-Opex Expense"/>
    <n v="200179"/>
    <x v="434"/>
    <s v="432120.Bldg maintenance-Business premises-The area of major maintenance HQ-2m"/>
    <s v="2m"/>
    <n v="1"/>
    <n v="800000"/>
    <s v="Spares  for FM hard services above Threshold of AED 2500.00"/>
    <n v="800000"/>
    <s v="KU Regular operations"/>
    <s v="Recurring"/>
    <s v="Ensure the university sustainability "/>
  </r>
  <r>
    <s v="Facilities "/>
    <s v="No Applicable"/>
    <s v="SVP/ Support Services Office"/>
    <n v="847"/>
    <n v="8470530"/>
    <s v="KUST - Facilities Management"/>
    <n v="1"/>
    <n v="432120"/>
    <s v="432120-Bldg maintenance-Business premises"/>
    <s v="000000"/>
    <s v="KUST - Main Campus"/>
    <n v="847010"/>
    <s v="FA179-Opex Expense"/>
    <n v="200179"/>
    <x v="434"/>
    <s v="432120.Bldg maintenance-Business premises-The area of major maintenance HQ-2m"/>
    <s v="2m"/>
    <n v="1"/>
    <n v="43500"/>
    <s v="Hassantuk annual renewal fee"/>
    <n v="43500"/>
    <s v="KU Regular operations"/>
    <s v="Recurring"/>
    <s v="Ensure the university sustainability "/>
  </r>
  <r>
    <s v="Facilities "/>
    <s v="No Applicable"/>
    <s v="SVP/ Support Services Office"/>
    <n v="847"/>
    <n v="8470530"/>
    <s v="KUST - Facilities Management"/>
    <n v="1"/>
    <n v="432120"/>
    <s v="432120-Bldg maintenance-Business premises"/>
    <s v="000000"/>
    <s v="Student Related Costs"/>
    <n v="847015"/>
    <s v="FA179-Opex Expense"/>
    <n v="200179"/>
    <x v="435"/>
    <m/>
    <s v="2m"/>
    <m/>
    <m/>
    <m/>
    <m/>
    <s v="KU Regular operations"/>
    <s v="Recurring"/>
    <s v="Ensure the university sustainability "/>
  </r>
  <r>
    <s v="Facilities "/>
    <s v="No Applicable"/>
    <s v="SVP/ Support Services Office"/>
    <n v="847"/>
    <n v="8470530"/>
    <s v="KUST - Facilities Management"/>
    <n v="1"/>
    <n v="432120"/>
    <s v="432120-Bldg maintenance-Business premises"/>
    <s v="000000"/>
    <s v="KUST- Sas Al Nakhl Campus"/>
    <n v="847020"/>
    <s v="FA179-Opex Expense"/>
    <n v="200179"/>
    <x v="436"/>
    <s v="432120.Bldg maintenance-Business premises-The area of major maintenance HQ-2m"/>
    <s v="2m"/>
    <n v="1"/>
    <n v="15393196"/>
    <s v="FM Hard Services Contract Agreement "/>
    <n v="15393196"/>
    <s v="KU Regular operations"/>
    <s v="Recurring"/>
    <s v="Ensure the university sustainability "/>
  </r>
  <r>
    <s v="Facilities "/>
    <s v="No Applicable"/>
    <n v="0"/>
    <n v="847"/>
    <n v="8470530"/>
    <s v="KUST - Facilities Management"/>
    <n v="1"/>
    <n v="432120"/>
    <s v="432120-Bldg maintenance-Business premises"/>
    <s v="000000"/>
    <s v="KUST- Sas Al Nakhl Campus"/>
    <n v="847020"/>
    <s v="FA179-Opex Expense"/>
    <n v="200179"/>
    <x v="436"/>
    <s v="432120.Bldg maintenance-Business premises-The area of major maintenance HQ-2m"/>
    <s v="-_"/>
    <n v="1"/>
    <n v="900000"/>
    <s v="Spares  for FM hard services above Threshold of AED 2500.00"/>
    <n v="900000"/>
    <s v="KU Regular operations"/>
    <s v="Recurring"/>
    <s v="Ensure the university sustainability "/>
  </r>
  <r>
    <s v="Facilities "/>
    <s v="No Applicable"/>
    <n v="0"/>
    <n v="847"/>
    <n v="8470530"/>
    <s v="KUST - Facilities Management"/>
    <n v="1"/>
    <n v="432120"/>
    <s v="432120-Bldg maintenance-Business premises"/>
    <s v="000000"/>
    <s v="KUST- Sas Al Nakhl Campus"/>
    <n v="847020"/>
    <s v="FA179-Opex Expense"/>
    <n v="200179"/>
    <x v="436"/>
    <s v="432120.Bldg maintenance-Business premises-The area of major maintenance HQ-2m"/>
    <s v="2m"/>
    <n v="1"/>
    <n v="142000"/>
    <s v="Hassantuk annual renewal fee"/>
    <n v="142000"/>
    <s v="KU Regular operations"/>
    <s v="Recurring"/>
    <s v="Ensure the university sustainability "/>
  </r>
  <r>
    <s v="Facilities "/>
    <s v="No Applicable"/>
    <s v="SVP/ Support Services Office"/>
    <n v="847"/>
    <n v="8470530"/>
    <s v="KUST - Facilities Management"/>
    <n v="1"/>
    <n v="432120"/>
    <s v="432120-Bldg maintenance-Business premises"/>
    <s v="000000"/>
    <s v="KUST- Masdar city campus"/>
    <n v="847030"/>
    <s v="FA179-Opex Expense"/>
    <n v="200179"/>
    <x v="437"/>
    <s v="432120.Bldg maintenance-Business premises-The area of major maintenance HQ-2m"/>
    <s v="2m"/>
    <n v="1"/>
    <n v="600000"/>
    <s v="Masdar for 12 months Payment -2025 (Cofely) "/>
    <n v="600000"/>
    <s v="KU Regular operations"/>
    <s v="Recurring"/>
    <s v="Ensure the university sustainability "/>
  </r>
  <r>
    <s v="Facilities "/>
    <s v="No Applicable"/>
    <s v="SVP/ Support Services Office"/>
    <n v="847"/>
    <n v="8470530"/>
    <s v="KUST - Facilities Management"/>
    <n v="1"/>
    <n v="432120"/>
    <s v="432120-Bldg maintenance-Business premises"/>
    <s v="000000"/>
    <s v="KUST- Masdar city campus"/>
    <n v="847030"/>
    <s v="FA179-Opex Expense"/>
    <n v="200179"/>
    <x v="437"/>
    <s v="432120.Bldg maintenance-Business premises-The area of major maintenance HQ-2m"/>
    <s v="2m"/>
    <n v="1"/>
    <n v="315252"/>
    <s v="Service charges for Masdar"/>
    <n v="315252"/>
    <s v="KU Regular operations"/>
    <s v="Recurring"/>
    <s v="Ensure the university sustainability "/>
  </r>
  <r>
    <s v="Facilities "/>
    <s v="No Applicable"/>
    <s v="SVP/ Support Services Office"/>
    <n v="847"/>
    <n v="8470530"/>
    <s v="KUST - Facilities Management"/>
    <n v="1"/>
    <n v="432120"/>
    <s v="432120-Bldg maintenance-Business premises"/>
    <s v="000000"/>
    <s v="KUST- Masdar city campus"/>
    <n v="847030"/>
    <s v="FA179-Opex Expense"/>
    <n v="200179"/>
    <x v="437"/>
    <s v="432120.Bldg maintenance-Business premises-The area of major maintenance HQ-2m"/>
    <s v="2m"/>
    <n v="1"/>
    <n v="100000"/>
    <s v="Spares parts"/>
    <n v="100000"/>
    <s v="KU Regular operations"/>
    <s v="Recurring"/>
    <s v="Ensure the university sustainability "/>
  </r>
  <r>
    <s v="Facilities "/>
    <s v="No Applicable"/>
    <s v="SVP/ Support Services Office"/>
    <n v="847"/>
    <n v="8470530"/>
    <s v="KUST - Facilities Management"/>
    <n v="1"/>
    <n v="432120"/>
    <s v="432120-Bldg maintenance-Business premises"/>
    <s v="000000"/>
    <s v="KUST- Masdar city campus"/>
    <n v="847030"/>
    <s v="FA179-Opex Expense"/>
    <n v="200179"/>
    <x v="437"/>
    <s v="432120.Bldg maintenance-Business premises-The area of major maintenance HQ-2m"/>
    <s v="2m"/>
    <n v="1"/>
    <n v="240000"/>
    <s v="B04 A1 - Cooling charges"/>
    <n v="240000"/>
    <s v="KU Regular operations"/>
    <s v="Recurring"/>
    <s v="Ensure the university sustainability "/>
  </r>
  <r>
    <s v="Facilities "/>
    <s v="No Applicable"/>
    <s v="SVP/ Support Services Office"/>
    <n v="847"/>
    <n v="8470530"/>
    <s v="KUST - Facilities Management"/>
    <n v="1"/>
    <n v="432120"/>
    <s v="432120-Bldg maintenance-Business premises"/>
    <s v="000000"/>
    <s v="KUST- Masdar city campus"/>
    <n v="847030"/>
    <s v="FA179-Opex Expense"/>
    <n v="200179"/>
    <x v="437"/>
    <s v="432120.Bldg maintenance-Business premises-The area of major maintenance HQ-2m"/>
    <s v="2m"/>
    <n v="1"/>
    <n v="480000"/>
    <s v="B04 B  - Cooling charges"/>
    <n v="480000"/>
    <s v="KU Regular operations"/>
    <s v="Recurring"/>
    <s v="Ensure the university sustainability "/>
  </r>
  <r>
    <s v="Facilities"/>
    <s v="No Applicable"/>
    <s v="SVP/ Support Services Office"/>
    <n v="847"/>
    <n v="8470530"/>
    <s v="KUST - Facilities Management"/>
    <n v="1"/>
    <n v="432170"/>
    <s v="432170-Bldg decoration &amp; minor improvements"/>
    <s v="000000"/>
    <s v="KUST - Main Campus"/>
    <n v="847010"/>
    <s v="FA179-Opex Expense"/>
    <n v="200179"/>
    <x v="438"/>
    <s v="432170.Bldg decoration &amp; miNumberr improvements-Number of Buildings-Number"/>
    <s v="2m"/>
    <n v="1"/>
    <n v="30000"/>
    <s v="Bldg decoration &amp; minor improvements (ECM)"/>
    <n v="30000"/>
    <s v="KU Regular operations"/>
    <s v="Recurring"/>
    <s v="Ensure the university sustainability "/>
  </r>
  <r>
    <s v="Facilities "/>
    <s v="No Applicable"/>
    <s v="SVP/ Support Services Office"/>
    <n v="847"/>
    <n v="8470530"/>
    <s v="KUST - Facilities Management"/>
    <n v="1"/>
    <n v="432320"/>
    <s v="432320-Residential Furniture and fixtures"/>
    <s v="000000"/>
    <s v="KUST - Main Campus"/>
    <n v="847010"/>
    <s v="FA179-Opex Expense"/>
    <n v="200179"/>
    <x v="439"/>
    <s v="432320.Residential Furniture and fixtures-Number of Building-Number"/>
    <s v="2m"/>
    <n v="1"/>
    <n v="25000"/>
    <s v="Residential furniture and fixtures ( petty cash )"/>
    <n v="25000"/>
    <s v="KU Regular operations"/>
    <s v="Recurring"/>
    <s v="Ensure the university sustainability "/>
  </r>
  <r>
    <s v="Facilities "/>
    <s v="Director, Administration and Facilities"/>
    <s v="SVP/ Support Services Office"/>
    <n v="847"/>
    <n v="8470530"/>
    <s v="KUST - Facilities Management"/>
    <n v="1"/>
    <n v="492200"/>
    <s v="492200-Capital expense - Buildings"/>
    <s v="000000"/>
    <s v="KUST - General"/>
    <n v="847001"/>
    <s v="FA180-Capex Expense"/>
    <n v="300180"/>
    <x v="440"/>
    <s v="492200.Capital expense - Buildings-Fitout cost-2m"/>
    <s v="2m"/>
    <n v="1"/>
    <n v="2520000"/>
    <s v="supply and installation of Package units (15 nos )"/>
    <n v="2520000"/>
    <s v="KU Regular operations"/>
    <s v="Recurring"/>
    <s v="Ensure the university sustainability "/>
  </r>
  <r>
    <s v="Facilities "/>
    <s v="Director, Administration and Facilities"/>
    <s v="SVP/ Support Services Office"/>
    <n v="847"/>
    <n v="8470530"/>
    <s v="KUST - Facilities Management"/>
    <n v="1"/>
    <n v="492200"/>
    <s v="492200-Capital expense - Buildings"/>
    <s v="000000"/>
    <s v="KUST - Main Campus"/>
    <n v="847010"/>
    <s v="FA180-Capex Expense"/>
    <n v="300180"/>
    <x v="441"/>
    <s v="492200.Capital expense - Buildings-Fitout cost-2m"/>
    <s v="2m"/>
    <n v="1"/>
    <n v="120000"/>
    <s v=" replacment of Air compressor &amp; dryer - G building ( 1 no. ) "/>
    <n v="120000"/>
    <s v="KU Regular operations"/>
    <s v="Recurring"/>
    <s v="Ensure the university sustainability "/>
  </r>
  <r>
    <s v="Facilities "/>
    <s v="Director, Administration and Facilities"/>
    <n v="0"/>
    <n v="847"/>
    <n v="8470530"/>
    <s v="KUST - Facilities Management"/>
    <n v="1"/>
    <n v="492200"/>
    <s v="492200-Capital expense - Buildings"/>
    <s v="000000"/>
    <s v="KUST - Main Campus"/>
    <n v="847010"/>
    <s v="FA180-Capex Expense"/>
    <n v="300180"/>
    <x v="441"/>
    <s v="492200.Capital expense - Buildings-Fitout cost-2m"/>
    <s v="Number"/>
    <n v="1"/>
    <n v="114999.99999999999"/>
    <s v="upgradation of capacitor bank  &amp; capacitor replacements in old buildings "/>
    <n v="114999.99999999999"/>
    <s v="KU Regular operations"/>
    <s v="Recurring"/>
    <s v="Ensure the university sustainability "/>
  </r>
  <r>
    <s v="Facilities "/>
    <s v="Director, Administration and Facilities"/>
    <n v="0"/>
    <n v="847"/>
    <n v="8470530"/>
    <s v="KUST - Facilities Management"/>
    <n v="1"/>
    <n v="492200"/>
    <s v="492200-Capital expense - Buildings"/>
    <s v="000000"/>
    <s v="KUST - Main Campus"/>
    <n v="847010"/>
    <s v="FA180-Capex Expense"/>
    <n v="300180"/>
    <x v="441"/>
    <s v="492200.Capital expense - Buildings-Fitout cost-2m"/>
    <s v="Number"/>
    <n v="1"/>
    <n v="114999.99999999999"/>
    <s v="supply and replacement of smoke and heat detectors with base ( 160 no's) -old buildings "/>
    <n v="114999.99999999999"/>
    <s v="KU Regular operations"/>
    <s v="Recurring"/>
    <s v="Ensure the university sustainability "/>
  </r>
  <r>
    <s v="Facilities "/>
    <s v="Director, Administration and Facilities"/>
    <n v="0"/>
    <n v="847"/>
    <n v="8470530"/>
    <s v="KUST - Facilities Management"/>
    <n v="1"/>
    <n v="492200"/>
    <s v="492200-Capital expense - Buildings"/>
    <s v="000000"/>
    <s v="KUST - Main Campus"/>
    <n v="847010"/>
    <s v="FA180-Capex Expense"/>
    <n v="300180"/>
    <x v="441"/>
    <s v="492200.Capital expense - Buildings-Fitout cost-2m"/>
    <s v="-_"/>
    <n v="1"/>
    <n v="100000"/>
    <s v="Emergency light and exit light in old buildings "/>
    <n v="100000"/>
    <s v="KU Regular operations"/>
    <s v="Recurring"/>
    <s v="Ensure the university sustainability "/>
  </r>
  <r>
    <s v="Facilities "/>
    <s v="Director, Administration and Facilities"/>
    <n v="0"/>
    <n v="847"/>
    <n v="8470530"/>
    <s v="KUST - Facilities Management"/>
    <n v="1"/>
    <n v="492200"/>
    <s v="492200-Capital expense - Buildings"/>
    <s v="000000"/>
    <s v="KUST - Main Campus"/>
    <n v="847010"/>
    <s v="FA180-Capex Expense"/>
    <n v="300180"/>
    <x v="441"/>
    <s v="492200.Capital expense - Buildings-Fitout cost-2m"/>
    <s v="-_"/>
    <n v="1"/>
    <n v="100000"/>
    <s v="Fume hoods replacement( Ductless fume hood ) 33 % ( 10 out of 30 nos. )"/>
    <n v="100000"/>
    <s v="KU Regular operations"/>
    <s v="Recurring"/>
    <s v="Ensure the university sustainability "/>
  </r>
  <r>
    <s v="Facilities "/>
    <s v="Director, Administration and Facilities"/>
    <n v="0"/>
    <n v="847"/>
    <n v="8470530"/>
    <s v="KUST - Facilities Management"/>
    <n v="1"/>
    <n v="492200"/>
    <s v="492200-Capital expense - Buildings"/>
    <s v="000000"/>
    <s v="KUST - Main Campus"/>
    <n v="847010"/>
    <s v="FA180-Capex Expense"/>
    <n v="300180"/>
    <x v="441"/>
    <s v="492200.Capital expense - Buildings-Fitout cost-2m"/>
    <s v="2m"/>
    <n v="1"/>
    <n v="100000"/>
    <s v="Sliding door upgarde with new controllers &amp; unit - New building  "/>
    <n v="100000"/>
    <s v="KU Regular operations"/>
    <s v="Recurring"/>
    <s v="Ensure the university sustainability "/>
  </r>
  <r>
    <s v="Facilities "/>
    <s v="Director, Administration and Facilities"/>
    <s v="SVP/ Support Services Office"/>
    <n v="847"/>
    <n v="8470530"/>
    <s v="KUST - Facilities Management"/>
    <n v="1"/>
    <n v="492610"/>
    <s v="492610-Furniture &amp; Fixtures - Offices"/>
    <s v="000000"/>
    <s v="KUST- Sas Al Nakhl Campus"/>
    <n v="847020"/>
    <s v="FA180-Capex Expense"/>
    <n v="300180"/>
    <x v="442"/>
    <s v="492610.Furniture &amp; Fixtures - Offices-Area of the rehabilitated building-2m"/>
    <s v="2m"/>
    <n v="1"/>
    <n v="100000"/>
    <s v="Furniture for new Biology labs and office"/>
    <n v="100000"/>
    <s v="KU Regular operations"/>
    <s v="Recurring"/>
    <s v="Ensure the university sustainability "/>
  </r>
  <r>
    <n v="0"/>
    <s v="No Applicable"/>
    <s v="SVP/ Support Services Office"/>
    <n v="847"/>
    <n v="8470530"/>
    <s v="KUST - Facilities Management"/>
    <n v="1"/>
    <n v="495110"/>
    <s v="495110-Computer software"/>
    <s v="000000"/>
    <s v="KUST - General"/>
    <n v="847001"/>
    <s v="FA180-Capex Expense"/>
    <n v="300180"/>
    <x v="443"/>
    <s v="495110.Computer software-TBD-TBD"/>
    <s v="2m"/>
    <n v="1"/>
    <n v="2500000"/>
    <s v="Netix Konnect iICCC Platform"/>
    <n v="2500000"/>
    <s v="KU Regular operations"/>
    <s v="Recurring"/>
    <s v="Ensure the university sustainability "/>
  </r>
  <r>
    <s v="HR"/>
    <s v="No Applicable"/>
    <s v="SVP/ Support Services Office"/>
    <n v="847"/>
    <n v="8470540"/>
    <s v="KUST - Administration"/>
    <n v="1"/>
    <n v="421100"/>
    <s v="413310-Consolidated cost of  outsourced manpower"/>
    <s v="000000"/>
    <s v="KUST - Main Campus"/>
    <n v="847010"/>
    <s v="-"/>
    <n v="100178"/>
    <x v="444"/>
    <s v="413310.Manpower supply-Number of employees and type of service provided-Number of Number of employees and type of service provided"/>
    <s v="Number of Number of employees and type of service provided"/>
    <n v="1"/>
    <n v="1153248"/>
    <s v="Clinic Manpower"/>
    <n v="1153248"/>
    <s v="KU Regular operations"/>
    <s v="Recurring"/>
    <s v="Ensure the university sustainability "/>
  </r>
  <r>
    <s v="-"/>
    <s v="-"/>
    <s v="SVP/ Support Services Office"/>
    <n v="847"/>
    <n v="8470540"/>
    <s v="KUST - Administration"/>
    <n v="1"/>
    <n v="413310"/>
    <s v="413310-Consolidated cost of  outsourced manpower"/>
    <s v="000000"/>
    <s v="KUST - Main Campus"/>
    <n v="847010"/>
    <s v="Manpower"/>
    <n v="100178"/>
    <x v="445"/>
    <s v="413310.Manpower supply-Number of employees and type of service provided-Number of Number of employees and type of service provided"/>
    <s v="Number of Number of employees and type of service provided"/>
    <n v="1"/>
    <n v="421800"/>
    <s v="AL Qudra Sport Mangement manpower"/>
    <n v="421800"/>
    <s v="KU Regular operations"/>
    <s v="Recurring"/>
    <s v="Ensure the university sustainability "/>
  </r>
  <r>
    <s v="-"/>
    <s v="-"/>
    <s v="SVP/ Support Services Office"/>
    <n v="847"/>
    <n v="8470540"/>
    <s v="KUST - Administration"/>
    <n v="1"/>
    <n v="413310"/>
    <s v="413310-Consolidated cost of  outsourced manpower"/>
    <s v="000000"/>
    <s v="KUST - Main Campus"/>
    <n v="847010"/>
    <s v="Manpower"/>
    <n v="100178"/>
    <x v="445"/>
    <s v="413310.Manpower supply-Number of employees and type of service provided-Number of Number of employees and type of service provided"/>
    <s v="Number of Number of employees and type of service provided"/>
    <n v="1"/>
    <n v="190000"/>
    <s v="KU Call Centre"/>
    <n v="190000"/>
    <s v="KU Regular operations"/>
    <s v="Recurring"/>
    <s v="Ensure the university sustainability "/>
  </r>
  <r>
    <s v="-"/>
    <s v="-"/>
    <s v="SVP/ Support Services Office"/>
    <n v="847"/>
    <n v="8470540"/>
    <s v="KUST - Administration"/>
    <n v="1"/>
    <n v="413310"/>
    <s v="413310-Consolidated cost of  outsourced manpower"/>
    <s v="000000"/>
    <s v="KUST - Main Campus"/>
    <n v="847010"/>
    <s v="Manpower"/>
    <n v="100178"/>
    <x v="445"/>
    <s v="413310.Manpower supply-Number of employees and type of service provided-Number of Number of employees and type of service provided"/>
    <s v="Number of Number of employees and type of service provided"/>
    <n v="1"/>
    <n v="447260"/>
    <s v="Provision of administration services manpower"/>
    <n v="447260"/>
    <s v="KU Regular operations"/>
    <s v="Recurring"/>
    <s v="Ensure the university sustainability "/>
  </r>
  <r>
    <s v="Other support"/>
    <s v="No Applicable"/>
    <s v="SVP/ Support Services Office"/>
    <n v="847"/>
    <n v="8470540"/>
    <s v="KUST - Administration"/>
    <n v="1"/>
    <n v="422900"/>
    <s v="422900-Other specialised professional services, not mentioned elsewhere"/>
    <s v="000000"/>
    <s v="KUST - Main Campus"/>
    <s v="847010"/>
    <s v="FA179-Opex Expense"/>
    <n v="200179"/>
    <x v="446"/>
    <s v="422900.Other specialised professional services, not mentioned elsewhere-Number of employee-number"/>
    <s v="number"/>
    <n v="1"/>
    <n v="900000"/>
    <s v="Provision of tea boys and office boys services"/>
    <n v="900000"/>
    <s v="KU Regular operations"/>
    <s v="Recurring"/>
    <s v="Ensure the university sustainability "/>
  </r>
  <r>
    <s v="Facilities "/>
    <s v="No Applicable"/>
    <s v="SVP/ Support Services Office"/>
    <n v="847"/>
    <n v="8470540"/>
    <s v="KUST - Administration"/>
    <n v="1"/>
    <n v="426800"/>
    <s v="426800-Motor vehicle registration and inspection charges"/>
    <s v="000000"/>
    <s v="KUST - Main Campus"/>
    <n v="847010"/>
    <s v="FA179-Opex Expense"/>
    <n v="200179"/>
    <x v="447"/>
    <s v="426800.Motor vehicle registration and inspection charges-Number of Motor Vehicle-Month"/>
    <s v="Month"/>
    <n v="1"/>
    <n v="10000"/>
    <s v="vehicle registrations in accordance to the new prices and fees"/>
    <n v="10000"/>
    <s v="KU Regular operations"/>
    <s v="Recurring"/>
    <s v="Ensure the university sustainability "/>
  </r>
  <r>
    <s v="HR"/>
    <s v="No Applicable"/>
    <s v="SVP/ Support Services Office"/>
    <n v="847"/>
    <n v="8470540"/>
    <s v="KUST - Administration"/>
    <n v="1"/>
    <n v="426900"/>
    <s v="426900-Postal, courier and other document delivery expenses"/>
    <s v="000000"/>
    <s v="KUST - Main Campus"/>
    <n v="847010"/>
    <s v="FA179-Opex Expense"/>
    <n v="200179"/>
    <x v="448"/>
    <s v="426900.Postal, courier and other document delivery expenses-Number of Employees-Number"/>
    <s v="Number"/>
    <n v="1"/>
    <n v="30000"/>
    <s v="Renewal for the mailbox and the senior management courier"/>
    <n v="30000"/>
    <s v="KU Regular operations"/>
    <s v="Recurring"/>
    <s v="Ensure the university sustainability "/>
  </r>
  <r>
    <s v="Facilities "/>
    <s v="No Applicable"/>
    <s v="SVP/ Support Services Office"/>
    <n v="847"/>
    <n v="8470540"/>
    <s v="KUST - Administration"/>
    <n v="1"/>
    <n v="428111"/>
    <s v="428111-Electricity consumption charges"/>
    <s v="000000"/>
    <s v="KUST - Main Campus"/>
    <n v="847010"/>
    <s v="FA179-Opex Expense"/>
    <n v="200179"/>
    <x v="449"/>
    <s v="428111.Consumption charges-Water &amp; Electricity combined-Building area Main Campus-m2"/>
    <s v="m2"/>
    <n v="1"/>
    <n v="9664500"/>
    <s v="Electricity consumption"/>
    <n v="9664500"/>
    <s v="KU Regular operations"/>
    <s v="Recurring"/>
    <s v="Ensure the university sustainability "/>
  </r>
  <r>
    <s v="Facilities "/>
    <s v="No Applicable"/>
    <s v="SVP/ Support Services Office"/>
    <n v="847"/>
    <n v="8470540"/>
    <s v="KUST - Administration"/>
    <n v="1"/>
    <n v="428111"/>
    <s v="428111-Electricity consumption charges"/>
    <s v="000000"/>
    <s v="Student Related Costs"/>
    <n v="847015"/>
    <s v="FA179-Opex Expense"/>
    <n v="200179"/>
    <x v="450"/>
    <s v="428111.Consumption charges-Water &amp; Electricity combined-Building area SAN Campus Student life-m2"/>
    <s v="m2"/>
    <n v="1"/>
    <n v="4615084"/>
    <s v="Electricity consumption"/>
    <n v="4615084"/>
    <s v="KU Regular operations"/>
    <s v="Recurring"/>
    <s v="Ensure the university sustainability "/>
  </r>
  <r>
    <s v="Facilities "/>
    <s v="No Applicable"/>
    <s v="SVP/ Support Services Office"/>
    <n v="847"/>
    <n v="8470540"/>
    <s v="KUST - Administration"/>
    <n v="1"/>
    <n v="428111"/>
    <s v="428111-Electricity consumption charges"/>
    <s v="000000"/>
    <s v="KUST- Sas Al Nakhl Campus"/>
    <n v="847020"/>
    <s v="FA179-Opex Expense"/>
    <n v="200179"/>
    <x v="451"/>
    <s v="428111.Consumption charges-Water &amp; Electricity combined-Building area SAN Campus Student life-m2"/>
    <s v="m2"/>
    <n v="1"/>
    <n v="3976000"/>
    <s v="Electricity consumption"/>
    <n v="3976000"/>
    <s v="KU Regular operations"/>
    <s v="Recurring"/>
    <s v="Ensure the university sustainability "/>
  </r>
  <r>
    <s v="Facilities "/>
    <s v="No Applicable"/>
    <s v="SVP/ Support Services Office"/>
    <n v="847"/>
    <n v="8470540"/>
    <s v="KUST - Administration"/>
    <n v="1"/>
    <n v="428111"/>
    <s v="428111-Electricity consumption charges"/>
    <s v="000000"/>
    <s v="KUST- Masdar city campus"/>
    <n v="847030"/>
    <s v="FA179-Opex Expense"/>
    <n v="200179"/>
    <x v="452"/>
    <s v="428111.Consumption charges-Water &amp; Electricity combined-MASDER-"/>
    <s v="-_"/>
    <n v="1"/>
    <n v="442627"/>
    <s v="Electricity consumption"/>
    <n v="442627"/>
    <s v="KU Regular operations"/>
    <s v="Recurring"/>
    <s v="Ensure the university sustainability "/>
  </r>
  <r>
    <s v="Facilities "/>
    <s v="No Applicable"/>
    <s v="SVP/ Support Services Office"/>
    <n v="847"/>
    <n v="8470540"/>
    <s v="KUST - Administration"/>
    <n v="1"/>
    <n v="428112"/>
    <s v="428112-Water consumption charges"/>
    <s v="000000"/>
    <s v="KUST - Main Campus"/>
    <n v="847010"/>
    <s v="FA179-Opex Expense"/>
    <n v="200179"/>
    <x v="453"/>
    <s v="428112.Water and Electricity charges - Business premises-The built up area of Main Campus-2m"/>
    <s v="2m"/>
    <n v="1"/>
    <n v="1500000"/>
    <s v="Water consumption"/>
    <n v="1500000"/>
    <s v="KU Regular operations"/>
    <s v="Recurring"/>
    <s v="Ensure the university sustainability "/>
  </r>
  <r>
    <s v="Facilities "/>
    <s v="No Applicable"/>
    <s v="SVP/ Support Services Office"/>
    <n v="847"/>
    <n v="8470540"/>
    <s v="KUST - Administration"/>
    <n v="1"/>
    <n v="428112"/>
    <s v="428112-Water consumption charges"/>
    <s v="000000"/>
    <s v="Student Related Costs"/>
    <n v="847015"/>
    <s v="FA179-Opex Expense"/>
    <n v="200179"/>
    <x v="454"/>
    <s v="428112.Water and Electricity charges - Business premises-The built up area of SAN Campus Sduent life-2m"/>
    <s v="2m"/>
    <n v="1"/>
    <n v="1681399"/>
    <s v="Water consumption"/>
    <n v="1681399"/>
    <s v="KU Regular operations"/>
    <s v="Recurring"/>
    <s v="Ensure the university sustainability "/>
  </r>
  <r>
    <s v="Facilities "/>
    <s v="No Applicable"/>
    <s v="SVP/ Support Services Office"/>
    <n v="847"/>
    <n v="8470540"/>
    <s v="KUST - Administration"/>
    <n v="1"/>
    <n v="428112"/>
    <s v="428112-Water consumption charges"/>
    <s v="000000"/>
    <s v="KUST- Sas Al Nakhl Campus"/>
    <n v="847020"/>
    <s v="FA179-Opex Expense"/>
    <n v="200179"/>
    <x v="455"/>
    <s v="428112.Water and Electricity charges - Business premises-MASDER-"/>
    <s v="-_"/>
    <n v="1"/>
    <n v="1873450"/>
    <s v="Water consumption"/>
    <n v="1873450"/>
    <s v="KU Regular operations"/>
    <s v="Recurring"/>
    <s v="Ensure the university sustainability "/>
  </r>
  <r>
    <s v="Facilities "/>
    <s v="No Applicable"/>
    <s v="SVP/ Support Services Office"/>
    <n v="847"/>
    <n v="8470540"/>
    <s v="KUST - Administration"/>
    <n v="1"/>
    <n v="428112"/>
    <s v="428112-Water consumption charges"/>
    <s v="000000"/>
    <s v="KUST- Masdar city campus"/>
    <n v="847030"/>
    <s v="FA179-Opex Expense"/>
    <n v="200179"/>
    <x v="456"/>
    <s v="428112.Water and Electricity charges - Business premises-The built up area of Main Campus-2m"/>
    <s v="2m"/>
    <n v="1"/>
    <n v="153570"/>
    <s v="Water consumption"/>
    <n v="153570"/>
    <s v="KU Regular operations"/>
    <s v="Recurring"/>
    <s v="Ensure the university sustainability "/>
  </r>
  <r>
    <s v="Other support"/>
    <s v="No Applicable"/>
    <s v="SVP/ Support Services Office"/>
    <n v="847"/>
    <n v="8470540"/>
    <s v="KUST - Administration"/>
    <n v="1"/>
    <n v="429900"/>
    <s v="429900-Other services, not specifically mentioned elsewhere"/>
    <s v="000000"/>
    <s v="KUST - Main Campus"/>
    <n v="847010"/>
    <s v="FA179-Opex Expense"/>
    <n v="200179"/>
    <x v="457"/>
    <s v="429900.Other services, not specifically mentioned elsewhere-TBD-Number of TBD"/>
    <s v="Number of TBD"/>
    <n v="1"/>
    <n v="44000"/>
    <s v="Clinic Consumables"/>
    <n v="44000"/>
    <s v="KU Regular operations"/>
    <s v="Recurring"/>
    <s v="Ensure the university sustainability "/>
  </r>
  <r>
    <s v="Other support"/>
    <s v="No Applicable"/>
    <s v="SVP/ Support Services Office"/>
    <n v="847"/>
    <n v="8470540"/>
    <s v="KUST - Administration"/>
    <n v="1"/>
    <n v="429900"/>
    <s v="429900-Other services, not specifically mentioned elsewhere"/>
    <s v="000000"/>
    <s v="KUST - Main Campus"/>
    <n v="847010"/>
    <s v="FA179-Opex Expense"/>
    <n v="200179"/>
    <x v="457"/>
    <s v="429900.Other services, not specifically mentioned elsewhere-TBD-Number of TBD"/>
    <s v="Number of TBD"/>
    <n v="1"/>
    <n v="4000"/>
    <s v="Gov Fees"/>
    <n v="4000"/>
    <s v="KU Regular operations"/>
    <s v="Recurring"/>
    <s v="Ensure the university sustainability "/>
  </r>
  <r>
    <s v="Facilities "/>
    <s v="No Applicable"/>
    <s v="SVP/ Support Services Office"/>
    <n v="847"/>
    <n v="8470540"/>
    <s v="KUST - Administration"/>
    <n v="1"/>
    <n v="430330"/>
    <s v="430330-Rental - Motor vehicles"/>
    <s v="000000"/>
    <s v="KUST - Main Campus"/>
    <n v="847010"/>
    <s v="FA179-Opex Expense"/>
    <n v="200179"/>
    <x v="458"/>
    <s v="430330.Rental - Motor vehicles-Number of staff and facilty -count"/>
    <s v="count"/>
    <n v="1"/>
    <n v="1100000"/>
    <s v="4 Shuttle buses and 4 driver "/>
    <n v="1100000"/>
    <s v="KU Regular operations"/>
    <s v="Recurring"/>
    <s v="Ensure the university sustainability "/>
  </r>
  <r>
    <s v="Facilities "/>
    <s v="No Applicable"/>
    <s v="SVP/ Support Services Office"/>
    <n v="847"/>
    <n v="8470540"/>
    <s v="KUST - Administration"/>
    <n v="1"/>
    <n v="430330"/>
    <s v="430330-Rental - Motor vehicles"/>
    <s v="000000"/>
    <s v="KUST - Main Campus"/>
    <n v="847010"/>
    <s v="FA179-Opex Expense"/>
    <n v="200179"/>
    <x v="458"/>
    <s v="430330.Rental - Motor vehicles-Number of staff and facilty -count"/>
    <s v="count"/>
    <n v="1"/>
    <n v="770120.77"/>
    <s v="Vehicle Type - Requirement"/>
    <n v="770120.77"/>
    <s v="KU Regular operations"/>
    <s v="Recurring"/>
    <s v="Ensure the university sustainability "/>
  </r>
  <r>
    <s v="Facilities "/>
    <s v="No Applicable"/>
    <s v="SVP/ Support Services Office"/>
    <n v="847"/>
    <n v="8470540"/>
    <s v="KUST - Administration"/>
    <n v="1"/>
    <n v="432540"/>
    <s v="432540-Motor vehicles (non-military)"/>
    <s v="000000"/>
    <s v="KUST - Main Campus"/>
    <n v="847010"/>
    <s v="FA179-Opex Expense"/>
    <n v="200179"/>
    <x v="459"/>
    <s v="432540.Motor vehicles (non-military)-maintenance for the 4 wheel non-military government-owned cars.-number of cars"/>
    <s v="number of cars"/>
    <n v="1"/>
    <n v="140000"/>
    <s v="Vehicles regular Maintenance for 14 fleets vehicles which is AED 10,0000"/>
    <n v="140000"/>
    <s v="KU Regular operations"/>
    <s v="Recurring"/>
    <s v="Ensure the university sustainability "/>
  </r>
  <r>
    <s v="Other support"/>
    <s v="No Applicable"/>
    <s v="SVP/ Support Services Office"/>
    <n v="847"/>
    <n v="8470540"/>
    <s v="KUST - Administration"/>
    <n v="1"/>
    <n v="435410"/>
    <s v="435410-Catering supplies: Offices"/>
    <s v="000000"/>
    <s v="KUST- Sas Al Nakhl Campus"/>
    <n v="847020"/>
    <s v="FA179-Opex Expense"/>
    <n v="200179"/>
    <x v="460"/>
    <s v="435410.Catering supplies: Offices-Number of Staff-Number"/>
    <s v="Number"/>
    <n v="1"/>
    <n v="840000"/>
    <s v="Catering - Kitchen Supplies"/>
    <n v="840000"/>
    <s v="KU Regular operations"/>
    <s v="Recurring"/>
    <s v="Ensure the university sustainability "/>
  </r>
  <r>
    <s v="Facilities "/>
    <s v="No Applicable"/>
    <s v="SVP/ Support Services Office"/>
    <n v="847"/>
    <n v="8470540"/>
    <s v="KUST - Administration"/>
    <n v="1"/>
    <n v="435740"/>
    <s v="435740-Fuel, oil and lubricants: Motor vehicles"/>
    <s v="000000"/>
    <s v="KUST - Main Campus"/>
    <n v="847010"/>
    <s v="FA179-Opex Expense"/>
    <n v="200179"/>
    <x v="461"/>
    <s v="435740.Fuel, oil and lubricants: Motor vehicles-Trips of Motor vehicles-km"/>
    <s v="km"/>
    <n v="1"/>
    <n v="336000"/>
    <s v="Fuel Consumptions for 14 vehicles at AED 2,000 Each vehicle"/>
    <n v="336000"/>
    <s v="KU Regular operations"/>
    <s v="Recurring"/>
    <s v="Ensure the university sustainability "/>
  </r>
  <r>
    <s v="-"/>
    <s v="-"/>
    <s v="SVP/ Support Services Office"/>
    <n v="847"/>
    <n v="8470540"/>
    <s v="KUST - Administration"/>
    <n v="1"/>
    <n v="426250"/>
    <s v="426250-Insurance - Motor vehicles"/>
    <s v="000000"/>
    <s v="KUST - Main Campus"/>
    <n v="847010"/>
    <s v="FA179-Opex Expense"/>
    <n v="200179"/>
    <x v="462"/>
    <s v="426250.Insurance - Motor vehicles-1. No of motor vehicles-count"/>
    <s v="count"/>
    <n v="1"/>
    <n v="50000"/>
    <s v="Full Insurance for 14 vehicles "/>
    <n v="50000"/>
    <s v="KU Regular operations"/>
    <s v="Recurring"/>
    <s v="Ensure the university sustainability "/>
  </r>
  <r>
    <s v="Other support"/>
    <s v="No Applicable"/>
    <s v="SVP/ Support Services Office"/>
    <n v="847"/>
    <n v="8470540"/>
    <s v="KUST - Administration"/>
    <n v="1"/>
    <n v="436110"/>
    <s v="436110-Printing supplies"/>
    <s v="000000"/>
    <s v="KUST - Main Campus"/>
    <n v="847010"/>
    <s v="FA179-Opex Expense"/>
    <n v="200179"/>
    <x v="463"/>
    <s v="436110.Printing supplies-Number of Employees-Number"/>
    <s v="Number"/>
    <n v="1"/>
    <n v="94500"/>
    <s v="ID Card Printing Supplies"/>
    <n v="94500"/>
    <s v="KU Regular operations"/>
    <s v="Recurring"/>
    <s v="Ensure the university sustainability "/>
  </r>
  <r>
    <s v="Academic"/>
    <s v="No Applicable"/>
    <s v="President's Office "/>
    <n v="847"/>
    <n v="8470110"/>
    <s v="KUST - Office of the President"/>
    <n v="1"/>
    <n v="420550"/>
    <s v="420550-Academic Advisory Service"/>
    <s v="000000"/>
    <s v="KUST - General"/>
    <n v="847001"/>
    <s v="FA179-Opex Expense"/>
    <n v="200179"/>
    <x v="464"/>
    <s v="420550.Academic Advisory Service-Number of Services-Number"/>
    <s v="Number"/>
    <n v="1"/>
    <n v="100000"/>
    <s v="For expenses related to Academic boards, including Presidents Advisory Council. This includes travel cost, accommodation and honorarium."/>
    <n v="100000"/>
    <s v="KU Strategic New Initiative"/>
    <s v="Non-recurring"/>
    <s v="Build partnerships with local and international universities"/>
  </r>
  <r>
    <s v="Academic"/>
    <s v="No Applicable"/>
    <s v="President's Office "/>
    <n v="847"/>
    <n v="8470110"/>
    <s v="KUST - Office of the President"/>
    <n v="1"/>
    <n v="420570"/>
    <s v="420570-Academic Collaborative Partnership Services"/>
    <s v="000000"/>
    <s v="KUST - General"/>
    <n v="847001"/>
    <s v="FA179-Opex Expense"/>
    <n v="200179"/>
    <x v="465"/>
    <s v="420570.Academic Collaborative Partnership Services-Partnership Agreement or Academic Collaboration -No of Partneship/collaboration Agreement"/>
    <s v="No of Partneship/collaboration Agreement"/>
    <n v="1"/>
    <n v="5000000"/>
    <s v="For payments made to collaborating institutions, as part of partnership agreements. This would include a potential affilation partnership for the greaduate school of busineess"/>
    <n v="5000000"/>
    <s v="KU Strategic New Initiative"/>
    <s v="Non-recurring"/>
    <s v="Build partnerships with local and international universities"/>
  </r>
  <r>
    <s v="HR"/>
    <s v="Manager, Business Development"/>
    <s v="President's Office "/>
    <n v="847"/>
    <n v="8470110"/>
    <s v="KUST - Office of the President"/>
    <n v="1"/>
    <n v="421000"/>
    <s v="421000-Management consultancy"/>
    <s v="000000"/>
    <s v="KUST - General"/>
    <n v="847001"/>
    <s v="FA179-Opex Expense"/>
    <n v="200179"/>
    <x v="466"/>
    <s v="421000.Management consultancy-Number of contracted consultations -count"/>
    <s v="count"/>
    <n v="1"/>
    <n v="200000"/>
    <s v="Includes all types of consultancy, including academic and research consultancy. This does not include consultancy related directly to a capital asset or consultancy that are advisory in nature."/>
    <n v="200000"/>
    <s v="KU Strategic New Initiative"/>
    <s v="Non-recurring"/>
    <s v="Develop the university innovation and entrepreneurship system"/>
  </r>
  <r>
    <s v="Communiction &amp; Marketing"/>
    <s v="Director, Marketing and Communication"/>
    <s v="President's Office "/>
    <n v="847"/>
    <n v="8470110"/>
    <s v="KUST - Office of the President"/>
    <n v="1"/>
    <n v="425510"/>
    <s v="425510-Conferences, seminars and exhibitions and other events: - Local Events"/>
    <s v="000000"/>
    <s v="KUST - General"/>
    <n v="847001"/>
    <s v="FA179-Opex Expense"/>
    <n v="200179"/>
    <x v="467"/>
    <s v="425510.Conferences, seminars and exhibitions and other events: - Local Events-Conferences-Number of Conferences"/>
    <s v="Number of Conferences"/>
    <n v="1"/>
    <n v="300000"/>
    <s v="Includes all expenses connected with event expenses hosted/participated inside UAE. Does not include faculty conferences."/>
    <n v="300000"/>
    <s v="KU Regular operations"/>
    <s v="Recurring"/>
    <s v="Enhance the communication plan and outreach activities"/>
  </r>
  <r>
    <s v="Communiction &amp; Marketing"/>
    <s v="No Applicable"/>
    <s v="President's Office "/>
    <n v="847"/>
    <n v="8470110"/>
    <s v="KUST - Office of the President"/>
    <n v="1"/>
    <n v="425550"/>
    <s v="425550-Conferences, seminars and exhibitions and other events: - Overseas event"/>
    <s v="000000"/>
    <s v="KUST - General"/>
    <n v="847001"/>
    <s v="FA179-Opex Expense"/>
    <n v="200179"/>
    <x v="468"/>
    <s v="425550.Conferences, seminars and exhibitions and other events: - Overseas event-Conferences-Number of Conferences"/>
    <s v="Number of Conferences"/>
    <n v="1"/>
    <n v="300000"/>
    <s v="Includes all expenses connected with event expenses hosted/participated outside UAE. Does not include faculty conferences."/>
    <n v="300000"/>
    <s v="KU Regular operations"/>
    <s v="Recurring"/>
    <s v="Enhance the communication plan and outreach activities"/>
  </r>
  <r>
    <s v="Other support"/>
    <s v="Director, Human Resources"/>
    <s v="President's Office "/>
    <n v="847"/>
    <n v="8470110"/>
    <s v="KUST - Office of the President"/>
    <n v="1"/>
    <n v="425900"/>
    <s v="425900-Entertainment and hospitality"/>
    <s v="000000"/>
    <s v="KUST - General"/>
    <n v="847001"/>
    <s v="FA179-Opex Expense"/>
    <n v="200179"/>
    <x v="469"/>
    <s v="425900.Entertainment and hospitality-1. No of events/workshops planned-count"/>
    <s v="count"/>
    <n v="1"/>
    <n v="50000"/>
    <s v="Including catering charges &amp; farewell/welcome gatherings"/>
    <n v="50000"/>
    <s v="KU Regular operations"/>
    <s v="Recurring"/>
    <s v="Enhance the communication plan and outreach activities"/>
  </r>
  <r>
    <s v="Academic "/>
    <s v="No Applicable"/>
    <s v="President's Office "/>
    <n v="847"/>
    <n v="8470110"/>
    <s v="KUST - Office of the President"/>
    <n v="1"/>
    <n v="428090"/>
    <s v="428090-Business Travel - Combined expenses"/>
    <s v="000000"/>
    <s v="KUST - General"/>
    <n v="847001"/>
    <s v="FA179-Opex Expense"/>
    <n v="200179"/>
    <x v="470"/>
    <s v="428090.Business Travel - Combined expenses-Number of Staff-Number"/>
    <s v="Number"/>
    <n v="1"/>
    <n v="1000000"/>
    <s v="For costs connected to Senior Management business trips within and outside UAE, including travel costs, per diem and registrations"/>
    <n v="1000000"/>
    <s v="KU Strategic New Initiative"/>
    <s v="Non-recurring"/>
    <s v="Build partnerships with local and international universities"/>
  </r>
  <r>
    <s v="Research"/>
    <s v="No Applicable"/>
    <s v="President's Office "/>
    <n v="847"/>
    <n v="8470110"/>
    <s v="KUST - Office of the President"/>
    <n v="1"/>
    <n v="428400"/>
    <s v="428400-Sponsorship expenses/contributions"/>
    <s v="000000"/>
    <s v="KUST - General"/>
    <n v="847001"/>
    <s v="FA179-Opex Expense"/>
    <n v="200179"/>
    <x v="471"/>
    <s v="428400.Sponsorship expenses/contributions-No of University/event sponshorship-No of Sponshorship"/>
    <s v="No of Sponshorship"/>
    <n v="1"/>
    <n v="50000"/>
    <s v=" includes University sponsoring out side events/initiatives"/>
    <n v="50000"/>
    <s v="KU Strategic New Initiative"/>
    <s v="Non-recurring"/>
    <s v="Build partnerships with local and international universities"/>
  </r>
  <r>
    <s v="Communiction &amp; Marketing"/>
    <s v="Director, Marketing and Communication"/>
    <s v="President's Office "/>
    <n v="847"/>
    <n v="8470110"/>
    <s v="KUST - Office of the President"/>
    <n v="1"/>
    <n v="428640"/>
    <s v="428640-Events - Awards, prizes &amp; gifts"/>
    <s v="000000"/>
    <s v="KUST - General"/>
    <n v="847001"/>
    <s v="FA179-Opex Expense"/>
    <n v="200179"/>
    <x v="472"/>
    <s v="428640.Events - Awards, prizes &amp; gifts-Number of gifts-count"/>
    <s v="count"/>
    <n v="1"/>
    <n v="50000"/>
    <s v="For costs of gifts including those for VIP guests (excluding those given as part of an event expense)"/>
    <n v="50000"/>
    <s v="KU Regular operations"/>
    <s v="Recurring"/>
    <s v="Enhance the communication plan and outreach activities"/>
  </r>
  <r>
    <s v="Other support"/>
    <s v="No Applicable"/>
    <s v="President's Office "/>
    <n v="847"/>
    <n v="8470120"/>
    <s v="KUST - Audit"/>
    <n v="1"/>
    <n v="420120"/>
    <s v="420120-Internal Audit service"/>
    <s v="000000"/>
    <s v="KUST - General"/>
    <n v="847001"/>
    <s v="FA179-Opex Expense"/>
    <n v="200179"/>
    <x v="473"/>
    <s v="420120.Internal Audit service-Number of Audit-Number"/>
    <s v="Number"/>
    <n v="7"/>
    <n v="70000"/>
    <s v="No of SME/staff * No of audits"/>
    <n v="490000"/>
    <s v="KU Regular operations"/>
    <s v="Recurring"/>
    <s v="Establish a mobility program for students, faculty, researchers and staff"/>
  </r>
  <r>
    <s v="IT"/>
    <s v="Director, Technology Development"/>
    <s v="President's Office "/>
    <n v="847"/>
    <n v="8470120"/>
    <s v="KUST - Audit"/>
    <n v="1"/>
    <n v="426610"/>
    <s v="426610-Computer software licenses-Software License Renewal"/>
    <s v="000000"/>
    <s v="KUST - General"/>
    <n v="847001"/>
    <s v="FA179-Opex Expense"/>
    <n v="200179"/>
    <x v="474"/>
    <s v="426610.Computer software licenses-Software License Renewal-number of licenses-Number"/>
    <s v="Number"/>
    <n v="1"/>
    <n v="24889"/>
    <s v="Renewal Software/Each User / year"/>
    <n v="24889"/>
    <s v="KU Regular operations"/>
    <s v="Recurring"/>
    <s v="Ensure the university sustainability "/>
  </r>
  <r>
    <s v="HR"/>
    <s v="Manager, Business Development"/>
    <s v="President's Office "/>
    <n v="847"/>
    <n v="8470121"/>
    <s v="KUST - Compliance and Risk Management"/>
    <n v="1"/>
    <n v="421000"/>
    <s v="421000-Management consultancy"/>
    <s v="000000"/>
    <s v="KUST - General"/>
    <n v="847001"/>
    <s v="FA179-Opex Expense"/>
    <n v="200179"/>
    <x v="475"/>
    <s v="421000.Management Consultancy work for hiring external expert investigators-Type of Allegation-number"/>
    <s v="number"/>
    <n v="2"/>
    <n v="30250"/>
    <s v="external expert investigators"/>
    <n v="60500"/>
    <s v="KU Regular operations"/>
    <s v="Recurring"/>
    <s v="Ensure the university sustainability "/>
  </r>
  <r>
    <s v="Other support"/>
    <s v="Director, Human Resources"/>
    <s v="President's Office "/>
    <n v="847"/>
    <n v="8470121"/>
    <s v="KUST - Compliance and Risk Management"/>
    <n v="1"/>
    <n v="425900"/>
    <s v="425900-Entertainment and hospitality"/>
    <s v="000000"/>
    <s v="KUST - General"/>
    <n v="847001"/>
    <s v="FA179-Opex Expense"/>
    <n v="200179"/>
    <x v="476"/>
    <s v="425900.Entertainment and hospitality-1. No of events/workshops planned-count"/>
    <s v="count"/>
    <n v="5"/>
    <n v="3650"/>
    <s v="Celebrate malison achievements / catering request for compliance team workshop gathering  "/>
    <n v="18250"/>
    <s v="KU Regular operations"/>
    <s v="Recurring"/>
    <s v="Ensure the university sustainability "/>
  </r>
  <r>
    <s v="HR"/>
    <s v="Manager, Business Development"/>
    <s v="President's Office "/>
    <n v="847"/>
    <n v="8470121"/>
    <s v="KUST - Compliance and Risk Management"/>
    <n v="1"/>
    <n v="421000"/>
    <s v="421000-Management consultancy"/>
    <s v="000000"/>
    <s v="KUST - General"/>
    <n v="847001"/>
    <s v="FA179-Opex Expense"/>
    <n v="200179"/>
    <x v="475"/>
    <s v="421000. Newsletters,Case Studies,Infographics and Annual Compliance Campaign collateral"/>
    <s v="number"/>
    <n v="5"/>
    <n v="24200"/>
    <s v="Impact on business run operations  "/>
    <n v="121000"/>
    <s v="KU Regular operations"/>
    <s v="Recurring"/>
    <s v="Ensure the university sustainability "/>
  </r>
  <r>
    <s v="Academic"/>
    <s v="Director, Institutional Research and Planning"/>
    <s v="President's Office "/>
    <n v="847"/>
    <n v="8470121"/>
    <s v="KUST - Compliance and Risk Management"/>
    <n v="1"/>
    <n v="421700"/>
    <s v="421700-Standards Certification Services (e.g. ISO)"/>
    <s v="000000"/>
    <s v="KUST - General"/>
    <n v="847001"/>
    <s v="FA179-Opex Expense"/>
    <n v="200179"/>
    <x v="477"/>
    <s v="421700.Standards Certification Services (e.g. ISO)-professional services scope/deliverables-Number"/>
    <s v="Number"/>
    <n v="2"/>
    <n v="90750"/>
    <s v="Impact on business run operations  "/>
    <n v="181500"/>
    <s v="KU Regular operations"/>
    <s v="Recurring"/>
    <s v="Ensure the university sustainability "/>
  </r>
  <r>
    <s v="IT"/>
    <s v="Director, Technology Development"/>
    <s v="President's Office "/>
    <n v="847"/>
    <n v="8470121"/>
    <s v="KUST - Compliance and Risk Management"/>
    <n v="1"/>
    <n v="426610"/>
    <s v="426610-Computer software licenses-Software License Renewal"/>
    <s v="000000"/>
    <s v="KUST - General"/>
    <n v="847001"/>
    <s v="FA179-Opex Expense"/>
    <n v="200179"/>
    <x v="478"/>
    <s v="426610.Computer software licenses-Software License Renewal-number of licenses-Number"/>
    <s v="Number"/>
    <n v="1"/>
    <n v="181500"/>
    <s v="Impact on business run operations  "/>
    <n v="181500"/>
    <s v="KU Regular operations"/>
    <s v="Recurring"/>
    <s v="Ensure the university sustainability "/>
  </r>
  <r>
    <s v="Other support"/>
    <s v="General Counsel"/>
    <s v="President's Office "/>
    <n v="847"/>
    <n v="8470150"/>
    <s v="KUST - General Counsel"/>
    <n v="1"/>
    <n v="420900"/>
    <s v="420900-Legal services"/>
    <s v="000000"/>
    <s v="KUST - General"/>
    <n v="847001"/>
    <s v="FA179-Opex Expense"/>
    <n v="200179"/>
    <x v="479"/>
    <s v="420900.Legal services-Translation-number of pages"/>
    <s v="number of pages"/>
    <n v="1"/>
    <n v="20000"/>
    <s v="legal Documents Translation"/>
    <n v="20000"/>
    <s v="KU Regular operations"/>
    <s v="Recurring"/>
    <s v="Ensure the university sustainability "/>
  </r>
  <r>
    <s v="Other support"/>
    <s v="General Counsel"/>
    <s v="President's Office "/>
    <n v="847"/>
    <n v="8470150"/>
    <s v="KUST - General Counsel"/>
    <n v="1"/>
    <n v="420900"/>
    <s v="420900-Legal services"/>
    <s v="000000"/>
    <s v="KUST - General"/>
    <s v="847001"/>
    <s v="FA179-Opex Expense"/>
    <n v="200179"/>
    <x v="479"/>
    <s v="420900.Legal services-hours of legal consutancy-number of working hours"/>
    <s v="number of working hours"/>
    <n v="1"/>
    <n v="300000"/>
    <s v="Consultancy services"/>
    <n v="300000"/>
    <s v="KU Regular operations"/>
    <s v="Recurring"/>
    <s v="Ensure the university sustainability "/>
  </r>
  <r>
    <s v="Academic"/>
    <s v="No Applicable"/>
    <s v="President's Office "/>
    <n v="847"/>
    <n v="8470150"/>
    <s v="KUST - General Counsel"/>
    <n v="1"/>
    <n v="427710"/>
    <s v="427710-Subscriptions and membership fees: Trade organisations"/>
    <s v="000000"/>
    <s v="KUST - General"/>
    <s v="847001"/>
    <s v="FA179-Opex Expense"/>
    <n v="200179"/>
    <x v="480"/>
    <s v="427710.Subscriptions and membership fees: Trade organisations-Number  of Memberships-Number"/>
    <s v="Number"/>
    <n v="1"/>
    <n v="25000"/>
    <s v="Court/membership"/>
    <n v="25000"/>
    <s v="KU Regular operations"/>
    <s v="Recurring"/>
    <s v="Ensure the university sustainability "/>
  </r>
  <r>
    <s v="Communiction &amp; Marketing"/>
    <s v="No Applicable"/>
    <s v="President's Office "/>
    <n v="847"/>
    <n v="8470160"/>
    <s v="KUST - SVP/ Support Services Office"/>
    <n v="1"/>
    <n v="425550"/>
    <s v="425550-Conferences, seminars and exhibitions and other events: - Overseas event"/>
    <s v="000000"/>
    <s v="KUST - General"/>
    <n v="847001"/>
    <s v="FA179-Opex Expense"/>
    <n v="200179"/>
    <x v="481"/>
    <s v="425550.Conferences, seminars and exhibitions and other events: - Overseas event-Seminars-Number of Seminars"/>
    <s v="Number of Seminars"/>
    <n v="2"/>
    <n v="50000"/>
    <s v="2025 Global Business Summit / International Conference on Artificial Intelligence, Robotics &amp; IoT "/>
    <n v="100000"/>
    <s v="KU Strategic New Initiative"/>
    <s v="Non-recurring"/>
    <s v="Develop the university innovation and entrepreneurship system"/>
  </r>
  <r>
    <s v="Communiction &amp; Marketing"/>
    <s v="Director, Marketing and Communication"/>
    <s v="President's Office "/>
    <n v="847"/>
    <n v="8470160"/>
    <s v="KUST - SVP/ Support Services Office"/>
    <n v="1"/>
    <n v="428640"/>
    <s v="428640-Events - Awards, prizes &amp; gifts"/>
    <s v="000000"/>
    <s v="KUST - General"/>
    <n v="847001"/>
    <s v="FA179-Opex Expense"/>
    <n v="200179"/>
    <x v="482"/>
    <s v="428640.Events - Awards, prizes &amp; gifts-Number of awards-count"/>
    <s v="count"/>
    <n v="100"/>
    <n v="1000"/>
    <s v="Awards given to your employees for performance-related reasons"/>
    <n v="100000"/>
    <s v="KU Regular operations"/>
    <s v="Recurring"/>
    <s v="Enhance the communication plan and outreach activities"/>
  </r>
  <r>
    <s v="Academic "/>
    <s v="No Applicable"/>
    <s v="President's Office "/>
    <n v="847"/>
    <n v="8470160"/>
    <s v="KUST - SVP/ Support Services Office"/>
    <n v="1"/>
    <n v="428090"/>
    <s v="428090-Business Travel - Combined expenses"/>
    <s v="000000"/>
    <s v="KUST - General"/>
    <n v="847001"/>
    <s v="FA179-Opex Expense"/>
    <n v="200179"/>
    <x v="483"/>
    <s v="428090.Business Travel - Combined expenses-Number of Staff-Number"/>
    <s v="Number"/>
    <n v="2"/>
    <n v="50000"/>
    <s v=" business mission for support services development /Training"/>
    <n v="100000"/>
    <s v="KU Strategic New Initiative"/>
    <s v="Non-recurring"/>
    <s v="Develop the university innovation and entrepreneurship system"/>
  </r>
  <r>
    <s v="Other support"/>
    <s v="Director, Human Resources"/>
    <s v="President's Office "/>
    <n v="847"/>
    <n v="8470160"/>
    <s v="KUST - SVP/ Support Services Office"/>
    <n v="1"/>
    <n v="425900"/>
    <s v="425900-Entertainment and hospitality"/>
    <s v="000000"/>
    <s v="KUST - General"/>
    <n v="847001"/>
    <s v="FA179-Opex Expense"/>
    <n v="200179"/>
    <x v="484"/>
    <s v="425900.Entertainment and hospitality-1. No of events/workshops planned-count"/>
    <s v="count"/>
    <n v="6"/>
    <n v="500000"/>
    <s v="Upcoming planned workshop and event for the Support Services"/>
    <n v="3000000"/>
    <s v="KU Strategic New Initiative"/>
    <s v="Recurring"/>
    <s v="Develop the university innovation and entrepreneurship system"/>
  </r>
</pivotCacheRecords>
</file>

<file path=xl/pivotCache/pivotCacheRecords3.xml><?xml version="1.0" encoding="utf-8"?>
<pivotCacheRecords xmlns="http://schemas.openxmlformats.org/spreadsheetml/2006/main" xmlns:r="http://schemas.openxmlformats.org/officeDocument/2006/relationships" count="904">
  <r>
    <s v="-"/>
    <s v="-"/>
    <s v="SVP/ Support Services Office"/>
    <n v="847"/>
    <n v="8470810"/>
    <s v="KUST - Ankabut office"/>
    <n v="1"/>
    <n v="413328"/>
    <s v="413328 - IT Manpower supply-IT Support resources"/>
    <s v="000000"/>
    <s v="KUST - General"/>
    <n v="847001"/>
    <s v="FA178-Manpower Expense"/>
    <n v="100178"/>
    <x v="0"/>
    <m/>
    <m/>
    <n v="8000000"/>
    <s v="Manpower Resources as per DGS Contract"/>
    <s v="Months"/>
    <n v="12"/>
    <n v="832200"/>
    <s v="Manpower Outsourcing as per DGS contract for 2023 - List Attached"/>
    <n v="9986400"/>
    <s v="KU Regular operations"/>
    <s v="Recurring"/>
    <n v="8987760"/>
    <n v="7989120"/>
    <n v="6990480"/>
    <s v="Affects KU Core Operations and Non Compliance with contract terms"/>
    <s v="Affects KU Core Operations and Non Compliance with contract terms"/>
    <s v="Affects KU Core Operations and Non Compliance with contract terms"/>
    <n v="832200"/>
    <n v="832200"/>
    <n v="832200"/>
    <n v="832200"/>
    <n v="832200"/>
    <n v="832200"/>
    <n v="832200"/>
    <n v="832200"/>
    <n v="832200"/>
    <n v="832200"/>
    <n v="832200"/>
    <n v="832200"/>
    <n v="9986400"/>
    <m/>
    <s v="IT manpower should be moved to Chp-01"/>
  </r>
  <r>
    <n v="0"/>
    <s v="No Applicable"/>
    <s v="SVP/ Support Services Office"/>
    <n v="847"/>
    <n v="8470810"/>
    <s v="KUST - Ankabut office"/>
    <n v="1"/>
    <n v="420810"/>
    <s v="420810-IT Systems &amp; Support expenses"/>
    <s v="000000"/>
    <s v="KUST - General"/>
    <s v="847001"/>
    <s v="FA179-Opex Expense"/>
    <n v="200179"/>
    <x v="1"/>
    <n v="300000"/>
    <n v="0"/>
    <m/>
    <m/>
    <s v="-_"/>
    <n v="1"/>
    <m/>
    <m/>
    <n v="0"/>
    <m/>
    <m/>
    <n v="0"/>
    <n v="0"/>
    <n v="0"/>
    <m/>
    <m/>
    <m/>
    <m/>
    <n v="0"/>
    <m/>
    <m/>
    <m/>
    <m/>
    <m/>
    <m/>
    <m/>
    <m/>
    <m/>
    <m/>
    <n v="0"/>
    <m/>
    <m/>
  </r>
  <r>
    <s v="IT"/>
    <s v="Director, Technology Development"/>
    <s v="SVP/ Support Services Office"/>
    <n v="847"/>
    <n v="8470810"/>
    <s v="KUST - Ankabut office"/>
    <n v="1"/>
    <n v="420811"/>
    <s v="420811-IT Systems &amp; Support expenses-Application/Systems Operation"/>
    <s v="000000"/>
    <s v="KUST - General"/>
    <s v="847001"/>
    <s v="FA179-Opex Expense"/>
    <n v="200179"/>
    <x v="2"/>
    <s v="-"/>
    <n v="10351793"/>
    <n v="10351793"/>
    <s v="420811.IT Systems &amp; Support expenses-Application/Systems Operation-professional services scope/deliverables-Month"/>
    <s v="Month"/>
    <n v="12"/>
    <n v="3759978"/>
    <s v="Managed IT Services Contract between KU and Ankabut"/>
    <n v="21982967"/>
    <s v="KU Regular operations"/>
    <s v="Recurring"/>
    <n v="19784670.300000001"/>
    <n v="17586373.600000001"/>
    <n v="15388076.899999999"/>
    <s v="Affects KU Core Operations and Non Compliance with contract terms"/>
    <s v="Affects KU Core Operations and Non Compliance with contract terms"/>
    <s v="Affects KU Core Operations and Non Compliance with contract terms"/>
    <n v="45119736"/>
    <m/>
    <m/>
    <m/>
    <m/>
    <m/>
    <m/>
    <m/>
    <m/>
    <m/>
    <m/>
    <m/>
    <n v="45119736"/>
    <s v="Utilize state-of-the-art technologies and facilities in an optimal and efficient manner"/>
    <s v="Ankoubt Service agreement including Chp-01 manapower and other IT services"/>
  </r>
  <r>
    <s v="HR"/>
    <s v="No Applicable"/>
    <s v="SVP/ Support Services Office"/>
    <n v="847"/>
    <n v="8470810"/>
    <s v="KUST - Ankabut office"/>
    <n v="1"/>
    <n v="421100"/>
    <s v="421100-Manpower supply"/>
    <s v="000000"/>
    <s v="KUST - General"/>
    <s v="847001"/>
    <s v="FA179-Opex Expense"/>
    <n v="200179"/>
    <x v="3"/>
    <n v="1705887.11"/>
    <n v="445192"/>
    <n v="445192"/>
    <m/>
    <s v="-_"/>
    <m/>
    <m/>
    <m/>
    <n v="0"/>
    <m/>
    <m/>
    <n v="0"/>
    <n v="0"/>
    <n v="0"/>
    <m/>
    <m/>
    <m/>
    <m/>
    <n v="0"/>
    <m/>
    <m/>
    <m/>
    <m/>
    <m/>
    <m/>
    <m/>
    <m/>
    <m/>
    <m/>
    <n v="0"/>
    <m/>
    <m/>
  </r>
  <r>
    <s v="IT"/>
    <s v="Director, Technology Development"/>
    <s v="SVP/ Support Services Office"/>
    <n v="847"/>
    <n v="8470810"/>
    <s v="KUST - Ankabut office"/>
    <n v="1"/>
    <n v="426610"/>
    <s v="426610-Computer software licenses"/>
    <s v="000000"/>
    <s v="KUST - General"/>
    <s v="847001"/>
    <s v="FA179-Opex Expense"/>
    <n v="200179"/>
    <x v="4"/>
    <n v="8722313.4399999995"/>
    <n v="7632571"/>
    <n v="7632571"/>
    <s v="426610.Computer software licenses-Software License Renewal-service level agreement-Service"/>
    <s v="Service"/>
    <n v="1"/>
    <n v="1235304"/>
    <s v="Microsoft Licensing Agreement Renewal (EES - 3 Years) - Licenses for multiple products"/>
    <n v="1235304"/>
    <s v="KU Regular operations"/>
    <s v="Recurring"/>
    <n v="1111773.6000000001"/>
    <n v="988243.20000000007"/>
    <n v="864712.79999999993"/>
    <s v="Affects KU Core Operations and Non Compliance with contract terms"/>
    <s v="Affects KU Core Operations and Non Compliance with contract terms"/>
    <s v="Affects KU Core Operations and Non Compliance with contract terms"/>
    <m/>
    <n v="0"/>
    <m/>
    <m/>
    <n v="1235304"/>
    <m/>
    <m/>
    <m/>
    <m/>
    <m/>
    <m/>
    <m/>
    <n v="1235304"/>
    <s v="Utilize state-of-the-art technologies and facilities in an optimal and efficient manner"/>
    <m/>
  </r>
  <r>
    <s v="IT"/>
    <s v="Director, Technology Development"/>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856000"/>
    <s v="Learning Management System Blackboard LMS License Renewal and Annual Support (License based on storage and number of users - rate based on 8000 slab limit)"/>
    <n v="856000"/>
    <s v="KU Regular operations"/>
    <s v="Recurring"/>
    <n v="770400"/>
    <n v="684800"/>
    <n v="599200"/>
    <s v="Affects KU Core Operations and Non Compliance with contract terms"/>
    <s v="Affects KU Core Operations and Non Compliance with contract terms"/>
    <s v="Affects KU Core Operations and Non Compliance with contract terms"/>
    <m/>
    <n v="0"/>
    <n v="856000"/>
    <m/>
    <m/>
    <m/>
    <m/>
    <m/>
    <m/>
    <m/>
    <m/>
    <m/>
    <n v="856000"/>
    <s v="Utilize state-of-the-art technologies and facilities in an optimal and efficient manner"/>
    <m/>
  </r>
  <r>
    <s v="IT"/>
    <s v="Director, Technology Development"/>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756066"/>
    <s v="Manage Engine subscriptions for ServideskPlus, Desktop Central, OpManager, AD Manager, Exchange Reporter, App Manager and other Infrastructure Monitoring Tools."/>
    <n v="756066"/>
    <s v="KU Regular operations"/>
    <s v="Recurring"/>
    <n v="680459.4"/>
    <n v="604852.80000000005"/>
    <n v="529246.19999999995"/>
    <s v="Affects KU Core IT Operations and Non Compliance with contract terms"/>
    <s v="Affects KU Core IT Operations and Non Compliance with contract terms"/>
    <s v="Affects KU Core IT Operations and Non Compliance with contract terms"/>
    <m/>
    <n v="0"/>
    <m/>
    <m/>
    <m/>
    <m/>
    <n v="756066"/>
    <m/>
    <m/>
    <m/>
    <m/>
    <m/>
    <n v="756066"/>
    <s v="Utilize state-of-the-art technologies and facilities in an optimal and efficient manner"/>
    <m/>
  </r>
  <r>
    <s v="IT"/>
    <s v="Director, Technology Development"/>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589375"/>
    <s v="Student Admissions Slate License and Support Renewal (5Y Service Order)- License based on number of applicants for UG/PG"/>
    <n v="589375"/>
    <s v="KU Regular operations"/>
    <s v="Recurring"/>
    <n v="530437.5"/>
    <n v="471500"/>
    <n v="412562.5"/>
    <s v="Affects KU Core Operations and Non Compliance with contract terms"/>
    <s v="Affects KU Core Operations and Non Compliance with contract terms"/>
    <s v="Affects KU Core Operations and Non Compliance with contract terms"/>
    <m/>
    <n v="0"/>
    <m/>
    <m/>
    <n v="589375"/>
    <m/>
    <m/>
    <m/>
    <m/>
    <m/>
    <m/>
    <m/>
    <n v="589375"/>
    <s v="Utilize state-of-the-art technologies and facilities in an optimal and efficient manner"/>
    <m/>
  </r>
  <r>
    <s v="IT"/>
    <s v="Director, Technology Development"/>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617276"/>
    <s v="Student Information System (SIS) License Renewal and Support from  Elucian Banner"/>
    <n v="617276"/>
    <s v="KU Regular operations"/>
    <s v="Recurring"/>
    <n v="555548.4"/>
    <n v="493820.80000000005"/>
    <n v="432093.19999999995"/>
    <s v="License cannot be reduced. Affects KU Core Operations and Non Compliance with contract terms"/>
    <s v="License cannot be reduced. Affects KU Core Operations and Non Compliance with contract terms"/>
    <s v="License cannot be reduced. Affects KU Core Operations and Non Compliance with contract terms"/>
    <m/>
    <n v="0"/>
    <m/>
    <m/>
    <n v="617276"/>
    <m/>
    <m/>
    <m/>
    <m/>
    <m/>
    <m/>
    <m/>
    <n v="617276"/>
    <s v="Utilize state-of-the-art technologies and facilities in an optimal and efficient manner"/>
    <m/>
  </r>
  <r>
    <s v="IT"/>
    <s v="Director, Technology Development"/>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909500"/>
    <s v="Fortinet Systems Subscription Renewals for FortiClient EMS_x000a_FortiEDR, FortiAnalyzer, FortiGate 101F_x000a_FortiGate 40F-3G4G, FortiGate 601E_x000a_FortiGate 61E, FortiManager, FortiSOAR_x000a_and Incident Response Services Subscription"/>
    <n v="909500"/>
    <s v="KU Regular operations"/>
    <s v="Recurring"/>
    <n v="818550"/>
    <n v="727600"/>
    <n v="636650"/>
    <s v="Affects KU Core IT Operations and Non Compliance with contract terms"/>
    <s v="Affects KU Core IT Operations and Non Compliance with contract terms"/>
    <s v="Affects KU Core IT Operations and Non Compliance with contract terms"/>
    <m/>
    <n v="0"/>
    <m/>
    <m/>
    <m/>
    <m/>
    <n v="909500"/>
    <m/>
    <m/>
    <m/>
    <m/>
    <m/>
    <n v="9095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479306"/>
    <s v="Oracle Support Renewal"/>
    <n v="479306"/>
    <s v="KU Regular operations"/>
    <s v="Recurring"/>
    <n v="431375.4"/>
    <n v="383444.80000000005"/>
    <n v="335514.19999999995"/>
    <s v="License cannot be reduced. Affects KU Core Operations and Non Compliance with contract terms"/>
    <s v="License cannot be reduced. Affects KU Core Operations and Non Compliance with contract terms"/>
    <s v="License cannot be reduced. Affects KU Core Operations and Non Compliance with contract terms"/>
    <m/>
    <n v="0"/>
    <m/>
    <m/>
    <n v="479306"/>
    <m/>
    <m/>
    <m/>
    <m/>
    <m/>
    <m/>
    <m/>
    <n v="479306"/>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400000"/>
    <s v="Aruba Wireless Infrastructure Software Subscriptions renewals"/>
    <n v="400000"/>
    <s v="KU Regular operations"/>
    <s v="Recurring"/>
    <n v="360000"/>
    <n v="320000"/>
    <n v="280000"/>
    <s v="Affects KU Core Operations"/>
    <s v="Affects KU Core Operations"/>
    <s v="Affects KU Core Operations"/>
    <m/>
    <n v="0"/>
    <m/>
    <m/>
    <n v="400000"/>
    <m/>
    <m/>
    <m/>
    <m/>
    <m/>
    <m/>
    <m/>
    <n v="4000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126098"/>
    <s v="Vmware Virtualization Infrastructure Software License "/>
    <n v="126098"/>
    <s v="KU Regular operations"/>
    <s v="Recurring"/>
    <n v="113488.2"/>
    <n v="100878.40000000001"/>
    <n v="88268.599999999991"/>
    <s v="Affects partially KU applications"/>
    <s v="Affects partially KU applications"/>
    <s v="Affects partially KU applications"/>
    <m/>
    <n v="0"/>
    <m/>
    <m/>
    <n v="126098"/>
    <m/>
    <m/>
    <m/>
    <m/>
    <m/>
    <m/>
    <m/>
    <n v="126098"/>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327443"/>
    <s v="ElasticSearch Security Operations Analysis Software Subscription Renewal"/>
    <n v="327443"/>
    <s v="KU Regular operations"/>
    <s v="Recurring"/>
    <n v="294698.7"/>
    <n v="261954.40000000002"/>
    <n v="229210.09999999998"/>
    <s v="License cannot be reduced. Affects Information Security Operations for analysing security incidents and logs"/>
    <s v="License cannot be reduced. Affects Information Security Operations for analysing security incidents and logs"/>
    <s v="License cannot be reduced. Affects Information Security Operations for analysing security incidents and logs"/>
    <m/>
    <n v="0"/>
    <m/>
    <m/>
    <n v="327443"/>
    <m/>
    <m/>
    <m/>
    <m/>
    <m/>
    <m/>
    <m/>
    <n v="327443"/>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240623"/>
    <s v="Allienvault SIEM Subscription Renewal"/>
    <n v="240623"/>
    <s v="KU Regular operations"/>
    <s v="Recurring"/>
    <n v="216560.7"/>
    <n v="192498.40000000002"/>
    <n v="168436.09999999998"/>
    <s v="Site License cannot be reduced. Affects Information Security Operations for analysing security incidents and logs"/>
    <s v="Site License cannot be reduced. Affects Information Security Operations for analysing security incidents and logs"/>
    <s v="Site License cannot be reduced. Affects Information Security Operations for analysing security incidents and logs"/>
    <m/>
    <n v="0"/>
    <m/>
    <m/>
    <n v="240623"/>
    <m/>
    <m/>
    <m/>
    <m/>
    <m/>
    <m/>
    <m/>
    <n v="240623"/>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184964"/>
    <s v="Application Virtualization - Software2 AppsAnyWhere"/>
    <n v="184964"/>
    <s v="KU Regular operations"/>
    <s v="Recurring"/>
    <n v="166467.6"/>
    <n v="147971.20000000001"/>
    <n v="129474.79999999999"/>
    <s v="License cannot be reduced. Affects access to academic software"/>
    <s v="License cannot be reduced. Affects access to academic software"/>
    <s v="License cannot be reduced. Affects access to academic software"/>
    <m/>
    <n v="0"/>
    <m/>
    <m/>
    <n v="184964"/>
    <m/>
    <m/>
    <m/>
    <m/>
    <m/>
    <m/>
    <m/>
    <n v="184964"/>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231000"/>
    <s v="Email Archiving solution (Commvault)"/>
    <n v="231000"/>
    <s v="KU Regular operations"/>
    <s v="Recurring"/>
    <n v="207900"/>
    <n v="184800"/>
    <n v="161700"/>
    <s v="Access to email archive not available"/>
    <s v="Access to email archive not available"/>
    <s v="Access to email archive not available"/>
    <m/>
    <n v="0"/>
    <m/>
    <m/>
    <n v="231000"/>
    <m/>
    <m/>
    <m/>
    <m/>
    <m/>
    <m/>
    <m/>
    <n v="2310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182648"/>
    <s v="Symplicity CSM Enterprise yearly license for Student Internship, Career, Alumni, Job portal, Events/Activities and Contract Management Services"/>
    <n v="182648"/>
    <s v="KU Regular operations"/>
    <s v="Recurring"/>
    <n v="164383.20000000001"/>
    <n v="146118.39999999999"/>
    <n v="127853.59999999999"/>
    <s v="Site License cannot be reduced. Affects access to Application"/>
    <s v="Site License cannot be reduced. Affects access to Application"/>
    <s v="Site License cannot be reduced. Affects access to Application"/>
    <m/>
    <n v="0"/>
    <m/>
    <m/>
    <n v="182648"/>
    <m/>
    <m/>
    <m/>
    <m/>
    <m/>
    <m/>
    <m/>
    <n v="182648"/>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165600"/>
    <s v="Gartner Technologies subscription renewal"/>
    <n v="165600"/>
    <s v="KU Regular operations"/>
    <s v="Recurring"/>
    <n v="149040"/>
    <n v="132480"/>
    <n v="115919.99999999999"/>
    <s v="Affect Access to IT advisory services"/>
    <s v="Affect Access to IT advisory services"/>
    <s v="Affect Access to IT advisory services"/>
    <m/>
    <n v="0"/>
    <m/>
    <m/>
    <n v="165600"/>
    <m/>
    <m/>
    <m/>
    <m/>
    <m/>
    <m/>
    <m/>
    <n v="1656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174360"/>
    <s v="Plagiarism Proofing License renewal - TurnitIn, iThenticate"/>
    <n v="174360"/>
    <s v="KU Regular operations"/>
    <s v="Recurring"/>
    <n v="156924"/>
    <n v="139488"/>
    <n v="122051.99999999999"/>
    <s v="Affects KU Core Operations and Non Compliance with contract terms"/>
    <s v="Affects KU Core Operations and Non Compliance with contract terms"/>
    <s v="Affects KU Core Operations and Non Compliance with contract terms"/>
    <m/>
    <n v="0"/>
    <m/>
    <m/>
    <n v="174360"/>
    <m/>
    <m/>
    <m/>
    <m/>
    <m/>
    <m/>
    <m/>
    <n v="17436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107347"/>
    <s v="Video Communication Platform License Renewal and Support from Sonifoundry Mediasite"/>
    <n v="107347"/>
    <s v="KU Regular operations"/>
    <s v="Recurring"/>
    <n v="96612.3"/>
    <n v="85877.6"/>
    <n v="75142.899999999994"/>
    <s v="Site License cannot be reduced. Affects access to lecture recording content"/>
    <s v="Site License cannot be reduced. Affects access to lecture recording content"/>
    <s v="Site License cannot be reduced. Affects access to lecture recording content"/>
    <m/>
    <n v="0"/>
    <m/>
    <m/>
    <n v="107347"/>
    <m/>
    <m/>
    <m/>
    <m/>
    <m/>
    <m/>
    <m/>
    <n v="107347"/>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45000"/>
    <s v="Ascertia SigningHub AATL Signing Certificate and Signature Pack Renewal"/>
    <n v="45000"/>
    <s v="KU Regular operations"/>
    <s v="Recurring"/>
    <n v="40500"/>
    <n v="36000"/>
    <n v="31499.999999999996"/>
    <s v="Site License cannot be reduced. Affects access to Application"/>
    <s v="Site License cannot be reduced. Affects access to Application"/>
    <s v="Site License cannot be reduced. Affects access to Application"/>
    <m/>
    <n v="0"/>
    <m/>
    <m/>
    <n v="45000"/>
    <m/>
    <m/>
    <m/>
    <m/>
    <m/>
    <m/>
    <m/>
    <n v="450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89908"/>
    <s v="Business Process Management System (BPMS):  Nintex Workflow anf Forms - Enterprise Edition Annual Software Assurance"/>
    <n v="89908"/>
    <s v="KU Regular operations"/>
    <s v="Recurring"/>
    <n v="80917.2"/>
    <n v="71926.400000000009"/>
    <n v="62935.6"/>
    <s v="Site License cannot be reduced. Affects KU Operations using KU Portal eServices"/>
    <s v="Site License cannot be reduced. Affects KU Operations using KU Portal eServices"/>
    <s v="Site License cannot be reduced. Affects KU Operations using KU Portal eServices"/>
    <m/>
    <n v="0"/>
    <m/>
    <m/>
    <n v="89908"/>
    <m/>
    <m/>
    <m/>
    <m/>
    <m/>
    <m/>
    <m/>
    <n v="89908"/>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158706"/>
    <s v="Security Awareness subscription with KnowBe4"/>
    <n v="158706"/>
    <s v="KU Regular operations"/>
    <s v="Recurring"/>
    <n v="142835.4"/>
    <n v="126964.8"/>
    <n v="111094.2"/>
    <s v="Site License cannot be reduced. Affects access to Application"/>
    <s v="Site License cannot be reduced. Affects access to Application"/>
    <s v="Site License cannot be reduced. Affects access to Application"/>
    <m/>
    <n v="0"/>
    <m/>
    <m/>
    <n v="158706"/>
    <m/>
    <m/>
    <m/>
    <m/>
    <m/>
    <m/>
    <m/>
    <n v="158706"/>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73813"/>
    <s v="Qualys Vulnerability Management "/>
    <n v="73813"/>
    <s v="KU Regular operations"/>
    <s v="Recurring"/>
    <n v="66431.7"/>
    <n v="59050.400000000001"/>
    <n v="51669.1"/>
    <s v="Site License cannot be reduced. Affects access to Application"/>
    <s v="Site License cannot be reduced. Affects access to Application"/>
    <s v="Site License cannot be reduced. Affects access to Application"/>
    <m/>
    <n v="0"/>
    <m/>
    <m/>
    <n v="73813"/>
    <m/>
    <m/>
    <m/>
    <m/>
    <m/>
    <m/>
    <m/>
    <n v="73813"/>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72871"/>
    <s v="KU DRIVE File Sharing and Synchronization 1000 concurrent users + Collabora 500 licenses using OwnCloud Ent."/>
    <n v="72871"/>
    <s v="KU Regular operations"/>
    <s v="Recurring"/>
    <n v="65583.900000000009"/>
    <n v="58296.800000000003"/>
    <n v="51009.7"/>
    <s v="Affects access to application"/>
    <s v="Affects access to application"/>
    <s v="Affects access to application"/>
    <m/>
    <n v="0"/>
    <m/>
    <m/>
    <n v="72871"/>
    <m/>
    <m/>
    <m/>
    <m/>
    <m/>
    <m/>
    <m/>
    <n v="72871"/>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64300"/>
    <s v="Virtual Desktop Infrastructure Support with Citrix VDI"/>
    <n v="64300"/>
    <s v="KU Regular operations"/>
    <s v="Recurring"/>
    <n v="57870"/>
    <n v="51440"/>
    <n v="45010"/>
    <s v="Affects access to application"/>
    <s v="Affects access to application"/>
    <s v="Affects access to application"/>
    <m/>
    <n v="0"/>
    <m/>
    <m/>
    <n v="64300"/>
    <m/>
    <m/>
    <m/>
    <m/>
    <m/>
    <m/>
    <m/>
    <n v="643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51519"/>
    <s v="Pulse secure access - KU VPN tool (Pulse Secure) support renewal"/>
    <n v="51519"/>
    <s v="KU Regular operations"/>
    <s v="Recurring"/>
    <n v="46367.1"/>
    <n v="41215.200000000004"/>
    <n v="36063.299999999996"/>
    <s v="Affects access to application"/>
    <s v="Affects access to application"/>
    <s v="Affects access to application"/>
    <m/>
    <n v="0"/>
    <m/>
    <m/>
    <n v="51519"/>
    <m/>
    <m/>
    <m/>
    <m/>
    <m/>
    <m/>
    <m/>
    <n v="51519"/>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50000"/>
    <s v="Time Attendance Software renewal that includes feaures for remote workers"/>
    <n v="50000"/>
    <s v="KU Regular operations"/>
    <s v="Recurring"/>
    <n v="45000"/>
    <n v="40000"/>
    <n v="35000"/>
    <s v="Affects access to application"/>
    <s v="Affects access to application"/>
    <s v="Affects access to application"/>
    <m/>
    <n v="0"/>
    <m/>
    <m/>
    <n v="50000"/>
    <m/>
    <m/>
    <m/>
    <m/>
    <m/>
    <m/>
    <m/>
    <n v="500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38640"/>
    <s v="Honeypot Security Service with Canary devices &amp; hosted console"/>
    <n v="38640"/>
    <s v="KU Regular operations"/>
    <s v="Recurring"/>
    <n v="34776"/>
    <n v="30912"/>
    <n v="27048"/>
    <s v="Affects cybersecurity monitoring operations"/>
    <s v="Affects cybersecurity monitoring operations"/>
    <s v="Affects cybersecurity monitoring operations"/>
    <m/>
    <n v="0"/>
    <m/>
    <m/>
    <n v="38640"/>
    <m/>
    <m/>
    <m/>
    <m/>
    <m/>
    <m/>
    <m/>
    <n v="3864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28950"/>
    <s v="RedHat Linux Subscription Renewal "/>
    <n v="28950"/>
    <s v="KU Regular operations"/>
    <s v="Recurring"/>
    <n v="26055"/>
    <n v="23160"/>
    <n v="20265"/>
    <s v="Affects Support for core IT infrastructure"/>
    <s v="Affects Support for core IT infrastructure"/>
    <s v="Affects Support for core IT infrastructure"/>
    <m/>
    <n v="0"/>
    <m/>
    <m/>
    <n v="28950"/>
    <m/>
    <m/>
    <m/>
    <m/>
    <m/>
    <m/>
    <m/>
    <n v="2895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25000"/>
    <s v="Blockchain solution for issuing digital records (Student Tarnscripts) for KU Registrar's Office "/>
    <n v="25000"/>
    <s v="KU Regular operations"/>
    <s v="Recurring"/>
    <n v="22500"/>
    <n v="20000"/>
    <n v="17500"/>
    <s v="Affects access to application"/>
    <s v="Affects access to application"/>
    <s v="Affects access to application"/>
    <m/>
    <n v="0"/>
    <m/>
    <m/>
    <m/>
    <n v="25000"/>
    <m/>
    <m/>
    <m/>
    <m/>
    <m/>
    <m/>
    <n v="250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20000"/>
    <s v="Subscription to Apple Store, Windows App Store, Google Store and App Development program"/>
    <n v="20000"/>
    <s v="KU Regular operations"/>
    <s v="Recurring"/>
    <n v="18000"/>
    <n v="16000"/>
    <n v="14000"/>
    <s v="Affects IT Software Development process"/>
    <s v="Affects IT Software Development process"/>
    <s v="Affects IT Software Development process"/>
    <m/>
    <n v="0"/>
    <m/>
    <m/>
    <m/>
    <n v="20000"/>
    <m/>
    <m/>
    <m/>
    <m/>
    <m/>
    <m/>
    <n v="200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20000"/>
    <s v="Threat Intelligence Subscription/Domain Monitoring"/>
    <n v="20000"/>
    <s v="KU Regular operations"/>
    <s v="Recurring"/>
    <n v="18000"/>
    <n v="16000"/>
    <n v="14000"/>
    <s v="Affects cybersecurity monitoring operations"/>
    <s v="Affects cybersecurity monitoring operations"/>
    <s v="Affects cybersecurity monitoring operations"/>
    <m/>
    <n v="0"/>
    <m/>
    <m/>
    <m/>
    <n v="20000"/>
    <m/>
    <m/>
    <m/>
    <m/>
    <m/>
    <m/>
    <n v="200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25000"/>
    <s v="Server Certificate SSL "/>
    <n v="25000"/>
    <s v="KU Regular operations"/>
    <s v="Recurring"/>
    <n v="22500"/>
    <n v="20000"/>
    <n v="17500"/>
    <s v="Affects access to KU applications"/>
    <s v="Affects access to KU applications"/>
    <s v="Affects access to KU applications"/>
    <m/>
    <n v="0"/>
    <m/>
    <m/>
    <m/>
    <n v="25000"/>
    <m/>
    <m/>
    <m/>
    <m/>
    <m/>
    <m/>
    <n v="250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14046"/>
    <s v="CIS (Center for Internet Security) Security Baseline Scripts"/>
    <n v="14046"/>
    <s v="KU Regular operations"/>
    <s v="Recurring"/>
    <n v="12641.4"/>
    <n v="11236.800000000001"/>
    <n v="9832.1999999999989"/>
    <s v="Affects cybersecurity monitoring operations"/>
    <s v="Affects cybersecurity monitoring operations"/>
    <s v="Affects cybersecurity monitoring operations"/>
    <m/>
    <n v="0"/>
    <m/>
    <m/>
    <m/>
    <n v="14046"/>
    <m/>
    <m/>
    <m/>
    <m/>
    <m/>
    <m/>
    <n v="14046"/>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14000"/>
    <s v="NetCobol"/>
    <n v="14000"/>
    <s v="KU Regular operations"/>
    <s v="Recurring"/>
    <n v="12600"/>
    <n v="11200"/>
    <n v="9800"/>
    <s v="Affects IT Software Development process"/>
    <s v="Affects IT Software Development process"/>
    <s v="Affects IT Software Development process"/>
    <m/>
    <n v="0"/>
    <m/>
    <m/>
    <m/>
    <n v="14000"/>
    <m/>
    <m/>
    <m/>
    <m/>
    <m/>
    <m/>
    <n v="140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11156"/>
    <s v="CreativeCloud for Communications Team"/>
    <n v="11156"/>
    <s v="KU Regular operations"/>
    <s v="Recurring"/>
    <n v="10040.4"/>
    <n v="8924.8000000000011"/>
    <n v="7809.2"/>
    <s v="Affects access to application"/>
    <s v="Affects access to application"/>
    <s v="Affects access to application"/>
    <m/>
    <n v="0"/>
    <m/>
    <m/>
    <m/>
    <n v="11156"/>
    <m/>
    <m/>
    <m/>
    <m/>
    <m/>
    <m/>
    <n v="11156"/>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10000"/>
    <s v="TOAD For Oracle Professional Edition Per Seat Maintenance Renewal"/>
    <n v="10000"/>
    <s v="KU Regular operations"/>
    <s v="Recurring"/>
    <n v="9000"/>
    <n v="8000"/>
    <n v="7000"/>
    <s v="Affects access to application"/>
    <s v="Affects access to application"/>
    <s v="Affects access to application"/>
    <m/>
    <n v="0"/>
    <m/>
    <m/>
    <m/>
    <n v="10000"/>
    <m/>
    <m/>
    <m/>
    <m/>
    <m/>
    <m/>
    <n v="100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10000"/>
    <s v="Interactive Voice Response - Vocalcom IVR Support"/>
    <n v="10000"/>
    <s v="KU Regular operations"/>
    <s v="Recurring"/>
    <n v="9000"/>
    <n v="8000"/>
    <n v="7000"/>
    <s v="Affects access to application"/>
    <s v="Affects access to application"/>
    <s v="Affects access to application"/>
    <m/>
    <n v="0"/>
    <m/>
    <m/>
    <m/>
    <n v="10000"/>
    <m/>
    <m/>
    <m/>
    <m/>
    <m/>
    <m/>
    <n v="100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7500"/>
    <s v="Educause subscription"/>
    <n v="7500"/>
    <s v="KU Regular operations"/>
    <s v="Recurring"/>
    <n v="6750"/>
    <n v="6000"/>
    <n v="5250"/>
    <s v="Affect Access to IT advisory services"/>
    <s v="Affect Access to IT advisory services"/>
    <s v="Affect Access to IT advisory services"/>
    <m/>
    <n v="0"/>
    <m/>
    <m/>
    <m/>
    <n v="7500"/>
    <m/>
    <m/>
    <m/>
    <m/>
    <m/>
    <m/>
    <n v="75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4500"/>
    <s v="Academic Software License Management using OpenLM "/>
    <n v="4500"/>
    <s v="KU Regular operations"/>
    <s v="Recurring"/>
    <n v="4050"/>
    <n v="3600"/>
    <n v="3150"/>
    <s v="Affects access to application"/>
    <s v="Affects access to application"/>
    <s v="Affects access to application"/>
    <m/>
    <n v="0"/>
    <m/>
    <m/>
    <m/>
    <n v="4500"/>
    <m/>
    <m/>
    <m/>
    <m/>
    <m/>
    <m/>
    <n v="45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4000"/>
    <s v="Code Two Auto Email Signature software license maintenance"/>
    <n v="4000"/>
    <s v="KU Regular operations"/>
    <s v="Recurring"/>
    <n v="3600"/>
    <n v="3200"/>
    <n v="2800"/>
    <s v="Affects KU email auto-signature"/>
    <s v="Affects KU email auto-signature"/>
    <s v="Affects KU email auto-signature"/>
    <m/>
    <n v="0"/>
    <m/>
    <m/>
    <m/>
    <n v="4000"/>
    <m/>
    <m/>
    <m/>
    <m/>
    <m/>
    <m/>
    <n v="40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10000"/>
    <s v="SMS Credits for KU"/>
    <n v="10000"/>
    <s v="KU Regular operations"/>
    <s v="Recurring"/>
    <n v="9000"/>
    <n v="8000"/>
    <n v="7000"/>
    <s v="Affects KU SMS communication"/>
    <s v="Affects KU SMS communication"/>
    <s v="Affects KU SMS communication"/>
    <m/>
    <n v="0"/>
    <m/>
    <m/>
    <m/>
    <n v="10000"/>
    <m/>
    <m/>
    <m/>
    <m/>
    <m/>
    <m/>
    <n v="100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13000"/>
    <s v="Anydesk software subscription for 1 year for IT support remotely"/>
    <n v="13000"/>
    <s v="KU Regular operations"/>
    <s v="Recurring"/>
    <n v="11700"/>
    <n v="10400"/>
    <n v="9100"/>
    <s v="Affects access to application"/>
    <s v="Affects access to application"/>
    <s v="Affects access to application"/>
    <m/>
    <n v="0"/>
    <m/>
    <m/>
    <m/>
    <n v="13000"/>
    <m/>
    <m/>
    <m/>
    <m/>
    <m/>
    <m/>
    <n v="130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12000"/>
    <s v="Library Information Access with Ezproxy "/>
    <n v="12000"/>
    <s v="KU Regular operations"/>
    <s v="Recurring"/>
    <n v="10800"/>
    <n v="9600"/>
    <n v="8400"/>
    <s v="Affects access to application"/>
    <s v="Affects access to application"/>
    <s v="Affects access to application"/>
    <m/>
    <n v="0"/>
    <m/>
    <m/>
    <m/>
    <n v="12000"/>
    <m/>
    <m/>
    <m/>
    <m/>
    <m/>
    <m/>
    <n v="120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45000"/>
    <s v="Digital Signage Support "/>
    <n v="45000"/>
    <s v="KU Regular operations"/>
    <s v="Recurring"/>
    <n v="40500"/>
    <n v="36000"/>
    <n v="31499.999999999996"/>
    <s v="Affects access to application"/>
    <s v="Affects access to application"/>
    <s v="Affects access to application"/>
    <m/>
    <n v="0"/>
    <m/>
    <m/>
    <m/>
    <n v="45000"/>
    <m/>
    <m/>
    <m/>
    <m/>
    <m/>
    <m/>
    <n v="45000"/>
    <s v="Utilize state-of-the-art technologies and facilities in an optimal and efficient manner"/>
    <m/>
  </r>
  <r>
    <s v="-"/>
    <s v="-"/>
    <s v="SVP/ Support Services Office"/>
    <n v="847"/>
    <n v="8470810"/>
    <s v="KUST - Ankabut office"/>
    <n v="1"/>
    <n v="426610"/>
    <s v="426610-Computer software licenses"/>
    <s v="000000"/>
    <s v="KUST - General"/>
    <s v="847001"/>
    <s v="FA179-Opex Expense"/>
    <n v="200179"/>
    <x v="4"/>
    <m/>
    <m/>
    <m/>
    <s v="426610.Computer software licenses-Software License Renewal-service level agreement-Service"/>
    <s v="Service"/>
    <n v="1"/>
    <n v="35000"/>
    <s v="Autodesk AutoCad for Facilities Management - Space Planning Users"/>
    <n v="35000"/>
    <s v="KU Regular operations"/>
    <s v="Recurring"/>
    <n v="31500"/>
    <n v="28000"/>
    <n v="24500"/>
    <s v="Affects access to application"/>
    <s v="Affects access to application"/>
    <s v="Affects access to application"/>
    <m/>
    <n v="0"/>
    <m/>
    <m/>
    <m/>
    <n v="35000"/>
    <m/>
    <m/>
    <m/>
    <m/>
    <m/>
    <m/>
    <n v="35000"/>
    <s v="Utilize state-of-the-art technologies and facilities in an optimal and efficient manner"/>
    <m/>
  </r>
  <r>
    <s v="IT"/>
    <s v="No Applicable"/>
    <s v="SVP/ Support Services Office"/>
    <n v="847"/>
    <n v="8470810"/>
    <s v="KUST - Ankabut office"/>
    <n v="1"/>
    <n v="427810"/>
    <s v="427810-Telephone and telefax charges"/>
    <s v="000000"/>
    <s v="KUST - General"/>
    <s v="847001"/>
    <s v="FA179-Opex Expense"/>
    <n v="200179"/>
    <x v="5"/>
    <n v="1000636.43"/>
    <n v="800000"/>
    <n v="800000"/>
    <s v="427810.Telephone and telefax charges-Telecommunication, Satellite services-number of telephone lines-Month"/>
    <s v="Month"/>
    <n v="12"/>
    <n v="30000"/>
    <s v="Telephoone Line usage and DID extensions  rental "/>
    <n v="360000"/>
    <s v="KU Regular operations"/>
    <s v="Recurring"/>
    <n v="324000"/>
    <n v="288000"/>
    <n v="251999.99999999997"/>
    <s v="Affects KU communications"/>
    <s v="Affects KU communications"/>
    <s v="Affects KU communications"/>
    <n v="30000"/>
    <n v="30000"/>
    <n v="30000"/>
    <n v="30000"/>
    <n v="30000"/>
    <n v="30000"/>
    <n v="30000"/>
    <n v="30000"/>
    <n v="30000"/>
    <n v="30000"/>
    <n v="30000"/>
    <n v="30000"/>
    <n v="360000"/>
    <s v="Utilize state-of-the-art technologies and facilities in an optimal and efficient manner"/>
    <m/>
  </r>
  <r>
    <s v="IT"/>
    <s v="No Applicable"/>
    <s v="SVP/ Support Services Office"/>
    <n v="847"/>
    <n v="8470810"/>
    <s v="KUST - Ankabut office"/>
    <n v="1"/>
    <n v="427810"/>
    <s v="427810-Telephone and telefax charges"/>
    <s v="000000"/>
    <s v="KUST - General"/>
    <s v="847001"/>
    <s v="FA179-Opex Expense"/>
    <n v="200179"/>
    <x v="5"/>
    <m/>
    <m/>
    <m/>
    <s v="427810.Telephone and telefax charges-Telecommunication, Satellite services-number of mobile numbers-Month"/>
    <s v="Month"/>
    <n v="12"/>
    <n v="38400"/>
    <s v="Mobile Services for KU eligible"/>
    <n v="460800"/>
    <m/>
    <m/>
    <n v="414720"/>
    <n v="368640"/>
    <n v="322560"/>
    <s v="Affects KU communications"/>
    <s v="Affects KU communications"/>
    <s v="Affects KU communications"/>
    <n v="38400"/>
    <n v="38400"/>
    <n v="38400"/>
    <n v="38400"/>
    <n v="38400"/>
    <n v="38400"/>
    <n v="38400"/>
    <n v="38400"/>
    <n v="38400"/>
    <n v="38400"/>
    <n v="38400"/>
    <n v="38400"/>
    <n v="460800"/>
    <s v="Utilize state-of-the-art technologies and facilities in an optimal and efficient manner"/>
    <m/>
  </r>
  <r>
    <s v="IT"/>
    <s v="No Applicable"/>
    <s v="SVP/ Support Services Office"/>
    <n v="847"/>
    <n v="8470810"/>
    <s v="KUST - Ankabut office"/>
    <n v="1"/>
    <n v="427850"/>
    <s v="427850-Data Transmission charges"/>
    <s v="000000"/>
    <s v="KUST - General"/>
    <s v="847001"/>
    <s v="FA179-Opex Expense"/>
    <n v="200179"/>
    <x v="6"/>
    <n v="2812668.59"/>
    <n v="2618028"/>
    <n v="2618028"/>
    <s v="427850.Data Transmission charges-Data Transmission charges-number of connection (ADSL/Broadband, etc) lines-Month"/>
    <s v="Month"/>
    <n v="12"/>
    <n v="168169"/>
    <s v="Internet Leased Line (1Gbps) and DSL lines for KU Main campus, SAN campus and Student Dorms (12)"/>
    <n v="2018028"/>
    <s v="KU Regular operations"/>
    <s v="Recurring"/>
    <n v="1816225.2"/>
    <n v="1614422.4000000001"/>
    <n v="1412619.5999999999"/>
    <s v="Internet Slowness affecting KU operations"/>
    <s v="Internet Slowness affecting KU operations"/>
    <s v="Internet Slowness affecting KU operations"/>
    <n v="168169"/>
    <n v="168169"/>
    <n v="168169"/>
    <n v="168169"/>
    <n v="168169"/>
    <n v="168169"/>
    <n v="168169"/>
    <n v="168169"/>
    <n v="168169"/>
    <n v="168169"/>
    <n v="168169"/>
    <n v="168169"/>
    <n v="2018028"/>
    <s v="Utilize state-of-the-art technologies and facilities in an optimal and efficient manner"/>
    <m/>
  </r>
  <r>
    <s v="Academic "/>
    <s v="No Applicable"/>
    <s v="SVP/ Support Services Office"/>
    <n v="847"/>
    <n v="8470810"/>
    <s v="KUST - Ankabut office"/>
    <n v="1"/>
    <n v="428090"/>
    <s v="428090-Business Travel - Combined expenses"/>
    <s v="000000"/>
    <s v="KUST - General"/>
    <s v="847001"/>
    <s v="FA179-Opex Expense"/>
    <n v="200179"/>
    <x v="7"/>
    <n v="0"/>
    <n v="11500"/>
    <n v="11500"/>
    <s v="428090.Business Travel - Combined expenses-Number of Staff-Number"/>
    <s v="Number"/>
    <n v="6"/>
    <n v="4000"/>
    <s v="Travel to DR Site at Al Ain and to IT Conferences outside of Abu Dhabi"/>
    <n v="24000"/>
    <s v="KU Regular operations"/>
    <s v="Recurring"/>
    <n v="21600"/>
    <n v="19200"/>
    <n v="16800"/>
    <s v="Limited Impact"/>
    <s v="Limited Impact"/>
    <s v="Limited Impact"/>
    <m/>
    <n v="0"/>
    <m/>
    <n v="8000"/>
    <m/>
    <n v="8000"/>
    <m/>
    <m/>
    <n v="8000"/>
    <m/>
    <m/>
    <m/>
    <n v="24000"/>
    <s v="Utilize state-of-the-art technologies and facilities in an optimal and efficient manner"/>
    <m/>
  </r>
  <r>
    <s v="IT"/>
    <s v="No Applicable"/>
    <s v="SVP/ Support Services Office"/>
    <n v="847"/>
    <n v="8470810"/>
    <s v="KUST - Ankabut office"/>
    <n v="1"/>
    <n v="430230"/>
    <s v="430230-Rental - Equipment"/>
    <s v="000000"/>
    <s v="KUST - General"/>
    <s v="847001"/>
    <s v="FA179-Opex Expense"/>
    <n v="200179"/>
    <x v="8"/>
    <n v="2593733.34"/>
    <n v="0"/>
    <m/>
    <m/>
    <s v="-_"/>
    <m/>
    <m/>
    <m/>
    <n v="0"/>
    <m/>
    <m/>
    <n v="0"/>
    <n v="0"/>
    <n v="0"/>
    <m/>
    <m/>
    <m/>
    <m/>
    <n v="0"/>
    <m/>
    <m/>
    <m/>
    <m/>
    <m/>
    <m/>
    <m/>
    <m/>
    <m/>
    <m/>
    <n v="0"/>
    <m/>
    <m/>
  </r>
  <r>
    <s v="Facilities "/>
    <s v="Director, Technology Development"/>
    <s v="SVP/ Support Services Office"/>
    <n v="847"/>
    <n v="8470810"/>
    <s v="KUST - Ankabut office"/>
    <n v="1"/>
    <n v="430250"/>
    <s v="430250-Rental - Computer hardware-Rental/Subscription - Computer hardware"/>
    <s v="000000"/>
    <s v="KUST - General"/>
    <s v="847001"/>
    <s v="FA179-Opex Expense"/>
    <n v="200179"/>
    <x v="9"/>
    <s v="-"/>
    <n v="1021317"/>
    <n v="1021317"/>
    <s v="430250.Rental - Computer hardware-Rental/Subscription - Computer hardware-Number of Laptop-Number"/>
    <s v="Number"/>
    <n v="1203"/>
    <n v="1550"/>
    <s v="End User Computing Refresh Laptops - Renewal for remaining years of lease for existing computers and additional lease for refresh program and new joiners (Researchers)"/>
    <n v="1864650"/>
    <s v="KU Regular operations"/>
    <s v="Recurring"/>
    <n v="1678185"/>
    <n v="1491720"/>
    <n v="1305255"/>
    <s v="laptops not refreshed as per KU policies and End-User Computing standard"/>
    <s v="laptops not refreshed as per KU policies and End-User Computing standard"/>
    <s v="laptops not refreshed as per KU policies and End-User Computing standard"/>
    <m/>
    <n v="0"/>
    <m/>
    <n v="1864650"/>
    <m/>
    <m/>
    <m/>
    <m/>
    <m/>
    <m/>
    <m/>
    <m/>
    <n v="1864650"/>
    <s v="Utilize state-of-the-art technologies and facilities in an optimal and efficient manner"/>
    <m/>
  </r>
  <r>
    <s v="IT"/>
    <s v="Director, Technology Development"/>
    <s v="SVP/ Support Services Office"/>
    <n v="847"/>
    <n v="8470810"/>
    <s v="KUST - Ankabut office"/>
    <n v="1"/>
    <n v="432205"/>
    <s v="432205-Computers and peripherals"/>
    <s v="000000"/>
    <s v="KUST - General"/>
    <s v="847001"/>
    <s v="FA179-Opex Expense"/>
    <n v="200179"/>
    <x v="10"/>
    <n v="12846395.300000001"/>
    <n v="1475000"/>
    <n v="1475000"/>
    <s v="432205.Computers and peripherals-End user and Infrastructure components maintenance and support-number of hardware devices-Month"/>
    <s v="Month"/>
    <n v="12"/>
    <n v="20000"/>
    <s v="Computer Accessories and hardware spare parts and maintenance for computers, audio visual components out of warranty/support"/>
    <n v="240000"/>
    <s v="KU Regular operations"/>
    <s v="Recurring"/>
    <n v="216000"/>
    <n v="192000"/>
    <n v="168000"/>
    <s v="Limited impact."/>
    <s v="Limited impact. Some hardware failure will not be repaired. "/>
    <s v="Limited impact. Some hardware failure will not be repaired. "/>
    <n v="20000"/>
    <n v="20000"/>
    <n v="20000"/>
    <n v="20000"/>
    <n v="20000"/>
    <n v="20000"/>
    <n v="20000"/>
    <n v="20000"/>
    <n v="20000"/>
    <n v="20000"/>
    <n v="20000"/>
    <n v="20000"/>
    <n v="240000"/>
    <s v="Utilize state-of-the-art technologies and facilities in an optimal and efficient manner"/>
    <m/>
  </r>
  <r>
    <s v="IT"/>
    <s v="Director, Technology Development"/>
    <s v="SVP/ Support Services Office"/>
    <n v="847"/>
    <n v="8470810"/>
    <s v="KUST - Ankabut office"/>
    <n v="1"/>
    <n v="432205"/>
    <s v="432205-Computers and peripherals"/>
    <s v="000000"/>
    <s v="KUST - General"/>
    <s v="847001"/>
    <s v="FA179-Opex Expense"/>
    <n v="200179"/>
    <x v="10"/>
    <m/>
    <m/>
    <m/>
    <s v="432205.Computers and peripherals-End user and Infrastructure components maintenance and support-service level agreement-Service"/>
    <s v="Service"/>
    <n v="1"/>
    <n v="300000"/>
    <s v="Network Cabling and Connectivity Services based on Rate Agreement for network passive components (Agreement attached) "/>
    <n v="300000"/>
    <s v="KU Regular operations"/>
    <s v="Recurring"/>
    <n v="270000"/>
    <n v="240000"/>
    <n v="210000"/>
    <s v="Limited Impact"/>
    <s v="Limited impact. Some areas will not be having proper networkble"/>
    <s v="Limited impact. Some areas will not be having proper networkble"/>
    <m/>
    <n v="0"/>
    <m/>
    <n v="100000"/>
    <m/>
    <m/>
    <n v="100000"/>
    <m/>
    <m/>
    <n v="100000"/>
    <m/>
    <m/>
    <n v="300000"/>
    <s v="Utilize state-of-the-art technologies and facilities in an optimal and efficient manner"/>
    <m/>
  </r>
  <r>
    <s v="IT"/>
    <s v="Director, Technology Development"/>
    <s v="SVP/ Support Services Office"/>
    <n v="847"/>
    <n v="8470810"/>
    <s v="KUST - Ankabut office"/>
    <n v="1"/>
    <n v="432205"/>
    <s v="432205-Computers and peripherals"/>
    <s v="000000"/>
    <s v="KUST - General"/>
    <s v="847001"/>
    <s v="FA179-Opex Expense"/>
    <n v="200179"/>
    <x v="10"/>
    <m/>
    <m/>
    <m/>
    <s v="432205.Computers and peripherals-End user and Infrastructure components maintenance and support-service level agreement-Service"/>
    <s v="Service"/>
    <n v="1"/>
    <n v="700000"/>
    <s v="Classoom Audio Visual Renovations for merged classrooms in Main and SAN Campuses. _x000a_Part 1: AV Accessories"/>
    <n v="700000"/>
    <s v="KU Regular operations"/>
    <s v="Recurring"/>
    <n v="630000"/>
    <n v="560000"/>
    <n v="489999.99999999994"/>
    <s v="Academic Operatiosn Affected due to classroom projection issues"/>
    <s v="Academic Operatiosn Affected due to classroom projection issues"/>
    <s v="Academic Operatiosn Affected due to classroom projection issues"/>
    <m/>
    <n v="0"/>
    <m/>
    <m/>
    <n v="700000"/>
    <m/>
    <m/>
    <m/>
    <m/>
    <m/>
    <m/>
    <m/>
    <n v="700000"/>
    <s v="Utilize state-of-the-art technologies and facilities in an optimal and efficient manner"/>
    <m/>
  </r>
  <r>
    <s v="IT"/>
    <s v="Director, Technology Development"/>
    <s v="SVP/ Support Services Office"/>
    <n v="847"/>
    <n v="8470810"/>
    <s v="KUST - Ankabut office"/>
    <n v="1"/>
    <n v="432205"/>
    <s v="432205-Computers and peripherals"/>
    <s v="000000"/>
    <s v="KUST - General"/>
    <s v="847001"/>
    <s v="FA179-Opex Expense"/>
    <n v="200179"/>
    <x v="10"/>
    <m/>
    <m/>
    <m/>
    <s v="432205.Computers and peripherals-End user and Infrastructure components maintenance and support-service level agreement-Service"/>
    <s v="Service"/>
    <n v="1"/>
    <n v="550000"/>
    <s v="Wireless Access Points Maintenance and Unification for KU Main Campus to be based on Aruba Access Points"/>
    <n v="550000"/>
    <s v="KU Regular operations"/>
    <s v="Recurring"/>
    <n v="495000"/>
    <n v="440000"/>
    <n v="385000"/>
    <s v="Limited wireless coverage"/>
    <s v="Limited wireless coverage"/>
    <s v="Limited wireless coverage"/>
    <m/>
    <n v="0"/>
    <m/>
    <m/>
    <m/>
    <m/>
    <m/>
    <n v="550000"/>
    <m/>
    <m/>
    <m/>
    <m/>
    <n v="550000"/>
    <s v="Utilize state-of-the-art technologies and facilities in an optimal and efficient manner"/>
    <m/>
  </r>
  <r>
    <s v="IT"/>
    <s v="Director, Technology Development"/>
    <s v="SVP/ Support Services Office"/>
    <n v="847"/>
    <n v="8470810"/>
    <s v="KUST - Ankabut office"/>
    <n v="1"/>
    <n v="432205"/>
    <s v="432205-Computers and peripherals"/>
    <s v="000000"/>
    <s v="KUST - General"/>
    <s v="847001"/>
    <s v="FA179-Opex Expense"/>
    <n v="200179"/>
    <x v="10"/>
    <m/>
    <m/>
    <m/>
    <s v="432205.Computers and peripherals-End user and Infrastructure components maintenance and support-service level agreement-Service"/>
    <s v="Service"/>
    <n v="1"/>
    <n v="90000"/>
    <s v="Network Maintenance for Huawei Equipment out of support (Campus Core/Distribution Switches)"/>
    <n v="90000"/>
    <s v="KU Regular operations"/>
    <s v="Recurring"/>
    <n v="81000"/>
    <n v="72000"/>
    <n v="62999.999999999993"/>
    <s v="Limited Network support from Vendor"/>
    <s v="Limited Network support from Vendor"/>
    <s v="Limited Network support from Vendor"/>
    <m/>
    <n v="0"/>
    <m/>
    <m/>
    <n v="90000"/>
    <m/>
    <m/>
    <m/>
    <m/>
    <m/>
    <m/>
    <m/>
    <n v="90000"/>
    <s v="Utilize state-of-the-art technologies and facilities in an optimal and efficient manner"/>
    <m/>
  </r>
  <r>
    <s v="IT"/>
    <s v="Director, Technology Development"/>
    <s v="SVP/ Support Services Office"/>
    <n v="847"/>
    <n v="8470810"/>
    <s v="KUST - Ankabut office"/>
    <n v="1"/>
    <n v="432205"/>
    <s v="432205-Computers and peripherals"/>
    <s v="000000"/>
    <s v="KUST - General"/>
    <s v="847001"/>
    <s v="FA179-Opex Expense"/>
    <n v="200179"/>
    <x v="10"/>
    <m/>
    <m/>
    <m/>
    <s v="432205.Computers and peripherals-End user and Infrastructure components maintenance and support-service level agreement-Service"/>
    <s v="Service"/>
    <n v="1"/>
    <n v="450000"/>
    <s v="Telephony UCS License renewal"/>
    <n v="450000"/>
    <s v="KU Regular operations"/>
    <s v="Recurring"/>
    <n v="405000"/>
    <n v="360000"/>
    <n v="315000"/>
    <s v="Limited Network support from Vendor"/>
    <s v="Limited Network support from Vendor"/>
    <s v="Limited Network support from Vendor"/>
    <m/>
    <n v="0"/>
    <m/>
    <m/>
    <n v="450000"/>
    <m/>
    <m/>
    <m/>
    <m/>
    <m/>
    <m/>
    <m/>
    <n v="450000"/>
    <m/>
    <m/>
  </r>
  <r>
    <s v="IT"/>
    <s v="No Applicable"/>
    <s v="SVP/ Support Services Office"/>
    <n v="847"/>
    <n v="8470810"/>
    <s v="KUST - Ankabut office"/>
    <n v="1"/>
    <n v="432226"/>
    <s v="432226-Computers and peripherals-Printers maintenance and support "/>
    <s v="000000"/>
    <s v="KUST - General"/>
    <s v="847001"/>
    <s v="FA179-Opex Expense"/>
    <n v="200179"/>
    <x v="11"/>
    <s v="-"/>
    <n v="360000"/>
    <n v="360000"/>
    <s v="432226.Computers and peripherals-Printers maintenance and support-Number of paper printing-Month"/>
    <s v="Month"/>
    <n v="12"/>
    <n v="45000"/>
    <s v="Printing Charges based on current SLA for Leasing Printers and Maintenance Agreement. (Reference Invoice March 2022 ~40K)"/>
    <n v="540000"/>
    <s v="KU Regular operations"/>
    <s v="Recurring"/>
    <n v="486000"/>
    <n v="432000"/>
    <n v="378000"/>
    <s v="Reduced Quota for printing"/>
    <s v="Reduced Quota for printing"/>
    <s v="Reduced Quota for printing"/>
    <n v="45000"/>
    <n v="45000"/>
    <n v="45000"/>
    <n v="45000"/>
    <n v="45000"/>
    <n v="45000"/>
    <n v="45000"/>
    <n v="45000"/>
    <n v="45000"/>
    <n v="45000"/>
    <n v="45000"/>
    <n v="45000"/>
    <n v="540000"/>
    <s v="Utilize state-of-the-art technologies and facilities in an optimal and efficient manner"/>
    <m/>
  </r>
  <r>
    <s v="Other support"/>
    <s v="No Applicable"/>
    <s v="SVP/ Support Services Office"/>
    <n v="847"/>
    <n v="8470810"/>
    <s v="KUST - Ankabut office"/>
    <n v="1"/>
    <n v="436110"/>
    <s v="436110-Printing supplies"/>
    <s v="000000"/>
    <s v="KUST - General"/>
    <s v="847001"/>
    <s v="FA179-Opex Expense"/>
    <n v="200179"/>
    <x v="12"/>
    <s v="-"/>
    <n v="0"/>
    <m/>
    <m/>
    <s v="-_"/>
    <m/>
    <m/>
    <m/>
    <n v="0"/>
    <m/>
    <m/>
    <n v="0"/>
    <n v="0"/>
    <n v="0"/>
    <m/>
    <m/>
    <m/>
    <m/>
    <n v="0"/>
    <m/>
    <m/>
    <m/>
    <m/>
    <m/>
    <m/>
    <m/>
    <m/>
    <m/>
    <m/>
    <n v="0"/>
    <m/>
    <m/>
  </r>
  <r>
    <s v="IT"/>
    <s v="Director, Technology Development"/>
    <s v="SVP/ Support Services Office"/>
    <n v="847"/>
    <n v="8470810"/>
    <s v="KUST - Ankabut office"/>
    <n v="1"/>
    <n v="492310"/>
    <s v="492310-Hardware &amp; peripherals"/>
    <s v="000000"/>
    <s v="KUST - General"/>
    <s v="847001"/>
    <s v="FA180-Capex Expense"/>
    <n v="300180"/>
    <x v="13"/>
    <n v="3471424"/>
    <n v="175000"/>
    <n v="175000"/>
    <s v="492310.Hardware &amp; peripherals-warranty period-Warranty"/>
    <s v="Warranty"/>
    <n v="1"/>
    <n v="255000"/>
    <s v="Computer Refresh program for Mac/Special Computers for existing users and new Macs for new faculty joiners - Total 30 users @AED8.5K"/>
    <n v="255000"/>
    <s v="KU Regular operations"/>
    <s v="Non-recurring"/>
    <n v="229500"/>
    <n v="204000"/>
    <n v="178500"/>
    <s v="laptops not refreshed as per KU policies and End-User Computing standard"/>
    <s v="laptops not refreshed as per KU policies and End-User Computing standard"/>
    <s v="laptops not refreshed as per KU policies and End-User Computing standard"/>
    <m/>
    <n v="0"/>
    <m/>
    <m/>
    <n v="255000"/>
    <m/>
    <m/>
    <m/>
    <m/>
    <m/>
    <m/>
    <m/>
    <n v="255000"/>
    <s v="Utilize state-of-the-art technologies and facilities in an optimal and efficient manner"/>
    <m/>
  </r>
  <r>
    <s v="IT"/>
    <s v="Director, Technology Development"/>
    <s v="SVP/ Support Services Office"/>
    <n v="847"/>
    <n v="8470810"/>
    <s v="KUST - Ankabut office"/>
    <n v="1"/>
    <n v="492352"/>
    <s v="492352-Hardware &amp; peripherals-Network Devices"/>
    <s v="000000"/>
    <s v="KUST - General"/>
    <s v="847001"/>
    <s v="FA180-Capex Expense"/>
    <n v="300180"/>
    <x v="14"/>
    <s v="-"/>
    <n v="1735802"/>
    <n v="1735802"/>
    <s v="492352.Hardware &amp; peripherals-Network Devices-TBD-TBD"/>
    <s v="TBD"/>
    <n v="1"/>
    <n v="1389000"/>
    <s v="Campus Network Equipment Refresh Program for: _x000a_Distribution Switches in Student Dorms (4 Units)_x000a_Access Network Layer (Out of support lifecycle) _x000a_- Phase 2 (2023): SAN Campus + New Campus (130 switches)_x000a_- Phase 3 (2024): KU Main Campus - New Buildings (120 Switches)"/>
    <n v="1389000"/>
    <s v="KU Regular operations"/>
    <s v="Non-recurring"/>
    <n v="1250100"/>
    <n v="1111200"/>
    <n v="972299.99999999988"/>
    <s v="Limited replacement for old and Obsolete equipment without support"/>
    <s v="Limited replacement for old and Obsolete equipment without support"/>
    <s v="Limited replacement for old and Obsolete equipment without support"/>
    <m/>
    <n v="0"/>
    <m/>
    <m/>
    <m/>
    <n v="1389000"/>
    <m/>
    <m/>
    <m/>
    <m/>
    <m/>
    <m/>
    <n v="1389000"/>
    <s v="Utilize state-of-the-art technologies and facilities in an optimal and efficient manner"/>
    <m/>
  </r>
  <r>
    <s v="IT"/>
    <s v="Director, Technology Development"/>
    <s v="SVP/ Support Services Office"/>
    <n v="847"/>
    <n v="8470810"/>
    <s v="KUST - Ankabut office"/>
    <n v="1"/>
    <n v="492354"/>
    <s v="492354-Hardware &amp; peripherals-Peripherals &amp; Infrastructure  Components "/>
    <s v="000000"/>
    <s v="KUST - General"/>
    <s v="847001"/>
    <s v="FA180-Capex Expense"/>
    <n v="300180"/>
    <x v="15"/>
    <s v="-"/>
    <n v="240000"/>
    <n v="240000"/>
    <s v="492354.Hardware &amp; peripherals-Peripherals &amp; Infrastructure Components-TBD-TBD"/>
    <s v="TBD"/>
    <m/>
    <m/>
    <m/>
    <n v="0"/>
    <m/>
    <m/>
    <n v="0"/>
    <n v="0"/>
    <n v="0"/>
    <m/>
    <m/>
    <m/>
    <m/>
    <n v="0"/>
    <m/>
    <m/>
    <m/>
    <m/>
    <m/>
    <m/>
    <m/>
    <m/>
    <m/>
    <m/>
    <n v="0"/>
    <m/>
    <m/>
  </r>
  <r>
    <s v="IT"/>
    <s v="Director, Technology Development"/>
    <s v="SVP/ Support Services Office"/>
    <n v="847"/>
    <n v="8470810"/>
    <s v="KUST - Ankabut office"/>
    <n v="1"/>
    <n v="492356"/>
    <s v="492356-Hardware &amp; peripherals-Conferencing &amp; AV"/>
    <s v="000000"/>
    <s v="KUST - General"/>
    <s v="847001"/>
    <s v="FA180-Capex Expense"/>
    <n v="300180"/>
    <x v="16"/>
    <s v="-"/>
    <n v="650000"/>
    <n v="650000"/>
    <s v="492356.Hardware &amp; peripherals-Conferencing &amp; AV-TBD-TBD"/>
    <s v="TBD"/>
    <n v="1"/>
    <n v="3316413"/>
    <s v="Major Classroom Renovations to adopt hybrid learning in classrooms, lecture recording and replace old projectors in SAN and Main campuses. _x000a_Scope for Phase 1 in 2023 and Phase 2 in 2024 is described in attached sheet (Classroom.xls)"/>
    <n v="3316413"/>
    <s v="KU Strategic New Initiative"/>
    <s v="Non-recurring"/>
    <n v="2984771.7"/>
    <n v="2653130.4000000004"/>
    <n v="2321489.0999999996"/>
    <s v="Limited upgrade of KU Classroom to address teaching requirements"/>
    <s v="Limited upgrade of KU Classroom to address teaching requirements"/>
    <s v="Limited upgrade of KU Classroom to address teaching requirements"/>
    <m/>
    <n v="0"/>
    <m/>
    <m/>
    <m/>
    <n v="3316413"/>
    <m/>
    <m/>
    <m/>
    <m/>
    <m/>
    <m/>
    <n v="3316413"/>
    <s v="Utilize state-of-the-art technologies and facilities in an optimal and efficient manner"/>
    <m/>
  </r>
  <r>
    <s v="IT"/>
    <s v="Director, Technology Development"/>
    <s v="SVP/ Support Services Office"/>
    <n v="847"/>
    <n v="8470810"/>
    <s v="KUST - Ankabut office"/>
    <n v="1"/>
    <n v="492356"/>
    <s v="492356-Hardware &amp; peripherals-Conferencing &amp; AV"/>
    <s v="000000"/>
    <s v="KUST - General"/>
    <s v="847001"/>
    <s v="FA180-Capex Expense"/>
    <n v="300180"/>
    <x v="16"/>
    <s v="-"/>
    <n v="650000"/>
    <n v="650000"/>
    <s v="492356.Hardware &amp; peripherals-Conferencing &amp; AV-TBD-TBD"/>
    <s v="TBD"/>
    <n v="1"/>
    <n v="702126"/>
    <s v="AV equipment for Merged Classrooms in SAN Campus and Main Campus - Part 2: AV Equipment"/>
    <n v="702126"/>
    <s v="KU Regular operations"/>
    <s v="Non-recurring"/>
    <n v="631913.4"/>
    <n v="561700.80000000005"/>
    <n v="491488.19999999995"/>
    <s v="Limited upgrade of KU Classroom to address teaching requirements"/>
    <s v="Limited upgrade of KU Classroom to address teaching requirements"/>
    <s v="Limited upgrade of KU Classroom to address teaching requirements"/>
    <m/>
    <n v="0"/>
    <m/>
    <m/>
    <m/>
    <n v="702126"/>
    <m/>
    <m/>
    <m/>
    <m/>
    <m/>
    <m/>
    <n v="702126"/>
    <m/>
    <m/>
  </r>
  <r>
    <n v="0"/>
    <s v="No Applicable"/>
    <s v="SVP/ Support Services Office"/>
    <n v="847"/>
    <n v="8470810"/>
    <s v="KUST - Ankabut office"/>
    <n v="1"/>
    <n v="495110"/>
    <s v="495110-Computer software"/>
    <s v="000000"/>
    <s v="KUST - General"/>
    <s v="847001"/>
    <s v="FA180-Capex Expense"/>
    <n v="300180"/>
    <x v="17"/>
    <n v="796333.2"/>
    <n v="0"/>
    <m/>
    <m/>
    <s v="-_"/>
    <m/>
    <m/>
    <m/>
    <n v="0"/>
    <m/>
    <m/>
    <n v="0"/>
    <n v="0"/>
    <n v="0"/>
    <m/>
    <m/>
    <m/>
    <m/>
    <n v="0"/>
    <m/>
    <m/>
    <m/>
    <m/>
    <m/>
    <m/>
    <m/>
    <m/>
    <m/>
    <m/>
    <n v="0"/>
    <m/>
    <m/>
  </r>
  <r>
    <s v="IT"/>
    <s v="Director, Technology Development"/>
    <s v="SVP/ Support Services Office"/>
    <n v="847"/>
    <n v="8470810"/>
    <s v="KUST - Ankabut office"/>
    <n v="1"/>
    <n v="495113"/>
    <s v="495113-Computer software-Application, Platform "/>
    <s v="000000"/>
    <s v="KUST - General"/>
    <s v="847001"/>
    <s v="FA180-Capex Expense"/>
    <n v="300180"/>
    <x v="18"/>
    <s v="-"/>
    <n v="590670"/>
    <n v="590670"/>
    <s v="495113.Computer software-Application, Platform -number of licenses-Number"/>
    <s v="Number"/>
    <n v="1"/>
    <n v="320000"/>
    <s v="Mobile App Development Platform Solution for Unified KU Mobile App (e.g Modolabs)"/>
    <n v="320000"/>
    <s v="KU Strategic New Initiative"/>
    <s v="Non-recurring"/>
    <n v="288000"/>
    <n v="256000"/>
    <n v="224000"/>
    <s v="Limited licenses for the application"/>
    <s v="Limited licenses for the application"/>
    <s v="Limited licenses for the application"/>
    <m/>
    <n v="0"/>
    <m/>
    <n v="320000"/>
    <m/>
    <m/>
    <m/>
    <m/>
    <m/>
    <m/>
    <m/>
    <m/>
    <n v="320000"/>
    <s v="Utilize state-of-the-art technologies and facilities in an optimal and efficient manner"/>
    <m/>
  </r>
  <r>
    <s v="IT"/>
    <s v="Director, Technology Development"/>
    <s v="SVP/ Support Services Office"/>
    <n v="847"/>
    <n v="8470810"/>
    <s v="KUST - Ankabut office"/>
    <n v="1"/>
    <n v="495113"/>
    <s v="495113-Computer software-Application, Platform "/>
    <s v="000000"/>
    <s v="KUST - General"/>
    <s v="847001"/>
    <s v="FA180-Capex Expense"/>
    <n v="300180"/>
    <x v="18"/>
    <m/>
    <m/>
    <m/>
    <s v="495113.Computer software-Application, Platform -number of licenses-Number"/>
    <s v="Number"/>
    <n v="1"/>
    <n v="300000"/>
    <s v="Application Integration Platform (API Gateway) for process automations"/>
    <n v="300000"/>
    <s v="KU Regular operations"/>
    <s v="Recurring"/>
    <n v="270000"/>
    <n v="240000"/>
    <n v="210000"/>
    <s v="Limited licenses for the application"/>
    <s v="Limited licenses for the application"/>
    <s v="Limited licenses for the application"/>
    <m/>
    <n v="0"/>
    <m/>
    <n v="300000"/>
    <m/>
    <m/>
    <m/>
    <m/>
    <m/>
    <m/>
    <m/>
    <m/>
    <n v="300000"/>
    <s v="Utilize state-of-the-art technologies and facilities in an optimal and efficient manner"/>
    <m/>
  </r>
  <r>
    <s v="IT"/>
    <s v="Director, Technology Development"/>
    <s v="SVP/ Support Services Office"/>
    <n v="847"/>
    <n v="8470810"/>
    <s v="KUST - Ankabut office"/>
    <n v="1"/>
    <n v="495113"/>
    <s v="495113-Computer software-Application, Platform "/>
    <s v="000000"/>
    <s v="KUST - General"/>
    <s v="847001"/>
    <s v="FA180-Capex Expense"/>
    <n v="300180"/>
    <x v="18"/>
    <m/>
    <m/>
    <m/>
    <s v="495113.Computer software-Application, Platform -number of licenses-Number"/>
    <s v="Number"/>
    <n v="1"/>
    <n v="152572"/>
    <s v="Call Management - Imagicle Applications integrated with KU Telephony System - Quote for USD 124,548 for 3Y"/>
    <n v="152572"/>
    <s v="KU Regular operations"/>
    <s v="Recurring"/>
    <n v="137314.80000000002"/>
    <n v="122057.60000000001"/>
    <n v="106800.4"/>
    <s v="Limited licenses for the application"/>
    <s v="Limited licenses for the application"/>
    <s v="Limited licenses for the application"/>
    <m/>
    <n v="0"/>
    <m/>
    <n v="152572"/>
    <m/>
    <m/>
    <m/>
    <m/>
    <m/>
    <m/>
    <m/>
    <m/>
    <n v="152572"/>
    <s v="Utilize state-of-the-art technologies and facilities in an optimal and efficient manner"/>
    <m/>
  </r>
  <r>
    <s v="IT"/>
    <s v="No Applicable"/>
    <s v="SVP/ Support Services Office"/>
    <n v="847"/>
    <n v="8470810"/>
    <s v="KUST - Ankabut office"/>
    <n v="1"/>
    <n v="427850"/>
    <s v="427850-Data Transmission charges"/>
    <s v="000000"/>
    <s v="KUST - General"/>
    <s v="847001"/>
    <s v="FA179-Opex Expense"/>
    <n v="200179"/>
    <x v="6"/>
    <n v="1695109.4"/>
    <s v="-"/>
    <m/>
    <m/>
    <s v="-_"/>
    <m/>
    <m/>
    <m/>
    <n v="0"/>
    <m/>
    <m/>
    <n v="0"/>
    <n v="0"/>
    <n v="0"/>
    <m/>
    <m/>
    <m/>
    <m/>
    <n v="0"/>
    <m/>
    <m/>
    <m/>
    <m/>
    <m/>
    <m/>
    <m/>
    <m/>
    <m/>
    <m/>
    <n v="0"/>
    <m/>
    <m/>
  </r>
  <r>
    <s v="Facilities "/>
    <s v="Director, Research Laboratories"/>
    <s v="SVP/ Support Services Office"/>
    <n v="847"/>
    <n v="8470810"/>
    <s v="KUST - Ankabut office"/>
    <n v="1"/>
    <n v="492316"/>
    <s v="492316-Laboratory equipment"/>
    <s v="000000"/>
    <s v="KUST - General"/>
    <s v="847001"/>
    <s v="FA180-Capex Expense"/>
    <n v="300180"/>
    <x v="19"/>
    <n v="-53578"/>
    <s v="-"/>
    <m/>
    <m/>
    <s v="-_"/>
    <m/>
    <m/>
    <m/>
    <n v="0"/>
    <m/>
    <m/>
    <n v="0"/>
    <n v="0"/>
    <n v="0"/>
    <m/>
    <m/>
    <m/>
    <m/>
    <n v="0"/>
    <m/>
    <m/>
    <m/>
    <m/>
    <m/>
    <m/>
    <m/>
    <m/>
    <m/>
    <m/>
    <n v="0"/>
    <m/>
    <m/>
  </r>
  <r>
    <s v="Academic"/>
    <s v="No Applicable"/>
    <s v="Provost"/>
    <n v="847"/>
    <n v="8470220"/>
    <s v="KUST - Office of the Provost"/>
    <n v="1"/>
    <n v="420550"/>
    <s v="420550-Academic Advisory Service"/>
    <s v="000000"/>
    <s v="KUST - General"/>
    <s v="847001"/>
    <s v="FA179-Opex Expense"/>
    <n v="200179"/>
    <x v="20"/>
    <s v="-"/>
    <n v="60000"/>
    <n v="60000"/>
    <s v="420550.Academic Advisory Service-Number of Services-Number"/>
    <m/>
    <n v="145"/>
    <n v="2900"/>
    <s v="External Consultants for 5x  new Programs @ 40000 Each_x000a_External Evaluators for Faculty Promotions (35 faculty x 4 evaluators @ $400 (1600AED) each"/>
    <n v="420500"/>
    <s v="KU Regular operations"/>
    <s v="Recurring"/>
    <n v="378450"/>
    <n v="336400"/>
    <n v="294350"/>
    <s v="If we are unable to pay the evaluators and contractors agreed price it will cause reputational damage"/>
    <s v="If we are unable to pay the evaluators and contractors agreed price it will cause reputational damage"/>
    <s v="If we are unable to pay the evaluators and contractors agreed price it will cause reputational damage"/>
    <m/>
    <n v="44000"/>
    <m/>
    <n v="40000"/>
    <m/>
    <n v="40000"/>
    <m/>
    <n v="80000"/>
    <m/>
    <m/>
    <n v="108250"/>
    <n v="108250"/>
    <n v="420500"/>
    <s v="Align academic programs with the local and global labor market needs"/>
    <m/>
  </r>
  <r>
    <s v="Academic"/>
    <s v="No Applicable"/>
    <s v="Provost"/>
    <n v="847"/>
    <n v="8470220"/>
    <s v="KUST - Office of the Provost"/>
    <n v="1"/>
    <n v="420570"/>
    <s v="420570-Academic Collaborative Partnership Services"/>
    <s v="000000"/>
    <s v="KUST - General"/>
    <s v="847001"/>
    <s v="FA179-Opex Expense"/>
    <n v="200179"/>
    <x v="21"/>
    <s v="-"/>
    <n v="392387"/>
    <n v="392387"/>
    <s v="420570.Academic Collaborative Partnership Services-Partnership Agreement or Academic Collaboration -No of Partneship/collaboration Agreement"/>
    <s v="No of Partneship/collaboration Agreement"/>
    <n v="1"/>
    <n v="3000000"/>
    <s v="Twinning &amp; other partnership initiatives"/>
    <n v="3000000"/>
    <s v="KU Regular operations"/>
    <s v="Recurring"/>
    <n v="2700000"/>
    <n v="2400000"/>
    <n v="2100000"/>
    <s v="Less budget will impact the amount of activities and associated output/benefits"/>
    <s v="Less budget will impact the amount of activities and associated output/benefits"/>
    <s v="Less budget will impact the amount of activities and associated output/benefits"/>
    <n v="250000"/>
    <n v="250000"/>
    <n v="250000"/>
    <n v="250000"/>
    <n v="250000"/>
    <n v="250000"/>
    <n v="250000"/>
    <n v="250000"/>
    <n v="250000"/>
    <n v="250000"/>
    <n v="250000"/>
    <n v="250000"/>
    <n v="3000000"/>
    <s v="Build partnerships with local and international universities"/>
    <m/>
  </r>
  <r>
    <s v="Academic"/>
    <s v="Director, Institutional Research and Planning"/>
    <s v="Provost"/>
    <n v="847"/>
    <n v="8470220"/>
    <s v="KUST - Office of the Provost"/>
    <n v="1"/>
    <n v="421700"/>
    <s v="421700-Standards certification (e.g. ISO)"/>
    <s v="000000"/>
    <s v="KUST - General"/>
    <s v="847001"/>
    <s v="FA179-Opex Expense"/>
    <n v="200179"/>
    <x v="22"/>
    <s v="-"/>
    <n v="375000"/>
    <n v="375000"/>
    <s v="421700.Standards Certification Services (e.g. ISO)-Number of Academic programs-Number"/>
    <s v="Number"/>
    <n v="23"/>
    <n v="150000"/>
    <s v="23 x CAA reaccrediation of programs @ 150K each + 5 x new Programs @ 150K each"/>
    <n v="3450000"/>
    <s v="KU Regular operations"/>
    <s v="Non-recurring"/>
    <n v="3105000"/>
    <n v="2760000"/>
    <n v="2415000"/>
    <s v="This is a fee to the CAA, UAE Government entity, this amount must be paid, without reaccrediation it would be hugely damaging"/>
    <s v="This is a fee to the CAA, UAE Government entity, this amount must be paid, without reaccrediation it would be hugely damaging"/>
    <s v="This is a fee to the CAA, UAE Government entity, this amount must be paid, without reaccrediation it would be hugely damaging"/>
    <m/>
    <m/>
    <n v="0"/>
    <n v="3450000"/>
    <n v="0"/>
    <n v="0"/>
    <n v="0"/>
    <n v="0"/>
    <n v="0"/>
    <n v="0"/>
    <n v="0"/>
    <n v="0"/>
    <n v="3450000"/>
    <s v="Develop a multidimensional program to attract and retain diverse outstanding students"/>
    <m/>
  </r>
  <r>
    <s v="Communiction &amp; Marketing"/>
    <s v="Director, Marketing and Communication"/>
    <s v="Provost"/>
    <n v="847"/>
    <n v="8470220"/>
    <s v="KUST - Office of the Provost"/>
    <n v="1"/>
    <n v="425510"/>
    <s v="425510-Conferences, seminars and exhibitions and other events: - Local Events"/>
    <s v="000000"/>
    <s v="KUST - General"/>
    <s v="847001"/>
    <s v="FA179-Opex Expense"/>
    <n v="200179"/>
    <x v="23"/>
    <s v="-"/>
    <n v="10000"/>
    <n v="10000"/>
    <s v="425510.Conferences, seminars and exhibitions and other events: - Local Events-Seminars-Number of Seminars"/>
    <s v="Number of Seminars"/>
    <n v="5"/>
    <n v="20000"/>
    <s v="Local events/conferences/seminars etc_x000a_Hosting well known faculty researchers/faculty for seminars etc 5 @ 20000 each"/>
    <n v="100000"/>
    <s v="KU Regular operations"/>
    <s v="Recurring"/>
    <n v="90000"/>
    <n v="80000"/>
    <n v="70000"/>
    <s v="Less budget will impact the amount of activities and associated output/benefits"/>
    <s v="Less budget will impact the amount of activities and associated output/benefits"/>
    <s v="Less budget will impact the amount of activities and associated output/benefits"/>
    <m/>
    <n v="20000"/>
    <n v="20000"/>
    <n v="0"/>
    <n v="20000"/>
    <n v="0"/>
    <n v="0"/>
    <n v="0"/>
    <n v="0"/>
    <n v="20000"/>
    <n v="20000"/>
    <n v="0"/>
    <n v="100000"/>
    <s v="Recruit and retain high caliber faculty, researchers and staff"/>
    <m/>
  </r>
  <r>
    <s v="Communiction &amp; Marketing"/>
    <s v="No Applicable"/>
    <s v="Provost"/>
    <n v="847"/>
    <n v="8470220"/>
    <s v="KUST - Office of the Provost"/>
    <n v="1"/>
    <n v="425550"/>
    <s v="425550-Conferences, seminars and exhibitions and other events: - Overseas event"/>
    <s v="000000"/>
    <s v="KUST - General"/>
    <s v="847001"/>
    <s v="FA179-Opex Expense"/>
    <n v="200179"/>
    <x v="24"/>
    <s v="-"/>
    <n v="25000"/>
    <n v="25000"/>
    <s v="425550.Conferences, seminars and exhibitions and other events: - Overseas event-Conferences-Number of Conferences"/>
    <s v="Number of Conferences"/>
    <n v="5"/>
    <n v="20000"/>
    <s v="Provost &amp; 4 Assoc. Provost @ 1 conference each @ 20K"/>
    <n v="100000"/>
    <s v="KU Regular operations"/>
    <s v="Recurring"/>
    <n v="90000"/>
    <n v="80000"/>
    <n v="70000"/>
    <s v="Less budget will impact the amount of activities and associated output/benefits"/>
    <s v="Less budget will impact the amount of activities and associated output/benefits"/>
    <s v="Less budget will impact the amount of activities and associated output/benefits"/>
    <m/>
    <n v="20000"/>
    <n v="20000"/>
    <m/>
    <n v="20000"/>
    <m/>
    <m/>
    <m/>
    <m/>
    <n v="20000"/>
    <n v="20000"/>
    <m/>
    <n v="100000"/>
    <s v="Recruit and retain high caliber faculty, researchers and staff"/>
    <m/>
  </r>
  <r>
    <s v="Student"/>
    <s v="No Applicable"/>
    <s v="Provost"/>
    <n v="847"/>
    <n v="8470220"/>
    <s v="KUST - Office of the Provost"/>
    <n v="1"/>
    <n v="425740"/>
    <s v="425740-Scholarships &amp; other financial aid"/>
    <s v="000000"/>
    <s v="KUST - General"/>
    <s v="847001"/>
    <s v="FA179-Opex Expense"/>
    <n v="200179"/>
    <x v="25"/>
    <s v="-"/>
    <n v="694710"/>
    <n v="694710"/>
    <s v="425740.Scholarships &amp; other financial aid-Students-No of Students"/>
    <s v="No of Students"/>
    <n v="26"/>
    <n v="138462"/>
    <s v="6 post docs @ 500K National Post Doc Scheme +_x000a_20 faculty @ 30K for Faculty Development Scheme"/>
    <n v="3600012"/>
    <s v="KU Regular operations"/>
    <s v="Recurring"/>
    <n v="3240010.8000000003"/>
    <n v="2880009.6"/>
    <n v="2520008.4"/>
    <s v="Less budget will impact the amount of activities and associated output/benefits"/>
    <s v="Less budget will impact the amount of activities and associated output/benefits"/>
    <s v="Less budget will impact the amount of activities and associated output/benefits"/>
    <n v="500000"/>
    <n v="500000"/>
    <n v="500000"/>
    <n v="500000"/>
    <n v="500000"/>
    <n v="500000"/>
    <n v="100000"/>
    <n v="100000"/>
    <n v="100000"/>
    <n v="100000"/>
    <n v="100012"/>
    <n v="100000"/>
    <n v="3600012"/>
    <s v="Design and implement professional development programs for researchers, faculty, and  staff to contribute to the university strategic plan"/>
    <m/>
  </r>
  <r>
    <s v="Other support"/>
    <s v="Director, Human Resources"/>
    <s v="Provost"/>
    <n v="847"/>
    <n v="8470220"/>
    <s v="KUST - Office of the Provost"/>
    <n v="1"/>
    <n v="425900"/>
    <s v="425900-Entertainment and hospitality"/>
    <s v="000000"/>
    <s v="KUST - General"/>
    <s v="847001"/>
    <s v="FA179-Opex Expense"/>
    <n v="200179"/>
    <x v="26"/>
    <s v="-"/>
    <n v="12000"/>
    <n v="12000"/>
    <s v="425900.Entertainment and hospitality-1. No of events/workshops planned-count"/>
    <s v="count"/>
    <n v="12"/>
    <n v="10667"/>
    <s v="12 x 1000 per month provost office catering_x000a_2 x Faculty Townhalls @ 20K E_x000a_2 x Faculty Council @ 3K E_x000a_FAC x 2 @ 3000"/>
    <n v="128004"/>
    <s v="KU Regular operations"/>
    <s v="Recurring"/>
    <n v="115203.6"/>
    <n v="102403.20000000001"/>
    <n v="89602.799999999988"/>
    <s v="Less budget will impact the amount of activities and associated feel good factor amoung the community"/>
    <s v="Less budget will impact the amount of activities and associated feel good factor amoung the community"/>
    <s v="Less budget will impact the amount of activities and associated feel good factor amoung the community"/>
    <n v="10667"/>
    <n v="10667"/>
    <n v="10667"/>
    <n v="10667"/>
    <n v="10667"/>
    <n v="10667"/>
    <n v="10667"/>
    <n v="10667"/>
    <n v="10667"/>
    <n v="10667"/>
    <n v="10667"/>
    <n v="10667"/>
    <n v="128004"/>
    <s v="Promote a working culture of excellence and accountability"/>
    <m/>
  </r>
  <r>
    <s v="IT"/>
    <s v="Director, Technology Development"/>
    <s v="Provost"/>
    <n v="847"/>
    <n v="8470220"/>
    <s v="KUST - Office of the Provost"/>
    <n v="1"/>
    <n v="426610"/>
    <s v="426610-Computer software licenses"/>
    <s v="000000"/>
    <s v="KUST - General"/>
    <s v="847001"/>
    <s v="FA179-Opex Expense"/>
    <n v="200179"/>
    <x v="27"/>
    <s v="-"/>
    <n v="50000"/>
    <n v="50000"/>
    <s v="426610.Computer software licenses-Software License Renewal-number of licenses-Number"/>
    <s v="Number"/>
    <n v="3"/>
    <n v="15000"/>
    <s v="MS Teams Licences for generic accounts, for events etc, Provost office"/>
    <n v="45000"/>
    <s v="KU Regular operations"/>
    <s v="Non-recurring"/>
    <n v="40500"/>
    <n v="36000"/>
    <n v="31499.999999999996"/>
    <s v="Less licences to purchase"/>
    <s v="Less licences to purchase"/>
    <s v="Less licences to purchase"/>
    <n v="45000"/>
    <m/>
    <m/>
    <m/>
    <m/>
    <m/>
    <m/>
    <m/>
    <m/>
    <m/>
    <m/>
    <m/>
    <n v="45000"/>
    <s v="Utilize state-of-the-art technologies and facilities in an optimal and efficient manner"/>
    <m/>
  </r>
  <r>
    <s v="Academic "/>
    <s v="No Applicable"/>
    <s v="Provost"/>
    <n v="847"/>
    <n v="8470220"/>
    <s v="KUST - Office of the Provost"/>
    <n v="1"/>
    <n v="428090"/>
    <s v="428090-Business Travel - Combined expenses"/>
    <s v="000000"/>
    <s v="KUST - General"/>
    <s v="847001"/>
    <s v="FA179-Opex Expense"/>
    <n v="200179"/>
    <x v="28"/>
    <s v="-"/>
    <n v="165500"/>
    <n v="165500"/>
    <s v="428090.Business Travel - Combined expenses-Number of Staff-Number"/>
    <s v="Number"/>
    <n v="8"/>
    <n v="40000"/>
    <s v="4 business trips for Provost+ _x000a_1 x Biz Travel each per Assoc. Provost , all at 40K each"/>
    <n v="320000"/>
    <s v="KU Strategic New Initiative"/>
    <s v="Non-recurring"/>
    <n v="288000"/>
    <n v="256000"/>
    <n v="224000"/>
    <s v="Less budget will impact the amount of activities and associated output/benefits"/>
    <s v="Less budget will impact the amount of activities and associated output/benefits"/>
    <s v="Less budget will impact the amount of activities and associated output/benefits"/>
    <n v="40000"/>
    <m/>
    <n v="40000"/>
    <n v="40000"/>
    <n v="40000"/>
    <m/>
    <m/>
    <m/>
    <m/>
    <n v="40000"/>
    <n v="80000"/>
    <n v="40000"/>
    <n v="320000"/>
    <s v="Build partnerships with local and international universities"/>
    <m/>
  </r>
  <r>
    <s v="Communiction &amp; Marketing"/>
    <s v="Director, Marketing and Communication"/>
    <s v="Provost"/>
    <n v="847"/>
    <n v="8470220"/>
    <s v="KUST - Office of the Provost"/>
    <n v="1"/>
    <n v="428640"/>
    <s v="428640-Events - Awards, prizes &amp; gifts"/>
    <s v="000000"/>
    <s v="KUST - General"/>
    <s v="847001"/>
    <s v="FA179-Opex Expense"/>
    <n v="200179"/>
    <x v="29"/>
    <s v="-"/>
    <n v="20000"/>
    <n v="20000"/>
    <s v="428640.Events - Awards, prizes &amp; gifts-Number of Events-count"/>
    <s v="count"/>
    <n v="1"/>
    <n v="2000000"/>
    <s v="Excellence Awards, Prizes &amp; Plaques "/>
    <n v="2000000"/>
    <s v="KU Regular operations"/>
    <s v="Non-recurring"/>
    <n v="1800000"/>
    <n v="1600000"/>
    <n v="1400000"/>
    <s v="Excellence Awards encourages excellent productivity and performance, less budget diminishes these results "/>
    <s v="Excellence Awards encourages excellent productivity and performance, less budget diminishes these results "/>
    <s v="Excellence Awards encourages excellent productivity and performance, less budget diminishes these results "/>
    <m/>
    <m/>
    <m/>
    <m/>
    <m/>
    <m/>
    <m/>
    <m/>
    <m/>
    <n v="2000000"/>
    <m/>
    <m/>
    <n v="2000000"/>
    <s v="Promote a working culture of excellence and accountability"/>
    <m/>
  </r>
  <r>
    <s v="IT"/>
    <s v="Director, Technology Development"/>
    <s v="Provost"/>
    <n v="847"/>
    <n v="8470220"/>
    <s v="KUST - Office of the Provost"/>
    <n v="1"/>
    <n v="432205"/>
    <s v="432205-Computers and peripherals"/>
    <s v="000000"/>
    <s v="KUST - General"/>
    <s v="847001"/>
    <s v="FA179-Opex Expense"/>
    <n v="200179"/>
    <x v="30"/>
    <s v="-"/>
    <n v="10000"/>
    <n v="10000"/>
    <s v="432205.Computers and peripherals-End user and Infrastructure components maintenance and support-service level agreement-Service"/>
    <s v="Service"/>
    <n v="6"/>
    <n v="10000"/>
    <s v="Computer Equipment/PCs etc for Provost Office Staff"/>
    <n v="60000"/>
    <s v="KU Regular operations"/>
    <s v="Non-recurring"/>
    <n v="54000"/>
    <n v="48000"/>
    <n v="42000"/>
    <s v="Staff need the correct computer equipment to work efficiently"/>
    <s v="Staff need the correct computer equipment to work efficiently"/>
    <s v="Staff need the correct computer equipment to work efficiently"/>
    <n v="60000"/>
    <m/>
    <m/>
    <m/>
    <m/>
    <m/>
    <m/>
    <m/>
    <m/>
    <m/>
    <m/>
    <m/>
    <n v="60000"/>
    <s v="Utilize state-of-the-art technologies and facilities in an optimal and efficient manner"/>
    <m/>
  </r>
  <r>
    <s v="Facilities "/>
    <s v="Director, Research Laboratories"/>
    <s v="Provost"/>
    <n v="847"/>
    <n v="8470220"/>
    <s v="KUST - Office of the Provost"/>
    <n v="1"/>
    <n v="492316"/>
    <s v="492316-Laboratory equipment"/>
    <s v="000000"/>
    <s v="KUST - General"/>
    <s v="847001"/>
    <s v="FA180-Capex Expense"/>
    <n v="300180"/>
    <x v="31"/>
    <n v="160720"/>
    <s v="-"/>
    <m/>
    <s v="432209.Laboratory equipment-Number of Faculty-Number"/>
    <s v="Number"/>
    <n v="1"/>
    <n v="300000"/>
    <s v="Lab Equipment"/>
    <n v="300000"/>
    <s v="KU Strategic New Initiative"/>
    <s v="Recurring"/>
    <n v="270000"/>
    <n v="240000"/>
    <n v="210000"/>
    <s v="Less budget will impact operations, teaching and research "/>
    <s v="Less budget will impact operations, teaching and research "/>
    <s v="Less budget will impact operations, teaching and research "/>
    <n v="25000"/>
    <n v="25000"/>
    <n v="25000"/>
    <n v="25000"/>
    <n v="25000"/>
    <n v="25000"/>
    <n v="25000"/>
    <n v="25000"/>
    <n v="25000"/>
    <n v="25000"/>
    <n v="25000"/>
    <n v="25000"/>
    <n v="300000"/>
    <s v="Utilize state-of-the-art technologies and facilities in an optimal and efficient manner"/>
    <m/>
  </r>
  <r>
    <s v="-"/>
    <s v="-"/>
    <s v="Provost"/>
    <n v="847"/>
    <n v="8470220"/>
    <s v="KUST - Office of the Provost"/>
    <n v="1"/>
    <n v="436120"/>
    <s v="436120-Stationery"/>
    <s v="000000"/>
    <s v="KUST - General"/>
    <s v="847001"/>
    <s v="FA179-Opex Expense"/>
    <n v="200179"/>
    <x v="32"/>
    <m/>
    <m/>
    <m/>
    <s v="436120.Stationery-Number of Staff-Number"/>
    <s v="Number"/>
    <n v="6"/>
    <n v="1000"/>
    <s v="Office Stationery"/>
    <n v="6000"/>
    <s v="KU Regular operations"/>
    <s v="Recurring"/>
    <n v="5400"/>
    <n v="4800"/>
    <n v="4200"/>
    <s v="basic operational requirement"/>
    <s v="basic operational requirement"/>
    <s v="basic operational requirement"/>
    <n v="500"/>
    <n v="500"/>
    <n v="500"/>
    <n v="500"/>
    <n v="500"/>
    <n v="500"/>
    <n v="500"/>
    <n v="500"/>
    <n v="500"/>
    <n v="500"/>
    <n v="500"/>
    <n v="500"/>
    <n v="6000"/>
    <s v="Provide reliable, accurate and timely reports to different stakeholders"/>
    <m/>
  </r>
  <r>
    <s v="Academic"/>
    <s v="No Applicable"/>
    <s v="College of Engineering"/>
    <n v="847"/>
    <n v="8470310"/>
    <s v="KUST - Aerospace Engineering"/>
    <n v="1"/>
    <n v="420550"/>
    <s v="420550-Academic Advisory Service"/>
    <s v="000000"/>
    <s v="KUST - General"/>
    <n v="847001"/>
    <s v="FA179-Opex Expense"/>
    <n v="200179"/>
    <x v="33"/>
    <s v="-"/>
    <n v="20000"/>
    <n v="20000"/>
    <s v="420550.Academic Advisory Service-Number of Students-Number"/>
    <s v="Number"/>
    <n v="2"/>
    <n v="10000"/>
    <s v="2 Board meetings of about 10 members. AED 10k per meeting."/>
    <n v="20000"/>
    <s v="KU Regular operations"/>
    <s v="Recurring"/>
    <n v="18000"/>
    <n v="16000"/>
    <n v="14000"/>
    <s v="may happen at reduced budget"/>
    <s v="event may not happen"/>
    <s v="event may not happen"/>
    <m/>
    <m/>
    <n v="10000"/>
    <m/>
    <m/>
    <m/>
    <m/>
    <m/>
    <n v="10000"/>
    <m/>
    <m/>
    <m/>
    <n v="20000"/>
    <s v="Align academic programs with the local and global labor market needs"/>
    <m/>
  </r>
  <r>
    <s v="Communiction &amp; Marketing"/>
    <s v="Director, Marketing and Communication"/>
    <s v="College of Engineering"/>
    <n v="847"/>
    <n v="8470310"/>
    <s v="KUST - Aerospace Engineering"/>
    <n v="1"/>
    <n v="425510"/>
    <s v="425510-Conferences, seminars and exhibitions and other events: - Local Events"/>
    <s v="000000"/>
    <s v="KUST - General"/>
    <n v="847001"/>
    <s v="FA179-Opex Expense"/>
    <n v="200179"/>
    <x v="34"/>
    <s v="-"/>
    <n v="15000"/>
    <n v="15000"/>
    <s v="425510.Conferences, seminars and exhibitions and other events: - Local Events-Conferences-Number of Conferences"/>
    <s v="Number of Conferences"/>
    <n v="3"/>
    <n v="10000"/>
    <s v="Conferences / Events that KU Aero Department will host"/>
    <n v="30000"/>
    <s v="KU Regular operations"/>
    <s v="Recurring"/>
    <n v="27000"/>
    <n v="24000"/>
    <n v="21000"/>
    <s v="event may happen at reduced budget"/>
    <s v="some events may not be possible"/>
    <s v="some events may not be possible"/>
    <m/>
    <n v="10000"/>
    <m/>
    <m/>
    <m/>
    <n v="10000"/>
    <m/>
    <m/>
    <m/>
    <m/>
    <n v="10000"/>
    <m/>
    <n v="30000"/>
    <s v="Establish a mobility program for students, faculty, researchers and staff"/>
    <s v="There was one event in FY22 in FY23 two events"/>
  </r>
  <r>
    <s v="Student"/>
    <s v="Director, Student Services"/>
    <s v="College of Engineering"/>
    <n v="847"/>
    <n v="8470310"/>
    <s v="KUST - Aerospace Engineering"/>
    <n v="1"/>
    <n v="425760"/>
    <s v="425760-Student activities &amp; field trip expenses"/>
    <s v="000000"/>
    <s v="KUST - General"/>
    <n v="847001"/>
    <s v="FA179-Opex Expense"/>
    <n v="200179"/>
    <x v="35"/>
    <s v="-"/>
    <n v="150000"/>
    <n v="150000"/>
    <s v="425760.Student activities &amp; field trip expenses-Students-No of Students"/>
    <s v="No of Students"/>
    <n v="15"/>
    <n v="10000"/>
    <s v="Students travel to the US for Design Build Fly competetion"/>
    <n v="150000"/>
    <s v="KU Regular operations"/>
    <s v="Recurring"/>
    <n v="135000"/>
    <n v="120000"/>
    <n v="105000"/>
    <s v="number of students will need to be reduced"/>
    <s v="number of students will need to be reduced"/>
    <s v="trip may not be possible"/>
    <m/>
    <m/>
    <n v="150000"/>
    <m/>
    <m/>
    <m/>
    <m/>
    <m/>
    <m/>
    <m/>
    <m/>
    <m/>
    <n v="150000"/>
    <s v="Establish a mobility program for students, faculty, researchers and staff"/>
    <m/>
  </r>
  <r>
    <s v="Student"/>
    <s v="No Applicable"/>
    <s v="College of Engineering"/>
    <n v="847"/>
    <n v="8470310"/>
    <s v="KUST - Aerospace Engineering"/>
    <n v="1"/>
    <n v="425763"/>
    <s v="425763-Student Project Expenses"/>
    <s v="000000"/>
    <s v="KUST - General"/>
    <n v="847001"/>
    <s v="FA179-Opex Expense"/>
    <n v="200179"/>
    <x v="36"/>
    <n v="113543.11"/>
    <n v="350000"/>
    <n v="350000"/>
    <s v="425763.Student Project Expenses-Number of Students UG-Month"/>
    <s v="Month"/>
    <n v="12"/>
    <n v="30000"/>
    <s v="Assuming 72 SDP students, with AED 5,000 allocated per student"/>
    <n v="360000"/>
    <s v="KU Regular operations"/>
    <s v="Recurring"/>
    <n v="324000"/>
    <n v="288000"/>
    <n v="251999.99999999997"/>
    <s v="project budget need to be cut"/>
    <s v="some projects may not run"/>
    <s v="some projects may not run"/>
    <m/>
    <n v="90000"/>
    <m/>
    <n v="50000"/>
    <n v="60000"/>
    <m/>
    <m/>
    <n v="80000"/>
    <m/>
    <n v="40000"/>
    <n v="40000"/>
    <m/>
    <n v="360000"/>
    <s v="Develop the university innovation and entrepreneurship system"/>
    <m/>
  </r>
  <r>
    <s v="Academic"/>
    <s v="No Applicable"/>
    <s v="College of Engineering"/>
    <n v="847"/>
    <n v="8470310"/>
    <s v="KUST - Aerospace Engineering"/>
    <n v="1"/>
    <n v="425770"/>
    <s v="425770-Academic Missions - Combined expenses"/>
    <s v="000000"/>
    <s v="KUST - General"/>
    <n v="847001"/>
    <s v="FA179-Opex Expense"/>
    <n v="200179"/>
    <x v="37"/>
    <n v="0"/>
    <n v="210000"/>
    <n v="210000"/>
    <s v="425770.Academic Missions - Combined expenses-Number of Conference-Number"/>
    <s v="Number"/>
    <n v="17"/>
    <n v="20000"/>
    <s v="International conference travel and registration fee. 1 Conference per faculty."/>
    <n v="340000"/>
    <s v="KU Regular operations"/>
    <s v="Recurring"/>
    <n v="306000"/>
    <n v="272000"/>
    <n v="237999.99999999997"/>
    <s v="1-2 faculty may not travel"/>
    <s v="few faculty may not travel"/>
    <s v="many faculty may not travel"/>
    <m/>
    <m/>
    <m/>
    <m/>
    <n v="150000"/>
    <m/>
    <n v="70000"/>
    <n v="60000"/>
    <m/>
    <m/>
    <m/>
    <n v="60000"/>
    <n v="340000"/>
    <s v="Establish a mobility program for students, faculty, researchers and staff"/>
    <s v="Compared to FY22, the Academic mission expense increased by 32%, and especially the Dean of Engineering and Electrical &amp; computer Engg department increased their statements by 39% to 48%. The rest of the departments in CoE increased by 25% to 33%."/>
  </r>
  <r>
    <s v="Other support"/>
    <s v="Director, Human Resources"/>
    <s v="College of Engineering"/>
    <n v="847"/>
    <n v="8470310"/>
    <s v="KUST - Aerospace Engineering"/>
    <n v="1"/>
    <n v="425900"/>
    <s v="425900-Entertainment and hospitality"/>
    <s v="000000"/>
    <s v="KUST - General"/>
    <n v="847001"/>
    <s v="FA179-Opex Expense"/>
    <n v="200179"/>
    <x v="38"/>
    <s v="-"/>
    <n v="8500"/>
    <n v="8500"/>
    <s v="425900.Entertainment and hospitality-1. No of events/workshops planned-count"/>
    <s v="count"/>
    <n v="17"/>
    <n v="500"/>
    <s v="12 Faculty Meetings (one per month) + 5 visits by professional organizations to the department."/>
    <n v="8500"/>
    <s v="KU Regular operations"/>
    <s v="Recurring"/>
    <n v="7650"/>
    <n v="6800"/>
    <n v="5950"/>
    <s v="run on reduced budget"/>
    <s v="run on reduced budget"/>
    <s v="run on reduced budget"/>
    <n v="1000"/>
    <n v="500"/>
    <n v="1000"/>
    <n v="1000"/>
    <n v="500"/>
    <n v="500"/>
    <n v="500"/>
    <n v="500"/>
    <n v="1000"/>
    <n v="500"/>
    <n v="1000"/>
    <n v="500"/>
    <n v="8500"/>
    <s v="Enhance the communication plan and outreach activities"/>
    <m/>
  </r>
  <r>
    <s v="IT"/>
    <s v="Director, Technology Development"/>
    <s v="College of Engineering"/>
    <n v="847"/>
    <n v="8470310"/>
    <s v="KUST - Aerospace Engineering"/>
    <n v="1"/>
    <n v="426610"/>
    <s v="426610-Computer software licenses"/>
    <s v="000000"/>
    <s v="KUST - General"/>
    <n v="847001"/>
    <s v="FA179-Opex Expense"/>
    <n v="200179"/>
    <x v="39"/>
    <s v="-"/>
    <n v="9114"/>
    <n v="9114"/>
    <s v="426610.Computer software licenses-Software License Renewal-number of licenses-Number"/>
    <s v="Number"/>
    <n v="1"/>
    <n v="10000"/>
    <s v="Software renewal as per the CoE list"/>
    <n v="10000"/>
    <s v="KU Regular operations"/>
    <s v="Recurring"/>
    <n v="9000"/>
    <n v="8000"/>
    <n v="7000"/>
    <s v="software renewal not possible"/>
    <s v="software renewal not possible"/>
    <s v="software renewal not possible"/>
    <n v="10000"/>
    <m/>
    <m/>
    <m/>
    <m/>
    <m/>
    <m/>
    <m/>
    <m/>
    <m/>
    <m/>
    <m/>
    <n v="10000"/>
    <s v="Widen access to students with outstanding academic potential"/>
    <m/>
  </r>
  <r>
    <s v="Academic "/>
    <s v="No Applicable"/>
    <s v="College of Engineering"/>
    <n v="847"/>
    <n v="8470310"/>
    <s v="KUST - Aerospace Engineering"/>
    <n v="1"/>
    <n v="428090"/>
    <s v="428090-Business Travel - Combined expenses"/>
    <s v="000000"/>
    <s v="KUST - General"/>
    <n v="847001"/>
    <s v="FA179-Opex Expense"/>
    <n v="200179"/>
    <x v="40"/>
    <s v="-"/>
    <n v="40000"/>
    <n v="40000"/>
    <s v="428090.Business Travel - Combined expenses-Number of Faculty-Number"/>
    <s v="Number"/>
    <n v="2"/>
    <n v="20000"/>
    <s v="2 business trips by the Chair or a faculty to international universities or organizations to promote the department and KU."/>
    <n v="40000"/>
    <s v="KU Regular operations"/>
    <s v="Recurring"/>
    <n v="36000"/>
    <n v="32000"/>
    <n v="28000"/>
    <s v="trip may happen at lower cost"/>
    <s v="trip maybe cancelled"/>
    <s v="trip may not be possible"/>
    <m/>
    <m/>
    <m/>
    <m/>
    <m/>
    <n v="20000"/>
    <n v="20000"/>
    <m/>
    <m/>
    <m/>
    <m/>
    <m/>
    <n v="40000"/>
    <s v="Diversify and increase external research funds"/>
    <m/>
  </r>
  <r>
    <s v="Academic"/>
    <s v="No Applicable"/>
    <s v="College of Engineering"/>
    <n v="847"/>
    <n v="8470310"/>
    <s v="KUST - Aerospace Engineering"/>
    <n v="1"/>
    <n v="432209"/>
    <s v="432209-Laboratory equipment"/>
    <s v="000000"/>
    <s v="KUST - General"/>
    <n v="847001"/>
    <s v="FA179-Opex Expense"/>
    <n v="200179"/>
    <x v="41"/>
    <s v="-"/>
    <n v="80000"/>
    <n v="80000"/>
    <s v="432209.Laboratory equipment-Number of Faculty-Number"/>
    <s v="Number"/>
    <n v="17"/>
    <n v="5000"/>
    <s v="Aerospace Lab Maintenance"/>
    <n v="85000"/>
    <s v="KU Regular operations"/>
    <s v="Recurring"/>
    <n v="76500"/>
    <n v="68000"/>
    <n v="59499.999999999993"/>
    <s v="may impact operations"/>
    <s v="may impact operations"/>
    <s v="may impact operations"/>
    <n v="10000"/>
    <m/>
    <m/>
    <n v="20000"/>
    <m/>
    <n v="10000"/>
    <m/>
    <n v="20000"/>
    <m/>
    <n v="25000"/>
    <m/>
    <m/>
    <n v="85000"/>
    <s v="Widen access to students with outstanding academic potential"/>
    <s v="Compared to FY22, Laboratory equipment increased 51%, dean of engineering increased by 79%, Petroleum by 69%, and Biomedical 55% increased"/>
  </r>
  <r>
    <s v="Academic"/>
    <s v="No Applicable"/>
    <s v="College of Engineering"/>
    <n v="847"/>
    <n v="8470310"/>
    <s v="KUST - Aerospace Engineering"/>
    <n v="1"/>
    <n v="435350"/>
    <s v="435350-Academic Publications"/>
    <s v="000000"/>
    <s v="KUST - General"/>
    <n v="847001"/>
    <s v="FA179-Opex Expense"/>
    <n v="200179"/>
    <x v="42"/>
    <n v="48731.55"/>
    <n v="182000"/>
    <n v="182000"/>
    <s v="435350.Academic Publications-Number of Publications-Number"/>
    <s v="Number"/>
    <n v="17"/>
    <n v="13000"/>
    <s v="Publications in open access Q1 journals $3500 per paper"/>
    <n v="221000"/>
    <s v="KU Regular operations"/>
    <s v="Recurring"/>
    <n v="198900"/>
    <n v="176800"/>
    <n v="154700"/>
    <s v="reduce publications and will impact university ranking"/>
    <s v="reduce publications and will impact university ranking"/>
    <s v="reduce publications and will impact university ranking"/>
    <n v="30000"/>
    <n v="20000"/>
    <n v="15000"/>
    <n v="15000"/>
    <n v="15000"/>
    <n v="30000"/>
    <n v="20000"/>
    <n v="15000"/>
    <n v="15000"/>
    <n v="16000"/>
    <n v="15000"/>
    <n v="15000"/>
    <n v="221000"/>
    <s v="Widen access to students with outstanding academic potential"/>
    <m/>
  </r>
  <r>
    <s v="Academic"/>
    <s v="Director, Research Laboratories"/>
    <s v="College of Engineering"/>
    <n v="847"/>
    <n v="8470310"/>
    <s v="KUST - Aerospace Engineering"/>
    <n v="1"/>
    <n v="435508"/>
    <s v="435508-Laboratory - Scientific"/>
    <s v="000000"/>
    <s v="KUST - General"/>
    <n v="847001"/>
    <s v="FA179-Opex Expense"/>
    <n v="200179"/>
    <x v="43"/>
    <n v="52948.07"/>
    <n v="80000"/>
    <n v="80000"/>
    <s v="435508.Laboratory - Scientific-Number of Faculty-Number"/>
    <s v="Number"/>
    <n v="17"/>
    <n v="7824"/>
    <s v="Aero Lab consumables (OPEX)"/>
    <n v="133008"/>
    <s v="KU Regular operations"/>
    <s v="Recurring"/>
    <n v="119707.2"/>
    <n v="106406.40000000001"/>
    <n v="93105.599999999991"/>
    <s v="may impact operations"/>
    <s v="may impact operations"/>
    <s v="may impact operations"/>
    <n v="30000"/>
    <n v="20000"/>
    <n v="20000"/>
    <n v="10000"/>
    <n v="20000"/>
    <n v="10000"/>
    <m/>
    <n v="10000"/>
    <n v="13008"/>
    <m/>
    <m/>
    <m/>
    <n v="133008"/>
    <s v="Widen access to students with outstanding academic potential"/>
    <m/>
  </r>
  <r>
    <s v="Other support"/>
    <s v="No Applicable"/>
    <s v="College of Engineering"/>
    <n v="847"/>
    <n v="8470310"/>
    <s v="KUST - Aerospace Engineering"/>
    <n v="1"/>
    <n v="436110"/>
    <s v="436110-Printing supplies"/>
    <s v="000000"/>
    <s v="KUST - General"/>
    <n v="847001"/>
    <s v="FA179-Opex Expense"/>
    <n v="200179"/>
    <x v="44"/>
    <s v="-"/>
    <n v="4000"/>
    <n v="4000"/>
    <s v="436110.Printing supplies-Number of Faculty-Number"/>
    <s v="Number"/>
    <n v="17"/>
    <n v="300"/>
    <s v="Printing services to the department (brochures, posters, handouts, etc)"/>
    <n v="5100"/>
    <s v="KU Regular operations"/>
    <s v="Recurring"/>
    <n v="4590"/>
    <n v="4080"/>
    <n v="3570"/>
    <s v="not much impact"/>
    <s v="not much impact"/>
    <s v="not much impact"/>
    <n v="800"/>
    <m/>
    <n v="700"/>
    <m/>
    <n v="600"/>
    <m/>
    <n v="2000"/>
    <m/>
    <n v="1000"/>
    <m/>
    <m/>
    <m/>
    <n v="5100"/>
    <s v="Develop a life-long culture of community service beyond the classroom "/>
    <m/>
  </r>
  <r>
    <s v="Academic"/>
    <s v="No Applicable"/>
    <s v="College of Engineering"/>
    <n v="847"/>
    <n v="8470310"/>
    <s v="KUST - Aerospace Engineering"/>
    <n v="1"/>
    <n v="436600"/>
    <s v="436600-Training/Teaching equipment and other educational aid"/>
    <s v="000000"/>
    <s v="KUST - General"/>
    <n v="847001"/>
    <s v="FA179-Opex Expense"/>
    <n v="200179"/>
    <x v="45"/>
    <n v="505.12"/>
    <n v="5000"/>
    <n v="5000"/>
    <s v="436600.Training/Teaching equipment and other educational aid-Number of Faculty-Number"/>
    <s v="Number"/>
    <n v="17"/>
    <n v="350"/>
    <s v="Training/Teaching equipment and other educational aid"/>
    <n v="5950"/>
    <s v="KU Regular operations"/>
    <s v="Recurring"/>
    <n v="5355"/>
    <n v="4760"/>
    <n v="4165"/>
    <s v="may impact operations"/>
    <s v="may impact operations"/>
    <s v="may impact operations"/>
    <n v="2950"/>
    <m/>
    <m/>
    <m/>
    <m/>
    <m/>
    <m/>
    <n v="3000"/>
    <m/>
    <m/>
    <m/>
    <m/>
    <n v="5950"/>
    <s v="Develop a life-long culture of community service beyond the classroom "/>
    <m/>
  </r>
  <r>
    <s v="Facilities "/>
    <s v="Director, Research Laboratories"/>
    <s v="College of Engineering"/>
    <n v="847"/>
    <n v="8470310"/>
    <s v="KUST - Aerospace Engineering"/>
    <n v="1"/>
    <n v="492316"/>
    <s v="492316-Laboratory equipment"/>
    <s v="000000"/>
    <s v="KUST - General"/>
    <n v="847001"/>
    <s v="FA180-Capex Expense"/>
    <n v="300180"/>
    <x v="46"/>
    <n v="658396"/>
    <n v="1174460"/>
    <n v="1174460"/>
    <s v="492316.Laboratory equipment-Number of Faculty-Number"/>
    <s v="Number"/>
    <n v="1"/>
    <n v="2526100"/>
    <s v="Lab equipments and IT iteams, "/>
    <n v="2526100"/>
    <s v="KU Regular operations"/>
    <s v="Non-recurring"/>
    <n v="2273490"/>
    <n v="2020880"/>
    <n v="1768270"/>
    <s v="purchase not possible"/>
    <s v="purchase not possible"/>
    <s v="purchase not possible"/>
    <n v="500000"/>
    <n v="500000"/>
    <n v="589100"/>
    <n v="537000"/>
    <n v="400000"/>
    <m/>
    <m/>
    <m/>
    <m/>
    <m/>
    <m/>
    <m/>
    <n v="2526100"/>
    <s v="Widen access to students with outstanding academic potential"/>
    <s v="Compared to FY22 budget has significantly increased by 42% for CoE; most of CoE increased their funding in the range of 40%-74%, except for ME and CE."/>
  </r>
  <r>
    <s v="Academic"/>
    <s v="No Applicable"/>
    <s v="College of Engineering"/>
    <n v="847"/>
    <n v="8470315"/>
    <s v="KUST - Biomedical Engineering"/>
    <n v="1"/>
    <n v="420550"/>
    <s v="420550-Academic Advisory Service"/>
    <s v="000000"/>
    <s v="KUST - General"/>
    <n v="847001"/>
    <s v="FA179-Opex Expense"/>
    <n v="200179"/>
    <x v="47"/>
    <s v="-"/>
    <n v="1000"/>
    <n v="3000"/>
    <s v="420550.Academic Advisory Service-Number of Services-Number"/>
    <s v="Number"/>
    <n v="1"/>
    <n v="7000"/>
    <s v="Advisory board meeting expenses (2 hours per meeting, 1meeting per year); invitations from abroad, e.g., Cambridge University."/>
    <n v="7000"/>
    <s v="KU Regular operations"/>
    <s v="Recurring"/>
    <n v="6300"/>
    <n v="5600"/>
    <n v="4900"/>
    <s v="Minimal Impact "/>
    <s v="The 20% cut will reduce the flexibility in supporting the advisory board meetings."/>
    <s v="The 30% cut will clearly impact the suppor of the advisory board meetings."/>
    <m/>
    <m/>
    <m/>
    <m/>
    <m/>
    <m/>
    <m/>
    <m/>
    <m/>
    <m/>
    <n v="7000"/>
    <m/>
    <n v="7000"/>
    <s v="Align academic programs with the local and global labor market needs"/>
    <m/>
  </r>
  <r>
    <s v="Communiction &amp; Marketing"/>
    <s v="Director, Marketing and Communication"/>
    <s v="College of Engineering"/>
    <n v="847"/>
    <n v="8470315"/>
    <s v="KUST - Biomedical Engineering"/>
    <n v="1"/>
    <n v="425510"/>
    <s v="425510-Conferences, seminars and exhibitions and other events: - Local Events"/>
    <s v="000000"/>
    <s v="KUST - General"/>
    <n v="847001"/>
    <s v="FA179-Opex Expense"/>
    <n v="200179"/>
    <x v="48"/>
    <n v="100"/>
    <n v="4000"/>
    <n v="42000"/>
    <s v="425510.Conferences, seminars and exhibitions and other events: - Local Events-Events-Number of Events"/>
    <s v="Number of Events"/>
    <n v="10"/>
    <n v="900"/>
    <s v="INTERACTION series: 7 seminars per year; Students' exhibitions (3 per year)"/>
    <n v="9000"/>
    <s v="KU Regular operations"/>
    <s v="Recurring"/>
    <n v="8100"/>
    <n v="7200"/>
    <n v="6300"/>
    <s v="The 10% cut will reduce the number of seminars by one."/>
    <s v="The 20% cut will reduce the number of seminars by two."/>
    <s v="The 30% cut will reduce the number of seminars by three and the students' exhibitions by one."/>
    <n v="900"/>
    <n v="900"/>
    <n v="900"/>
    <n v="900"/>
    <n v="900"/>
    <n v="900"/>
    <m/>
    <m/>
    <n v="900"/>
    <n v="900"/>
    <n v="900"/>
    <n v="900"/>
    <n v="9000"/>
    <s v="Align academic programs with the local and global labor market needs"/>
    <m/>
  </r>
  <r>
    <s v="Student"/>
    <s v="Director, Student Services"/>
    <s v="College of Engineering"/>
    <n v="847"/>
    <n v="8470315"/>
    <s v="KUST - Biomedical Engineering"/>
    <n v="1"/>
    <n v="425760"/>
    <s v="425760-Student activities &amp; field trip expenses"/>
    <s v="000000"/>
    <s v="KUST - General"/>
    <n v="847001"/>
    <s v="FA179-Opex Expense"/>
    <n v="200179"/>
    <x v="49"/>
    <n v="0"/>
    <n v="20000"/>
    <n v="72000"/>
    <s v="425760.Student activities &amp; field trip expenses-Events-No of Events"/>
    <s v="No of Events"/>
    <n v="5"/>
    <n v="4000"/>
    <s v="Support for IEEE EMBS Chapter (AED10000)+Field trips to hospital labs; students' support in competitions (the total cost is split in five parts)."/>
    <n v="20000"/>
    <s v="KU Regular operations"/>
    <s v="Recurring"/>
    <n v="18000"/>
    <n v="16000"/>
    <n v="14000"/>
    <s v="Minimal impact."/>
    <s v="The 20% cut will reduce the field trip students' capacity, membership in IEEE EMBS, and competition participation support."/>
    <s v="The 30% cut will greately  reduce the field trip students' capacity, membership in IEEE EMBS, and competition participation support."/>
    <m/>
    <m/>
    <m/>
    <n v="2000"/>
    <n v="4000"/>
    <n v="4000"/>
    <m/>
    <m/>
    <n v="2000"/>
    <n v="5000"/>
    <n v="3000"/>
    <m/>
    <n v="20000"/>
    <s v="Align academic programs with the local and global labor market needs"/>
    <m/>
  </r>
  <r>
    <s v="Student"/>
    <s v="No Applicable"/>
    <s v="College of Engineering"/>
    <n v="847"/>
    <n v="8470315"/>
    <s v="KUST - Biomedical Engineering"/>
    <n v="1"/>
    <n v="425763"/>
    <s v="425763-Student Project Expenses"/>
    <s v="000000"/>
    <s v="KUST - General"/>
    <n v="847001"/>
    <s v="FA179-Opex Expense"/>
    <n v="200179"/>
    <x v="50"/>
    <n v="56577.42"/>
    <n v="180000"/>
    <n v="405000"/>
    <s v="425763.Student Project Expenses-Number of Students UG-Month"/>
    <s v="Month"/>
    <n v="68"/>
    <n v="3000"/>
    <s v="SDP I and SDP II needs, participation in international competitions (the number of undergraduate Senior students are used for the calculation with a cost of AED3000 per Senior student)."/>
    <n v="204000"/>
    <s v="KU Regular operations"/>
    <s v="Recurring"/>
    <n v="183600"/>
    <n v="163200"/>
    <n v="142800"/>
    <s v="The 10% cut will negatively affect the smooth realization of the BMED curriculum and would not allow the full implementation of the SDPs, in terms of providing the adequate means for their success."/>
    <s v="The 20% cut will greatly affect the smooth realization of the BMED curriculum and would not allow the full implementation of the SDPs, in terms of providing the adequate means for their success."/>
    <s v="Thε 30% cut  will severely affect the smooth realization of the BMED curriculum and would not allow the full implementation of the SDPs, in terms of providing the adequate means for their success."/>
    <m/>
    <m/>
    <m/>
    <m/>
    <n v="90000"/>
    <m/>
    <m/>
    <m/>
    <m/>
    <n v="114000"/>
    <m/>
    <m/>
    <n v="204000"/>
    <s v="Align academic programs with the local and global labor market needs"/>
    <m/>
  </r>
  <r>
    <s v="Academic"/>
    <s v="No Applicable"/>
    <s v="College of Engineering"/>
    <n v="847"/>
    <n v="8470315"/>
    <s v="KUST - Biomedical Engineering"/>
    <n v="1"/>
    <n v="425770"/>
    <s v="425770-Academic Missions - Combined expenses"/>
    <s v="000000"/>
    <s v="KUST - General"/>
    <n v="847001"/>
    <s v="FA179-Opex Expense"/>
    <n v="200179"/>
    <x v="51"/>
    <n v="1101.9000000000001"/>
    <n v="180000"/>
    <n v="650000"/>
    <s v="425770.Academic Missions - Combined expenses-Number of Conference-Number"/>
    <s v="Number"/>
    <n v="15"/>
    <n v="20000"/>
    <s v="Faculty conferences and meetings"/>
    <n v="300000"/>
    <s v="KU Regular operations"/>
    <s v="Recurring"/>
    <n v="270000"/>
    <n v="240000"/>
    <n v="210000"/>
    <s v="The 10% cut will reduce the support to one faculty to participate in an interantional conference."/>
    <s v="The 20% cut will reduce the support to three faculty to participate in an interantional conference."/>
    <s v="The 30% cut will reduce the support to four faculty to participate in an interantional conference."/>
    <m/>
    <n v="20000"/>
    <n v="20000"/>
    <n v="40000"/>
    <n v="20000"/>
    <n v="40000"/>
    <n v="40000"/>
    <m/>
    <n v="20000"/>
    <n v="40000"/>
    <n v="40000"/>
    <n v="20000"/>
    <n v="300000"/>
    <s v="Establish a mobility program for students, faculty, researchers and staff"/>
    <s v="Compared to FY22, the Academic mission expense increased by 32%, and especially the Dean of Engineering and Electrical &amp; computer Engg department increased their statements by 39% to 48%. The rest of the departments in CoE increased by 25% to 33%."/>
  </r>
  <r>
    <s v="Other support"/>
    <s v="Director, Human Resources"/>
    <s v="College of Engineering"/>
    <n v="847"/>
    <n v="8470315"/>
    <s v="KUST - Biomedical Engineering"/>
    <n v="1"/>
    <n v="425900"/>
    <s v="425900-Entertainment and hospitality"/>
    <s v="000000"/>
    <s v="KUST - General"/>
    <n v="847001"/>
    <s v="FA179-Opex Expense"/>
    <n v="200179"/>
    <x v="52"/>
    <n v="315"/>
    <n v="10000"/>
    <n v="16000"/>
    <s v="425900.Entertainment and hospitality-1. No of events/workshops planned-count"/>
    <s v="count"/>
    <n v="16"/>
    <n v="1200"/>
    <s v="Retreats, faculty meetings (10 per year) and Invited speakers expenses for seminars caterings"/>
    <n v="19200"/>
    <s v="KU Regular operations"/>
    <s v="Recurring"/>
    <n v="17280"/>
    <n v="15360"/>
    <n v="13440"/>
    <s v="Minimal impact."/>
    <s v="The 20% cut will reduce the flexibility in speakers' invitations."/>
    <s v="The 30% cut will greatly reduce the flexibility in speakers' invitations."/>
    <n v="700"/>
    <n v="1500"/>
    <n v="1500"/>
    <n v="3000"/>
    <n v="2000"/>
    <n v="1500"/>
    <n v="1000"/>
    <m/>
    <n v="1000"/>
    <n v="3000"/>
    <n v="3000"/>
    <n v="1000"/>
    <n v="19200"/>
    <s v="Recruit and retain high caliber faculty, researchers and staff"/>
    <m/>
  </r>
  <r>
    <s v="IT"/>
    <s v="Director, Technology Development"/>
    <s v="College of Engineering"/>
    <n v="847"/>
    <n v="8470315"/>
    <s v="KUST - Biomedical Engineering"/>
    <n v="1"/>
    <n v="426610"/>
    <s v="426610-Computer software licenses"/>
    <s v="000000"/>
    <s v="KUST - General"/>
    <n v="847001"/>
    <s v="FA179-Opex Expense"/>
    <n v="200179"/>
    <x v="53"/>
    <n v="3816.25"/>
    <n v="99576"/>
    <n v="720500"/>
    <s v="426610.Computer software licenses-Software License Renewal-number of licenses-Number"/>
    <s v="Number"/>
    <n v="1"/>
    <n v="104554"/>
    <s v="Software licences for eduactional software: AnyBody Modeling System; SPSS"/>
    <n v="104554"/>
    <s v="KU Regular operations"/>
    <s v="Recurring"/>
    <n v="94098.6"/>
    <n v="83643.200000000012"/>
    <n v="73187.799999999988"/>
    <s v="The 10% cut will create obstacles in the renewal of the software needed in courses affecting the smooth realization of the BMED curriculum and related research."/>
    <s v="The 20% cut will create severe obstacles in the renewal of the software needed in courses affecting the smooth realization of the BMED curriculum and related research."/>
    <s v="The 30% cut will block the renewal of at least one category of the software needed in courses affecting the smooth realization of the BMED curriculum and related research."/>
    <m/>
    <n v="104554"/>
    <m/>
    <m/>
    <m/>
    <m/>
    <m/>
    <m/>
    <m/>
    <m/>
    <m/>
    <m/>
    <n v="104554"/>
    <s v="Align academic programs with the local and global labor market needs"/>
    <m/>
  </r>
  <r>
    <s v="Academic "/>
    <s v="No Applicable"/>
    <s v="College of Engineering"/>
    <n v="847"/>
    <n v="8470315"/>
    <s v="KUST - Biomedical Engineering"/>
    <n v="1"/>
    <n v="428090"/>
    <s v="428090-Business Travel - Combined expenses"/>
    <s v="000000"/>
    <s v="KUST - General"/>
    <n v="847001"/>
    <s v="FA179-Opex Expense"/>
    <n v="200179"/>
    <x v="54"/>
    <s v="-"/>
    <n v="10000"/>
    <n v="302000"/>
    <s v="428090.Business Travel - Combined expenses-Number of Faculty-Number"/>
    <s v="Number"/>
    <n v="2"/>
    <n v="10000"/>
    <s v="Addition to department specific development trips"/>
    <n v="20000"/>
    <s v="KU Regular operations"/>
    <s v="Recurring"/>
    <n v="18000"/>
    <n v="16000"/>
    <n v="14000"/>
    <s v="Minimal impact."/>
    <s v="The 20% cut will reduce by one the number of outreaching trips."/>
    <s v="The 30% cut will reduce by three the number of outreaching trips."/>
    <m/>
    <m/>
    <m/>
    <m/>
    <m/>
    <n v="10000"/>
    <m/>
    <m/>
    <n v="10000"/>
    <m/>
    <m/>
    <m/>
    <n v="20000"/>
    <s v="Establish a mobility program for students, faculty, researchers and staff"/>
    <m/>
  </r>
  <r>
    <s v="Academic"/>
    <s v="No Applicable"/>
    <s v="College of Engineering"/>
    <n v="847"/>
    <n v="8470315"/>
    <s v="KUST - Biomedical Engineering"/>
    <n v="1"/>
    <n v="432209"/>
    <s v="432209-Laboratory equipment"/>
    <s v="000000"/>
    <s v="KUST - General"/>
    <n v="847001"/>
    <s v="FA179-Opex Expense"/>
    <n v="200179"/>
    <x v="55"/>
    <n v="5900"/>
    <n v="90250"/>
    <n v="67400"/>
    <s v="432209.Laboratory equipment-Number of Students-Number"/>
    <s v="Number"/>
    <n v="1"/>
    <n v="200000"/>
    <s v="Annual Service Contracts for BME Labs Major Units; re-installation to new location B building second floor. "/>
    <n v="200000"/>
    <s v="KU Regular operations"/>
    <s v="Recurring"/>
    <n v="180000"/>
    <n v="160000"/>
    <n v="140000"/>
    <s v="The 10% cut will affect the acquisition of the item from the provider."/>
    <s v="The 20% cut will severely affect the acquisition of the item from the provider. Most probably we could not purchase the item."/>
    <s v="The 30% cut will block the acquisition of the item from the provider."/>
    <m/>
    <m/>
    <n v="100000"/>
    <m/>
    <m/>
    <n v="100000"/>
    <m/>
    <m/>
    <m/>
    <m/>
    <m/>
    <m/>
    <n v="200000"/>
    <s v="Develop the university innovation and entrepreneurship system"/>
    <s v="Compared to FY22, Laboratory equipment increased 51%, dean of engineering increased by 79%, Petroleum by 69%, and Biomedical 55% increased"/>
  </r>
  <r>
    <s v="Academic"/>
    <s v="No Applicable"/>
    <s v="College of Engineering"/>
    <n v="847"/>
    <n v="8470315"/>
    <s v="KUST - Biomedical Engineering"/>
    <n v="1"/>
    <n v="435350"/>
    <s v="435350-Academic Publications"/>
    <s v="000000"/>
    <s v="KUST - General"/>
    <n v="847001"/>
    <s v="FA179-Opex Expense"/>
    <n v="200179"/>
    <x v="56"/>
    <n v="9804.0300000000007"/>
    <n v="38400"/>
    <n v="420000"/>
    <s v="435350.Academic Publications-Number of Publications-Number"/>
    <s v="Number"/>
    <n v="15"/>
    <n v="5000"/>
    <s v="Open access publications (one per faculty)"/>
    <n v="75000"/>
    <s v="KU Regular operations"/>
    <s v="Recurring"/>
    <n v="67500"/>
    <n v="60000"/>
    <n v="52500"/>
    <s v="The 10% cut will reduce the support to one faculty to publish in an interantional journal."/>
    <s v="The 20% cut will reduce the support to three faculty to publish in an interantional journal."/>
    <s v="The 30% cut will reduce the support to four faculty to publish in an interantional journal."/>
    <m/>
    <n v="8000"/>
    <n v="8000"/>
    <n v="20000"/>
    <n v="10000"/>
    <n v="4000"/>
    <m/>
    <m/>
    <n v="5000"/>
    <n v="10000"/>
    <n v="10000"/>
    <m/>
    <n v="75000"/>
    <s v="Increase publications in journals with high impact factor"/>
    <m/>
  </r>
  <r>
    <s v="Academic"/>
    <s v="Director, Research Laboratories"/>
    <s v="College of Engineering"/>
    <n v="847"/>
    <n v="8470315"/>
    <s v="KUST - Biomedical Engineering"/>
    <n v="1"/>
    <n v="435508"/>
    <s v="435508-Laboratory - Scientific"/>
    <s v="000000"/>
    <s v="KUST - General"/>
    <n v="847001"/>
    <s v="FA179-Opex Expense"/>
    <n v="200179"/>
    <x v="57"/>
    <n v="120668.15"/>
    <n v="150000"/>
    <n v="20000"/>
    <s v="435508.Laboratory - Scientific-Number of Students-Number"/>
    <s v="Number"/>
    <n v="1"/>
    <n v="220000"/>
    <s v="Chemicals and biologocal reagents for teaching; LN2 and CO2 gases; Consumables; Cloud based remote Biosignal recording consumables; NI myDAQ systems; Electrophoresis and visualization system"/>
    <n v="220000"/>
    <s v="KU Regular operations"/>
    <s v="Recurring"/>
    <n v="198000"/>
    <n v="176000"/>
    <n v="154000"/>
    <s v="The 10% cut will affect the acquisition of the items from the providers."/>
    <s v="The 20% cut will severely affect the acquisition of the items from the providers. Most probably we could not purchase the items."/>
    <s v="The 30% cut will block the acquisition of the items from the providers."/>
    <m/>
    <n v="100000"/>
    <n v="100000"/>
    <n v="20000"/>
    <m/>
    <m/>
    <m/>
    <m/>
    <m/>
    <m/>
    <m/>
    <m/>
    <n v="220000"/>
    <s v="Develop the university innovation and entrepreneurship system"/>
    <m/>
  </r>
  <r>
    <s v="Other support"/>
    <s v="No Applicable"/>
    <s v="College of Engineering"/>
    <n v="847"/>
    <n v="8470315"/>
    <s v="KUST - Biomedical Engineering"/>
    <n v="1"/>
    <n v="436110"/>
    <s v="436110-Printing supplies"/>
    <s v="000000"/>
    <s v="KUST - General"/>
    <n v="847001"/>
    <s v="FA179-Opex Expense"/>
    <n v="200179"/>
    <x v="58"/>
    <n v="0"/>
    <n v="2000"/>
    <n v="60000"/>
    <s v="436110.Printing supplies-Number of Employees-Number"/>
    <s v="Number"/>
    <n v="5"/>
    <n v="500"/>
    <s v="Toners/Paper"/>
    <n v="2500"/>
    <s v="KU Regular operations"/>
    <s v="Recurring"/>
    <n v="2250"/>
    <n v="2000"/>
    <n v="1750"/>
    <s v="Minimal impact."/>
    <s v="Minimal impact."/>
    <s v="Medium impact."/>
    <m/>
    <n v="500"/>
    <n v="500"/>
    <m/>
    <m/>
    <m/>
    <m/>
    <m/>
    <n v="500"/>
    <n v="1000"/>
    <m/>
    <m/>
    <n v="2500"/>
    <s v="Align academic programs with the local and global labor market needs"/>
    <m/>
  </r>
  <r>
    <s v="Academic"/>
    <s v="No Applicable"/>
    <s v="College of Engineering"/>
    <n v="847"/>
    <n v="8470315"/>
    <s v="KUST - Biomedical Engineering"/>
    <n v="1"/>
    <n v="436600"/>
    <s v="436600-Training/Teaching equipment and other educational aid"/>
    <s v="000000"/>
    <s v="KUST - General"/>
    <n v="847001"/>
    <s v="FA179-Opex Expense"/>
    <n v="200179"/>
    <x v="59"/>
    <s v="-"/>
    <n v="3000"/>
    <n v="456796"/>
    <s v="436600.Training/Teaching equipment and other educational aid-Number of Staff-Number"/>
    <s v="Number"/>
    <n v="15"/>
    <n v="1500"/>
    <s v="Educational aid for online/blended teaching-learning , tablets "/>
    <n v="22500"/>
    <s v="KU Regular operations"/>
    <s v="Recurring"/>
    <n v="20250"/>
    <n v="18000"/>
    <n v="15749.999999999998"/>
    <s v="Minimal impact."/>
    <s v="Minimal impact."/>
    <s v="Medium impact."/>
    <m/>
    <m/>
    <n v="22500"/>
    <m/>
    <m/>
    <m/>
    <m/>
    <m/>
    <m/>
    <m/>
    <m/>
    <m/>
    <n v="22500"/>
    <s v="Align academic programs with the local and global labor market needs"/>
    <m/>
  </r>
  <r>
    <s v="Facilities "/>
    <s v="Director, Research Laboratories"/>
    <s v="College of Engineering"/>
    <n v="847"/>
    <n v="8470315"/>
    <s v="KUST - Biomedical Engineering"/>
    <n v="1"/>
    <n v="492316"/>
    <s v="492316-Laboratory equipment"/>
    <s v="000000"/>
    <s v="KUST - General"/>
    <n v="847001"/>
    <s v="FA180-Capex Expense"/>
    <n v="300180"/>
    <x v="60"/>
    <n v="106915.12"/>
    <n v="700693"/>
    <n v="700693"/>
    <s v="492316.Laboratory equipment-Number of Students-Number"/>
    <s v="Number"/>
    <n v="1"/>
    <n v="33000"/>
    <s v="Spin Coater "/>
    <n v="33000"/>
    <s v="KU Strategic New Initiative"/>
    <s v="Non-recurring"/>
    <n v="29700"/>
    <n v="26400"/>
    <n v="23100"/>
    <s v="The 10% cut will affect the acquisition of the item from the provider."/>
    <s v="The 20% cut will severely affect the acquisition of the item from the provider. Most probably we could not purchase the item."/>
    <s v="The 30% cut will block the acquisition of the item from the provider."/>
    <m/>
    <m/>
    <n v="33000"/>
    <m/>
    <m/>
    <m/>
    <m/>
    <m/>
    <m/>
    <m/>
    <m/>
    <m/>
    <n v="33000"/>
    <s v="Develop the university innovation and entrepreneurship system"/>
    <s v="Compared to FY22 budget has significantly increased by 42% for CoE; most of CoE increased their funding in the range of 40%-74%, except for ME and CE."/>
  </r>
  <r>
    <s v="Facilities "/>
    <s v="Director, Research Laboratories"/>
    <s v="College of Engineering"/>
    <n v="847"/>
    <n v="8470315"/>
    <s v="KUST - Biomedical Engineering"/>
    <n v="1"/>
    <n v="492316"/>
    <s v="492316-Laboratory equipment"/>
    <s v="000000"/>
    <s v="KUST - General"/>
    <n v="847001"/>
    <s v="FA180-Capex Expense"/>
    <n v="300180"/>
    <x v="60"/>
    <m/>
    <m/>
    <m/>
    <s v="492316.Laboratory equipment-Number of Students-Number"/>
    <s v="Number"/>
    <n v="1"/>
    <n v="68000"/>
    <s v="DEPtech 3DEP"/>
    <n v="68000"/>
    <s v="KU Strategic New Initiative"/>
    <s v="Non-recurring"/>
    <n v="61200"/>
    <n v="54400"/>
    <n v="47600"/>
    <s v="The 10% cut will affect the acquisition of the item from the provider."/>
    <s v="The 20% cut will severely affect the acquisition of the item from the provider. Most probably we could not purchase the item."/>
    <s v="The 30% cut will block the acquisition of the item from the provider."/>
    <m/>
    <n v="68000"/>
    <m/>
    <m/>
    <m/>
    <m/>
    <m/>
    <m/>
    <m/>
    <m/>
    <m/>
    <m/>
    <n v="68000"/>
    <s v="Develop the university innovation and entrepreneurship system"/>
    <s v="Compared to FY22 budget has significantly increased by 42% for CoE; most of CoE increased their funding in the range of 40%-74%, except for ME and CE."/>
  </r>
  <r>
    <s v="Facilities "/>
    <s v="Director, Research Laboratories"/>
    <s v="College of Engineering"/>
    <n v="847"/>
    <n v="8470315"/>
    <s v="KUST - Biomedical Engineering"/>
    <n v="1"/>
    <n v="492316"/>
    <s v="492316-Laboratory equipment"/>
    <s v="000000"/>
    <s v="KUST - General"/>
    <n v="847001"/>
    <s v="FA180-Capex Expense"/>
    <n v="300180"/>
    <x v="60"/>
    <m/>
    <m/>
    <m/>
    <s v="492316.Laboratory equipment-Number of Students-Number"/>
    <s v="Number"/>
    <n v="2"/>
    <n v="129000"/>
    <s v="fNIRS"/>
    <n v="258000"/>
    <s v="KU Strategic New Initiative"/>
    <s v="Non-recurring"/>
    <n v="232200"/>
    <n v="206400"/>
    <n v="180600"/>
    <s v="The 10% cut will affect the acquisition of the item from the provider."/>
    <s v="The 20% cut will severely affect the acquisition of the item from the provider. Most probably we could not purchase the item."/>
    <s v="The 30% cut will block the acquisition of the item from the provider."/>
    <m/>
    <n v="258000"/>
    <m/>
    <m/>
    <m/>
    <m/>
    <m/>
    <m/>
    <m/>
    <m/>
    <m/>
    <m/>
    <n v="258000"/>
    <s v="Develop the university innovation and entrepreneurship system"/>
    <s v="Compared to FY22 budget has significantly increased by 42% for CoE; most of CoE increased their funding in the range of 40%-74%, except for ME and CE."/>
  </r>
  <r>
    <s v="Facilities "/>
    <s v="Director, Research Laboratories"/>
    <s v="College of Engineering"/>
    <n v="847"/>
    <n v="8470315"/>
    <s v="KUST - Biomedical Engineering"/>
    <n v="1"/>
    <n v="492316"/>
    <s v="492316-Laboratory equipment"/>
    <s v="000000"/>
    <s v="KUST - General"/>
    <n v="847001"/>
    <s v="FA180-Capex Expense"/>
    <n v="300180"/>
    <x v="60"/>
    <m/>
    <m/>
    <m/>
    <s v="492316.Laboratory equipment-Number of Students-Number"/>
    <s v="Number"/>
    <n v="1"/>
    <n v="35000"/>
    <s v="Keithley (for electrical measurements)"/>
    <n v="35000"/>
    <s v="KU Strategic New Initiative"/>
    <s v="Non-recurring"/>
    <n v="31500"/>
    <n v="28000"/>
    <n v="24500"/>
    <s v="The 10% cut will affect the acquisition of the item from the provider."/>
    <s v="The 20% cut will severely affect the acquisition of the item from the provider. Most probably we could not purchase the item."/>
    <s v="The 30% cut will block the acquisition of the item from the provider."/>
    <m/>
    <n v="35000"/>
    <m/>
    <m/>
    <m/>
    <m/>
    <m/>
    <m/>
    <m/>
    <m/>
    <m/>
    <m/>
    <n v="35000"/>
    <s v="Develop the university innovation and entrepreneurship system"/>
    <s v="Compared to FY22 budget has significantly increased by 42% for CoE; most of CoE increased their funding in the range of 40%-74%, except for ME and CE."/>
  </r>
  <r>
    <s v="Facilities "/>
    <s v="Director, Research Laboratories"/>
    <s v="College of Engineering"/>
    <n v="847"/>
    <n v="8470315"/>
    <s v="KUST - Biomedical Engineering"/>
    <n v="1"/>
    <n v="492316"/>
    <s v="492316-Laboratory equipment"/>
    <s v="000000"/>
    <s v="KUST - General"/>
    <n v="847001"/>
    <s v="FA180-Capex Expense"/>
    <n v="300180"/>
    <x v="60"/>
    <m/>
    <m/>
    <m/>
    <s v="492316.Laboratory equipment-Number of Students-Number"/>
    <s v="Number"/>
    <n v="4"/>
    <n v="87000"/>
    <s v="Neurofield X3000"/>
    <n v="348000"/>
    <s v="KU Strategic New Initiative"/>
    <s v="Non-recurring"/>
    <n v="313200"/>
    <n v="278400"/>
    <n v="243599.99999999997"/>
    <s v="The 10% cut will affect the acquisition of the item from the provider."/>
    <s v="The 20% cut will severely affect the acquisition of the item from the provider. Most probably we could not purchase the item."/>
    <s v="The 30% cut will block the acquisition of the item from the provider."/>
    <m/>
    <m/>
    <n v="348000"/>
    <m/>
    <m/>
    <m/>
    <m/>
    <m/>
    <m/>
    <m/>
    <m/>
    <m/>
    <n v="348000"/>
    <s v="Develop the university innovation and entrepreneurship system"/>
    <s v="Compared to FY22 budget has significantly increased by 42% for CoE; most of CoE increased their funding in the range of 40%-74%, except for ME and CE."/>
  </r>
  <r>
    <s v="Facilities "/>
    <s v="Director, Research Laboratories"/>
    <s v="College of Engineering"/>
    <n v="847"/>
    <n v="8470315"/>
    <s v="KUST - Biomedical Engineering"/>
    <n v="1"/>
    <n v="492316"/>
    <s v="492316-Laboratory equipment"/>
    <s v="000000"/>
    <s v="KUST - General"/>
    <n v="847001"/>
    <s v="FA180-Capex Expense"/>
    <n v="300180"/>
    <x v="60"/>
    <m/>
    <m/>
    <m/>
    <s v="492316.Laboratory equipment-Number of Students-Number"/>
    <s v="Number"/>
    <n v="4"/>
    <n v="7000"/>
    <s v="Nexus Add on Evoked Potentials"/>
    <n v="28000"/>
    <s v="KU Strategic New Initiative"/>
    <s v="Non-recurring"/>
    <n v="25200"/>
    <n v="22400"/>
    <n v="19600"/>
    <s v="The 10% cut will affect the acquisition of the item from the provider."/>
    <s v="The 20% cut will severely affect the acquisition of the item from the provider. Most probably we could not purchase the item."/>
    <s v="The 30% cut will block the acquisition of the item from the provider."/>
    <m/>
    <m/>
    <n v="28000"/>
    <m/>
    <m/>
    <m/>
    <m/>
    <m/>
    <m/>
    <m/>
    <m/>
    <m/>
    <n v="28000"/>
    <s v="Develop the university innovation and entrepreneurship system"/>
    <s v="Compared to FY22 budget has significantly increased by 42% for CoE; most of CoE increased their funding in the range of 40%-74%, except for ME and CE."/>
  </r>
  <r>
    <s v="Facilities "/>
    <s v="Director, Research Laboratories"/>
    <s v="College of Engineering"/>
    <n v="847"/>
    <n v="8470315"/>
    <s v="KUST - Biomedical Engineering"/>
    <n v="1"/>
    <n v="492316"/>
    <s v="492316-Laboratory equipment"/>
    <s v="000000"/>
    <s v="KUST - General"/>
    <n v="847001"/>
    <s v="FA180-Capex Expense"/>
    <n v="300180"/>
    <x v="60"/>
    <m/>
    <m/>
    <m/>
    <s v="492316.Laboratory equipment-Number of Students-Number"/>
    <s v="Number"/>
    <n v="1"/>
    <n v="140000"/>
    <s v="5-Tile Standard Resolution Strideway System"/>
    <n v="140000"/>
    <s v="KU Strategic New Initiative"/>
    <s v="Non-recurring"/>
    <n v="126000"/>
    <n v="112000"/>
    <n v="98000"/>
    <s v="The 10% cut will affect the acquisition of the item from the provider."/>
    <s v="The 20% cut will severely affect the acquisition of the item from the provider. Most probably we could not purchase the item."/>
    <s v="The 30% cut will block the acquisition of the item from the provider."/>
    <m/>
    <m/>
    <m/>
    <n v="140000"/>
    <m/>
    <m/>
    <m/>
    <m/>
    <m/>
    <m/>
    <m/>
    <m/>
    <n v="140000"/>
    <s v="Develop the university innovation and entrepreneurship system"/>
    <s v="Compared to FY22 budget has significantly increased by 42% for CoE; most of CoE increased their funding in the range of 40%-74%, except for ME and CE."/>
  </r>
  <r>
    <s v="Facilities "/>
    <s v="Director, Research Laboratories"/>
    <s v="College of Engineering"/>
    <n v="847"/>
    <n v="8470315"/>
    <s v="KUST - Biomedical Engineering"/>
    <n v="1"/>
    <n v="492316"/>
    <s v="492316-Laboratory equipment"/>
    <s v="000000"/>
    <s v="KUST - General"/>
    <n v="847001"/>
    <s v="FA180-Capex Expense"/>
    <n v="300180"/>
    <x v="60"/>
    <m/>
    <m/>
    <m/>
    <s v="492316.Laboratory equipment-Number of Students-Number"/>
    <s v="Number"/>
    <n v="4"/>
    <n v="33000"/>
    <s v="Somatic Vision and accessories"/>
    <n v="132000"/>
    <s v="KU Strategic New Initiative"/>
    <s v="Non-recurring"/>
    <n v="118800"/>
    <n v="105600"/>
    <n v="92400"/>
    <s v="The 10% cut will affect the acquisition of the item from the provider."/>
    <s v="The 20% cut will severely affect the acquisition of the item from the provider. Most probably we could not purchase the item."/>
    <s v="The 30% cut will block the acquisition of the item from the provider."/>
    <m/>
    <m/>
    <n v="132000"/>
    <m/>
    <m/>
    <m/>
    <m/>
    <m/>
    <m/>
    <m/>
    <m/>
    <m/>
    <n v="132000"/>
    <s v="Develop the university innovation and entrepreneurship system"/>
    <s v="Compared to FY22 budget has significantly increased by 42% for CoE; most of CoE increased their funding in the range of 40%-74%, except for ME and CE."/>
  </r>
  <r>
    <s v="Facilities "/>
    <s v="Director, Research Laboratories"/>
    <s v="College of Engineering"/>
    <n v="847"/>
    <n v="8470315"/>
    <s v="KUST - Biomedical Engineering"/>
    <n v="1"/>
    <n v="492316"/>
    <s v="492316-Laboratory equipment"/>
    <s v="000000"/>
    <s v="KUST - General"/>
    <n v="847001"/>
    <s v="FA180-Capex Expense"/>
    <n v="300180"/>
    <x v="60"/>
    <m/>
    <m/>
    <m/>
    <s v="492316.Laboratory equipment-Number of Students-Number"/>
    <s v="Number"/>
    <n v="2"/>
    <n v="25000"/>
    <s v="High power Computers "/>
    <n v="50000"/>
    <s v="KU Strategic New Initiative"/>
    <s v="Non-recurring"/>
    <n v="45000"/>
    <n v="40000"/>
    <n v="35000"/>
    <s v="The 10% cut will affect the acquisition of the item from the provider."/>
    <s v="The 20% cut will severely affect the acquisition of the item from the provider. Most probably we could not purchase the item."/>
    <s v="The 30% cut will block the acquisition of the item from the provider."/>
    <m/>
    <m/>
    <n v="50000"/>
    <m/>
    <m/>
    <m/>
    <m/>
    <m/>
    <m/>
    <m/>
    <m/>
    <m/>
    <n v="50000"/>
    <s v="Develop the university innovation and entrepreneurship system"/>
    <s v="Compared to FY22 budget has significantly increased by 42% for CoE; most of CoE increased their funding in the range of 40%-74%, except for ME and CE."/>
  </r>
  <r>
    <s v="Facilities "/>
    <s v="Director, Research Laboratories"/>
    <s v="College of Engineering"/>
    <n v="847"/>
    <n v="8470315"/>
    <s v="KUST - Biomedical Engineering"/>
    <n v="1"/>
    <n v="492316"/>
    <s v="492316-Laboratory equipment"/>
    <s v="000000"/>
    <s v="KUST - General"/>
    <n v="847001"/>
    <s v="FA180-Capex Expense"/>
    <n v="300180"/>
    <x v="60"/>
    <m/>
    <m/>
    <m/>
    <s v="492316.Laboratory equipment-Number of Students-Number"/>
    <s v="Number"/>
    <n v="5"/>
    <n v="134157"/>
    <s v="The PowerLab 26T data acquisition unit"/>
    <n v="670785"/>
    <s v="KU Strategic New Initiative"/>
    <s v="Non-recurring"/>
    <n v="603706.5"/>
    <n v="536628"/>
    <n v="469549.49999999994"/>
    <s v="The 10% cut will affect the acquisition of the item from the provider."/>
    <s v="The 20% cut will severely affect the acquisition of the item from the provider. Most probably we could not purchase the item."/>
    <s v="The 30% cut will block the acquisition of the item from the provider."/>
    <m/>
    <m/>
    <n v="670785"/>
    <m/>
    <m/>
    <m/>
    <m/>
    <m/>
    <m/>
    <m/>
    <m/>
    <m/>
    <n v="670785"/>
    <s v="Develop the university innovation and entrepreneurship system"/>
    <s v="Compared to FY22 budget has significantly increased by 42% for CoE; most of CoE increased their funding in the range of 40%-74%, except for ME and CE."/>
  </r>
  <r>
    <s v="Facilities "/>
    <s v="Director, Research Laboratories"/>
    <s v="College of Engineering"/>
    <n v="847"/>
    <n v="8470315"/>
    <s v="KUST - Biomedical Engineering"/>
    <n v="1"/>
    <n v="492316"/>
    <s v="492316-Laboratory equipment"/>
    <s v="000000"/>
    <s v="KUST - General"/>
    <n v="847001"/>
    <s v="FA180-Capex Expense"/>
    <n v="300180"/>
    <x v="60"/>
    <m/>
    <m/>
    <m/>
    <s v="492316.Laboratory equipment-Number of Students-Number"/>
    <s v="Number"/>
    <n v="1"/>
    <n v="325735"/>
    <s v="Finapres Nova NC System for blood pressure monitor"/>
    <n v="325735"/>
    <s v="KU Strategic New Initiative"/>
    <s v="Non-recurring"/>
    <n v="293161.5"/>
    <n v="260588"/>
    <n v="228014.5"/>
    <s v="The 10% cut will affect the acquisition of the item from the provider."/>
    <s v="The 20% cut will severely affect the acquisition of the item from the provider. Most probably we could not purchase the item."/>
    <s v="The 30% cut will block the acquisition of the item from the provider."/>
    <m/>
    <m/>
    <n v="325735"/>
    <m/>
    <m/>
    <m/>
    <m/>
    <m/>
    <m/>
    <m/>
    <m/>
    <m/>
    <n v="325735"/>
    <s v="Develop the university innovation and entrepreneurship system"/>
    <s v="Compared to FY22 budget has significantly increased by 42% for CoE; most of CoE increased their funding in the range of 40%-74%, except for ME and CE."/>
  </r>
  <r>
    <s v="Academic"/>
    <s v="No Applicable"/>
    <s v="College of Engineering"/>
    <n v="847"/>
    <n v="8470320"/>
    <s v="KUST - Chemical Engineering"/>
    <n v="1"/>
    <n v="420550"/>
    <s v="420550-Academic Advisory Service"/>
    <s v="000000"/>
    <s v="KUST - General"/>
    <n v="847001"/>
    <s v="FA179-Opex Expense"/>
    <n v="200179"/>
    <x v="61"/>
    <s v="-"/>
    <n v="20000"/>
    <n v="20000"/>
    <s v="420550.Academic Advisory Service-Number of Services-Number"/>
    <s v="Number"/>
    <n v="1"/>
    <n v="60000"/>
    <s v="Annual board meeting and advising service "/>
    <n v="60000"/>
    <s v="KU Regular operations"/>
    <s v="Recurring"/>
    <n v="54000"/>
    <n v="48000"/>
    <n v="42000"/>
    <s v="it will have low to mild impact on scope of work "/>
    <s v="Scope of work will be highly impacted"/>
    <s v="Critical impact on scope of work and delivery"/>
    <n v="20000"/>
    <m/>
    <m/>
    <m/>
    <n v="20000"/>
    <m/>
    <n v="10000"/>
    <n v="10000"/>
    <m/>
    <m/>
    <m/>
    <m/>
    <n v="60000"/>
    <s v="Align academic programs with the local and global labor market needs"/>
    <m/>
  </r>
  <r>
    <s v="Communiction &amp; Marketing"/>
    <s v="Director, Marketing and Communication"/>
    <s v="College of Engineering"/>
    <n v="847"/>
    <n v="8470320"/>
    <s v="KUST - Chemical Engineering"/>
    <n v="1"/>
    <n v="425510"/>
    <s v="425510-Conferences, seminars and exhibitions and other events: - Local Events"/>
    <s v="000000"/>
    <s v="KUST - General"/>
    <n v="847001"/>
    <s v="FA179-Opex Expense"/>
    <n v="200179"/>
    <x v="62"/>
    <s v="-"/>
    <n v="30000"/>
    <n v="30000"/>
    <s v="425510.Conferences, seminars and exhibitions and other events: - Local Events-The area of rented halls for events, seminars, and exhibition.-2m"/>
    <s v="2m"/>
    <n v="5"/>
    <n v="6000"/>
    <s v="Each event coverage is maximum 6000 for student / staff / faculty"/>
    <n v="30000"/>
    <s v="KU Regular operations"/>
    <s v="Recurring"/>
    <n v="27000"/>
    <n v="24000"/>
    <n v="21000"/>
    <s v="it will have low to mild impact on scope of work "/>
    <s v="Scope of work will be highly impacted"/>
    <s v="Critical impact on scope of work and delivery"/>
    <m/>
    <n v="10000"/>
    <m/>
    <n v="10000"/>
    <m/>
    <m/>
    <m/>
    <n v="10000"/>
    <m/>
    <m/>
    <m/>
    <m/>
    <n v="30000"/>
    <s v="Align academic programs with the local and global labor market needs"/>
    <m/>
  </r>
  <r>
    <s v="Student"/>
    <s v="Director, Student Services"/>
    <s v="College of Engineering"/>
    <n v="847"/>
    <n v="8470320"/>
    <s v="KUST - Chemical Engineering"/>
    <n v="1"/>
    <n v="425760"/>
    <s v="425760-Student activities &amp; field trip expenses"/>
    <s v="000000"/>
    <s v="KUST - General"/>
    <n v="847001"/>
    <s v="FA179-Opex Expense"/>
    <n v="200179"/>
    <x v="63"/>
    <s v="-"/>
    <n v="25000"/>
    <n v="25000"/>
    <s v="425760.Student activities &amp; field trip expenses-Students-No of Students"/>
    <s v="No of Students"/>
    <n v="2"/>
    <n v="12500"/>
    <s v="AED 2500 per trip towards CESPA and security clearnce"/>
    <n v="25000"/>
    <s v="KU Regular operations"/>
    <s v="Recurring"/>
    <n v="22500"/>
    <n v="20000"/>
    <n v="17500"/>
    <s v="it will have mild impact on scope of work "/>
    <s v="Scope of work will be highly impacted"/>
    <s v="Critical impact on scope of work and delivery"/>
    <m/>
    <n v="5000"/>
    <m/>
    <n v="10000"/>
    <m/>
    <m/>
    <m/>
    <n v="10000"/>
    <m/>
    <m/>
    <m/>
    <m/>
    <n v="25000"/>
    <s v="Align academic programs with the local and global labor market needs"/>
    <m/>
  </r>
  <r>
    <s v="Student"/>
    <s v="No Applicable"/>
    <s v="College of Engineering"/>
    <n v="847"/>
    <n v="8470320"/>
    <s v="KUST - Chemical Engineering"/>
    <n v="1"/>
    <n v="425763"/>
    <s v="425763-Student Project Expenses"/>
    <s v="000000"/>
    <s v="KUST - General"/>
    <n v="847001"/>
    <s v="FA179-Opex Expense"/>
    <n v="200179"/>
    <x v="64"/>
    <n v="19693.580000000002"/>
    <n v="100000"/>
    <n v="100000"/>
    <s v="425763.Student Project Expenses-Number of Students UG-Month"/>
    <s v="Month"/>
    <n v="12"/>
    <n v="10000"/>
    <s v="Per group per smester at 5000"/>
    <n v="120000"/>
    <s v="KU Regular operations"/>
    <s v="Recurring"/>
    <n v="108000"/>
    <n v="96000"/>
    <n v="84000"/>
    <s v="it will have mild impact on scope of work "/>
    <s v="Scope of work will be highly impacted"/>
    <s v="Critical impact on scope of work and delivery"/>
    <m/>
    <n v="75000"/>
    <m/>
    <m/>
    <m/>
    <m/>
    <m/>
    <n v="45000"/>
    <m/>
    <m/>
    <m/>
    <m/>
    <n v="120000"/>
    <s v="Align academic programs with the local and global labor market needs"/>
    <m/>
  </r>
  <r>
    <s v="Academic"/>
    <s v="No Applicable"/>
    <s v="College of Engineering"/>
    <n v="847"/>
    <n v="8470320"/>
    <s v="KUST - Chemical Engineering"/>
    <n v="1"/>
    <n v="425770"/>
    <s v="425770-Academic Missions - Combined expenses"/>
    <s v="000000"/>
    <s v="KUST - General"/>
    <n v="847001"/>
    <s v="FA179-Opex Expense"/>
    <n v="200179"/>
    <x v="65"/>
    <n v="0"/>
    <n v="450000"/>
    <n v="450000"/>
    <s v="425770.Academic Missions - Combined expenses-Number of Conference-Number"/>
    <s v="Number"/>
    <n v="30"/>
    <n v="15000"/>
    <s v="Per faculty conference at AED 15000 "/>
    <n v="450000"/>
    <s v="KU Regular operations"/>
    <s v="Recurring"/>
    <n v="405000"/>
    <n v="360000"/>
    <n v="315000"/>
    <s v="it will have mild impact on scope of work "/>
    <s v="Scope of work will be highly impacted"/>
    <s v="Critical impact on scope of work and delivery"/>
    <m/>
    <m/>
    <n v="120000"/>
    <m/>
    <m/>
    <m/>
    <n v="30000"/>
    <m/>
    <n v="300000"/>
    <m/>
    <m/>
    <m/>
    <n v="450000"/>
    <s v="Recruit and retain high caliber faculty, researchers and staff"/>
    <s v="Compared to FY22, the Academic mission expense increased by 32%, and especially the Dean of Engineering and Electrical &amp; computer Engg department increased their statements by 39% to 48%. The rest of the departments in CoE increased by 25% to 33%."/>
  </r>
  <r>
    <s v="Other support"/>
    <s v="Director, Human Resources"/>
    <s v="College of Engineering"/>
    <n v="847"/>
    <n v="8470320"/>
    <s v="KUST - Chemical Engineering"/>
    <n v="1"/>
    <n v="425900"/>
    <s v="425900-Entertainment and hospitality"/>
    <s v="000000"/>
    <s v="KUST - General"/>
    <n v="847001"/>
    <s v="FA179-Opex Expense"/>
    <n v="200179"/>
    <x v="66"/>
    <s v="-"/>
    <n v="20000"/>
    <n v="20000"/>
    <s v="425900.Entertainment and hospitality-1. No of events/workshops planned-count"/>
    <s v="count"/>
    <n v="10"/>
    <n v="2500"/>
    <s v="Towards staff meeeting and depatmnet related events"/>
    <n v="25000"/>
    <s v="KU Regular operations"/>
    <s v="Recurring"/>
    <n v="22500"/>
    <n v="20000"/>
    <n v="17500"/>
    <s v="it will have mild impact on scope of work "/>
    <s v="Scope of work will be highly impacted"/>
    <s v="Critical impact on scope of work and delivery"/>
    <n v="2000"/>
    <m/>
    <n v="3000"/>
    <n v="2000"/>
    <n v="2000"/>
    <n v="3000"/>
    <n v="3000"/>
    <n v="2000"/>
    <n v="3000"/>
    <n v="3000"/>
    <n v="2000"/>
    <m/>
    <n v="25000"/>
    <s v="Align academic programs with the local and global labor market needs"/>
    <m/>
  </r>
  <r>
    <s v="IT"/>
    <s v="Director, Technology Development"/>
    <s v="College of Engineering"/>
    <n v="847"/>
    <n v="8470320"/>
    <s v="KUST - Chemical Engineering"/>
    <n v="1"/>
    <n v="426610"/>
    <s v="426610-Computer software licenses"/>
    <s v="000000"/>
    <s v="KUST - General"/>
    <n v="847001"/>
    <s v="FA179-Opex Expense"/>
    <n v="200179"/>
    <x v="67"/>
    <n v="32332.21"/>
    <n v="75000"/>
    <n v="75000"/>
    <s v="426610.Computer software licenses-Software License Renewal-number of licenses-Number"/>
    <s v="Number"/>
    <n v="1"/>
    <n v="115000"/>
    <s v="Renewal of existing softwares  and acquisition of COSMOS - RS "/>
    <n v="115000"/>
    <s v="KU Regular operations"/>
    <s v="Recurring"/>
    <n v="103500"/>
    <n v="92000"/>
    <n v="80500"/>
    <s v="it will have mild impact on scope of work "/>
    <s v="Scope of work will be highly impacted"/>
    <s v="Critical impact on scope of work and delivery"/>
    <m/>
    <n v="20000"/>
    <m/>
    <m/>
    <n v="30000"/>
    <m/>
    <n v="40000"/>
    <m/>
    <n v="25000"/>
    <m/>
    <m/>
    <m/>
    <n v="115000"/>
    <s v="Align academic programs with the local and global labor market needs"/>
    <m/>
  </r>
  <r>
    <s v="Academic "/>
    <s v="No Applicable"/>
    <s v="College of Engineering"/>
    <n v="847"/>
    <n v="8470320"/>
    <s v="KUST - Chemical Engineering"/>
    <n v="1"/>
    <n v="428090"/>
    <s v="428090-Business Travel - Combined expenses"/>
    <s v="000000"/>
    <s v="KUST - General"/>
    <n v="847001"/>
    <s v="FA179-Opex Expense"/>
    <n v="200179"/>
    <x v="68"/>
    <s v="-"/>
    <n v="35000"/>
    <n v="35000"/>
    <s v="428090.Business Travel - Combined expenses-Number of Staff-Number"/>
    <s v="Number"/>
    <n v="1"/>
    <n v="35000"/>
    <s v="AED35000 for a maximum of one bussiness trip"/>
    <n v="35000"/>
    <s v="KU Regular operations"/>
    <s v="Recurring"/>
    <n v="31500"/>
    <n v="28000"/>
    <n v="24500"/>
    <s v="it will have mild impact on scope of work "/>
    <s v="Scope of work will be highly impacted"/>
    <s v="Critical impact on scope of work and delivery"/>
    <n v="15000"/>
    <m/>
    <m/>
    <n v="20000"/>
    <m/>
    <m/>
    <m/>
    <m/>
    <m/>
    <m/>
    <m/>
    <m/>
    <n v="35000"/>
    <s v="Align academic programs with the local and global labor market needs"/>
    <m/>
  </r>
  <r>
    <s v="Academic"/>
    <s v="No Applicable"/>
    <s v="College of Engineering"/>
    <n v="847"/>
    <n v="8470320"/>
    <s v="KUST - Chemical Engineering"/>
    <n v="1"/>
    <n v="435350"/>
    <s v="435350-Academic Publications"/>
    <s v="000000"/>
    <s v="KUST - General"/>
    <n v="847001"/>
    <s v="FA179-Opex Expense"/>
    <n v="200179"/>
    <x v="69"/>
    <n v="0"/>
    <n v="50000"/>
    <n v="50000"/>
    <s v="435350.Academic Publications-Number of Publications-Number"/>
    <s v="Number"/>
    <n v="10"/>
    <n v="6000"/>
    <s v="Publication cost for faculty"/>
    <n v="60000"/>
    <s v="KU Regular operations"/>
    <s v="Recurring"/>
    <n v="54000"/>
    <n v="48000"/>
    <n v="42000"/>
    <s v="it will have mild impact on scope of work "/>
    <s v="Scope of work will be highly impacted"/>
    <s v="Critical impact on scope of work and delivery"/>
    <n v="20000"/>
    <m/>
    <m/>
    <n v="30000"/>
    <m/>
    <m/>
    <m/>
    <m/>
    <n v="10000"/>
    <m/>
    <m/>
    <m/>
    <n v="60000"/>
    <s v="Increase publications in journals with high impact factor"/>
    <m/>
  </r>
  <r>
    <s v="Academic"/>
    <s v="Director, Research Laboratories"/>
    <s v="College of Engineering"/>
    <n v="847"/>
    <n v="8470320"/>
    <s v="KUST - Chemical Engineering"/>
    <n v="1"/>
    <n v="435508"/>
    <s v="435508-Laboratory - Scientific"/>
    <s v="000000"/>
    <s v="KUST - General"/>
    <n v="847001"/>
    <s v="FA179-Opex Expense"/>
    <n v="200179"/>
    <x v="70"/>
    <n v="100846"/>
    <n v="200000"/>
    <n v="200000"/>
    <s v="435508.Laboratory - Scientific-Number of Faculty-Number"/>
    <s v="Number"/>
    <n v="1"/>
    <n v="150000"/>
    <s v="For consumables and spares, small instrument and maintennace "/>
    <n v="150000"/>
    <s v="KU Regular operations"/>
    <s v="Non-recurring"/>
    <n v="135000"/>
    <n v="120000"/>
    <n v="105000"/>
    <s v="it will have mild impact on scope of work "/>
    <s v="Scope of work will be highly impacted"/>
    <s v="Critical impact on scope of work and delivery"/>
    <m/>
    <m/>
    <n v="150000"/>
    <m/>
    <m/>
    <m/>
    <m/>
    <m/>
    <m/>
    <m/>
    <m/>
    <m/>
    <n v="150000"/>
    <s v="Align academic programs with the local and global labor market needs"/>
    <m/>
  </r>
  <r>
    <s v="Other support"/>
    <s v="No Applicable"/>
    <s v="College of Engineering"/>
    <n v="847"/>
    <n v="8470320"/>
    <s v="KUST - Chemical Engineering"/>
    <n v="1"/>
    <n v="436110"/>
    <s v="436110-Printing supplies"/>
    <s v="000000"/>
    <s v="KUST - General"/>
    <n v="847001"/>
    <s v="FA179-Opex Expense"/>
    <n v="200179"/>
    <x v="71"/>
    <s v="-"/>
    <n v="35000"/>
    <n v="35000"/>
    <s v="436110.Printing supplies-Number of Faculty-Number"/>
    <s v="Number"/>
    <n v="35"/>
    <n v="1000"/>
    <s v="AED 600 per semster for fcaulty and AED 300 for staff"/>
    <n v="35000"/>
    <s v="KU Regular operations"/>
    <s v="Recurring"/>
    <n v="31500"/>
    <n v="28000"/>
    <n v="24500"/>
    <s v="it will have mild impact on scope of work "/>
    <s v="Scope of work will be highly impacted"/>
    <s v="Critical impact on scope of work and delivery"/>
    <m/>
    <n v="15000"/>
    <m/>
    <m/>
    <n v="20000"/>
    <m/>
    <m/>
    <m/>
    <m/>
    <m/>
    <m/>
    <m/>
    <n v="35000"/>
    <s v="Align academic programs with the local and global labor market needs"/>
    <m/>
  </r>
  <r>
    <s v="Academic"/>
    <s v="No Applicable"/>
    <s v="College of Engineering"/>
    <n v="847"/>
    <n v="8470320"/>
    <s v="KUST - Chemical Engineering"/>
    <n v="1"/>
    <n v="436600"/>
    <s v="436600-Training/Teaching equipment and other educational aid"/>
    <s v="000000"/>
    <s v="KUST - General"/>
    <n v="847001"/>
    <s v="FA179-Opex Expense"/>
    <n v="200179"/>
    <x v="72"/>
    <n v="0"/>
    <n v="45000"/>
    <n v="45000"/>
    <s v="436600.Training/Teaching equipment and other educational aid-Number of Staff-Number"/>
    <s v="Number"/>
    <n v="3"/>
    <n v="15000"/>
    <s v="AED 10,000 per staff per activity"/>
    <n v="45000"/>
    <s v="KU Regular operations"/>
    <s v="Recurring"/>
    <n v="40500"/>
    <n v="36000"/>
    <n v="31499.999999999996"/>
    <s v="it will have mild impact on scope of work "/>
    <s v="Scope of work will be highly impacted"/>
    <s v="Critical impact on scope of work and delivery"/>
    <m/>
    <n v="25000"/>
    <m/>
    <m/>
    <m/>
    <n v="20000"/>
    <m/>
    <m/>
    <m/>
    <m/>
    <m/>
    <m/>
    <n v="45000"/>
    <s v="Align academic programs with the local and global labor market needs"/>
    <m/>
  </r>
  <r>
    <s v="Facilities "/>
    <s v="Director, Research Laboratories"/>
    <s v="College of Engineering"/>
    <n v="847"/>
    <n v="8470320"/>
    <s v="KUST - Chemical Engineering"/>
    <n v="1"/>
    <n v="492316"/>
    <s v="492316-Laboratory equipment"/>
    <s v="000000"/>
    <s v="KUST - General"/>
    <n v="847001"/>
    <s v="FA180-Capex Expense"/>
    <n v="300180"/>
    <x v="73"/>
    <s v="-"/>
    <n v="1813427"/>
    <n v="1810000"/>
    <s v="492316.Laboratory equipment-Number of Students-Number"/>
    <s v="Number"/>
    <n v="1"/>
    <n v="38000"/>
    <s v="CAPEX 1 of 14"/>
    <n v="38000"/>
    <s v="KU Regular operations"/>
    <s v="Non-recurring"/>
    <n v="34200"/>
    <n v="30400"/>
    <n v="26600"/>
    <s v="it will have mild impact on scope of work "/>
    <s v="Scope of work will be highly impacted"/>
    <s v="Critical impact on scope of work and delivery"/>
    <m/>
    <m/>
    <m/>
    <n v="38000"/>
    <m/>
    <m/>
    <m/>
    <m/>
    <m/>
    <m/>
    <m/>
    <m/>
    <n v="38000"/>
    <s v="Align academic programs with the local and global labor market needs"/>
    <s v="Compared to FY22 budget has significantly increased by 42% for CoE; most of CoE increased their funding in the range of 40%-74%, except for ME and CE."/>
  </r>
  <r>
    <s v="Other support"/>
    <s v="No Applicable"/>
    <s v="College of Engineering"/>
    <n v="847"/>
    <n v="8470320"/>
    <s v="KUST - Chemical Engineering"/>
    <n v="1"/>
    <n v="495140"/>
    <s v="495140-Copyrights, patents and licenses"/>
    <s v="000000"/>
    <s v="KUST - General"/>
    <n v="847001"/>
    <s v="FA180-Capex Expense"/>
    <n v="300180"/>
    <x v="74"/>
    <s v="-"/>
    <n v="16097"/>
    <n v="16097"/>
    <s v="495140.Copyrights, patents and licenses-Number of Patents-Number"/>
    <s v="Number"/>
    <n v="1"/>
    <n v="18000"/>
    <s v="Expense per copyright / patent "/>
    <n v="18000"/>
    <s v="KU Regular operations"/>
    <s v="Recurring"/>
    <n v="16200"/>
    <n v="14400"/>
    <n v="12600"/>
    <s v="it will have mild impact on scope of work "/>
    <s v="Scope of work will be highly impacted"/>
    <s v="Critical impact on scope of work and delivery"/>
    <m/>
    <m/>
    <n v="18000"/>
    <m/>
    <m/>
    <m/>
    <m/>
    <m/>
    <m/>
    <m/>
    <m/>
    <m/>
    <n v="18000"/>
    <s v="Increase filed and issued patents in USPTO and PCT"/>
    <s v="Lab Equipment capex has been reduced comapare to FY22 by 400k"/>
  </r>
  <r>
    <s v="-"/>
    <s v="-"/>
    <s v="College of Engineering"/>
    <n v="847"/>
    <n v="8470320"/>
    <s v="KUST - Chemical Engineering"/>
    <n v="1"/>
    <n v="492316"/>
    <s v="492316-Laboratory equipment"/>
    <s v="000000"/>
    <s v="KUST - General"/>
    <n v="847001"/>
    <s v="FA180-Capex Expense"/>
    <n v="300180"/>
    <x v="73"/>
    <s v="-"/>
    <s v="-"/>
    <m/>
    <s v="492316.Laboratory equipment-Number of Students-Number"/>
    <s v="Number"/>
    <n v="1"/>
    <n v="40000"/>
    <s v="CAPEx 2 of 14"/>
    <n v="40000"/>
    <s v="KU Regular operations"/>
    <s v="Non-recurring"/>
    <n v="36000"/>
    <n v="32000"/>
    <n v="28000"/>
    <s v="it will have mild impact on scope of work "/>
    <s v="Scope of work will be highly impacted"/>
    <s v="Critical impact on scope of work and delivery"/>
    <m/>
    <m/>
    <m/>
    <n v="40000"/>
    <m/>
    <m/>
    <m/>
    <m/>
    <m/>
    <m/>
    <m/>
    <m/>
    <n v="40000"/>
    <s v="Align academic programs with the local and global labor market needs"/>
    <s v="Compared to FY22 budget has significantly increased by 42% for CoE; most of CoE increased their funding in the range of 40%-74%, except for ME and CE."/>
  </r>
  <r>
    <s v="-"/>
    <s v="-"/>
    <s v="College of Engineering"/>
    <n v="847"/>
    <n v="8470320"/>
    <s v="KUST - Chemical Engineering"/>
    <n v="1"/>
    <n v="492316"/>
    <s v="492316-Laboratory equipment"/>
    <s v="000000"/>
    <s v="KUST - General"/>
    <n v="847001"/>
    <s v="FA180-Capex Expense"/>
    <n v="300180"/>
    <x v="73"/>
    <s v="-"/>
    <s v="-"/>
    <m/>
    <s v="492316.Laboratory equipment-Number of Students-Number"/>
    <s v="Number"/>
    <n v="1"/>
    <n v="70000"/>
    <s v="CAPEx 3 of 14"/>
    <n v="70000"/>
    <s v="KU Regular operations"/>
    <s v="Non-recurring"/>
    <n v="63000"/>
    <n v="56000"/>
    <n v="49000"/>
    <s v="it will have mild impact on scope of work "/>
    <s v="Scope of work will be highly impacted"/>
    <s v="Critical impact on scope of work and delivery"/>
    <m/>
    <m/>
    <m/>
    <n v="70000"/>
    <m/>
    <m/>
    <m/>
    <m/>
    <m/>
    <m/>
    <m/>
    <m/>
    <n v="70000"/>
    <s v="Align academic programs with the local and global labor market needs"/>
    <s v="Compared to FY22 budget has significantly increased by 42% for CoE; most of CoE increased their funding in the range of 40%-74%, except for ME and CE."/>
  </r>
  <r>
    <s v="-"/>
    <s v="-"/>
    <s v="College of Engineering"/>
    <n v="847"/>
    <n v="8470320"/>
    <s v="KUST - Chemical Engineering"/>
    <n v="1"/>
    <n v="492316"/>
    <s v="492316-Laboratory equipment"/>
    <s v="000000"/>
    <s v="KUST - General"/>
    <n v="847001"/>
    <s v="FA180-Capex Expense"/>
    <n v="300180"/>
    <x v="73"/>
    <m/>
    <m/>
    <m/>
    <s v="492316.Laboratory equipment-Number of Students-Number"/>
    <s v="Number"/>
    <n v="1"/>
    <n v="135000"/>
    <s v="CAPEx 4 of 14"/>
    <n v="135000"/>
    <s v="KU Regular operations"/>
    <s v="Non-recurring"/>
    <n v="121500"/>
    <n v="108000"/>
    <n v="94500"/>
    <s v="it will have mild impact on scope of work "/>
    <s v="Scope of work will be highly impacted"/>
    <s v="Critical impact on scope of work and delivery"/>
    <m/>
    <m/>
    <m/>
    <n v="135000"/>
    <m/>
    <m/>
    <m/>
    <m/>
    <m/>
    <m/>
    <m/>
    <m/>
    <n v="135000"/>
    <s v="Align academic programs with the local and global labor market needs"/>
    <s v="Compared to FY22 budget has significantly increased by 42% for CoE; most of CoE increased their funding in the range of 40%-74%, except for ME and CE."/>
  </r>
  <r>
    <s v="-"/>
    <s v="-"/>
    <s v="College of Engineering"/>
    <n v="847"/>
    <n v="8470320"/>
    <s v="KUST - Chemical Engineering"/>
    <n v="1"/>
    <n v="492316"/>
    <s v="492316-Laboratory equipment"/>
    <s v="000000"/>
    <s v="KUST - General"/>
    <n v="847001"/>
    <s v="FA180-Capex Expense"/>
    <n v="300180"/>
    <x v="73"/>
    <m/>
    <m/>
    <m/>
    <s v="492316.Laboratory equipment-Number of Students-Number"/>
    <s v="Number"/>
    <n v="1"/>
    <n v="10000"/>
    <s v="CAPEx 5 of 14"/>
    <n v="10000"/>
    <s v="KU Regular operations"/>
    <s v="Non-recurring"/>
    <n v="9000"/>
    <n v="8000"/>
    <n v="7000"/>
    <s v="it will have mild impact on scope of work "/>
    <s v="Scope of work will be highly impacted"/>
    <s v="Critical impact on scope of work and delivery"/>
    <m/>
    <m/>
    <m/>
    <n v="10000"/>
    <m/>
    <m/>
    <m/>
    <m/>
    <m/>
    <m/>
    <m/>
    <m/>
    <n v="10000"/>
    <s v="Align academic programs with the local and global labor market needs"/>
    <s v="Compared to FY22 budget has significantly increased by 42% for CoE; most of CoE increased their funding in the range of 40%-74%, except for ME and CE."/>
  </r>
  <r>
    <s v="-"/>
    <s v="-"/>
    <s v="College of Engineering"/>
    <n v="847"/>
    <n v="8470320"/>
    <s v="KUST - Chemical Engineering"/>
    <n v="1"/>
    <n v="492316"/>
    <s v="492316-Laboratory equipment"/>
    <s v="000000"/>
    <s v="KUST - General"/>
    <n v="847001"/>
    <s v="FA180-Capex Expense"/>
    <n v="300180"/>
    <x v="73"/>
    <m/>
    <m/>
    <m/>
    <s v="492316.Laboratory equipment-Number of Students-Number"/>
    <s v="Number"/>
    <n v="1"/>
    <n v="275000"/>
    <s v="CAPEx 6 of 14"/>
    <n v="275000"/>
    <s v="KU Regular operations"/>
    <s v="Non-recurring"/>
    <n v="247500"/>
    <n v="220000"/>
    <n v="192500"/>
    <s v="it will have mild impact on scope of work "/>
    <s v="Scope of work will be highly impacted"/>
    <s v="Critical impact on scope of work and delivery"/>
    <m/>
    <m/>
    <m/>
    <n v="275000"/>
    <m/>
    <m/>
    <m/>
    <m/>
    <m/>
    <m/>
    <m/>
    <m/>
    <n v="275000"/>
    <s v="Align academic programs with the local and global labor market needs"/>
    <s v="Compared to FY22 budget has significantly increased by 42% for CoE; most of CoE increased their funding in the range of 40%-74%, except for ME and CE."/>
  </r>
  <r>
    <s v="-"/>
    <s v="-"/>
    <s v="College of Engineering"/>
    <n v="847"/>
    <n v="8470320"/>
    <s v="KUST - Chemical Engineering"/>
    <n v="1"/>
    <n v="492316"/>
    <s v="492316-Laboratory equipment"/>
    <s v="000000"/>
    <s v="KUST - General"/>
    <n v="847001"/>
    <s v="FA180-Capex Expense"/>
    <n v="300180"/>
    <x v="73"/>
    <m/>
    <m/>
    <m/>
    <s v="492316.Laboratory equipment-Number of Students-Number"/>
    <s v="Number"/>
    <n v="1"/>
    <n v="165000"/>
    <s v="CAPEx 7 of 14"/>
    <n v="165000"/>
    <s v="KU Regular operations"/>
    <s v="Non-recurring"/>
    <n v="148500"/>
    <n v="132000"/>
    <n v="115499.99999999999"/>
    <s v="it will have mild impact on scope of work "/>
    <s v="Scope of work will be highly impacted"/>
    <s v="Critical impact on scope of work and delivery"/>
    <m/>
    <m/>
    <m/>
    <n v="165000"/>
    <m/>
    <m/>
    <m/>
    <m/>
    <m/>
    <m/>
    <m/>
    <m/>
    <n v="165000"/>
    <s v="Align academic programs with the local and global labor market needs"/>
    <s v="Compared to FY22 budget has significantly increased by 42% for CoE; most of CoE increased their funding in the range of 40%-74%, except for ME and CE."/>
  </r>
  <r>
    <s v="-"/>
    <s v="-"/>
    <s v="College of Engineering"/>
    <n v="847"/>
    <n v="8470320"/>
    <s v="KUST - Chemical Engineering"/>
    <n v="1"/>
    <n v="492316"/>
    <s v="492316-Laboratory equipment"/>
    <s v="000000"/>
    <s v="KUST - General"/>
    <n v="847001"/>
    <s v="FA180-Capex Expense"/>
    <n v="300180"/>
    <x v="73"/>
    <m/>
    <m/>
    <m/>
    <s v="492316.Laboratory equipment-Number of Students-Number"/>
    <s v="Number"/>
    <n v="1"/>
    <n v="24500"/>
    <s v="CAPEx 8 of 14"/>
    <n v="24500"/>
    <s v="KU Regular operations"/>
    <s v="Non-recurring"/>
    <n v="22050"/>
    <n v="19600"/>
    <n v="17150"/>
    <s v="it will have mild impact on scope of work "/>
    <s v="Scope of work will be highly impacted"/>
    <s v="Critical impact on scope of work and delivery"/>
    <m/>
    <m/>
    <m/>
    <n v="24500"/>
    <m/>
    <m/>
    <m/>
    <m/>
    <m/>
    <m/>
    <m/>
    <m/>
    <n v="24500"/>
    <s v="Align academic programs with the local and global labor market needs"/>
    <s v="Compared to FY22 budget has significantly increased by 42% for CoE; most of CoE increased their funding in the range of 40%-74%, except for ME and CE."/>
  </r>
  <r>
    <s v="-"/>
    <s v="-"/>
    <s v="College of Engineering"/>
    <n v="847"/>
    <n v="8470320"/>
    <s v="KUST - Chemical Engineering"/>
    <n v="1"/>
    <n v="492316"/>
    <s v="492316-Laboratory equipment"/>
    <s v="000000"/>
    <s v="KUST - General"/>
    <n v="847001"/>
    <s v="FA180-Capex Expense"/>
    <n v="300180"/>
    <x v="73"/>
    <m/>
    <m/>
    <m/>
    <s v="492316.Laboratory equipment-Number of Students-Number"/>
    <s v="Number"/>
    <n v="1"/>
    <n v="110000"/>
    <s v="CAPEX 9 of 14"/>
    <n v="110000"/>
    <s v="KU Regular operations"/>
    <s v="Non-recurring"/>
    <n v="99000"/>
    <n v="88000"/>
    <n v="77000"/>
    <s v="it will have mild impact on scope of work "/>
    <s v="Scope of work will be highly impacted"/>
    <s v="Critical impact on scope of work and delivery"/>
    <m/>
    <m/>
    <m/>
    <n v="110000"/>
    <m/>
    <m/>
    <m/>
    <m/>
    <m/>
    <m/>
    <m/>
    <m/>
    <n v="110000"/>
    <s v="Align academic programs with the local and global labor market needs"/>
    <s v="Compared to FY22 budget has significantly increased by 42% for CoE; most of CoE increased their funding in the range of 40%-74%, except for ME and CE."/>
  </r>
  <r>
    <s v="-"/>
    <s v="-"/>
    <s v="College of Engineering"/>
    <n v="847"/>
    <n v="8470320"/>
    <s v="KUST - Chemical Engineering"/>
    <n v="1"/>
    <n v="492316"/>
    <s v="492316-Laboratory equipment"/>
    <s v="000000"/>
    <s v="KUST - General"/>
    <n v="847001"/>
    <s v="FA180-Capex Expense"/>
    <n v="300180"/>
    <x v="73"/>
    <m/>
    <m/>
    <m/>
    <s v="492316.Laboratory equipment-Number of Students-Number"/>
    <s v="Number"/>
    <n v="1"/>
    <n v="18500"/>
    <s v="CAPEx 10 of 14"/>
    <n v="18500"/>
    <s v="KU Regular operations"/>
    <s v="Non-recurring"/>
    <n v="16650"/>
    <n v="14800"/>
    <n v="12950"/>
    <s v="it will have mild impact on scope of work "/>
    <s v="Scope of work will be highly impacted"/>
    <s v="Critical impact on scope of work and delivery"/>
    <m/>
    <m/>
    <m/>
    <n v="18500"/>
    <m/>
    <m/>
    <m/>
    <m/>
    <m/>
    <m/>
    <m/>
    <m/>
    <n v="18500"/>
    <s v="Align academic programs with the local and global labor market needs"/>
    <s v="Compared to FY22 budget has significantly increased by 42% for CoE; most of CoE increased their funding in the range of 40%-74%, except for ME and CE."/>
  </r>
  <r>
    <s v="-"/>
    <s v="-"/>
    <s v="College of Engineering"/>
    <n v="847"/>
    <n v="8470320"/>
    <s v="KUST - Chemical Engineering"/>
    <n v="1"/>
    <n v="492316"/>
    <s v="492316-Laboratory equipment"/>
    <s v="000000"/>
    <s v="KUST - General"/>
    <n v="847001"/>
    <s v="FA180-Capex Expense"/>
    <n v="300180"/>
    <x v="73"/>
    <m/>
    <m/>
    <m/>
    <s v="492316.Laboratory equipment-Number of Students-Number"/>
    <s v="Number"/>
    <n v="1"/>
    <n v="325000"/>
    <s v="CAPEx 11 of 14"/>
    <n v="325000"/>
    <s v="KU Regular operations"/>
    <s v="Non-recurring"/>
    <n v="292500"/>
    <n v="260000"/>
    <n v="227500"/>
    <s v="it will have mild impact on scope of work "/>
    <s v="Scope of work will be highly impacted"/>
    <s v="Critical impact on scope of work and delivery"/>
    <m/>
    <m/>
    <m/>
    <n v="325000"/>
    <m/>
    <m/>
    <m/>
    <m/>
    <m/>
    <m/>
    <m/>
    <m/>
    <n v="325000"/>
    <s v="Align academic programs with the local and global labor market needs"/>
    <s v="Compared to FY22 budget has significantly increased by 42% for CoE; most of CoE increased their funding in the range of 40%-74%, except for ME and CE."/>
  </r>
  <r>
    <s v="-"/>
    <s v="-"/>
    <s v="College of Engineering"/>
    <n v="847"/>
    <n v="8470320"/>
    <s v="KUST - Chemical Engineering"/>
    <n v="1"/>
    <n v="492316"/>
    <s v="492316-Laboratory equipment"/>
    <s v="000000"/>
    <s v="KUST - General"/>
    <n v="847001"/>
    <s v="FA180-Capex Expense"/>
    <n v="300180"/>
    <x v="73"/>
    <m/>
    <m/>
    <m/>
    <s v="492316.Laboratory equipment-Number of Students-Number"/>
    <s v="Number"/>
    <n v="1"/>
    <n v="42000"/>
    <s v="CAPEX 12 of 14"/>
    <n v="42000"/>
    <s v="KU Regular operations"/>
    <s v="Non-recurring"/>
    <n v="37800"/>
    <n v="33600"/>
    <n v="29399.999999999996"/>
    <s v="it will have mild impact on scope of work "/>
    <s v="Scope of work will be highly impacted"/>
    <s v="Critical impact on scope of work and delivery"/>
    <m/>
    <m/>
    <m/>
    <n v="42000"/>
    <m/>
    <m/>
    <m/>
    <m/>
    <m/>
    <m/>
    <m/>
    <m/>
    <n v="42000"/>
    <s v="Align academic programs with the local and global labor market needs"/>
    <s v="Compared to FY22 budget has significantly increased by 42% for CoE; most of CoE increased their funding in the range of 40%-74%, except for ME and CE."/>
  </r>
  <r>
    <s v="-"/>
    <s v="-"/>
    <s v="College of Engineering"/>
    <n v="847"/>
    <n v="8470320"/>
    <s v="KUST - Chemical Engineering"/>
    <n v="1"/>
    <n v="492316"/>
    <s v="492316-Laboratory equipment"/>
    <s v="000000"/>
    <s v="KUST - General"/>
    <n v="847001"/>
    <s v="FA180-Capex Expense"/>
    <n v="300180"/>
    <x v="73"/>
    <m/>
    <m/>
    <m/>
    <s v="492316.Laboratory equipment-Number of Students-Number"/>
    <s v="Number"/>
    <n v="1"/>
    <n v="6000"/>
    <s v="CAPEX 13 of 14"/>
    <n v="6000"/>
    <s v="KU Regular operations"/>
    <s v="Non-recurring"/>
    <n v="5400"/>
    <n v="4800"/>
    <n v="4200"/>
    <s v="it will have mild impact on scope of work "/>
    <s v="Scope of work will be highly impacted"/>
    <s v="Critical impact on scope of work and delivery"/>
    <m/>
    <m/>
    <m/>
    <n v="6000"/>
    <m/>
    <m/>
    <m/>
    <m/>
    <m/>
    <m/>
    <m/>
    <m/>
    <n v="6000"/>
    <s v="Align academic programs with the local and global labor market needs"/>
    <s v="Compared to FY22 budget has significantly increased by 42% for CoE; most of CoE increased their funding in the range of 40%-74%, except for ME and CE."/>
  </r>
  <r>
    <s v="-"/>
    <s v="-"/>
    <s v="College of Engineering"/>
    <n v="847"/>
    <n v="8470320"/>
    <s v="KUST - Chemical Engineering"/>
    <n v="1"/>
    <n v="492316"/>
    <s v="492316-Laboratory equipment"/>
    <s v="000000"/>
    <s v="KUST - General"/>
    <n v="847001"/>
    <s v="FA180-Capex Expense"/>
    <n v="300180"/>
    <x v="73"/>
    <m/>
    <m/>
    <m/>
    <s v="492316.Laboratory equipment-Number of Students-Number"/>
    <s v="Number"/>
    <n v="1"/>
    <n v="13000"/>
    <s v="CAPEx 14 of 14"/>
    <n v="13000"/>
    <s v="KU Regular operations"/>
    <s v="Non-recurring"/>
    <n v="11700"/>
    <n v="10400"/>
    <n v="9100"/>
    <s v="it will have mild impact on scope of work "/>
    <s v="Scope of work will be highly impacted"/>
    <s v="Critical impact on scope of work and delivery"/>
    <m/>
    <m/>
    <m/>
    <n v="13000"/>
    <m/>
    <m/>
    <m/>
    <m/>
    <m/>
    <m/>
    <m/>
    <m/>
    <n v="13000"/>
    <s v="Align academic programs with the local and global labor market needs"/>
    <s v="Compared to FY22 budget has significantly increased by 42% for CoE; most of CoE increased their funding in the range of 40%-74%, except for ME and CE."/>
  </r>
  <r>
    <s v="Academic"/>
    <s v="No Applicable"/>
    <s v="College of Engineering"/>
    <n v="847"/>
    <n v="8470325"/>
    <s v="KUST - Civil Engineering"/>
    <n v="1"/>
    <n v="420550"/>
    <s v="420550-Academic Advisory Service"/>
    <s v="000000"/>
    <s v="KUST - General"/>
    <n v="847001"/>
    <s v="FA179-Opex Expense"/>
    <n v="200179"/>
    <x v="75"/>
    <s v="-"/>
    <n v="4000"/>
    <n v="4000"/>
    <s v="420550.Academic Advisory Service-Number of Services-Number"/>
    <s v="Number"/>
    <n v="1"/>
    <n v="2000"/>
    <s v="Catering costs for 2 CIVE Dept. Advisory Board meetings at KU campus /  10 attendees at AED 200 per attendee"/>
    <n v="2000"/>
    <s v="KU Regular operations"/>
    <s v="Recurring"/>
    <n v="1800"/>
    <n v="1600"/>
    <n v="1400"/>
    <s v="Doable"/>
    <s v="Doable"/>
    <s v="Doable"/>
    <m/>
    <m/>
    <n v="2000"/>
    <m/>
    <m/>
    <m/>
    <m/>
    <m/>
    <m/>
    <m/>
    <m/>
    <m/>
    <n v="2000"/>
    <s v="Align academic programs with the local and global labor market needs"/>
    <m/>
  </r>
  <r>
    <s v="Communiction &amp; Marketing"/>
    <s v="Director, Marketing and Communication"/>
    <s v="College of Engineering"/>
    <n v="847"/>
    <n v="8470325"/>
    <s v="KUST - Civil Engineering"/>
    <n v="1"/>
    <n v="425510"/>
    <s v="425510-Conferences, seminars and exhibitions and other events: - Local Events"/>
    <s v="000000"/>
    <s v="KUST - General"/>
    <n v="847001"/>
    <s v="FA179-Opex Expense"/>
    <n v="200179"/>
    <x v="76"/>
    <s v="-"/>
    <n v="6600"/>
    <n v="6600"/>
    <s v="425510.Conferences, seminars and exhibitions and other events: - Local Events-Number of Event-Number"/>
    <s v="Number"/>
    <n v="6"/>
    <n v="1100"/>
    <s v="KU Policy for Academic Travel within UAE /  Academics who will need to attend events within UAE "/>
    <n v="6600"/>
    <s v="KU Regular operations"/>
    <s v="Recurring"/>
    <n v="5940"/>
    <n v="5280"/>
    <n v="4620"/>
    <s v="Doable"/>
    <s v="Not possible"/>
    <s v="Not possible"/>
    <m/>
    <m/>
    <n v="3300"/>
    <m/>
    <m/>
    <m/>
    <m/>
    <m/>
    <n v="3300"/>
    <m/>
    <m/>
    <m/>
    <n v="6600"/>
    <s v="Align academic programs with the local and global labor market needs"/>
    <m/>
  </r>
  <r>
    <s v="Student"/>
    <s v="Director, Student Services"/>
    <s v="College of Engineering"/>
    <n v="847"/>
    <n v="8470325"/>
    <s v="KUST - Civil Engineering"/>
    <n v="1"/>
    <n v="425760"/>
    <s v="425760-Student activities &amp; field trip expenses"/>
    <s v="000000"/>
    <s v="KUST - General"/>
    <n v="847001"/>
    <s v="FA179-Opex Expense"/>
    <n v="200179"/>
    <x v="77"/>
    <s v="-"/>
    <n v="5000"/>
    <n v="5000"/>
    <s v="425760.Student activities &amp; field trip expenses-Events-No of Events"/>
    <s v="No of Events"/>
    <n v="2"/>
    <n v="2500"/>
    <s v="Class field trips to construction sites. 1 trip for the course CIVE 338 and 1 trip for CIVE 442"/>
    <n v="5000"/>
    <s v="KU Regular operations"/>
    <s v="Recurring"/>
    <n v="4500"/>
    <n v="4000"/>
    <n v="3500"/>
    <s v="Doable"/>
    <s v="Not possible"/>
    <s v="Not possible"/>
    <m/>
    <m/>
    <n v="2500"/>
    <m/>
    <m/>
    <m/>
    <m/>
    <m/>
    <n v="2500"/>
    <m/>
    <m/>
    <m/>
    <n v="5000"/>
    <s v="Establish a mobility program for students, faculty, researchers and staff"/>
    <m/>
  </r>
  <r>
    <s v="Student"/>
    <s v="No Applicable"/>
    <s v="College of Engineering"/>
    <n v="847"/>
    <n v="8470325"/>
    <s v="KUST - Civil Engineering"/>
    <n v="1"/>
    <n v="425763"/>
    <s v="425763-Student Project Expenses"/>
    <s v="000000"/>
    <s v="KUST - General"/>
    <n v="847001"/>
    <s v="FA179-Opex Expense"/>
    <n v="200179"/>
    <x v="78"/>
    <n v="3020202.79"/>
    <n v="370000"/>
    <n v="370000"/>
    <s v="425763.Student Project Expenses-Number of Students UG-Month"/>
    <s v="Month"/>
    <n v="20"/>
    <n v="3000"/>
    <s v="Expenses to purchase materials &amp; services for the construction of SDP students' designs / AED 3000 per student"/>
    <n v="60000"/>
    <s v="KU Regular operations"/>
    <s v="Recurring"/>
    <n v="54000"/>
    <n v="48000"/>
    <n v="42000"/>
    <s v="Doable"/>
    <s v="Not possible"/>
    <s v="Not possible"/>
    <m/>
    <m/>
    <n v="30000"/>
    <m/>
    <m/>
    <m/>
    <m/>
    <m/>
    <n v="30000"/>
    <m/>
    <m/>
    <m/>
    <n v="60000"/>
    <s v="Align academic programs with the local and global labor market needs"/>
    <m/>
  </r>
  <r>
    <s v="-"/>
    <s v="-"/>
    <s v="College of Engineering"/>
    <n v="847"/>
    <n v="8470325"/>
    <s v="KUST - Civil Engineering"/>
    <n v="1"/>
    <n v="425762"/>
    <s v="425762-Student Internship"/>
    <s v="000000"/>
    <s v="KUST - General"/>
    <n v="847001"/>
    <s v="FA179-Opex Expense"/>
    <n v="200179"/>
    <x v="79"/>
    <m/>
    <m/>
    <m/>
    <s v="425762.Student Internship-Number Student Phd-Number"/>
    <s v="Number"/>
    <n v="4"/>
    <n v="10000"/>
    <s v="Expenses to cover the airticket costs of a PhD student's internship at international Universities"/>
    <n v="40000"/>
    <s v="KU Strategic New Initiative"/>
    <s v="Recurring"/>
    <n v="36000"/>
    <n v="32000"/>
    <n v="28000"/>
    <s v="Doable"/>
    <s v="Not possible"/>
    <s v="Not possible"/>
    <m/>
    <m/>
    <n v="20000"/>
    <m/>
    <m/>
    <m/>
    <m/>
    <m/>
    <n v="20000"/>
    <m/>
    <m/>
    <m/>
    <n v="40000"/>
    <s v="Develop holistic internship programs "/>
    <m/>
  </r>
  <r>
    <s v="Academic"/>
    <s v="No Applicable"/>
    <s v="College of Engineering"/>
    <n v="847"/>
    <n v="8470325"/>
    <s v="KUST - Civil Engineering"/>
    <n v="1"/>
    <n v="425770"/>
    <s v="425770-Academic Missions - Combined expenses"/>
    <s v="000000"/>
    <s v="KUST - General"/>
    <n v="847001"/>
    <s v="FA179-Opex Expense"/>
    <n v="200179"/>
    <x v="80"/>
    <n v="0"/>
    <n v="165000"/>
    <n v="165000"/>
    <s v="425770.Academic Missions - Combined expenses-Number of Conference-Number"/>
    <s v="Number"/>
    <n v="11"/>
    <n v="20000"/>
    <s v="AED 20000 per Faculty to address the registration, travel &amp; living costs of 1 international Conference per year"/>
    <n v="220000"/>
    <s v="KU Regular operations"/>
    <s v="Recurring"/>
    <n v="198000"/>
    <n v="176000"/>
    <n v="154000"/>
    <s v="Doable"/>
    <s v="Doable"/>
    <s v="Doable"/>
    <m/>
    <m/>
    <n v="100000"/>
    <m/>
    <m/>
    <m/>
    <m/>
    <m/>
    <n v="120000"/>
    <m/>
    <m/>
    <m/>
    <n v="220000"/>
    <s v="Establish a mobility program for students, faculty, researchers and staff"/>
    <s v="Compared to FY22, the Academic mission expense increased by 32%, and especially the Dean of Engineering and Electrical &amp; computer Engg department increased their statements by 39% to 48%. The rest of the departments in CoE increased by 25% to 33%."/>
  </r>
  <r>
    <s v="IT"/>
    <s v="Director, Technology Development"/>
    <s v="College of Engineering"/>
    <n v="847"/>
    <n v="8470325"/>
    <s v="KUST - Civil Engineering"/>
    <n v="1"/>
    <n v="426610"/>
    <s v="426610-Computer software licenses"/>
    <s v="000000"/>
    <s v="KUST - General"/>
    <n v="847001"/>
    <s v="FA179-Opex Expense"/>
    <n v="200179"/>
    <x v="81"/>
    <n v="0"/>
    <n v="34910"/>
    <n v="34910"/>
    <s v="426610.Computer software licenses-Software License Renewal-number of licenses-Number"/>
    <s v="Number"/>
    <n v="1"/>
    <n v="45000"/>
    <s v="Renewal of software: Plaxis 3D_x000a_ETABS, Plaxis 2D_x000a_SimaPro "/>
    <n v="45000"/>
    <s v="KU Regular operations"/>
    <s v="Recurring"/>
    <n v="40500"/>
    <n v="36000"/>
    <n v="31499.999999999996"/>
    <s v="Not possible"/>
    <s v="Not possible"/>
    <s v="Not possible"/>
    <m/>
    <m/>
    <m/>
    <n v="45000"/>
    <m/>
    <m/>
    <m/>
    <m/>
    <m/>
    <m/>
    <m/>
    <m/>
    <n v="45000"/>
    <s v="Align academic programs with the local and global labor market needs"/>
    <m/>
  </r>
  <r>
    <s v="Academic "/>
    <s v="No Applicable"/>
    <s v="College of Engineering"/>
    <n v="847"/>
    <n v="8470325"/>
    <s v="KUST - Civil Engineering"/>
    <n v="1"/>
    <n v="428090"/>
    <s v="428090-Business Travel - Combined expenses"/>
    <s v="000000"/>
    <s v="KUST - General"/>
    <n v="847001"/>
    <s v="FA179-Opex Expense"/>
    <n v="200179"/>
    <x v="82"/>
    <s v="-"/>
    <n v="0"/>
    <m/>
    <s v="428090.Business Travel - Combined expenses-Number of Faculty-Number"/>
    <s v="Number"/>
    <n v="1"/>
    <n v="20000"/>
    <s v="Senior Faculty participation in Board &amp; Executive Council meetings of International Organizations and Q1  Journals"/>
    <n v="20000"/>
    <s v="KU Regular operations"/>
    <s v="Recurring"/>
    <n v="18000"/>
    <n v="16000"/>
    <n v="14000"/>
    <s v="Doable"/>
    <s v="Not possible"/>
    <s v="Not possible"/>
    <m/>
    <m/>
    <n v="20000"/>
    <m/>
    <m/>
    <m/>
    <m/>
    <m/>
    <m/>
    <m/>
    <m/>
    <m/>
    <n v="20000"/>
    <s v="Increase publications in journals with high impact factor"/>
    <m/>
  </r>
  <r>
    <s v="Academic"/>
    <s v="No Applicable"/>
    <s v="College of Engineering"/>
    <n v="847"/>
    <n v="8470325"/>
    <s v="KUST - Civil Engineering"/>
    <n v="1"/>
    <n v="432209"/>
    <s v="432209-Laboratory equipment"/>
    <s v="000000"/>
    <s v="KUST - General"/>
    <n v="847001"/>
    <s v="FA179-Opex Expense"/>
    <n v="200179"/>
    <x v="83"/>
    <s v="-"/>
    <n v="201550"/>
    <n v="201550"/>
    <s v="432209.Laboratory equipment-Number of Students-Number"/>
    <s v="Number"/>
    <n v="1"/>
    <n v="175000"/>
    <s v="Expenses for the yearly maintenance of CIVE labs equipment utilized for teaching purposes. Quotes from individual suppliers are included in the folder Maintenance Quotations"/>
    <n v="175000"/>
    <s v="KU Regular operations"/>
    <s v="Recurring"/>
    <n v="157500"/>
    <n v="140000"/>
    <n v="122499.99999999999"/>
    <s v="Not possible"/>
    <s v="Not possible"/>
    <s v="Not possible"/>
    <m/>
    <m/>
    <m/>
    <n v="175000"/>
    <m/>
    <m/>
    <m/>
    <m/>
    <m/>
    <m/>
    <m/>
    <m/>
    <n v="175000"/>
    <s v="Align academic programs with the local and global labor market needs"/>
    <s v="Compared to FY22, Laboratory equipment increased 51%, dean of engineering increased by 79%, Petroleum by 69%, and Biomedical 55% increased"/>
  </r>
  <r>
    <s v="Academic"/>
    <s v="No Applicable"/>
    <s v="College of Engineering"/>
    <n v="847"/>
    <n v="8470325"/>
    <s v="KUST - Civil Engineering"/>
    <n v="1"/>
    <n v="435350"/>
    <s v="435350-Academic Publications"/>
    <s v="000000"/>
    <s v="KUST - General"/>
    <n v="847001"/>
    <s v="FA179-Opex Expense"/>
    <n v="200179"/>
    <x v="84"/>
    <s v="-"/>
    <n v="80000"/>
    <n v="80000"/>
    <s v="435350.Academic Publications-Number of Publications-Number"/>
    <s v="Number"/>
    <n v="8"/>
    <n v="10000"/>
    <s v="Open Access Q1 Journal submissions"/>
    <n v="80000"/>
    <s v="KU Regular operations"/>
    <s v="Recurring"/>
    <n v="72000"/>
    <n v="64000"/>
    <n v="56000"/>
    <s v="Doable"/>
    <s v="Not possible"/>
    <s v="Not possible"/>
    <m/>
    <m/>
    <n v="40000"/>
    <m/>
    <m/>
    <m/>
    <m/>
    <m/>
    <n v="40000"/>
    <m/>
    <m/>
    <m/>
    <n v="80000"/>
    <s v="Increase publications in journals with high impact factor"/>
    <m/>
  </r>
  <r>
    <s v="Academic"/>
    <s v="Director, Research Laboratories"/>
    <s v="College of Engineering"/>
    <n v="847"/>
    <n v="8470325"/>
    <s v="KUST - Civil Engineering"/>
    <n v="1"/>
    <n v="435508"/>
    <s v="435508-Laboratory - Scientific"/>
    <s v="000000"/>
    <s v="KUST - General"/>
    <n v="847001"/>
    <s v="FA179-Opex Expense"/>
    <n v="200179"/>
    <x v="85"/>
    <n v="35833.230000000003"/>
    <n v="92573"/>
    <n v="92573"/>
    <s v="435508.Laboratory - Scientific-Number of Students-Number"/>
    <s v="Number"/>
    <n v="1"/>
    <n v="95000"/>
    <s v="Consumables for the operation of the CIVE instructional labs.  Quotes from individual suppliers are listed per item in the Excel sheet &quot;CIVE OPEX Lab Scientific list&quot; in the folder &quot;CIVE OPEX Quotations&quot;"/>
    <n v="95000"/>
    <s v="KU Regular operations"/>
    <s v="Recurring"/>
    <n v="85500"/>
    <n v="76000"/>
    <n v="66500"/>
    <s v="Doable"/>
    <s v="Doable"/>
    <s v="Not possible"/>
    <m/>
    <m/>
    <n v="50000"/>
    <m/>
    <m/>
    <m/>
    <m/>
    <n v="45000"/>
    <m/>
    <m/>
    <m/>
    <m/>
    <n v="95000"/>
    <s v="Align academic programs with the local and global labor market needs"/>
    <m/>
  </r>
  <r>
    <s v="Facilities "/>
    <s v="Director, Research Laboratories"/>
    <s v="College of Engineering"/>
    <n v="847"/>
    <n v="8470325"/>
    <s v="KUST - Civil Engineering"/>
    <n v="1"/>
    <n v="492316"/>
    <s v="492316-Laboratory equipment"/>
    <s v="000000"/>
    <s v="KUST - General"/>
    <n v="847001"/>
    <s v="FA180-Capex Expense"/>
    <n v="300180"/>
    <x v="86"/>
    <n v="190263"/>
    <n v="611783"/>
    <n v="611783"/>
    <s v="492316.Laboratory equipment-Number of Students-Number"/>
    <s v="Number"/>
    <n v="1"/>
    <n v="174762"/>
    <s v="Data Logger for MTS"/>
    <n v="174762"/>
    <s v="KU Strategic New Initiative"/>
    <s v="Non-recurring"/>
    <n v="157285.80000000002"/>
    <n v="139809.60000000001"/>
    <n v="122333.4"/>
    <s v="Doable"/>
    <s v="Not possible"/>
    <s v="Not possible"/>
    <m/>
    <m/>
    <m/>
    <m/>
    <m/>
    <m/>
    <m/>
    <n v="174762"/>
    <m/>
    <m/>
    <m/>
    <m/>
    <n v="174762"/>
    <s v="Develop the university innovation and entrepreneurship system"/>
    <s v="Compared to FY22 budget has significantly increased by 42% for CoE; most of CoE increased their funding in the range of 40%-74%, except for ME and CE."/>
  </r>
  <r>
    <s v="-"/>
    <s v="-"/>
    <s v="College of Engineering"/>
    <n v="847"/>
    <n v="8470325"/>
    <s v="KUST - Civil Engineering"/>
    <n v="1"/>
    <n v="492316"/>
    <s v="492316-Laboratory equipment"/>
    <s v="000000"/>
    <s v="KUST - General"/>
    <n v="847001"/>
    <s v="FA180-Capex Expense"/>
    <n v="300180"/>
    <x v="86"/>
    <m/>
    <m/>
    <m/>
    <s v="492316.Laboratory equipment-Number of Students-Number"/>
    <s v="Number"/>
    <n v="1"/>
    <n v="106000"/>
    <s v="Pavemix, Automatic Asphalt Mixer, 32 liters "/>
    <n v="106000"/>
    <s v="KU Strategic New Initiative"/>
    <s v="Non-recurring"/>
    <n v="95400"/>
    <n v="84800"/>
    <n v="74200"/>
    <s v="Doable"/>
    <s v="Not possible"/>
    <s v="Not possible"/>
    <m/>
    <m/>
    <m/>
    <m/>
    <m/>
    <m/>
    <n v="106000"/>
    <m/>
    <m/>
    <m/>
    <m/>
    <m/>
    <n v="106000"/>
    <s v="Develop the university innovation and entrepreneurship system"/>
    <s v="Compared to FY22 budget has significantly increased by 42% for CoE; most of CoE increased their funding in the range of 40%-74%, except for ME and CE."/>
  </r>
  <r>
    <s v="-"/>
    <s v="-"/>
    <s v="College of Engineering"/>
    <n v="847"/>
    <n v="8470325"/>
    <s v="KUST - Civil Engineering"/>
    <n v="1"/>
    <n v="492316"/>
    <s v="492316-Laboratory equipment"/>
    <s v="000000"/>
    <s v="KUST - General"/>
    <n v="847001"/>
    <s v="FA180-Capex Expense"/>
    <n v="300180"/>
    <x v="86"/>
    <m/>
    <m/>
    <m/>
    <s v="492316.Laboratory equipment-Number of Students-Number"/>
    <s v="Number"/>
    <n v="1"/>
    <n v="75000"/>
    <s v="ELE Compression Machine Missing Loading Parts "/>
    <n v="75000"/>
    <s v="KU Strategic New Initiative"/>
    <s v="Non-recurring"/>
    <n v="67500"/>
    <n v="60000"/>
    <n v="52500"/>
    <s v="Doable"/>
    <s v="Not possible"/>
    <s v="Not possible"/>
    <m/>
    <m/>
    <m/>
    <m/>
    <m/>
    <n v="75000"/>
    <m/>
    <m/>
    <m/>
    <m/>
    <m/>
    <m/>
    <n v="75000"/>
    <s v="Develop the university innovation and entrepreneurship system"/>
    <s v="Compared to FY22 budget has significantly increased by 42% for CoE; most of CoE increased their funding in the range of 40%-74%, except for ME and CE."/>
  </r>
  <r>
    <s v="-"/>
    <s v="-"/>
    <s v="College of Engineering"/>
    <n v="847"/>
    <n v="8470325"/>
    <s v="KUST - Civil Engineering"/>
    <n v="1"/>
    <n v="492316"/>
    <s v="492316-Laboratory equipment"/>
    <s v="000000"/>
    <s v="KUST - General"/>
    <n v="847001"/>
    <s v="FA180-Capex Expense"/>
    <n v="300180"/>
    <x v="86"/>
    <m/>
    <m/>
    <m/>
    <s v="492316.Laboratory equipment-Number of Students-Number"/>
    <s v="Number"/>
    <n v="2"/>
    <n v="6200"/>
    <s v="Sieves Set of 8&quot; and 12&quot; diameter"/>
    <n v="12400"/>
    <s v="KU Strategic New Initiative"/>
    <s v="Non-recurring"/>
    <n v="11160"/>
    <n v="9920"/>
    <n v="8680"/>
    <s v="Doable"/>
    <s v="Not possible"/>
    <s v="Not possible"/>
    <m/>
    <m/>
    <m/>
    <m/>
    <m/>
    <n v="12400"/>
    <m/>
    <m/>
    <m/>
    <m/>
    <m/>
    <m/>
    <n v="12400"/>
    <s v="Develop the university innovation and entrepreneurship system"/>
    <s v="Compared to FY22 budget has significantly increased by 42% for CoE; most of CoE increased their funding in the range of 40%-74%, except for ME and CE."/>
  </r>
  <r>
    <s v="-"/>
    <s v="-"/>
    <s v="College of Engineering"/>
    <n v="847"/>
    <n v="8470325"/>
    <s v="KUST - Civil Engineering"/>
    <n v="1"/>
    <n v="492316"/>
    <s v="492316-Laboratory equipment"/>
    <s v="000000"/>
    <s v="KUST - General"/>
    <n v="847001"/>
    <s v="FA180-Capex Expense"/>
    <n v="300180"/>
    <x v="86"/>
    <m/>
    <m/>
    <m/>
    <s v="492316.Laboratory equipment-Number of Students-Number"/>
    <s v="Number"/>
    <n v="1"/>
    <n v="120000"/>
    <s v=" Benchtop Hyperspectral System"/>
    <n v="120000"/>
    <s v="KU Strategic New Initiative"/>
    <s v="Non-recurring"/>
    <n v="108000"/>
    <n v="96000"/>
    <n v="84000"/>
    <s v="Doable"/>
    <s v="Not possible"/>
    <s v="Not possible"/>
    <m/>
    <m/>
    <m/>
    <m/>
    <m/>
    <m/>
    <n v="120000"/>
    <m/>
    <m/>
    <m/>
    <m/>
    <m/>
    <n v="120000"/>
    <s v="Develop the university innovation and entrepreneurship system"/>
    <s v="Compared to FY22 budget has significantly increased by 42% for CoE; most of CoE increased their funding in the range of 40%-74%, except for ME and CE."/>
  </r>
  <r>
    <s v="-"/>
    <s v="-"/>
    <s v="College of Engineering"/>
    <n v="847"/>
    <n v="8470325"/>
    <s v="KUST - Civil Engineering"/>
    <n v="1"/>
    <n v="492316"/>
    <s v="492316-Laboratory equipment"/>
    <s v="000000"/>
    <s v="KUST - General"/>
    <n v="847001"/>
    <s v="FA180-Capex Expense"/>
    <n v="300180"/>
    <x v="86"/>
    <m/>
    <m/>
    <m/>
    <s v="492316.Laboratory equipment-Number of Students-Number"/>
    <s v="Number"/>
    <n v="1"/>
    <n v="50200"/>
    <s v="Free and Forced Vortex"/>
    <n v="50200"/>
    <s v="KU Strategic New Initiative"/>
    <s v="Non-recurring"/>
    <n v="45180"/>
    <n v="40160"/>
    <n v="35140"/>
    <s v="Doable"/>
    <s v="Not possible"/>
    <s v="Not possible"/>
    <m/>
    <m/>
    <m/>
    <m/>
    <m/>
    <n v="50200"/>
    <m/>
    <m/>
    <m/>
    <m/>
    <m/>
    <m/>
    <n v="50200"/>
    <s v="Develop the university innovation and entrepreneurship system"/>
    <s v="Compared to FY22 budget has significantly increased by 42% for CoE; most of CoE increased their funding in the range of 40%-74%, except for ME and CE."/>
  </r>
  <r>
    <s v="-"/>
    <s v="-"/>
    <s v="College of Engineering"/>
    <n v="847"/>
    <n v="8470325"/>
    <s v="KUST - Civil Engineering"/>
    <n v="1"/>
    <n v="492316"/>
    <s v="492316-Laboratory equipment"/>
    <s v="000000"/>
    <s v="KUST - General"/>
    <n v="847001"/>
    <s v="FA180-Capex Expense"/>
    <n v="300180"/>
    <x v="86"/>
    <m/>
    <m/>
    <m/>
    <s v="492316.Laboratory equipment-Number of Students-Number"/>
    <s v="Number"/>
    <n v="1"/>
    <n v="670000"/>
    <s v="Dynamic Mechanical Analyzer"/>
    <n v="670000"/>
    <s v="KU Strategic New Initiative"/>
    <s v="Non-recurring"/>
    <n v="603000"/>
    <n v="536000"/>
    <n v="468999.99999999994"/>
    <s v="Doable"/>
    <s v="Not possible"/>
    <s v="Not possible"/>
    <m/>
    <m/>
    <m/>
    <m/>
    <m/>
    <m/>
    <m/>
    <n v="670000"/>
    <m/>
    <m/>
    <m/>
    <m/>
    <n v="670000"/>
    <s v="Develop the university innovation and entrepreneurship system"/>
    <s v="Compared to FY22 budget has significantly increased by 42% for CoE; most of CoE increased their funding in the range of 40%-74%, except for ME and CE."/>
  </r>
  <r>
    <s v="Academic"/>
    <s v="No Applicable"/>
    <s v="College of Engineering"/>
    <n v="847"/>
    <n v="8470305"/>
    <s v="KUST - Dean Of Engineering"/>
    <n v="1"/>
    <n v="420550"/>
    <s v="420550-Academic Advisory Service"/>
    <s v="000000"/>
    <s v="KUST - General"/>
    <n v="847001"/>
    <s v="FA179-Opex Expense"/>
    <n v="200179"/>
    <x v="87"/>
    <n v="0"/>
    <n v="100000"/>
    <n v="100000"/>
    <s v="420550.Academic Advisory Service-Number of Services-Number"/>
    <m/>
    <n v="2"/>
    <n v="50000"/>
    <s v="Academic and Industry advisory board meetings and review"/>
    <n v="100000"/>
    <s v="KU Regular operations"/>
    <s v="Recurring"/>
    <n v="90000"/>
    <n v="80000"/>
    <n v="70000"/>
    <s v="no significant impact"/>
    <s v="minimum impact"/>
    <s v="reduce support"/>
    <m/>
    <m/>
    <n v="50000"/>
    <m/>
    <m/>
    <m/>
    <m/>
    <m/>
    <m/>
    <n v="50000"/>
    <m/>
    <m/>
    <n v="100000"/>
    <s v="Align academic programs with the local and global labor market needs"/>
    <m/>
  </r>
  <r>
    <s v="Academic"/>
    <s v="No Applicable"/>
    <s v="College of Engineering"/>
    <n v="847"/>
    <n v="8470305"/>
    <s v="KUST - Dean Of Engineering"/>
    <n v="1"/>
    <n v="420570"/>
    <s v="420570-Academic Collaborative Partnership Services"/>
    <s v="000000"/>
    <s v="KUST - General"/>
    <n v="847001"/>
    <s v="FA179-Opex Expense"/>
    <n v="200179"/>
    <x v="88"/>
    <n v="4591.25"/>
    <n v="10000"/>
    <n v="10000"/>
    <s v="420570.Academic Collaborative Partnership Services- Research Projects Agreements-No of Research Projects Agreement"/>
    <s v="No of Research Projects Agreement"/>
    <n v="2"/>
    <n v="5000"/>
    <s v="membership agreements in Intl Org or consortia"/>
    <n v="10000"/>
    <s v="KU Regular operations"/>
    <s v="Recurring"/>
    <n v="9000"/>
    <n v="8000"/>
    <n v="7000"/>
    <s v="no significant impact"/>
    <s v="No significant impact"/>
    <s v="No significant impact"/>
    <m/>
    <m/>
    <m/>
    <n v="5000"/>
    <m/>
    <m/>
    <m/>
    <m/>
    <m/>
    <m/>
    <n v="5000"/>
    <m/>
    <n v="10000"/>
    <s v="Build partnerships with local and international universities"/>
    <m/>
  </r>
  <r>
    <s v="Academic"/>
    <s v="Director, Institutional Research and Planning"/>
    <s v="College of Engineering"/>
    <n v="847"/>
    <n v="8470305"/>
    <s v="KUST - Dean Of Engineering"/>
    <n v="1"/>
    <n v="421700"/>
    <s v="421700-Standards certification (e.g. ISO)"/>
    <s v="000000"/>
    <s v="KUST - General"/>
    <n v="847001"/>
    <s v="FA179-Opex Expense"/>
    <n v="200179"/>
    <x v="89"/>
    <n v="123488.98"/>
    <n v="506004"/>
    <n v="500000"/>
    <s v="421700.Standards Certification Services (e.g. ISO)-Number of Academic programs-Number"/>
    <s v="Number"/>
    <n v="2"/>
    <n v="150000"/>
    <s v="CAA 25 programs cluster accreditation"/>
    <n v="300000"/>
    <s v="KU Regular operations"/>
    <s v="Non-recurring"/>
    <n v="270000"/>
    <n v="240000"/>
    <n v="210000"/>
    <s v="Full amount required. May need to transfer remaining amount from other expenses"/>
    <s v="Full amount required. May need to transfer remaining amount from other expenses"/>
    <s v="Full amount required. May need to transfer remaining amount from other expenses"/>
    <m/>
    <m/>
    <m/>
    <m/>
    <n v="300000"/>
    <m/>
    <m/>
    <m/>
    <m/>
    <m/>
    <m/>
    <m/>
    <n v="300000"/>
    <s v="Align academic programs with the local and global labor market needs"/>
    <m/>
  </r>
  <r>
    <s v="Communiction &amp; Marketing"/>
    <s v="Director, Marketing and Communication"/>
    <s v="College of Engineering"/>
    <n v="847"/>
    <n v="8470305"/>
    <s v="KUST - Dean Of Engineering"/>
    <n v="1"/>
    <n v="425510"/>
    <s v="425510-Conferences, seminars and exhibitions and other events: - Local Events"/>
    <s v="000000"/>
    <s v="KUST - General"/>
    <n v="847001"/>
    <s v="FA179-Opex Expense"/>
    <n v="200179"/>
    <x v="90"/>
    <n v="-252"/>
    <n v="20000"/>
    <n v="20000"/>
    <s v="425500.Conferences, seminars and exhibitions and other events:-Number of events &amp; attendees-Number of Number of events &amp; attendees"/>
    <s v="Number of Number of events &amp; attendees"/>
    <n v="2"/>
    <n v="10000"/>
    <s v="Support local and KU events and conferences hosting"/>
    <n v="20000"/>
    <s v="KU Regular operations"/>
    <s v="Recurring"/>
    <n v="18000"/>
    <n v="16000"/>
    <n v="14000"/>
    <s v="minimum impact"/>
    <s v="reduce support"/>
    <s v="reduce support"/>
    <m/>
    <m/>
    <m/>
    <n v="10000"/>
    <m/>
    <m/>
    <m/>
    <m/>
    <m/>
    <n v="10000"/>
    <m/>
    <m/>
    <n v="20000"/>
    <s v="Attract and organize international conferences and summits"/>
    <m/>
  </r>
  <r>
    <s v="Student"/>
    <s v="No Applicable"/>
    <s v="College of Engineering"/>
    <n v="847"/>
    <n v="8470305"/>
    <s v="KUST - Dean Of Engineering"/>
    <n v="1"/>
    <n v="425720"/>
    <s v="425720-Education-Outsourced training service"/>
    <s v="000000"/>
    <s v="KUST - General"/>
    <n v="847001"/>
    <s v="FA179-Opex Expense"/>
    <n v="200179"/>
    <x v="91"/>
    <n v="-3415.89"/>
    <s v="-"/>
    <m/>
    <s v="425720.Education-Outsourced training service-Activities-No of Activities"/>
    <s v="No of Activities"/>
    <n v="2"/>
    <n v="20000"/>
    <s v="training of DH, faculty and staff"/>
    <n v="40000"/>
    <s v="KU Regular operations"/>
    <s v="Recurring"/>
    <n v="36000"/>
    <n v="32000"/>
    <n v="28000"/>
    <s v="reduce support per projects"/>
    <s v="reduce supported projects"/>
    <s v="reduce supported projects"/>
    <m/>
    <m/>
    <m/>
    <n v="20000"/>
    <m/>
    <m/>
    <m/>
    <m/>
    <m/>
    <m/>
    <n v="20000"/>
    <m/>
    <n v="40000"/>
    <s v="Develop the university innovation and entrepreneurship system"/>
    <m/>
  </r>
  <r>
    <s v="Student"/>
    <s v="No Applicable"/>
    <s v="College of Engineering"/>
    <n v="847"/>
    <n v="8470305"/>
    <s v="KUST - Dean Of Engineering"/>
    <n v="1"/>
    <n v="425763"/>
    <s v="425763-Student Project Expenses"/>
    <s v="000000"/>
    <s v="KUST - General"/>
    <n v="847001"/>
    <s v="FA179-Opex Expense"/>
    <n v="200179"/>
    <x v="92"/>
    <n v="55389.96"/>
    <n v="100000"/>
    <n v="100000"/>
    <s v="425763.Student Project Expenses-Number of Students UG-Month"/>
    <s v="Month"/>
    <n v="8"/>
    <n v="15000"/>
    <s v="UG student projects and competitions"/>
    <n v="120000"/>
    <s v="KU Regular operations"/>
    <s v="Recurring"/>
    <n v="108000"/>
    <n v="96000"/>
    <n v="84000"/>
    <s v="reduce number of supported faculty"/>
    <s v="reduce number of supported faculty"/>
    <s v="reduce number of supported faculty"/>
    <m/>
    <n v="15000"/>
    <n v="15000"/>
    <n v="15000"/>
    <n v="15000"/>
    <m/>
    <m/>
    <n v="15000"/>
    <n v="15000"/>
    <n v="15000"/>
    <n v="15000"/>
    <m/>
    <n v="120000"/>
    <s v="Align academic programs with the local and global labor market needs"/>
    <m/>
  </r>
  <r>
    <s v="Academic"/>
    <s v="No Applicable"/>
    <s v="College of Engineering"/>
    <n v="847"/>
    <n v="8470305"/>
    <s v="KUST - Dean Of Engineering"/>
    <n v="1"/>
    <n v="425770"/>
    <s v="425770-Academic Missions - Combined expenses"/>
    <s v="000000"/>
    <s v="KUST - General"/>
    <n v="847001"/>
    <s v="FA179-Opex Expense"/>
    <n v="200179"/>
    <x v="93"/>
    <n v="22014.5"/>
    <n v="614499"/>
    <n v="600000"/>
    <s v="425770.Academic Missions - Combined expenses-Number of Conference-Number"/>
    <s v="Number"/>
    <n v="50"/>
    <n v="20000"/>
    <s v="Conference travel, 25% of CoE, 1 conference per faculty"/>
    <n v="1000000"/>
    <s v="KU Regular operations"/>
    <s v="Recurring"/>
    <n v="900000"/>
    <n v="800000"/>
    <n v="700000"/>
    <s v="minimum impact"/>
    <s v="minimum impact"/>
    <s v="retreat on campus"/>
    <m/>
    <m/>
    <m/>
    <m/>
    <m/>
    <n v="500000"/>
    <m/>
    <m/>
    <m/>
    <m/>
    <n v="500000"/>
    <m/>
    <n v="1000000"/>
    <s v="Increase publications in journals with high impact factor"/>
    <s v="Compared to FY22, the Academic mission expense increased by 32%, and especially the Dean of Engineering and Electrical &amp; computer Engg department increased their statements by 39% to 48%. The rest of the departments in CoE increased by 25% to 33%."/>
  </r>
  <r>
    <s v="Other support"/>
    <s v="Director, Human Resources"/>
    <s v="College of Engineering"/>
    <n v="847"/>
    <n v="8470305"/>
    <s v="KUST - Dean Of Engineering"/>
    <n v="1"/>
    <n v="425900"/>
    <s v="425900-Entertainment and hospitality"/>
    <s v="000000"/>
    <s v="KUST - General"/>
    <n v="847001"/>
    <s v="FA179-Opex Expense"/>
    <n v="200179"/>
    <x v="94"/>
    <n v="-131"/>
    <n v="18000"/>
    <n v="16000"/>
    <s v="425900.Entertainment and hospitality-1. No of events/workshops planned-count"/>
    <s v="count"/>
    <n v="3"/>
    <n v="10000"/>
    <s v="Retreats"/>
    <n v="30000"/>
    <s v="KU Regular operations"/>
    <s v="Recurring"/>
    <n v="27000"/>
    <n v="24000"/>
    <n v="21000"/>
    <s v="whole amount required for cost of Labview"/>
    <s v="whole amount required for cost of Labview"/>
    <s v="whole amount required for cost of Labview"/>
    <m/>
    <m/>
    <n v="10000"/>
    <m/>
    <m/>
    <n v="10000"/>
    <m/>
    <m/>
    <m/>
    <m/>
    <m/>
    <n v="10000"/>
    <n v="30000"/>
    <s v="Develop a new learning outcomes assessment framework at the course, programs, and institutional levels"/>
    <m/>
  </r>
  <r>
    <s v="IT"/>
    <s v="Director, Technology Development"/>
    <s v="College of Engineering"/>
    <n v="847"/>
    <n v="8470305"/>
    <s v="KUST - Dean Of Engineering"/>
    <n v="1"/>
    <n v="426610"/>
    <s v="426610-Computer software licenses"/>
    <s v="000000"/>
    <s v="KUST - General"/>
    <n v="847001"/>
    <s v="FA179-Opex Expense"/>
    <n v="200179"/>
    <x v="95"/>
    <n v="62198.28"/>
    <n v="100000"/>
    <n v="90000"/>
    <s v="426610.Computer software licenses-Software License Renewal-service level agreement-Service"/>
    <s v="Service"/>
    <n v="1"/>
    <n v="120000"/>
    <s v="software for college requirements to support multi-department shared software "/>
    <n v="120000"/>
    <s v="KU Regular operations"/>
    <s v="Recurring"/>
    <n v="108000"/>
    <n v="96000"/>
    <n v="84000"/>
    <s v="no significant impact"/>
    <s v="no significant impact"/>
    <s v="change of trip may be required"/>
    <m/>
    <m/>
    <m/>
    <m/>
    <m/>
    <m/>
    <m/>
    <m/>
    <n v="120000"/>
    <m/>
    <m/>
    <m/>
    <n v="120000"/>
    <s v="Align academic programs with the local and global labor market needs"/>
    <m/>
  </r>
  <r>
    <s v="Academic "/>
    <s v="No Applicable"/>
    <s v="College of Engineering"/>
    <n v="847"/>
    <n v="8470305"/>
    <s v="KUST - Dean Of Engineering"/>
    <n v="1"/>
    <n v="428090"/>
    <s v="428090-Business Travel - Combined expenses"/>
    <s v="000000"/>
    <s v="KUST - General"/>
    <n v="847001"/>
    <s v="FA179-Opex Expense"/>
    <n v="200179"/>
    <x v="96"/>
    <s v="-"/>
    <n v="35000"/>
    <n v="30000"/>
    <s v="428090.Business Travel - Combined expenses-Number of Staff-Number"/>
    <s v="Number"/>
    <n v="2"/>
    <n v="45000"/>
    <s v="Dean/Assoc Dean travel on KU missions"/>
    <n v="90000"/>
    <s v="KU Regular operations"/>
    <s v="Recurring"/>
    <n v="81000"/>
    <n v="72000"/>
    <n v="62999.999999999993"/>
    <s v="no significant impact"/>
    <s v="minimum impact"/>
    <s v="reduce awards"/>
    <m/>
    <m/>
    <m/>
    <n v="45000"/>
    <m/>
    <m/>
    <m/>
    <m/>
    <m/>
    <n v="45000"/>
    <m/>
    <m/>
    <n v="90000"/>
    <s v="Build partnerships with local and international universities"/>
    <m/>
  </r>
  <r>
    <s v="Communiction &amp; Marketing"/>
    <s v="Director, Marketing and Communication"/>
    <s v="College of Engineering"/>
    <n v="847"/>
    <n v="8470305"/>
    <s v="KUST - Dean Of Engineering"/>
    <n v="1"/>
    <n v="428640"/>
    <s v="428640-Events - Awards, prizes &amp; gifts"/>
    <s v="000000"/>
    <s v="KUST - General"/>
    <n v="847001"/>
    <s v="FA179-Opex Expense"/>
    <n v="200179"/>
    <x v="97"/>
    <n v="0"/>
    <n v="45000"/>
    <n v="10000"/>
    <s v="428640.Events - Awards, prizes &amp; gifts-Number of awards-count"/>
    <s v="count"/>
    <n v="20"/>
    <n v="1500"/>
    <s v="Awards for students and faculty"/>
    <n v="30000"/>
    <s v="KU Regular operations"/>
    <s v="Recurring"/>
    <n v="27000"/>
    <n v="24000"/>
    <n v="21000"/>
    <s v="no significant impact"/>
    <s v="no significant impact"/>
    <s v="significant impact"/>
    <m/>
    <m/>
    <m/>
    <m/>
    <n v="15000"/>
    <m/>
    <m/>
    <m/>
    <m/>
    <m/>
    <n v="15000"/>
    <m/>
    <n v="30000"/>
    <s v="Recruit and retain high caliber faculty, researchers and staff"/>
    <m/>
  </r>
  <r>
    <s v="Academic"/>
    <s v="No Applicable"/>
    <s v="College of Engineering"/>
    <n v="847"/>
    <n v="8470305"/>
    <s v="KUST - Dean Of Engineering"/>
    <n v="1"/>
    <n v="432209"/>
    <s v="432209-Laboratory equipment"/>
    <s v="000000"/>
    <s v="KUST - General"/>
    <n v="847001"/>
    <s v="FA179-Opex Expense"/>
    <n v="200179"/>
    <x v="98"/>
    <n v="201150.01"/>
    <n v="45292"/>
    <n v="45000"/>
    <s v="432209.Laboratory equipment-Number of Faculty-Number"/>
    <s v="Number"/>
    <n v="40"/>
    <n v="5500"/>
    <s v="equipment support for multi department usage teaching labs"/>
    <n v="220000"/>
    <s v="KU Regular operations"/>
    <s v="Recurring"/>
    <n v="198000"/>
    <n v="176000"/>
    <n v="154000"/>
    <s v="no significant impact"/>
    <s v="reduce publications"/>
    <s v="significant impact"/>
    <m/>
    <m/>
    <m/>
    <n v="110000"/>
    <m/>
    <m/>
    <m/>
    <m/>
    <n v="110000"/>
    <m/>
    <m/>
    <m/>
    <n v="220000"/>
    <s v="Align academic programs with the local and global labor market needs"/>
    <s v="Compared to FY22, Laboratory equipment increased 51%, dean of engineering increased by 79%, Petroleum by 69%, and Biomedical 55% increased"/>
  </r>
  <r>
    <s v="Facilities "/>
    <s v="Director, Research Laboratories"/>
    <s v="College of Engineering"/>
    <n v="847"/>
    <n v="8470305"/>
    <s v="KUST - Dean Of Engineering"/>
    <n v="1"/>
    <n v="432690"/>
    <s v="432690-Plant, machinery and heavy equipment, not mentioned elsewhere"/>
    <s v="000000"/>
    <s v="KUST - General"/>
    <n v="847001"/>
    <s v="FA179-Opex Expense"/>
    <n v="200179"/>
    <x v="99"/>
    <n v="5000"/>
    <s v="-"/>
    <m/>
    <m/>
    <s v="-_"/>
    <m/>
    <m/>
    <m/>
    <n v="0"/>
    <m/>
    <m/>
    <n v="0"/>
    <n v="0"/>
    <n v="0"/>
    <s v="no significant impact"/>
    <s v="reduced functionality"/>
    <s v="significant impact"/>
    <m/>
    <m/>
    <m/>
    <m/>
    <m/>
    <m/>
    <m/>
    <m/>
    <m/>
    <m/>
    <m/>
    <m/>
    <n v="0"/>
    <m/>
    <m/>
  </r>
  <r>
    <s v="Academic"/>
    <s v="No Applicable"/>
    <s v="College of Engineering"/>
    <n v="847"/>
    <n v="8470305"/>
    <s v="KUST - Dean Of Engineering"/>
    <n v="1"/>
    <n v="435340"/>
    <s v="435340-Text books and library books"/>
    <s v="000000"/>
    <s v="KUST - General"/>
    <n v="847001"/>
    <s v="FA179-Opex Expense"/>
    <n v="200179"/>
    <x v="100"/>
    <n v="-13614"/>
    <s v="-"/>
    <m/>
    <m/>
    <s v="-_"/>
    <m/>
    <m/>
    <m/>
    <n v="0"/>
    <m/>
    <m/>
    <n v="0"/>
    <n v="0"/>
    <n v="0"/>
    <s v="no significant impact"/>
    <s v="No significant impact"/>
    <s v="reduced support"/>
    <m/>
    <m/>
    <m/>
    <m/>
    <m/>
    <m/>
    <m/>
    <m/>
    <m/>
    <m/>
    <m/>
    <m/>
    <n v="0"/>
    <m/>
    <m/>
  </r>
  <r>
    <s v="Academic"/>
    <s v="No Applicable"/>
    <s v="College of Engineering"/>
    <n v="847"/>
    <n v="8470305"/>
    <s v="KUST - Dean Of Engineering"/>
    <n v="1"/>
    <n v="435350"/>
    <s v="435350-Academic Publications"/>
    <s v="000000"/>
    <s v="KUST - General"/>
    <n v="847001"/>
    <s v="FA179-Opex Expense"/>
    <n v="200179"/>
    <x v="101"/>
    <n v="0"/>
    <n v="260000"/>
    <n v="260000"/>
    <s v="435350.Academic Publications-Number of Publications-Number"/>
    <s v="Number"/>
    <n v="60"/>
    <n v="4500"/>
    <s v="Publications in Open access Q1 texts"/>
    <n v="270000"/>
    <s v="KU Regular operations"/>
    <s v="Recurring"/>
    <n v="243000"/>
    <n v="216000"/>
    <n v="189000"/>
    <s v="reduce support for faculty"/>
    <s v="only support IEEE subscription"/>
    <s v="only support IEEE subscription"/>
    <m/>
    <m/>
    <n v="90000"/>
    <n v="90000"/>
    <n v="90000"/>
    <m/>
    <m/>
    <m/>
    <m/>
    <m/>
    <m/>
    <m/>
    <n v="270000"/>
    <s v="Increase publications in journals with high impact factor"/>
    <m/>
  </r>
  <r>
    <s v="Academic"/>
    <s v="Director, Research Laboratories"/>
    <s v="College of Engineering"/>
    <n v="847"/>
    <n v="8470305"/>
    <s v="KUST - Dean Of Engineering"/>
    <n v="1"/>
    <n v="435508"/>
    <s v="435508-Laboratory - Scientific"/>
    <s v="000000"/>
    <s v="KUST - General"/>
    <n v="847001"/>
    <s v="FA179-Opex Expense"/>
    <n v="200179"/>
    <x v="102"/>
    <n v="35691.550000000003"/>
    <n v="100000"/>
    <n v="100000"/>
    <s v="435508.Laboratory - Scientific-Number of Faculty-Number"/>
    <s v="Number"/>
    <n v="2"/>
    <n v="60000"/>
    <s v="Upgrade and maintenance for CoE shared facilities"/>
    <n v="120000"/>
    <s v="KU Regular operations"/>
    <s v="Recurring"/>
    <n v="108000"/>
    <n v="96000"/>
    <n v="84000"/>
    <n v="108000"/>
    <n v="96000"/>
    <n v="84000"/>
    <m/>
    <m/>
    <m/>
    <n v="60000"/>
    <m/>
    <m/>
    <m/>
    <m/>
    <n v="60000"/>
    <m/>
    <m/>
    <m/>
    <n v="120000"/>
    <s v="Utilize state-of-the-art technologies and facilities in an optimal and efficient manner"/>
    <m/>
  </r>
  <r>
    <s v="Academic"/>
    <s v="No Applicable"/>
    <s v="College of Engineering"/>
    <n v="847"/>
    <n v="8470305"/>
    <s v="KUST - Dean Of Engineering"/>
    <n v="1"/>
    <n v="436600"/>
    <s v="436600-Training/Teaching equipment and other educational aid"/>
    <s v="000000"/>
    <s v="KUST - General"/>
    <n v="847001"/>
    <s v="FA179-Opex Expense"/>
    <n v="200179"/>
    <x v="103"/>
    <s v="-"/>
    <n v="25000"/>
    <n v="20000"/>
    <s v="436600.Training/Teaching equipment and other educational aid-Number of Faculty-Number"/>
    <s v="Number"/>
    <n v="2"/>
    <n v="20000"/>
    <s v="Hybrid learning technologies"/>
    <n v="40000"/>
    <s v="KU Regular operations"/>
    <s v="Recurring"/>
    <n v="36000"/>
    <n v="32000"/>
    <n v="28000"/>
    <n v="40000"/>
    <n v="32000"/>
    <n v="20000"/>
    <m/>
    <m/>
    <n v="20000"/>
    <m/>
    <m/>
    <m/>
    <m/>
    <m/>
    <m/>
    <n v="20000"/>
    <m/>
    <m/>
    <n v="40000"/>
    <s v="Utilize state-of-the-art technologies and facilities in an optimal and efficient manner"/>
    <m/>
  </r>
  <r>
    <s v="Academic"/>
    <s v="No Applicable"/>
    <s v="College of Engineering"/>
    <n v="847"/>
    <n v="8470330"/>
    <s v="KUST - Electrical &amp; Computer Engineering"/>
    <n v="1"/>
    <n v="420550"/>
    <s v="420550-Academic Advisory Service"/>
    <s v="000000"/>
    <s v="KUST - General"/>
    <n v="847001"/>
    <s v="FA179-Opex Expense"/>
    <n v="200179"/>
    <x v="104"/>
    <s v="-"/>
    <n v="3000"/>
    <n v="3000"/>
    <s v="420550.Academic Advisory Service-Number of Services-Number"/>
    <m/>
    <n v="1"/>
    <n v="3000"/>
    <s v="One meeting of the DAB of the deprtment.  Hospitality for 7 members and 5 KU faculty."/>
    <n v="3000"/>
    <s v="KU Regular operations"/>
    <s v="Recurring"/>
    <n v="2700"/>
    <n v="2400"/>
    <n v="2100"/>
    <s v="Negligible"/>
    <s v="May not be considered as good"/>
    <s v="May not be considered as good"/>
    <n v="0"/>
    <n v="0"/>
    <n v="0"/>
    <n v="0"/>
    <n v="0"/>
    <n v="0"/>
    <n v="3000"/>
    <n v="0"/>
    <n v="0"/>
    <n v="0"/>
    <n v="0"/>
    <n v="0"/>
    <n v="3000"/>
    <s v="Widen access to students with outstanding academic potential"/>
    <m/>
  </r>
  <r>
    <s v="Communiction &amp; Marketing"/>
    <s v="Director, Marketing and Communication"/>
    <s v="College of Engineering"/>
    <n v="847"/>
    <n v="8470330"/>
    <s v="KUST - Electrical &amp; Computer Engineering"/>
    <n v="1"/>
    <n v="425510"/>
    <s v="425510-Conferences, seminars and exhibitions and other events: - Local Events"/>
    <s v="000000"/>
    <s v="KUST - General"/>
    <n v="847001"/>
    <s v="FA179-Opex Expense"/>
    <n v="200179"/>
    <x v="105"/>
    <s v="-"/>
    <n v="42000"/>
    <n v="42000"/>
    <s v="425510.Conferences, seminars and exhibitions and other events: - Local Events-Exhibitions-Number of Exhibitions"/>
    <s v="Number of Exhibitions"/>
    <n v="1"/>
    <n v="10000"/>
    <s v="Workshop on High Voltage: AED 10000.  Organizers: Drs. Noureddine and Balanthi Beig . Cost calculation details: International expert travel, Food and Accommodation: AED 1000/person. Participants: 10."/>
    <n v="10000"/>
    <s v="KU Regular operations"/>
    <s v="Non-recurring"/>
    <n v="9000"/>
    <n v="8000"/>
    <n v="7000"/>
    <s v="not a good impresion to delegates"/>
    <s v="not a good impresion to delegates"/>
    <s v="Cacnellation"/>
    <n v="0"/>
    <n v="0"/>
    <n v="0"/>
    <n v="0"/>
    <n v="0"/>
    <n v="0"/>
    <n v="10000"/>
    <n v="0"/>
    <n v="0"/>
    <n v="0"/>
    <n v="0"/>
    <n v="0"/>
    <n v="10000"/>
    <s v="Increase publications in journals with high impact factor"/>
    <m/>
  </r>
  <r>
    <s v="Student"/>
    <s v="Director, Student Services"/>
    <s v="College of Engineering"/>
    <n v="847"/>
    <n v="8470330"/>
    <s v="KUST - Electrical &amp; Computer Engineering"/>
    <n v="1"/>
    <n v="425760"/>
    <s v="425760-Student activities &amp; field trip expenses"/>
    <s v="000000"/>
    <s v="KUST - General"/>
    <n v="847001"/>
    <s v="FA179-Opex Expense"/>
    <n v="200179"/>
    <x v="106"/>
    <s v="-"/>
    <n v="72000"/>
    <n v="72000"/>
    <s v="425760.Student activities &amp; field trip expenses-Events-No of Events"/>
    <s v="No of Events"/>
    <n v="10"/>
    <n v="7500"/>
    <s v="10 field trips trips @ AED 2000/trip . Also IEEE KU students activities (AED 10000) include common design project, engineering design project, industrial project, and community service project plus the IEEE KU student chapter running costs, including inviting speakers and organizing workshops. Also Competitions, like KPC (AED 5000), GPC (AED 15000), and International overseas ones (AED 25000)"/>
    <n v="75000"/>
    <s v="KU Regular operations"/>
    <s v="Recurring"/>
    <n v="67500"/>
    <n v="60000"/>
    <n v="52500"/>
    <s v="reduced number of students or field trips"/>
    <s v="reduced number of students or field trips"/>
    <s v="reduced number of students or field trips"/>
    <n v="0"/>
    <n v="7500"/>
    <n v="7500"/>
    <n v="7500"/>
    <n v="7500"/>
    <n v="7500"/>
    <n v="7500"/>
    <n v="7500"/>
    <n v="7500"/>
    <n v="7500"/>
    <n v="7500"/>
    <n v="0"/>
    <n v="75000"/>
    <s v="Enhance the communication plan and outreach activities"/>
    <m/>
  </r>
  <r>
    <s v="Student"/>
    <s v="No Applicable"/>
    <s v="College of Engineering"/>
    <n v="847"/>
    <n v="8470330"/>
    <s v="KUST - Electrical &amp; Computer Engineering"/>
    <n v="1"/>
    <n v="425763"/>
    <s v="425763-Student Project Expenses"/>
    <s v="000000"/>
    <s v="KUST - General"/>
    <n v="847001"/>
    <s v="FA179-Opex Expense"/>
    <n v="200179"/>
    <x v="107"/>
    <n v="216899.04"/>
    <n v="405000"/>
    <n v="405000"/>
    <s v="425763.Student Project Expenses-Number of Students UG-Month"/>
    <s v="Month"/>
    <n v="145"/>
    <n v="3000"/>
    <s v="Number of students x AED 3000 /student"/>
    <n v="435000"/>
    <s v="KU Regular operations"/>
    <s v="Recurring"/>
    <n v="391500"/>
    <n v="348000"/>
    <n v="304500"/>
    <s v="reduced quality experience"/>
    <s v="reduced flexibility in SDP materials"/>
    <s v="reduced flexibility in SDP materials"/>
    <n v="0"/>
    <n v="0"/>
    <n v="55000"/>
    <n v="55000"/>
    <n v="55000"/>
    <n v="55000"/>
    <n v="55000"/>
    <n v="55000"/>
    <n v="55000"/>
    <n v="50000"/>
    <n v="0"/>
    <n v="0"/>
    <n v="435000"/>
    <s v="Develop the university innovation and entrepreneurship system"/>
    <m/>
  </r>
  <r>
    <s v="Academic"/>
    <s v="No Applicable"/>
    <s v="College of Engineering"/>
    <n v="847"/>
    <n v="8470330"/>
    <s v="KUST - Electrical &amp; Computer Engineering"/>
    <n v="1"/>
    <n v="425770"/>
    <s v="425770-Academic Missions - Combined expenses"/>
    <s v="000000"/>
    <s v="KUST - General"/>
    <n v="847001"/>
    <s v="FA179-Opex Expense"/>
    <n v="200179"/>
    <x v="108"/>
    <n v="12190.2"/>
    <n v="650000"/>
    <n v="650000"/>
    <s v="425770-Academic Missions - Combined expenses"/>
    <s v="-_"/>
    <n v="63"/>
    <n v="20000"/>
    <s v="20K/Faculty FTE"/>
    <n v="1260000"/>
    <s v="KU Regular operations"/>
    <s v="Recurring"/>
    <n v="1134000"/>
    <n v="1008000"/>
    <n v="882000"/>
    <s v="reduced KU presence in international forums"/>
    <s v="will need to prioritize"/>
    <s v="dissappoint researchers"/>
    <n v="0"/>
    <n v="126000"/>
    <n v="126000"/>
    <n v="126000"/>
    <n v="126000"/>
    <n v="126000"/>
    <n v="126000"/>
    <n v="126000"/>
    <n v="126000"/>
    <n v="126000"/>
    <n v="126000"/>
    <n v="0"/>
    <n v="1260000"/>
    <s v="Strengthen research ethical culture framework across the university"/>
    <s v="Compared to FY22, the Academic mission expense increased by 32%, and especially the Dean of Engineering and Electrical &amp; computer Engg department increased their statements by 39% to 48%. The rest of the departments in CoE increased by 25% to 33%."/>
  </r>
  <r>
    <s v="Other support"/>
    <s v="Director, Human Resources"/>
    <s v="College of Engineering"/>
    <n v="847"/>
    <n v="8470330"/>
    <s v="KUST - Electrical &amp; Computer Engineering"/>
    <n v="1"/>
    <n v="425900"/>
    <s v="425900-Entertainment and hospitality"/>
    <s v="000000"/>
    <s v="KUST - General"/>
    <n v="847001"/>
    <s v="FA179-Opex Expense"/>
    <n v="200179"/>
    <x v="109"/>
    <s v="-"/>
    <n v="16000"/>
    <n v="16000"/>
    <s v="425900-Entertainment and hospitality"/>
    <s v="-_"/>
    <n v="6"/>
    <n v="5000"/>
    <s v=" 6 Department meetings' hospitality. average # of department participants (45) @ AED 100/faculty/meeting. Also for one speaker from local industry per sementer @ 1000 /speaker."/>
    <n v="30000"/>
    <s v="KU Regular operations"/>
    <s v="Recurring"/>
    <n v="27000"/>
    <n v="24000"/>
    <n v="21000"/>
    <s v="Negligible"/>
    <s v="OK"/>
    <s v="Ok"/>
    <n v="5000"/>
    <n v="5000"/>
    <n v="5000"/>
    <n v="0"/>
    <n v="0"/>
    <n v="0"/>
    <n v="0"/>
    <n v="5000"/>
    <n v="0"/>
    <n v="5000"/>
    <n v="5000"/>
    <n v="0"/>
    <n v="30000"/>
    <s v="Promote a working culture of excellence and accountability"/>
    <m/>
  </r>
  <r>
    <s v="IT"/>
    <s v="Director, Technology Development"/>
    <s v="College of Engineering"/>
    <n v="847"/>
    <n v="8470330"/>
    <s v="KUST - Electrical &amp; Computer Engineering"/>
    <n v="1"/>
    <n v="426610"/>
    <s v="426610-Computer software licenses-Software License Renewal"/>
    <s v="000000"/>
    <s v="KUST - General"/>
    <n v="847001"/>
    <s v="FA179-Opex Expense"/>
    <n v="200179"/>
    <x v="110"/>
    <n v="122131.96"/>
    <n v="720500"/>
    <n v="720500"/>
    <s v="426610-Computer software licenses-Software License Renewal"/>
    <s v="-_"/>
    <n v="9"/>
    <n v="78958"/>
    <s v="TOTAL  710.625 (approx, with an expected 25% increase in price in 2023). _x000a_Altium Designer -  2.312K_x000a_PLECS Combo Academic Concurrent License - 2.812K_x000a_LogixPro 500 - 3.5K                                                                                                                                                                                                                                                           _x000a_Rockwell Automation Toolkit - Studio 5000  23.125K_x000a_ETAP - Educational Licenses -18.125K_x000a_Cadence - 265.75K                                                                                                                                                                                                                                                                       _x000a_GAMS (General Algebraic Modeling System)  76.875K_x000a_Synopsys - 188.375K                                                                                                                                                                                                                                                    LabView Academic Site License Teaching  129.75K _x000a__x000a_"/>
    <n v="710622"/>
    <s v="KU Regular operations"/>
    <s v="Recurring"/>
    <n v="639559.80000000005"/>
    <n v="568497.6"/>
    <n v="497435.39999999997"/>
    <s v="Inability to operate SW"/>
    <s v="Inability to operate SW"/>
    <s v="inability to operate SW"/>
    <n v="0"/>
    <n v="0"/>
    <n v="0"/>
    <n v="0"/>
    <n v="600000"/>
    <n v="0"/>
    <n v="110622"/>
    <n v="0"/>
    <n v="0"/>
    <n v="0"/>
    <n v="0"/>
    <n v="0"/>
    <n v="710622"/>
    <s v="Utilize state-of-the-art technologies and facilities in an optimal and efficient manner"/>
    <m/>
  </r>
  <r>
    <s v="Communiction &amp; Marketing"/>
    <s v="Director, Marketing and Communication"/>
    <s v="College of Engineering"/>
    <n v="847"/>
    <n v="8470330"/>
    <s v="KUST - Electrical &amp; Computer Engineering"/>
    <n v="1"/>
    <n v="428640"/>
    <s v="428640-Events - Awards, prizes &amp; gifts"/>
    <s v="000000"/>
    <s v="KUST - General"/>
    <n v="847001"/>
    <s v="FA179-Opex Expense"/>
    <n v="200179"/>
    <x v="111"/>
    <n v="4487.99"/>
    <n v="302000"/>
    <n v="302000"/>
    <s v="428640-Events - Awards, prizes &amp; gifts"/>
    <s v="-_"/>
    <n v="2"/>
    <n v="151000"/>
    <s v="Honored faculty * gift cost_x000a_Also (Dr Arif's project: Smart Mobile Application Annual Contest 2022/2023/2024: Total Cost: ~300K _x000a_Awards: 3 teams to win 75K, 50K, 25K (Total 150K) Travel support can be given AED 1.5K-3K per person (depending on region) to shortlisted teams based on receipt of tickets and accommodation (twin or triple rooms) up to 15 shortlisted teams can be supported 1-2 from each country (total cost of ~115K). _x000a_Accommodation: twin-triple room (1 night per team) Max of AED 1K per team. Total Cost: 15 K. Cost of publications and event preparation: AED 10K. Catering 150 attendees: 10K "/>
    <n v="302000"/>
    <s v="KU Regular operations"/>
    <s v="Recurring"/>
    <n v="271800"/>
    <n v="241600"/>
    <n v="211400"/>
    <s v="Negligible"/>
    <s v="Events pursued by the leadership will be affected"/>
    <s v="Important events may be cancelled"/>
    <n v="0"/>
    <n v="0"/>
    <n v="0"/>
    <n v="0"/>
    <n v="2000"/>
    <n v="0"/>
    <n v="0"/>
    <n v="0"/>
    <n v="0"/>
    <n v="0"/>
    <n v="300000"/>
    <n v="0"/>
    <n v="302000"/>
    <s v="Develop a multidimensional program to attract and retain diverse outstanding students"/>
    <m/>
  </r>
  <r>
    <s v="Academic"/>
    <s v="No Applicable"/>
    <s v="College of Engineering"/>
    <n v="847"/>
    <n v="8470330"/>
    <s v="KUST - Electrical &amp; Computer Engineering"/>
    <n v="1"/>
    <n v="432209"/>
    <s v="432209-Laboratory equipment"/>
    <s v="000000"/>
    <s v="KUST - General"/>
    <n v="847001"/>
    <s v="FA179-Opex Expense"/>
    <n v="200179"/>
    <x v="112"/>
    <s v="-"/>
    <n v="67400"/>
    <n v="67400"/>
    <s v="432209-Laboratory equipment"/>
    <s v="-_"/>
    <n v="10"/>
    <n v="5000"/>
    <s v="Lab Maintenance/Callibration of equipment -  Number of Lab x AED 5000/Lab"/>
    <n v="50000"/>
    <s v="KU Regular operations"/>
    <s v="Recurring"/>
    <n v="45000"/>
    <n v="40000"/>
    <n v="35000"/>
    <s v="May be able to negotiate"/>
    <s v="will impact maintenance"/>
    <s v="will impact operations"/>
    <n v="0"/>
    <n v="5000"/>
    <n v="5000"/>
    <n v="5000"/>
    <n v="5000"/>
    <n v="5000"/>
    <n v="5000"/>
    <n v="5000"/>
    <n v="5000"/>
    <n v="5000"/>
    <n v="5000"/>
    <n v="0"/>
    <n v="50000"/>
    <s v="Utilize state-of-the-art technologies and facilities in an optimal and efficient manner"/>
    <s v="Compared to FY22, Laboratory equipment increased 51%, dean of engineering increased by 79%, Petroleum by 69%, and Biomedical 55% increased"/>
  </r>
  <r>
    <s v="Academic"/>
    <s v="No Applicable"/>
    <s v="College of Engineering"/>
    <n v="847"/>
    <n v="8470330"/>
    <s v="KUST - Electrical &amp; Computer Engineering"/>
    <n v="1"/>
    <n v="435350"/>
    <s v="435350-Academic Publications"/>
    <s v="000000"/>
    <s v="KUST - General"/>
    <n v="847001"/>
    <s v="FA179-Opex Expense"/>
    <n v="200179"/>
    <x v="113"/>
    <n v="49194.96"/>
    <n v="420000"/>
    <n v="420000"/>
    <s v="435350-Academic Publications"/>
    <s v="-_"/>
    <n v="63"/>
    <n v="7000"/>
    <s v="one paper or page charges / faculty"/>
    <n v="441000"/>
    <s v="KU Regular operations"/>
    <s v="Recurring"/>
    <n v="396900"/>
    <n v="352800"/>
    <n v="308700"/>
    <s v="Negligible"/>
    <s v="Reduce our exposure and citations"/>
    <s v="Detrimental "/>
    <n v="0"/>
    <n v="44100"/>
    <n v="44100"/>
    <n v="44100"/>
    <n v="44100"/>
    <n v="44100"/>
    <n v="44100"/>
    <n v="44100"/>
    <n v="44100"/>
    <n v="44100"/>
    <n v="44100"/>
    <n v="0"/>
    <n v="441000"/>
    <s v="Increase publications in journals with high impact factor"/>
    <m/>
  </r>
  <r>
    <s v="Academic"/>
    <s v="Director, Research Laboratories"/>
    <s v="College of Engineering"/>
    <n v="847"/>
    <n v="8470330"/>
    <s v="KUST - Electrical &amp; Computer Engineering"/>
    <n v="1"/>
    <n v="435508"/>
    <s v="435508-Laboratory - Scientific"/>
    <s v="000000"/>
    <s v="KUST - General"/>
    <n v="847001"/>
    <s v="FA179-Opex Expense"/>
    <n v="200179"/>
    <x v="114"/>
    <n v="82455.460000000006"/>
    <n v="20000"/>
    <n v="20000"/>
    <s v="435508-Laboratory - Scientific"/>
    <s v="-_"/>
    <n v="8"/>
    <n v="10000"/>
    <s v="Lab materials, Course project materials and other Consumables  - Number of Labs x AED 10000/Lab"/>
    <n v="80000"/>
    <s v="KU Regular operations"/>
    <s v="Recurring"/>
    <n v="72000"/>
    <n v="64000"/>
    <n v="56000"/>
    <s v="Negligible"/>
    <s v="May impact our equipment"/>
    <s v="will impact our equipment"/>
    <n v="0"/>
    <n v="8000"/>
    <n v="8000"/>
    <n v="8000"/>
    <n v="8000"/>
    <n v="8000"/>
    <n v="8000"/>
    <n v="8000"/>
    <n v="8000"/>
    <n v="8000"/>
    <n v="8000"/>
    <n v="0"/>
    <n v="80000"/>
    <s v="Utilize state-of-the-art technologies and facilities in an optimal and efficient manner"/>
    <m/>
  </r>
  <r>
    <s v="Academic"/>
    <s v="No Applicable"/>
    <s v="College of Engineering"/>
    <n v="847"/>
    <n v="8470330"/>
    <s v="KUST - Electrical &amp; Computer Engineering"/>
    <n v="1"/>
    <n v="436600"/>
    <s v="436600-Training/Teaching equipment and other educational aid"/>
    <s v="000000"/>
    <s v="KUST - General"/>
    <n v="847001"/>
    <s v="FA179-Opex Expense"/>
    <n v="200179"/>
    <x v="115"/>
    <n v="0"/>
    <n v="60000"/>
    <n v="60000"/>
    <s v="436600-Training/Teaching equipment and other educational aid"/>
    <s v="-_"/>
    <n v="2"/>
    <n v="8000"/>
    <s v="2 servers  @ 8000 each,  =16000.  "/>
    <n v="16000"/>
    <s v="KU Regular operations"/>
    <s v="Recurring"/>
    <n v="14400"/>
    <n v="12800"/>
    <n v="11200"/>
    <s v="Inability to access Server"/>
    <s v="Inability to access Server"/>
    <s v="Inability to access Server"/>
    <n v="0"/>
    <n v="0"/>
    <n v="0"/>
    <n v="0"/>
    <n v="0"/>
    <n v="8000"/>
    <n v="0"/>
    <n v="0"/>
    <n v="0"/>
    <n v="0"/>
    <n v="8000"/>
    <n v="0"/>
    <n v="16000"/>
    <s v="Utilize state-of-the-art technologies and facilities in an optimal and efficient manner"/>
    <m/>
  </r>
  <r>
    <s v="Facilities "/>
    <s v="Director, Research Laboratories"/>
    <s v="College of Engineering"/>
    <n v="847"/>
    <n v="8470330"/>
    <s v="KUST - Electrical &amp; Computer Engineering"/>
    <n v="1"/>
    <n v="492316"/>
    <s v="492316-Laboratory equipment"/>
    <s v="000000"/>
    <s v="KUST - General"/>
    <n v="847001"/>
    <s v="FA180-Capex Expense"/>
    <n v="300180"/>
    <x v="116"/>
    <n v="228093.3"/>
    <n v="456796"/>
    <n v="456796"/>
    <s v="492316-Laboratory equipment"/>
    <s v="-_"/>
    <n v="9"/>
    <n v="115728"/>
    <s v="CAPEX equipment. An average price of AED 81.1K for 9 items and a total of AED 1041.55K (Refer attached quotations) _x000a_Dr. Naoufel - Tensorbook ( 160K), _x000a_Dr. Ahmed - Rotary servo station for feedback lab (260K), _x000a_Dr. Beig - Equipment for SDP lab (205K), _x000a_Dr. Jorge - FPGA development board (15K), _x000a_Nishar - All-in-PCs for Automation Lab (85K) ,_x000a_Dr. Beig - Teledyne LeCroy WAVEPRO 254HD  with accessories 316.55K                                                                                                                                                                                "/>
    <n v="1041552"/>
    <s v="KU Regular operations"/>
    <s v="Recurring"/>
    <n v="937396.8"/>
    <n v="833241.60000000009"/>
    <n v="729086.39999999991"/>
    <s v="Negligible"/>
    <s v="May impact our equipment"/>
    <s v="will impact our equipment"/>
    <n v="0"/>
    <n v="0"/>
    <n v="0"/>
    <m/>
    <n v="1041552"/>
    <n v="0"/>
    <n v="0"/>
    <n v="0"/>
    <n v="0"/>
    <n v="0"/>
    <n v="0"/>
    <n v="0"/>
    <n v="1041552"/>
    <s v="Utilize state-of-the-art technologies and facilities in an optimal and efficient manner"/>
    <s v="Compared to FY22 budget has significantly increased by 42% for CoE; most of CoE increased their funding in the range of 40%-74%, except for ME and CE."/>
  </r>
  <r>
    <s v="Academic"/>
    <s v="No Applicable"/>
    <s v="College of Engineering"/>
    <n v="847"/>
    <n v="8470335"/>
    <s v="KUST - Industrial &amp; Systems Engineering"/>
    <n v="1"/>
    <n v="420550"/>
    <s v="420550-Academic Advisory Service"/>
    <s v="000000"/>
    <s v="KUST - General"/>
    <n v="847001"/>
    <s v="FA179-Opex Expense"/>
    <n v="200179"/>
    <x v="117"/>
    <s v="-"/>
    <n v="10000"/>
    <n v="6800"/>
    <s v="420550.Academic Advisory Service-Number of Students-Number"/>
    <s v="Number"/>
    <n v="2"/>
    <n v="6000"/>
    <s v="Two advisory board meetings"/>
    <n v="12000"/>
    <s v="KU Regular operations"/>
    <s v="Recurring"/>
    <n v="10800"/>
    <n v="9600"/>
    <n v="8400"/>
    <s v="no significant impact"/>
    <s v="minimum impact"/>
    <s v="reduce support"/>
    <m/>
    <m/>
    <n v="6000"/>
    <m/>
    <m/>
    <m/>
    <m/>
    <m/>
    <m/>
    <m/>
    <n v="6000"/>
    <m/>
    <n v="12000"/>
    <s v="Align academic programs with the local and global labor market needs"/>
    <m/>
  </r>
  <r>
    <s v="Communiction &amp; Marketing"/>
    <s v="Director, Marketing and Communication"/>
    <s v="College of Engineering"/>
    <n v="847"/>
    <n v="8470335"/>
    <s v="KUST - Industrial &amp; Systems Engineering"/>
    <n v="1"/>
    <n v="425510"/>
    <s v="425510-Conferences, seminars and exhibitions and other events: - Local Events"/>
    <s v="000000"/>
    <s v="KUST - General"/>
    <n v="847001"/>
    <s v="FA179-Opex Expense"/>
    <n v="200179"/>
    <x v="118"/>
    <s v="-"/>
    <n v="20000"/>
    <n v="18500"/>
    <s v="425500.Conferences, seminars and exhibitions and other events:-Number of events &amp; attendees-Number of Number of events &amp; attendees"/>
    <s v="Number of Number of events &amp; attendees"/>
    <n v="10"/>
    <n v="2000"/>
    <s v="ten Students to regiser into local conferences and intl competitions"/>
    <n v="20000"/>
    <s v="KU Regular operations"/>
    <s v="Recurring"/>
    <n v="18000"/>
    <n v="16000"/>
    <n v="14000"/>
    <s v="no significant impact"/>
    <s v="No significant impact"/>
    <s v="significant impact"/>
    <m/>
    <m/>
    <m/>
    <m/>
    <n v="10000"/>
    <m/>
    <m/>
    <m/>
    <m/>
    <n v="10000"/>
    <m/>
    <m/>
    <n v="20000"/>
    <s v="Attract and organize international conferences and summits"/>
    <m/>
  </r>
  <r>
    <s v="Student"/>
    <s v="Director, Student Services"/>
    <s v="College of Engineering"/>
    <n v="847"/>
    <n v="8470335"/>
    <s v="KUST - Industrial &amp; Systems Engineering"/>
    <n v="1"/>
    <n v="425760"/>
    <s v="425760-Student activities &amp; field trip expenses"/>
    <s v="000000"/>
    <s v="KUST - General"/>
    <n v="847001"/>
    <s v="FA179-Opex Expense"/>
    <n v="200179"/>
    <x v="119"/>
    <s v="-"/>
    <n v="10000"/>
    <n v="3800"/>
    <s v="425761.Student Field trips-Number of Students UG-Month"/>
    <s v="Month"/>
    <n v="4"/>
    <n v="2500"/>
    <s v="4 student site visits to industry"/>
    <n v="10000"/>
    <s v="KU Regular operations"/>
    <s v="Recurring"/>
    <n v="9000"/>
    <n v="8000"/>
    <n v="7000"/>
    <s v="no significant impact"/>
    <s v="No significant impact"/>
    <s v="reduce student support"/>
    <m/>
    <m/>
    <m/>
    <n v="5000"/>
    <m/>
    <m/>
    <m/>
    <m/>
    <m/>
    <n v="5000"/>
    <m/>
    <m/>
    <n v="10000"/>
    <s v="Align academic programs with the local and global labor market needs"/>
    <m/>
  </r>
  <r>
    <s v="Student"/>
    <s v="No Applicable"/>
    <s v="College of Engineering"/>
    <n v="847"/>
    <n v="8470335"/>
    <s v="KUST - Industrial &amp; Systems Engineering"/>
    <n v="1"/>
    <n v="425763"/>
    <s v="425763-Student Project Expenses"/>
    <s v="000000"/>
    <s v="KUST - General"/>
    <n v="847001"/>
    <s v="FA179-Opex Expense"/>
    <n v="200179"/>
    <x v="120"/>
    <n v="24127.64"/>
    <n v="50000"/>
    <n v="50000"/>
    <s v="425763.Student Project Expenses-Number of Students UG-Month"/>
    <s v="Month"/>
    <n v="40"/>
    <n v="2000"/>
    <s v="2000 DH per Senior student"/>
    <n v="80000"/>
    <s v="KU Regular operations"/>
    <s v="Recurring"/>
    <n v="72000"/>
    <n v="64000"/>
    <n v="56000"/>
    <s v="Full amount required. May need to transfer remaining amount from other expenses"/>
    <s v="Full amount required. May need to transfer remaining amount from other expenses"/>
    <s v="Full amount required. May need to transfer remaining amount from other expenses"/>
    <m/>
    <m/>
    <m/>
    <m/>
    <n v="30000"/>
    <m/>
    <m/>
    <m/>
    <n v="50000"/>
    <m/>
    <m/>
    <m/>
    <n v="80000"/>
    <s v="Align academic programs with the local and global labor market needs"/>
    <m/>
  </r>
  <r>
    <s v="Academic"/>
    <s v="No Applicable"/>
    <s v="College of Engineering"/>
    <n v="847"/>
    <n v="8470335"/>
    <s v="KUST - Industrial &amp; Systems Engineering"/>
    <n v="1"/>
    <n v="425770"/>
    <s v="425770-Academic Missions - Combined expenses"/>
    <s v="000000"/>
    <s v="KUST - General"/>
    <n v="847001"/>
    <s v="FA179-Opex Expense"/>
    <n v="200179"/>
    <x v="121"/>
    <n v="-3762.15"/>
    <n v="270000"/>
    <n v="260000"/>
    <s v="425770.Academic Missions - Combined expenses-Number of Conference-Number"/>
    <s v="Number"/>
    <n v="20"/>
    <n v="20000"/>
    <s v="20K DHs per faculty trip, one trip per faculty"/>
    <n v="400000"/>
    <s v="KU Regular operations"/>
    <s v="Recurring"/>
    <n v="360000"/>
    <n v="320000"/>
    <n v="280000"/>
    <s v="no significant impact"/>
    <s v="reduce faculty publication and researcj support"/>
    <s v="reduce faculty publication and researcj support"/>
    <m/>
    <m/>
    <n v="20000"/>
    <n v="40000"/>
    <m/>
    <n v="120000"/>
    <n v="120000"/>
    <m/>
    <m/>
    <n v="60000"/>
    <n v="40000"/>
    <m/>
    <n v="400000"/>
    <s v="Increase publications in journals with high impact factor"/>
    <s v="Compared to FY22, the Academic mission expense increased by 32%, and especially the Dean of Engineering and Electrical &amp; computer Engg department increased their statements by 39% to 48%. The rest of the departments in CoE increased by 25% to 33%."/>
  </r>
  <r>
    <s v="Other support"/>
    <s v="Director, Human Resources"/>
    <s v="College of Engineering"/>
    <n v="847"/>
    <n v="8470335"/>
    <s v="KUST - Industrial &amp; Systems Engineering"/>
    <n v="1"/>
    <n v="425900"/>
    <s v="425900-Entertainment and hospitality"/>
    <s v="000000"/>
    <s v="KUST - General"/>
    <n v="847001"/>
    <s v="FA179-Opex Expense"/>
    <n v="200179"/>
    <x v="122"/>
    <s v="-"/>
    <n v="20000"/>
    <n v="15500"/>
    <s v="425900.Entertainment and hospitality-1. No of events/workshops planned-count"/>
    <s v="count"/>
    <n v="6"/>
    <n v="6000"/>
    <s v="4 scoial departmental meetings and events, and 2 retreats"/>
    <n v="36000"/>
    <s v="KU Regular operations"/>
    <s v="Recurring"/>
    <n v="32400"/>
    <n v="28800"/>
    <n v="25200"/>
    <s v="no significant impact"/>
    <s v="No significant impact"/>
    <s v="reduce number of supported faculty"/>
    <m/>
    <n v="6000"/>
    <n v="6000"/>
    <n v="6000"/>
    <m/>
    <m/>
    <m/>
    <m/>
    <m/>
    <n v="6000"/>
    <n v="6000"/>
    <n v="6000"/>
    <n v="36000"/>
    <s v="Develop a new learning outcomes assessment framework at the course, programs, and institutional levels"/>
    <m/>
  </r>
  <r>
    <s v="IT"/>
    <s v="Director, Technology Development"/>
    <s v="College of Engineering"/>
    <n v="847"/>
    <n v="8470335"/>
    <s v="KUST - Industrial &amp; Systems Engineering"/>
    <n v="1"/>
    <n v="426610"/>
    <s v="426610-Computer software licenses"/>
    <s v="000000"/>
    <s v="KUST - General"/>
    <n v="847001"/>
    <s v="FA179-Opex Expense"/>
    <n v="200179"/>
    <x v="123"/>
    <n v="134361.95000000001"/>
    <n v="150257"/>
    <n v="150000"/>
    <s v="426610.Computer software licenses-Software License Renewal-service level agreement-Service"/>
    <s v="Service"/>
    <n v="33"/>
    <n v="6000"/>
    <s v="28 software license to renew on avergae 6000/ license; detailed with IT"/>
    <n v="198000"/>
    <s v="KU Regular operations"/>
    <s v="Recurring"/>
    <n v="178200"/>
    <n v="158400"/>
    <n v="138600"/>
    <s v="Full amount required. May need to transfer remaining amount from other expenses"/>
    <s v="Full amount required. May need to transfer remaining amount from other expenses"/>
    <s v="Full amount required. May need to transfer remaining amount from other expenses"/>
    <m/>
    <m/>
    <n v="84000"/>
    <n v="15000"/>
    <m/>
    <m/>
    <m/>
    <m/>
    <n v="84000"/>
    <n v="15000"/>
    <m/>
    <m/>
    <n v="198000"/>
    <s v="Align academic programs with the local and global labor market needs"/>
    <m/>
  </r>
  <r>
    <s v="Academic "/>
    <s v="No Applicable"/>
    <s v="College of Engineering"/>
    <n v="847"/>
    <n v="8470335"/>
    <s v="KUST - Industrial &amp; Systems Engineering"/>
    <n v="1"/>
    <n v="428090"/>
    <s v="428090-Business Travel - Combined expenses"/>
    <s v="000000"/>
    <s v="KUST - General"/>
    <n v="847001"/>
    <s v="FA179-Opex Expense"/>
    <n v="200179"/>
    <x v="124"/>
    <s v="-"/>
    <n v="40000"/>
    <n v="15000"/>
    <s v="428090.Business Travel - Combined expenses-Number of Staff-Number"/>
    <s v="Number"/>
    <n v="1"/>
    <n v="45000"/>
    <s v="1 business travel mission for DH"/>
    <n v="45000"/>
    <s v="KU Regular operations"/>
    <s v="Recurring"/>
    <n v="40500"/>
    <n v="36000"/>
    <n v="31499.999999999996"/>
    <s v="no significant impact"/>
    <s v="No significant impact"/>
    <s v="reduce travel days"/>
    <m/>
    <m/>
    <m/>
    <n v="45000"/>
    <m/>
    <m/>
    <m/>
    <m/>
    <m/>
    <m/>
    <m/>
    <m/>
    <n v="45000"/>
    <s v="Build partnerships with local and international universities"/>
    <m/>
  </r>
  <r>
    <s v="Academic"/>
    <s v="No Applicable"/>
    <s v="College of Engineering"/>
    <n v="847"/>
    <n v="8470335"/>
    <s v="KUST - Industrial &amp; Systems Engineering"/>
    <n v="1"/>
    <n v="435350"/>
    <s v="435350-Academic Publications"/>
    <s v="000000"/>
    <s v="KUST - General"/>
    <n v="847001"/>
    <s v="FA179-Opex Expense"/>
    <n v="200179"/>
    <x v="125"/>
    <n v="22479.86"/>
    <n v="51520"/>
    <n v="51000"/>
    <s v="435350.Academic Publications-Number of Publications-Number"/>
    <s v="Number"/>
    <n v="10"/>
    <n v="6500"/>
    <s v="10 publications in open access Q1 to highlight impact"/>
    <n v="65000"/>
    <s v="KU Regular operations"/>
    <s v="Recurring"/>
    <n v="58500"/>
    <n v="52000"/>
    <n v="45500"/>
    <s v="no significant impact"/>
    <s v="reduce number of publications"/>
    <s v="reduce number of publications"/>
    <m/>
    <n v="13000"/>
    <n v="13000"/>
    <n v="13000"/>
    <m/>
    <m/>
    <m/>
    <m/>
    <n v="13000"/>
    <n v="13000"/>
    <m/>
    <m/>
    <n v="65000"/>
    <s v="Increase publications in journals with high impact factor"/>
    <m/>
  </r>
  <r>
    <s v="Academic"/>
    <s v="Director, Research Laboratories"/>
    <s v="College of Engineering"/>
    <n v="847"/>
    <n v="8470335"/>
    <s v="KUST - Industrial &amp; Systems Engineering"/>
    <n v="1"/>
    <n v="435508"/>
    <s v="435508-Laboratory - Scientific"/>
    <s v="000000"/>
    <s v="KUST - General"/>
    <n v="847001"/>
    <s v="FA179-Opex Expense"/>
    <n v="200179"/>
    <x v="126"/>
    <n v="66171.5"/>
    <n v="139000"/>
    <n v="139000"/>
    <s v="435508.Laboratory - Scientific-Number of Faculty-Number"/>
    <s v="Number"/>
    <n v="3"/>
    <n v="68500"/>
    <s v="A-NDT equipment upgrade for ISYE 275, B- BioPac for Human Factors lab, C- Synertial motion capture suit for visualization lab, "/>
    <n v="205500"/>
    <s v="KU Strategic New Initiative"/>
    <s v="Non-recurring"/>
    <n v="184950"/>
    <n v="164400"/>
    <n v="143850"/>
    <s v="Full amount required. May need to transfer remaining amount from other expenses"/>
    <s v="Full amount required. May need to transfer remaining amount from other expenses"/>
    <s v="Full amount required. May need to transfer remaining amount from other expenses"/>
    <m/>
    <m/>
    <n v="105500"/>
    <m/>
    <n v="100000"/>
    <m/>
    <m/>
    <m/>
    <m/>
    <m/>
    <m/>
    <m/>
    <n v="205500"/>
    <s v="Utilize state-of-the-art technologies and facilities in an optimal and efficient manner"/>
    <m/>
  </r>
  <r>
    <s v="Other support"/>
    <s v="No Applicable"/>
    <s v="College of Engineering"/>
    <n v="847"/>
    <n v="8470335"/>
    <s v="KUST - Industrial &amp; Systems Engineering"/>
    <n v="1"/>
    <n v="436110"/>
    <s v="436110-Printing supplies"/>
    <s v="000000"/>
    <s v="KUST - General"/>
    <n v="847001"/>
    <s v="FA179-Opex Expense"/>
    <n v="200179"/>
    <x v="127"/>
    <n v="0"/>
    <n v="4000"/>
    <n v="4000"/>
    <s v="427200.Printing and publishing-The printing cost of the department's publications-count"/>
    <s v="count"/>
    <n v="5"/>
    <n v="1750"/>
    <s v="printing supplies to teaching labs and department office"/>
    <n v="8750"/>
    <s v="KU Regular operations"/>
    <s v="Recurring"/>
    <n v="7875"/>
    <n v="7000"/>
    <n v="6125"/>
    <s v="no significant impact"/>
    <s v="minimum impact"/>
    <s v="no significant "/>
    <m/>
    <m/>
    <n v="1750"/>
    <n v="1750"/>
    <m/>
    <m/>
    <m/>
    <n v="1750"/>
    <n v="1750"/>
    <n v="1750"/>
    <m/>
    <m/>
    <n v="8750"/>
    <s v="Utilize state-of-the-art technologies and facilities in an optimal and efficient manner"/>
    <m/>
  </r>
  <r>
    <s v="Academic"/>
    <s v="No Applicable"/>
    <s v="College of Engineering"/>
    <n v="847"/>
    <n v="8470335"/>
    <s v="KUST - Industrial &amp; Systems Engineering"/>
    <n v="1"/>
    <n v="436600"/>
    <s v="436600-Training/Teaching equipment and other educational aid"/>
    <s v="000000"/>
    <s v="KUST - General"/>
    <n v="847001"/>
    <s v="FA179-Opex Expense"/>
    <n v="200179"/>
    <x v="128"/>
    <n v="11192.69"/>
    <n v="12000"/>
    <n v="11850"/>
    <s v="436600.Training/Teaching equipment and other educational aid-Number of Faculty-Number"/>
    <s v="Number"/>
    <n v="3"/>
    <n v="4000"/>
    <s v="training and teaching aids misc."/>
    <n v="12000"/>
    <s v="KU Regular operations"/>
    <s v="Recurring"/>
    <n v="10800"/>
    <n v="9600"/>
    <n v="8400"/>
    <s v="no significant impact"/>
    <s v="minimum impact"/>
    <s v="reduce support for teaching aids"/>
    <m/>
    <m/>
    <n v="4000"/>
    <m/>
    <n v="4000"/>
    <m/>
    <m/>
    <m/>
    <m/>
    <n v="4000"/>
    <m/>
    <m/>
    <n v="12000"/>
    <s v="Promote a working culture of excellence and accountability"/>
    <m/>
  </r>
  <r>
    <s v="Facilities "/>
    <s v="Director, Research Laboratories"/>
    <s v="College of Engineering"/>
    <n v="847"/>
    <n v="8470335"/>
    <s v="KUST - Industrial &amp; Systems Engineering"/>
    <n v="1"/>
    <n v="492316"/>
    <s v="492316-Laboratory equipment"/>
    <s v="000000"/>
    <s v="KUST - General"/>
    <n v="847001"/>
    <s v="FA180-Capex Expense"/>
    <n v="300180"/>
    <x v="129"/>
    <n v="31330"/>
    <n v="234334"/>
    <n v="234000"/>
    <s v="492316.Laboratory equipment-Number of Students-Number"/>
    <s v="Number"/>
    <n v="2"/>
    <n v="145000"/>
    <s v="A- Augmented reality welding with robotics for the manufacturing lab, B- Human Factors lab rehabilitation driving simulator"/>
    <n v="290000"/>
    <s v="KU Strategic New Initiative"/>
    <s v="Non-recurring"/>
    <n v="261000"/>
    <n v="232000"/>
    <n v="203000"/>
    <s v="Full amount required. May need to transfer remaining amount from other expenses"/>
    <s v="reduce functionality of infrastructure"/>
    <s v="reduce lab functionalities for teaching "/>
    <m/>
    <m/>
    <n v="145000"/>
    <m/>
    <n v="145000"/>
    <m/>
    <m/>
    <m/>
    <m/>
    <m/>
    <m/>
    <m/>
    <n v="290000"/>
    <s v="Align academic programs with the local and global labor market needs"/>
    <s v="Compared to FY22 budget has significantly increased by 42% for CoE; most of CoE increased their funding in the range of 40%-74%, except for ME and CE."/>
  </r>
  <r>
    <s v="Academic"/>
    <s v="No Applicable"/>
    <s v="College of Engineering"/>
    <n v="847"/>
    <n v="8470340"/>
    <s v="KUST - Mechanical Engineering"/>
    <n v="1"/>
    <n v="420550"/>
    <s v="420550-Academic Advisory Service"/>
    <s v="000000"/>
    <s v="KUST - General"/>
    <n v="847001"/>
    <s v="FA179-Opex Expense"/>
    <n v="200179"/>
    <x v="130"/>
    <s v="-"/>
    <n v="3000"/>
    <n v="3000"/>
    <s v="420550.Academic Advisory Service-Number of Students-Number"/>
    <s v="Number"/>
    <n v="1"/>
    <n v="3000"/>
    <s v="One meeting of the industrial advisory group of the deprtment.  Hospitality for 10 individuals and 6 KU faculty."/>
    <n v="3000"/>
    <s v="KU Regular operations"/>
    <s v="Recurring"/>
    <n v="2700"/>
    <n v="2400"/>
    <n v="2100"/>
    <s v="minimal"/>
    <s v="minimal"/>
    <s v="minimal"/>
    <m/>
    <m/>
    <m/>
    <m/>
    <m/>
    <m/>
    <m/>
    <m/>
    <m/>
    <m/>
    <m/>
    <n v="3000"/>
    <n v="3000"/>
    <s v="Align academic programs with the local and global labor market needs"/>
    <m/>
  </r>
  <r>
    <s v="Communiction &amp; Marketing"/>
    <s v="Director, Marketing and Communication"/>
    <s v="College of Engineering"/>
    <n v="847"/>
    <n v="8470340"/>
    <s v="KUST - Mechanical Engineering"/>
    <n v="1"/>
    <n v="425510"/>
    <s v="425510-Conferences, seminars and exhibitions and other events: - Local Events"/>
    <s v="000000"/>
    <s v="KUST - General"/>
    <n v="847001"/>
    <s v="FA179-Opex Expense"/>
    <n v="200179"/>
    <x v="131"/>
    <s v="-"/>
    <n v="10000"/>
    <n v="10000"/>
    <s v="425510.Conferences, seminars and exhibitions and other events: - Local Events-The area of rented halls for events, seminars, and exhibition.-2m"/>
    <s v="2m"/>
    <n v="1"/>
    <n v="10000"/>
    <s v="Support for conferences organized locally by faculty.  Costs of visas for invited speakers.  KU appearing as a co-sponsor of the events"/>
    <n v="10000"/>
    <s v="KU Regular operations"/>
    <s v="Recurring"/>
    <n v="9000"/>
    <n v="8000"/>
    <n v="7000"/>
    <s v="minimal"/>
    <s v="minimal"/>
    <s v="minimal"/>
    <m/>
    <m/>
    <m/>
    <m/>
    <n v="5000"/>
    <m/>
    <m/>
    <m/>
    <m/>
    <m/>
    <n v="5000"/>
    <m/>
    <n v="10000"/>
    <s v="Develop a life-long culture of community service beyond the classroom "/>
    <m/>
  </r>
  <r>
    <s v="Student"/>
    <s v="No Applicable"/>
    <s v="College of Engineering"/>
    <n v="847"/>
    <n v="8470340"/>
    <s v="KUST - Mechanical Engineering"/>
    <n v="1"/>
    <n v="425720"/>
    <s v="425720-Education-Outsourced training service"/>
    <s v="000000"/>
    <s v="KUST - General"/>
    <n v="847001"/>
    <s v="FA179-Opex Expense"/>
    <n v="200179"/>
    <x v="132"/>
    <s v="-"/>
    <n v="30000"/>
    <n v="10000"/>
    <s v="425720.Education-Outsourced training service-Activities-No of Activities"/>
    <s v="No of Activities"/>
    <n v="2"/>
    <n v="5000"/>
    <s v="One training even for each of our two remaining machinists"/>
    <n v="10000"/>
    <m/>
    <s v="Recurring"/>
    <n v="9000"/>
    <n v="8000"/>
    <n v="7000"/>
    <s v="minimal"/>
    <s v="modest"/>
    <s v="modest"/>
    <m/>
    <m/>
    <m/>
    <n v="5000"/>
    <m/>
    <m/>
    <m/>
    <m/>
    <m/>
    <n v="5000"/>
    <m/>
    <m/>
    <n v="10000"/>
    <s v="Utilize state-of-the-art technologies and facilities in an optimal and efficient manner"/>
    <m/>
  </r>
  <r>
    <s v="Student"/>
    <s v="Director, Student Services"/>
    <s v="College of Engineering"/>
    <n v="847"/>
    <n v="8470340"/>
    <s v="KUST - Mechanical Engineering"/>
    <n v="1"/>
    <n v="425760"/>
    <s v="425760-Student activities &amp; field trip expenses"/>
    <s v="000000"/>
    <s v="KUST - General"/>
    <n v="847001"/>
    <s v="FA179-Opex Expense"/>
    <n v="200179"/>
    <x v="133"/>
    <s v="-"/>
    <n v="12000"/>
    <n v="32000"/>
    <s v="425760.Student activities &amp; field trip expenses-Students-No of Students"/>
    <s v="No of Students"/>
    <n v="6"/>
    <n v="2000"/>
    <s v="Field trips to ADNOC, Emirates Global Aluminum, Strata (Mubadala), and Shams power station as part of the courses on Turbomachinery, Materials/Metallurgy, and Applied Thermodynamics/Renewable Energy Systems. Additional support for two activities of the ASME student chapter."/>
    <n v="12000"/>
    <s v="KU Regular operations"/>
    <s v="Recurring"/>
    <n v="10800"/>
    <n v="9600"/>
    <n v="8400"/>
    <s v="minimal"/>
    <s v="modest"/>
    <s v="modest"/>
    <m/>
    <n v="2000"/>
    <m/>
    <n v="2000"/>
    <n v="2000"/>
    <m/>
    <m/>
    <m/>
    <n v="2000"/>
    <n v="2000"/>
    <n v="2000"/>
    <m/>
    <n v="12000"/>
    <s v="Align academic programs with the local and global labor market needs"/>
    <m/>
  </r>
  <r>
    <s v="Student"/>
    <s v="No Applicable"/>
    <s v="College of Engineering"/>
    <n v="847"/>
    <n v="8470340"/>
    <s v="KUST - Mechanical Engineering"/>
    <n v="1"/>
    <n v="425763"/>
    <s v="425763-Student Project Expenses"/>
    <s v="000000"/>
    <s v="KUST - General"/>
    <n v="847001"/>
    <s v="FA179-Opex Expense"/>
    <n v="200179"/>
    <x v="134"/>
    <n v="252926.41"/>
    <n v="480000"/>
    <n v="480000"/>
    <s v="425763.Student Project Expenses-Number of Students UG-Month"/>
    <s v="Month"/>
    <n v="100"/>
    <n v="5000"/>
    <s v="Support for undergraduate students' senior design projects. 100 students per year x 5000 AED per student.  The amoounts will be released early in the semesters and settled at the end against receipts collected from student reimbursements. "/>
    <n v="500000"/>
    <s v="KU Regular operations"/>
    <s v="Recurring"/>
    <n v="450000"/>
    <n v="400000"/>
    <n v="350000"/>
    <s v="modest"/>
    <s v="serious"/>
    <s v="very serious"/>
    <m/>
    <n v="150000"/>
    <m/>
    <n v="100000"/>
    <m/>
    <m/>
    <m/>
    <m/>
    <n v="150000"/>
    <m/>
    <n v="100000"/>
    <m/>
    <n v="500000"/>
    <s v="Align academic programs with the local and global labor market needs"/>
    <m/>
  </r>
  <r>
    <s v="Academic"/>
    <s v="No Applicable"/>
    <s v="College of Engineering"/>
    <n v="847"/>
    <n v="8470340"/>
    <s v="KUST - Mechanical Engineering"/>
    <n v="1"/>
    <n v="425770"/>
    <s v="425770-Academic Missions - Combined expenses"/>
    <s v="000000"/>
    <s v="KUST - General"/>
    <n v="847001"/>
    <s v="FA179-Opex Expense"/>
    <n v="200179"/>
    <x v="135"/>
    <n v="30017.78"/>
    <n v="630000"/>
    <n v="630000"/>
    <s v="425770.Academic Missions - Combined expenses-Number of Conference-Number"/>
    <s v="Number"/>
    <n v="35"/>
    <n v="20000"/>
    <s v="One trip per year to a top-quality conference for  each of 35 faculty members x 20,000 AED per trip"/>
    <n v="700000"/>
    <s v="KU Regular operations"/>
    <s v="Recurring"/>
    <n v="630000"/>
    <n v="560000"/>
    <n v="489999.99999999994"/>
    <s v="modest"/>
    <s v="serious"/>
    <s v="very serious"/>
    <m/>
    <n v="70000"/>
    <n v="70000"/>
    <n v="70000"/>
    <n v="70000"/>
    <n v="70000"/>
    <n v="70000"/>
    <n v="70000"/>
    <n v="70000"/>
    <n v="70000"/>
    <n v="70000"/>
    <m/>
    <n v="700000"/>
    <s v="Recruit and retain high caliber faculty, researchers and staff"/>
    <s v="Compared to FY22, the Academic mission expense increased by 32%, and especially the Dean of Engineering and Electrical &amp; computer Engg department increased their statements by 39% to 48%. The rest of the departments in CoE increased by 25% to 33%."/>
  </r>
  <r>
    <s v="Other support"/>
    <s v="Director, Human Resources"/>
    <s v="College of Engineering"/>
    <n v="847"/>
    <n v="8470340"/>
    <s v="KUST - Mechanical Engineering"/>
    <n v="1"/>
    <n v="425900"/>
    <s v="425900-Entertainment and hospitality"/>
    <s v="000000"/>
    <s v="KUST - General"/>
    <n v="847001"/>
    <s v="FA179-Opex Expense"/>
    <n v="200179"/>
    <x v="136"/>
    <s v="-"/>
    <n v="54000"/>
    <n v="54000"/>
    <s v="425900.Entertainment and hospitality-1. No of events/workshops planned-count"/>
    <s v="count"/>
    <n v="2"/>
    <n v="10000"/>
    <s v="Two deprtmental retreats a year"/>
    <n v="20000"/>
    <s v="KU Regular operations"/>
    <s v="Recurring"/>
    <n v="18000"/>
    <n v="16000"/>
    <n v="14000"/>
    <s v="minimal"/>
    <s v="minimal"/>
    <s v="minimal"/>
    <m/>
    <m/>
    <n v="10000"/>
    <m/>
    <m/>
    <m/>
    <m/>
    <m/>
    <m/>
    <m/>
    <n v="10000"/>
    <m/>
    <n v="20000"/>
    <s v="Recruit and retain high caliber faculty, researchers and staff"/>
    <m/>
  </r>
  <r>
    <s v="IT"/>
    <s v="Director, Technology Development"/>
    <s v="College of Engineering"/>
    <n v="847"/>
    <n v="8470340"/>
    <s v="KUST - Mechanical Engineering"/>
    <n v="1"/>
    <n v="426610"/>
    <s v="426610-Computer software licenses"/>
    <s v="000000"/>
    <s v="KUST - General"/>
    <n v="847001"/>
    <s v="FA179-Opex Expense"/>
    <n v="200179"/>
    <x v="137"/>
    <n v="167257"/>
    <n v="210000"/>
    <n v="210000"/>
    <s v="426610.Computer software licenses-Software License Renewal-number of licenses-Number"/>
    <s v="Number"/>
    <n v="1"/>
    <n v="230000"/>
    <s v="Please, see itemized list of software that is used for educational purposes in the deprtment.  Annual renewal of software, split in two semesters."/>
    <n v="230000"/>
    <s v="KU Regular operations"/>
    <s v="Recurring"/>
    <n v="207000"/>
    <n v="184000"/>
    <n v="161000"/>
    <s v="very serious"/>
    <s v="very serious"/>
    <s v="very serious"/>
    <m/>
    <n v="115000"/>
    <m/>
    <m/>
    <n v="115000"/>
    <m/>
    <m/>
    <m/>
    <m/>
    <m/>
    <m/>
    <m/>
    <n v="230000"/>
    <s v="Align academic programs with the local and global labor market needs"/>
    <m/>
  </r>
  <r>
    <s v="Academic"/>
    <s v="No Applicable"/>
    <s v="College of Engineering"/>
    <n v="847"/>
    <n v="8470340"/>
    <s v="KUST - Mechanical Engineering"/>
    <n v="1"/>
    <n v="432209"/>
    <s v="432209-Laboratory equipment"/>
    <s v="000000"/>
    <s v="KUST - General"/>
    <n v="847001"/>
    <s v="FA179-Opex Expense"/>
    <n v="200179"/>
    <x v="138"/>
    <n v="44819.01"/>
    <n v="80000"/>
    <n v="80000"/>
    <s v="432209.Laboratory equipment-Number of Students-Number"/>
    <s v="Number"/>
    <n v="1"/>
    <n v="80000"/>
    <s v="Please, see attached detailed quote. One maintenance contract for the instructional equipment of the department"/>
    <n v="80000"/>
    <s v="KU Regular operations"/>
    <s v="Recurring"/>
    <n v="72000"/>
    <n v="64000"/>
    <n v="56000"/>
    <s v="modest"/>
    <s v="very serious- crucial maintenance may not be possible."/>
    <s v="very serious- crucial maintenance may not be possible."/>
    <n v="80000"/>
    <m/>
    <m/>
    <m/>
    <m/>
    <m/>
    <m/>
    <m/>
    <m/>
    <m/>
    <m/>
    <m/>
    <n v="80000"/>
    <s v="Utilize state-of-the-art technologies and facilities in an optimal and efficient manner"/>
    <s v="Compared to FY22, Laboratory equipment increased 51%, dean of engineering increased by 79%, Petroleum by 69%, and Biomedical 55% increased"/>
  </r>
  <r>
    <s v="Academic"/>
    <s v="No Applicable"/>
    <s v="College of Engineering"/>
    <n v="847"/>
    <n v="8470340"/>
    <s v="KUST - Mechanical Engineering"/>
    <n v="1"/>
    <n v="435350"/>
    <s v="435350-Academic Publications"/>
    <s v="000000"/>
    <s v="KUST - General"/>
    <n v="847001"/>
    <s v="FA179-Opex Expense"/>
    <n v="200179"/>
    <x v="139"/>
    <n v="98140.64"/>
    <n v="336000"/>
    <n v="350000"/>
    <s v="427200.Printing and publishing-The printing cost of the department's publications-count"/>
    <s v="count"/>
    <n v="35"/>
    <n v="10000"/>
    <s v="One open-access publication for each faculty member in a Q1 journal. 35 faculty members x 10000 AED per publication."/>
    <n v="350000"/>
    <s v="KU Regular operations"/>
    <s v="Recurring"/>
    <n v="315000"/>
    <n v="280000"/>
    <n v="244999.99999999997"/>
    <s v="serious"/>
    <s v="serious"/>
    <s v="serious"/>
    <n v="25000"/>
    <n v="30000"/>
    <n v="30000"/>
    <n v="30000"/>
    <n v="30000"/>
    <n v="30000"/>
    <n v="30000"/>
    <n v="30000"/>
    <n v="30000"/>
    <n v="30000"/>
    <n v="30000"/>
    <n v="25000"/>
    <n v="350000"/>
    <s v="Recruit and retain high caliber faculty, researchers and staff"/>
    <m/>
  </r>
  <r>
    <s v="Academic"/>
    <s v="Director, Research Laboratories"/>
    <s v="College of Engineering"/>
    <n v="847"/>
    <n v="8470340"/>
    <s v="KUST - Mechanical Engineering"/>
    <n v="1"/>
    <n v="435508"/>
    <s v="435508-Laboratory - Scientific"/>
    <s v="000000"/>
    <s v="KUST - General"/>
    <n v="847001"/>
    <s v="FA179-Opex Expense"/>
    <n v="200179"/>
    <x v="140"/>
    <n v="71573.960000000006"/>
    <n v="264000"/>
    <n v="250000"/>
    <s v="432209.Laboratory equipment-Number of Students-Number"/>
    <s v="Number"/>
    <n v="12"/>
    <n v="20000"/>
    <s v="Raw materials for machining, electric and electronic hardware, chemicals, gases, as well as tools and hardware.  Itemized estmates per month:  Workshop (Main and SAN): 6000 AED, Solids, Heat Transfer and Fluids labs: 1000 AED, Material Testing lab: 4000 AED, 3D Printing labs: 5000 AED, _x000a_Mechatronics lab:_x0009_2000 AED, Spare Parts for all labs: 2000 AED"/>
    <n v="240000"/>
    <s v="KU Regular operations"/>
    <s v="Recurring"/>
    <n v="216000"/>
    <n v="192000"/>
    <n v="168000"/>
    <s v="modest"/>
    <s v="modest"/>
    <s v="serious"/>
    <n v="20000"/>
    <n v="20000"/>
    <n v="20000"/>
    <n v="20000"/>
    <n v="20000"/>
    <n v="20000"/>
    <n v="20000"/>
    <n v="20000"/>
    <n v="20000"/>
    <n v="20000"/>
    <n v="20000"/>
    <n v="20000"/>
    <n v="240000"/>
    <s v="Utilize state-of-the-art technologies and facilities in an optimal and efficient manner"/>
    <m/>
  </r>
  <r>
    <s v="Facilities "/>
    <s v="Director, Research Laboratories"/>
    <s v="College of Engineering"/>
    <n v="847"/>
    <n v="8470340"/>
    <s v="KUST - Mechanical Engineering"/>
    <n v="1"/>
    <n v="492316"/>
    <s v="492316-Laboratory equipment"/>
    <s v="000000"/>
    <s v="KUST - General"/>
    <n v="847001"/>
    <s v="FA180-Capex Expense"/>
    <n v="300180"/>
    <x v="141"/>
    <n v="267712"/>
    <n v="533159"/>
    <n v="533159"/>
    <s v="432209.Laboratory equipment-Number of Faculty-Number"/>
    <s v="Number"/>
    <n v="1"/>
    <n v="185000"/>
    <s v="CAPEX:  Please, see attached detailed quote. SLS 3D Printer. This printer would replace existing and aging Polyjet, multi-material, OBJECT 260 Connex 3D Printer for which very expensive-to-fix breakdowns are frequently encountered. AMCs are not useful for this current printer as they exclude very expensive spares. Throughput is not efficient and 3d print raw materials are exhorbitantly priced with short expiry dates for this existing resource."/>
    <n v="185000"/>
    <s v="KU Strategic New Initiative"/>
    <s v="Non-recurring"/>
    <n v="166500"/>
    <n v="148000"/>
    <n v="129499.99999999999"/>
    <s v="modest"/>
    <s v="very serious -the acquisition will most probably not be possible"/>
    <s v="very serious -the acquisition will most probably not be possible"/>
    <m/>
    <m/>
    <n v="185000"/>
    <m/>
    <m/>
    <m/>
    <m/>
    <m/>
    <m/>
    <m/>
    <m/>
    <m/>
    <n v="185000"/>
    <s v="Align academic programs with the local and global labor market needs"/>
    <s v="Compared to FY22 budget has significantly increased by 42% for CoE; most of CoE increased their funding in the range of 40%-74%, except for ME and CE."/>
  </r>
  <r>
    <s v="Facilities "/>
    <s v="Director, Research Laboratories"/>
    <s v="College of Engineering"/>
    <n v="847"/>
    <n v="8470340"/>
    <s v="KUST - Mechanical Engineering"/>
    <n v="1"/>
    <n v="492316"/>
    <s v="492316-Laboratory equipment"/>
    <s v="000000"/>
    <s v="KUST - General"/>
    <n v="847001"/>
    <s v="FA180-Capex Expense"/>
    <n v="300180"/>
    <x v="141"/>
    <m/>
    <m/>
    <m/>
    <s v="432209.Laboratory equipment-Number of Faculty-Number"/>
    <s v="Number"/>
    <n v="1"/>
    <n v="90000"/>
    <s v="CAPEX: Please, see attached detailed quote. Conductivity of liquids and gases and natural convection experiments to be incorporated in the heat transfer lab."/>
    <n v="90000"/>
    <s v="KU Strategic New Initiative"/>
    <s v="Non-recurring"/>
    <n v="81000"/>
    <n v="72000"/>
    <n v="62999.999999999993"/>
    <s v="modest"/>
    <s v="very serious -the acquisition will most probably not be possible"/>
    <s v="very serious -the acquisition will most probably not be possible"/>
    <m/>
    <n v="90000"/>
    <m/>
    <m/>
    <m/>
    <m/>
    <m/>
    <m/>
    <m/>
    <m/>
    <m/>
    <m/>
    <n v="90000"/>
    <s v="Utilize state-of-the-art technologies and facilities in an optimal and efficient manner"/>
    <s v="Compared to FY22 budget has significantly increased by 42% for CoE; most of CoE increased their funding in the range of 40%-74%, except for ME and CE."/>
  </r>
  <r>
    <s v="Facilities "/>
    <s v="Director, Research Laboratories"/>
    <s v="College of Engineering"/>
    <n v="847"/>
    <n v="8470340"/>
    <s v="KUST - Mechanical Engineering"/>
    <n v="1"/>
    <n v="492316"/>
    <s v="492316-Laboratory equipment"/>
    <s v="000000"/>
    <s v="KUST - General"/>
    <n v="847001"/>
    <s v="FA180-Capex Expense"/>
    <n v="300180"/>
    <x v="141"/>
    <m/>
    <m/>
    <m/>
    <s v="432209.Laboratory equipment-Number of Faculty-Number"/>
    <s v="Number"/>
    <n v="1"/>
    <n v="240000"/>
    <s v="CAPEX: Please, see attached detailed quote. MATLAB/SIMULINK-based feedback control techniques and equipment to be incorporated to the Mechatronis lab"/>
    <n v="240000"/>
    <s v="KU Strategic New Initiative"/>
    <s v="Non-recurring"/>
    <n v="216000"/>
    <n v="192000"/>
    <n v="168000"/>
    <s v="modest"/>
    <s v="very serious -the acquisition will most probably not be possible"/>
    <s v="very serious -the acquisition will most probably not be possible"/>
    <m/>
    <m/>
    <m/>
    <n v="240000"/>
    <m/>
    <m/>
    <m/>
    <m/>
    <m/>
    <m/>
    <m/>
    <m/>
    <n v="240000"/>
    <s v="Utilize state-of-the-art technologies and facilities in an optimal and efficient manner"/>
    <s v="Compared to FY22 budget has significantly increased by 42% for CoE; most of CoE increased their funding in the range of 40%-74%, except for ME and CE."/>
  </r>
  <r>
    <s v="Academic"/>
    <s v="No Applicable"/>
    <s v="College of Engineering"/>
    <n v="847"/>
    <n v="8470345"/>
    <s v="KUST - Nuclear Engineering"/>
    <n v="1"/>
    <n v="420550"/>
    <s v="420550-Academic Advisory Service"/>
    <s v="000000"/>
    <s v="KUST - General"/>
    <n v="847001"/>
    <s v="FA179-Opex Expense"/>
    <n v="200179"/>
    <x v="142"/>
    <s v="-"/>
    <n v="20000"/>
    <n v="20000"/>
    <s v="420550.Academic Advisory Service-Number of Students-Number"/>
    <n v="10"/>
    <n v="2"/>
    <n v="10000"/>
    <s v="2 academic advisor services per year "/>
    <n v="20000"/>
    <s v="KU Regular operations"/>
    <s v="Recurring"/>
    <n v="18000"/>
    <n v="16000"/>
    <n v="14000"/>
    <s v="90% - Will reduce the number/scope of advisory service"/>
    <s v="80% - Will reduce the number/scope of advisory service"/>
    <s v="70% - Will reduce the number/scope of advisory service"/>
    <m/>
    <m/>
    <n v="10000"/>
    <m/>
    <m/>
    <m/>
    <m/>
    <n v="10000"/>
    <m/>
    <m/>
    <m/>
    <m/>
    <n v="20000"/>
    <s v="Align academic programs with the local and global labor market needs"/>
    <m/>
  </r>
  <r>
    <s v="Communiction &amp; Marketing"/>
    <s v="Director, Marketing and Communication"/>
    <s v="College of Engineering"/>
    <n v="847"/>
    <n v="8470345"/>
    <s v="KUST - Nuclear Engineering"/>
    <n v="1"/>
    <n v="425510"/>
    <s v="425510-Conferences, seminars and exhibitions and other events: - Local Events"/>
    <s v="000000"/>
    <s v="KUST - General"/>
    <n v="847001"/>
    <s v="FA179-Opex Expense"/>
    <n v="200179"/>
    <x v="143"/>
    <n v="65000"/>
    <n v="30000"/>
    <n v="30000"/>
    <s v="425510.Conferences, seminars and exhibitions and other events: - Local Events-Conferences-Number of Conferences"/>
    <n v="2"/>
    <n v="2"/>
    <n v="17500"/>
    <s v="2 workshops organised per year"/>
    <n v="35000"/>
    <s v="KU Regular operations"/>
    <s v="Recurring"/>
    <n v="31500"/>
    <n v="28000"/>
    <n v="24500"/>
    <s v="Vital - Nedeed to maintain/promote KU not to negatively impact KU ranking"/>
    <s v="Vital - Nedeed to maintain/promote KU not to negatively impact KU ranking"/>
    <s v="Vital - Nedeed to maintain/promote KU not to negatively impact KU ranking"/>
    <m/>
    <m/>
    <n v="15000"/>
    <m/>
    <m/>
    <m/>
    <m/>
    <m/>
    <n v="20000"/>
    <m/>
    <m/>
    <m/>
    <n v="35000"/>
    <s v="Attract and organize international conferences and summits"/>
    <m/>
  </r>
  <r>
    <s v="Student"/>
    <s v="Director, Student Services"/>
    <s v="College of Engineering"/>
    <n v="847"/>
    <n v="8470345"/>
    <s v="KUST - Nuclear Engineering"/>
    <n v="1"/>
    <n v="425760"/>
    <s v="425760-Student activities &amp; field trip expenses"/>
    <s v="000000"/>
    <s v="KUST - General"/>
    <n v="847001"/>
    <s v="FA179-Opex Expense"/>
    <n v="200179"/>
    <x v="144"/>
    <s v="-"/>
    <n v="120000"/>
    <n v="120000"/>
    <s v="425760.Student activities &amp; field trip expenses-Events-No of Events"/>
    <n v="1"/>
    <n v="8"/>
    <n v="20000"/>
    <s v="1 field trip per year for 8 students 20k per student"/>
    <n v="160000"/>
    <s v="KU Regular operations"/>
    <s v="Recurring"/>
    <n v="144000"/>
    <n v="128000"/>
    <n v="112000"/>
    <s v="90% - Will reduce ability to provide student with important practical experience"/>
    <s v="80% - Will reduce ability to provide student with important practical experience"/>
    <s v="70% - Will reduce ability to provide student with important practical experience"/>
    <m/>
    <m/>
    <m/>
    <m/>
    <m/>
    <m/>
    <n v="160000"/>
    <m/>
    <m/>
    <m/>
    <m/>
    <m/>
    <n v="160000"/>
    <s v="Establish a mobility program for students, faculty, researchers and staff"/>
    <m/>
  </r>
  <r>
    <s v="Academic"/>
    <s v="No Applicable"/>
    <s v="College of Engineering"/>
    <n v="847"/>
    <n v="8470345"/>
    <s v="KUST - Nuclear Engineering"/>
    <n v="1"/>
    <n v="425770"/>
    <s v="425770-Academic Missions - Combined expenses"/>
    <s v="000000"/>
    <s v="KUST - General"/>
    <n v="847001"/>
    <s v="FA179-Opex Expense"/>
    <n v="200179"/>
    <x v="145"/>
    <n v="20865"/>
    <n v="105000"/>
    <n v="105000"/>
    <s v="425770.Academic Missions - Combined expenses-Number of Conference-Number"/>
    <n v="7"/>
    <n v="7"/>
    <n v="20000"/>
    <s v="1 mission per faculty per year, 20 k per mission"/>
    <n v="140000"/>
    <s v="KU Regular operations"/>
    <s v="Recurring"/>
    <n v="126000"/>
    <n v="112000"/>
    <n v="98000"/>
    <s v="Vital, needed to maintain KU visibility and Faculty connection/expertise"/>
    <s v="Vital, needed to maintain KU visibility and Faculty connection/expertise"/>
    <s v="Vital, needed to maintain KU visibility and Faculty connection/expertise"/>
    <n v="20000"/>
    <m/>
    <n v="20000"/>
    <m/>
    <n v="20000"/>
    <n v="20000"/>
    <m/>
    <n v="20000"/>
    <m/>
    <n v="20000"/>
    <m/>
    <n v="20000"/>
    <n v="140000"/>
    <s v="Enhance the communication plan and outreach activities"/>
    <s v="Compared to FY22, the Academic mission expense increased by 32%, and especially the Dean of Engineering and Electrical &amp; computer Engg department increased their statements by 39% to 48%. The rest of the departments in CoE increased by 25% to 33%."/>
  </r>
  <r>
    <s v="Other support"/>
    <s v="Director, Human Resources"/>
    <s v="College of Engineering"/>
    <n v="847"/>
    <n v="8470345"/>
    <s v="KUST - Nuclear Engineering"/>
    <n v="1"/>
    <n v="425900"/>
    <s v="425900-Entertainment and hospitality"/>
    <s v="000000"/>
    <s v="KUST - General"/>
    <n v="847001"/>
    <s v="FA179-Opex Expense"/>
    <n v="200179"/>
    <x v="146"/>
    <s v="-"/>
    <n v="3000"/>
    <n v="3000"/>
    <s v="425900.Entertainment and hospitality-1. No of events/workshops planned-count"/>
    <n v="6"/>
    <n v="6"/>
    <n v="500"/>
    <s v="6 hospitality per year, expansion internaltional cooperation"/>
    <n v="3000"/>
    <s v="KU Regular operations"/>
    <s v="Recurring"/>
    <n v="2700"/>
    <n v="2400"/>
    <n v="2100"/>
    <s v="90% - Will reduce ability to promote/develop KU partenership"/>
    <s v="80% - Will reduce ability to promote/develop KU partenership"/>
    <s v="70% - Will reduce ability to promote/develop KU partenership"/>
    <n v="500"/>
    <m/>
    <n v="500"/>
    <m/>
    <n v="500"/>
    <m/>
    <n v="500"/>
    <m/>
    <n v="500"/>
    <m/>
    <n v="500"/>
    <m/>
    <n v="3000"/>
    <s v="Enhance the communication plan and outreach activities"/>
    <m/>
  </r>
  <r>
    <s v="IT"/>
    <s v="Director, Technology Development"/>
    <s v="College of Engineering"/>
    <n v="847"/>
    <n v="8470345"/>
    <s v="KUST - Nuclear Engineering"/>
    <n v="1"/>
    <n v="426610"/>
    <s v="426610-Computer software licenses"/>
    <s v="000000"/>
    <s v="KUST - General"/>
    <n v="847001"/>
    <s v="FA179-Opex Expense"/>
    <n v="200179"/>
    <x v="147"/>
    <n v="-38267.69"/>
    <n v="146983"/>
    <n v="146983"/>
    <s v="426610.Computer software licenses-Software License Renewal-number of licenses-Number"/>
    <n v="1"/>
    <n v="1"/>
    <n v="59217"/>
    <s v="Yearly subscriptions / Quotations in OPEX RDA Lab"/>
    <n v="59217"/>
    <s v="KU Regular operations"/>
    <s v="Recurring"/>
    <n v="53295.3"/>
    <n v="47373.600000000006"/>
    <n v="41451.899999999994"/>
    <s v="Mandatory, cannot be reduced for normal operation"/>
    <s v="Mandatory, cannot be reduced for normal operation"/>
    <s v="Mandatory, cannot be reduced for normal operation"/>
    <n v="59217"/>
    <m/>
    <m/>
    <m/>
    <m/>
    <m/>
    <m/>
    <m/>
    <m/>
    <m/>
    <m/>
    <m/>
    <n v="59217"/>
    <s v="Ensure the university sustainability "/>
    <m/>
  </r>
  <r>
    <s v="Academic "/>
    <s v="No Applicable"/>
    <s v="College of Engineering"/>
    <n v="847"/>
    <n v="8470345"/>
    <s v="KUST - Nuclear Engineering"/>
    <n v="1"/>
    <n v="428090"/>
    <s v="428090-Business Travel - Combined expenses"/>
    <s v="000000"/>
    <s v="KUST - General"/>
    <n v="847001"/>
    <s v="FA179-Opex Expense"/>
    <n v="200179"/>
    <x v="148"/>
    <n v="3907.76"/>
    <n v="44592"/>
    <n v="44592"/>
    <s v="428090.Business Travel - Combined expenses-Number of Faculty-Number"/>
    <n v="2"/>
    <n v="2"/>
    <n v="25000"/>
    <s v="2 buisness travel per year"/>
    <n v="50000"/>
    <s v="KU Regular operations"/>
    <s v="Recurring"/>
    <n v="45000"/>
    <n v="40000"/>
    <n v="35000"/>
    <s v="90%  - Reduce capability for KU promotioon/cooperation - impact on ranking"/>
    <s v="80%  - Reduce capability for KU promotioon/cooperation - impact on ranking"/>
    <s v="70%  - Reduce capability for KU promotioon/cooperation - impact on ranking"/>
    <m/>
    <m/>
    <n v="25000"/>
    <m/>
    <m/>
    <m/>
    <m/>
    <n v="25000"/>
    <m/>
    <m/>
    <m/>
    <m/>
    <n v="50000"/>
    <s v="Build partnerships with local and international universities"/>
    <m/>
  </r>
  <r>
    <s v="Academic"/>
    <s v="No Applicable"/>
    <s v="College of Engineering"/>
    <n v="847"/>
    <n v="8470345"/>
    <s v="KUST - Nuclear Engineering"/>
    <n v="1"/>
    <n v="435350"/>
    <s v="435350-Academic Publications"/>
    <s v="000000"/>
    <s v="KUST - General"/>
    <n v="847001"/>
    <s v="FA179-Opex Expense"/>
    <n v="200179"/>
    <x v="149"/>
    <n v="17035.740000000002"/>
    <n v="70000"/>
    <n v="70000"/>
    <s v="435350.Academic Publications-Number of Publications-Number"/>
    <n v="7"/>
    <n v="14"/>
    <n v="12000"/>
    <s v=" 2 open access Q1 publications per faculty per year"/>
    <n v="168000"/>
    <s v="KU Regular operations"/>
    <s v="Recurring"/>
    <n v="151200"/>
    <n v="134400"/>
    <n v="117599.99999999999"/>
    <s v="Vital, it is a priority of KU to publish in Q1 journal - high impact on KU ranking"/>
    <s v="Vital, it is a priority of KU to publish in Q1 journal - high impact on KU ranking"/>
    <s v="Vital, it is a priority of KU to publish in Q1 journal - high impact on KU ranking"/>
    <n v="12000"/>
    <n v="12000"/>
    <n v="12000"/>
    <n v="24000"/>
    <n v="12000"/>
    <n v="12000"/>
    <n v="12000"/>
    <n v="12000"/>
    <n v="24000"/>
    <n v="12000"/>
    <n v="12000"/>
    <n v="12000"/>
    <n v="168000"/>
    <s v="Increase publications in journals with high impact factor"/>
    <m/>
  </r>
  <r>
    <s v="Academic"/>
    <s v="Director, Research Laboratories"/>
    <s v="College of Engineering"/>
    <n v="847"/>
    <n v="8470345"/>
    <s v="KUST - Nuclear Engineering"/>
    <n v="1"/>
    <n v="435508"/>
    <s v="435508-Laboratory - Scientific"/>
    <s v="000000"/>
    <s v="KUST - General"/>
    <n v="847001"/>
    <s v="FA179-Opex Expense"/>
    <n v="200179"/>
    <x v="150"/>
    <n v="52975.5"/>
    <n v="197477"/>
    <n v="197477"/>
    <s v="435508.Laboratory - Scientific-Number of Students-Number"/>
    <n v="1"/>
    <n v="1"/>
    <n v="549184"/>
    <s v="According to detailed OPEX documents"/>
    <n v="549184"/>
    <s v="KU Regular operations"/>
    <s v="Recurring"/>
    <n v="494265.60000000003"/>
    <n v="439347.20000000001"/>
    <n v="384428.79999999999"/>
    <s v="Vital, needed for everyday operation and delivery of academic program, including students' projects provide NUCE with minimum video conferencing capabilities "/>
    <s v="Vital, needed for everyday operation and delivery of academic program, including students' projects provide NUCE with minimum video conferencing capabilities "/>
    <s v="Vital, needed for everyday operation and delivery of academic program, including students' projects provide NUCE with minimum video conferencing capabilities "/>
    <m/>
    <n v="349184"/>
    <m/>
    <m/>
    <n v="100000"/>
    <m/>
    <m/>
    <n v="100000"/>
    <m/>
    <m/>
    <m/>
    <m/>
    <n v="549184"/>
    <s v="Ensure the university sustainability "/>
    <m/>
  </r>
  <r>
    <s v="Other support"/>
    <s v="No Applicable"/>
    <s v="College of Engineering"/>
    <n v="847"/>
    <n v="8470345"/>
    <s v="KUST - Nuclear Engineering"/>
    <n v="1"/>
    <n v="436110"/>
    <s v="436110-Printing supplies"/>
    <s v="000000"/>
    <s v="KUST - General"/>
    <n v="847001"/>
    <s v="FA179-Opex Expense"/>
    <n v="200179"/>
    <x v="151"/>
    <n v="0"/>
    <n v="5742"/>
    <n v="5742"/>
    <s v="436110.Printing supplies-Number of Student-Number"/>
    <n v="5"/>
    <n v="6"/>
    <n v="1000"/>
    <s v="6 doc print per year "/>
    <n v="6000"/>
    <s v="KU Regular operations"/>
    <s v="Recurring"/>
    <n v="5400"/>
    <n v="4800"/>
    <n v="4200"/>
    <s v="90 % - Will reduce ability to promote educational program : diminution of number of students"/>
    <s v="80% - Will reduce ability to promote educational program : diminution of number of students"/>
    <s v="70% - Will reduce ability to promote educational program : diminution of number of students"/>
    <n v="1000"/>
    <m/>
    <n v="1000"/>
    <m/>
    <n v="1000"/>
    <m/>
    <n v="1000"/>
    <m/>
    <n v="1000"/>
    <m/>
    <n v="1000"/>
    <m/>
    <n v="6000"/>
    <s v="Increase number of postgraduate students"/>
    <m/>
  </r>
  <r>
    <s v="Academic"/>
    <s v="No Applicable"/>
    <s v="College of Engineering"/>
    <n v="847"/>
    <n v="8470345"/>
    <s v="KUST - Nuclear Engineering"/>
    <n v="1"/>
    <n v="436600"/>
    <s v="436600-Training/Teaching equipment and other educational aid"/>
    <s v="000000"/>
    <s v="KUST - General"/>
    <n v="847001"/>
    <s v="FA179-Opex Expense"/>
    <n v="200179"/>
    <x v="152"/>
    <s v="-"/>
    <n v="9640"/>
    <n v="9640"/>
    <s v="436600.Training/Teaching equipment and other educational aid-Number of Student-Number"/>
    <n v="15"/>
    <n v="15"/>
    <n v="38560"/>
    <s v="Videoconferencing system (quotation)"/>
    <n v="578400"/>
    <s v="KU Strategic New Initiative"/>
    <s v="Non-recurring"/>
    <n v="520560"/>
    <n v="462720"/>
    <n v="404880"/>
    <s v="Vital, needed to provide NUCE with minimum video conferencing capabilities "/>
    <s v="Vital, needed to provide NUCE with minimum video conferencing capabilities "/>
    <s v="Vital, needed to provide NUCE with minimum video conferencing capabilities "/>
    <m/>
    <n v="578400"/>
    <m/>
    <m/>
    <m/>
    <m/>
    <m/>
    <m/>
    <m/>
    <m/>
    <m/>
    <m/>
    <n v="578400"/>
    <s v="Utilize state-of-the-art technologies and facilities in an optimal and efficient manner"/>
    <m/>
  </r>
  <r>
    <s v="Facilities "/>
    <s v="Director, Research Laboratories"/>
    <s v="College of Engineering"/>
    <n v="847"/>
    <n v="8470345"/>
    <s v="KUST - Nuclear Engineering"/>
    <n v="1"/>
    <n v="492316"/>
    <s v="492316-Laboratory equipment"/>
    <s v="000000"/>
    <s v="KUST - General"/>
    <n v="847001"/>
    <s v="FA180-Capex Expense"/>
    <n v="300180"/>
    <x v="153"/>
    <n v="77504.460000000006"/>
    <n v="551330"/>
    <n v="551330"/>
    <s v="492316.Laboratory equipment-Number of Students-Number"/>
    <n v="1"/>
    <n v="1"/>
    <n v="2090045.75"/>
    <s v="According to detailed CAPEX documents"/>
    <n v="2090045.75"/>
    <s v="KU Strategic New Initiative"/>
    <s v="Non-recurring"/>
    <n v="1881041.175"/>
    <n v="1672036.6"/>
    <n v="1463032.0249999999"/>
    <s v="Impact KU ability to maintain state-of-the-art capabilities, prioritization to be made"/>
    <s v="Cannot be reduced : will not allow KU maintaining state-of-the-art capabilities"/>
    <s v="Cannot be reduced : will not allow KU maintaining state-of-the-art capabilities"/>
    <m/>
    <m/>
    <n v="1090045.75"/>
    <n v="1000000"/>
    <m/>
    <m/>
    <m/>
    <m/>
    <m/>
    <m/>
    <m/>
    <m/>
    <n v="2090045.75"/>
    <s v="Utilize state-of-the-art technologies and facilities in an optimal and efficient manner"/>
    <s v="Compared to FY22 budget has significantly increased by 42% for CoE; most of CoE increased their funding in the range of 40%-74%, except for ME and CE."/>
  </r>
  <r>
    <s v="Communiction &amp; Marketing"/>
    <s v="Director, Marketing and Communication"/>
    <s v="College of Engineering"/>
    <n v="847"/>
    <n v="8470350"/>
    <s v="KUST - Petroleum Engineering"/>
    <n v="1"/>
    <n v="425510"/>
    <s v="425510-Conferences, seminars and exhibitions and other events: - Local Events"/>
    <s v="000000"/>
    <s v="KUST - General"/>
    <n v="847001"/>
    <s v="FA179-Opex Expense"/>
    <n v="200179"/>
    <x v="154"/>
    <n v="2679.4"/>
    <n v="16000"/>
    <n v="16000"/>
    <s v="425510.Conferences, seminars and exhibitions and other events: - Local Events-Seminars-Number of Seminars"/>
    <s v="Number of Seminars"/>
    <n v="5"/>
    <n v="4000"/>
    <s v="Department seminars and exhibitions, etc."/>
    <n v="20000"/>
    <s v="KU Regular operations"/>
    <s v="Recurring"/>
    <n v="18000"/>
    <n v="16000"/>
    <n v="14000"/>
    <s v="Reduced quality of activity"/>
    <s v="Less quality of activity"/>
    <s v="Mimnimum quality activity"/>
    <n v="2000"/>
    <n v="2000"/>
    <n v="2000"/>
    <n v="2000"/>
    <n v="2000"/>
    <n v="2000"/>
    <m/>
    <n v="2000"/>
    <n v="2000"/>
    <n v="2000"/>
    <n v="2000"/>
    <m/>
    <n v="20000"/>
    <s v="Align academic programs with the local and global labor market needs"/>
    <m/>
  </r>
  <r>
    <s v="Student"/>
    <s v="Director, Student Services"/>
    <s v="College of Engineering"/>
    <n v="847"/>
    <n v="8470350"/>
    <s v="KUST - Petroleum Engineering"/>
    <n v="1"/>
    <n v="425760"/>
    <s v="425760-Student activities &amp; field trip expenses"/>
    <s v="000000"/>
    <s v="KUST - General"/>
    <n v="847001"/>
    <s v="FA179-Opex Expense"/>
    <n v="200179"/>
    <x v="155"/>
    <s v="-"/>
    <n v="25000"/>
    <n v="25000"/>
    <s v="425760.Student activities &amp; field trip expenses-Events-No of Events"/>
    <s v="No of Events"/>
    <n v="10"/>
    <n v="2500"/>
    <s v="SPE Student Chapter Activities"/>
    <n v="25000"/>
    <s v="KU Regular operations"/>
    <s v="Recurring"/>
    <n v="22500"/>
    <n v="20000"/>
    <n v="17500"/>
    <s v="Reduced quality of activity"/>
    <s v="Less quality of activity"/>
    <s v="Mimnimum quality activity"/>
    <m/>
    <n v="5000"/>
    <m/>
    <n v="5000"/>
    <m/>
    <n v="5000"/>
    <m/>
    <n v="5000"/>
    <m/>
    <n v="5000"/>
    <m/>
    <m/>
    <n v="25000"/>
    <s v="Enhance the communication plan and outreach activities"/>
    <m/>
  </r>
  <r>
    <s v="Student"/>
    <s v="No Applicable"/>
    <s v="College of Engineering"/>
    <n v="847"/>
    <n v="8470350"/>
    <s v="KUST - Petroleum Engineering"/>
    <n v="1"/>
    <n v="425763"/>
    <s v="425763-Student Project Expenses"/>
    <s v="000000"/>
    <s v="KUST - General"/>
    <n v="847001"/>
    <s v="FA179-Opex Expense"/>
    <n v="200179"/>
    <x v="156"/>
    <n v="0"/>
    <n v="30000"/>
    <n v="25000"/>
    <s v="425760.Student activities &amp; field trip expenses-Events-No of Events"/>
    <s v="No of Events"/>
    <n v="10"/>
    <n v="1000"/>
    <s v="Satudent senior design projects"/>
    <n v="10000"/>
    <s v="KU Regular operations"/>
    <s v="Recurring"/>
    <n v="9000"/>
    <n v="8000"/>
    <n v="7000"/>
    <s v="Reduced quality of activity"/>
    <s v="Less quality of activity"/>
    <s v="Mimnimum quality activity"/>
    <m/>
    <n v="5000"/>
    <m/>
    <m/>
    <m/>
    <m/>
    <m/>
    <n v="5000"/>
    <m/>
    <m/>
    <m/>
    <m/>
    <n v="10000"/>
    <s v="Align academic programs with the local and global labor market needs"/>
    <m/>
  </r>
  <r>
    <s v="Academic"/>
    <s v="No Applicable"/>
    <s v="College of Engineering"/>
    <n v="847"/>
    <n v="8470350"/>
    <s v="KUST - Petroleum Engineering"/>
    <n v="1"/>
    <n v="425770"/>
    <s v="425770-Academic Missions - Combined expenses"/>
    <s v="000000"/>
    <s v="KUST - General"/>
    <n v="847001"/>
    <s v="FA179-Opex Expense"/>
    <n v="200179"/>
    <x v="157"/>
    <n v="30382.77"/>
    <n v="150000"/>
    <n v="150000"/>
    <s v="425770.Academic Missions - Combined expenses-Number of Conference-Number"/>
    <s v="Number"/>
    <n v="11"/>
    <n v="20000"/>
    <s v="Academic mission for international and regional _x000a_conferences for 12 faculty members"/>
    <n v="220000"/>
    <s v="KU Regular operations"/>
    <s v="Recurring"/>
    <n v="198000"/>
    <n v="176000"/>
    <n v="154000"/>
    <s v="Reduced academic missions"/>
    <s v="Less academic missions"/>
    <s v="minimum academic missions"/>
    <m/>
    <m/>
    <n v="110000"/>
    <m/>
    <m/>
    <m/>
    <m/>
    <n v="110000"/>
    <m/>
    <m/>
    <m/>
    <m/>
    <n v="220000"/>
    <s v="Increase publications in journals with high impact factor"/>
    <s v="Compared to FY22, the Academic mission expense increased by 32%, and especially the Dean of Engineering and Electrical &amp; computer Engg department increased their statements by 39% to 48%. The rest of the departments in CoE increased by 25% to 33%."/>
  </r>
  <r>
    <s v="Other support"/>
    <s v="Director, Human Resources"/>
    <s v="College of Engineering"/>
    <n v="847"/>
    <n v="8470350"/>
    <s v="KUST - Petroleum Engineering"/>
    <n v="1"/>
    <n v="425900"/>
    <s v="425900-Entertainment and hospitality"/>
    <s v="000000"/>
    <s v="KUST - General"/>
    <n v="847001"/>
    <s v="FA179-Opex Expense"/>
    <n v="200179"/>
    <x v="158"/>
    <s v="-"/>
    <n v="8500"/>
    <n v="8500"/>
    <s v="425900.Entertainment and hospitality-1. No of events/workshops planned-count"/>
    <s v="count"/>
    <n v="20"/>
    <n v="1000"/>
    <s v="Biweekly department meetings, Seminars,_x000a_Open &amp; Major days and SPE  Student chapter activities."/>
    <n v="20000"/>
    <s v="KU Regular operations"/>
    <s v="Recurring"/>
    <n v="18000"/>
    <n v="16000"/>
    <n v="14000"/>
    <s v="Reduced quality of activities"/>
    <s v="Less quality of activities"/>
    <s v="minimum quality of activities"/>
    <n v="10000"/>
    <m/>
    <m/>
    <m/>
    <m/>
    <m/>
    <m/>
    <n v="10000"/>
    <m/>
    <m/>
    <m/>
    <m/>
    <n v="20000"/>
    <s v="Align academic programs with the local and global labor market needs"/>
    <m/>
  </r>
  <r>
    <s v="IT"/>
    <s v="Director, Technology Development"/>
    <s v="College of Engineering"/>
    <n v="847"/>
    <n v="8470350"/>
    <s v="KUST - Petroleum Engineering"/>
    <n v="1"/>
    <n v="426610"/>
    <s v="426610-Computer software licenses"/>
    <s v="000000"/>
    <s v="KUST - General"/>
    <n v="847001"/>
    <s v="FA179-Opex Expense"/>
    <n v="200179"/>
    <x v="159"/>
    <n v="114404.74"/>
    <n v="210200"/>
    <n v="210200"/>
    <s v="426610.Computer software licenses-Software License Renewal-service level agreement-Service"/>
    <s v="Service"/>
    <n v="1"/>
    <n v="5200"/>
    <s v="OriginPro Software maintenance"/>
    <n v="5200"/>
    <s v="KU Regular operations"/>
    <s v="Recurring"/>
    <n v="4680"/>
    <n v="4160"/>
    <n v="3639.9999999999995"/>
    <s v="We won't be able to renew it. Fixed maintenance pricing."/>
    <s v="We won't be able to renew it. Fixed maintenance pricing."/>
    <s v="We won't be able to renew it. Fixed maintenance pricing."/>
    <m/>
    <n v="5200"/>
    <m/>
    <m/>
    <m/>
    <m/>
    <m/>
    <m/>
    <m/>
    <m/>
    <m/>
    <m/>
    <n v="5200"/>
    <s v="Align academic programs with the local and global labor market needs"/>
    <m/>
  </r>
  <r>
    <s v="IT"/>
    <s v="Director, Technology Development"/>
    <s v="College of Engineering"/>
    <n v="847"/>
    <n v="8470350"/>
    <s v="KUST - Petroleum Engineering"/>
    <n v="1"/>
    <n v="426610"/>
    <s v="426610-Computer software licenses"/>
    <s v="000000"/>
    <s v="KUST - General"/>
    <n v="847001"/>
    <s v="FA179-Opex Expense"/>
    <n v="200179"/>
    <x v="159"/>
    <m/>
    <m/>
    <m/>
    <s v="426610.Computer software licenses-Software License Renewal-service level agreement-Service"/>
    <s v="Service"/>
    <n v="1"/>
    <n v="5000"/>
    <s v="Kappa Software Renewal"/>
    <n v="5000"/>
    <s v="KU Regular operations"/>
    <s v="Recurring"/>
    <n v="4500"/>
    <n v="4000"/>
    <n v="3500"/>
    <s v="We won't be able to renew it. Fixed maintenance pricing."/>
    <s v="We won't be able to renew it. Fixed maintenance pricing."/>
    <s v="We won't be able to renew it. Fixed maintenance pricing."/>
    <m/>
    <m/>
    <n v="5000"/>
    <m/>
    <m/>
    <m/>
    <m/>
    <m/>
    <m/>
    <m/>
    <m/>
    <m/>
    <n v="5000"/>
    <s v="Align academic programs with the local and global labor market needs"/>
    <m/>
  </r>
  <r>
    <s v="IT"/>
    <s v="Director, Technology Development"/>
    <s v="College of Engineering"/>
    <n v="847"/>
    <n v="8470350"/>
    <s v="KUST - Petroleum Engineering"/>
    <n v="1"/>
    <n v="426610"/>
    <s v="426610-Computer software licenses"/>
    <s v="000000"/>
    <s v="KUST - General"/>
    <n v="847001"/>
    <s v="FA179-Opex Expense"/>
    <n v="200179"/>
    <x v="159"/>
    <m/>
    <m/>
    <m/>
    <s v="426610.Computer software licenses-Software License Renewal-service level agreement-Service"/>
    <s v="Service"/>
    <n v="1"/>
    <n v="25000"/>
    <s v="BIOVIA Materials Studio Software Maintenance"/>
    <n v="25000"/>
    <s v="KU Regular operations"/>
    <s v="Recurring"/>
    <n v="22500"/>
    <n v="20000"/>
    <n v="17500"/>
    <s v="We won't be able to renew it. Fixed maintenance pricing."/>
    <s v="We won't be able to renew it. Fixed maintenance pricing."/>
    <s v="We won't be able to renew it. Fixed maintenance pricing."/>
    <m/>
    <m/>
    <m/>
    <n v="25000"/>
    <m/>
    <m/>
    <m/>
    <m/>
    <m/>
    <m/>
    <m/>
    <m/>
    <n v="25000"/>
    <s v="Align academic programs with the local and global labor market needs"/>
    <m/>
  </r>
  <r>
    <s v="IT"/>
    <s v="Director, Technology Development"/>
    <s v="College of Engineering"/>
    <n v="847"/>
    <n v="8470350"/>
    <s v="KUST - Petroleum Engineering"/>
    <n v="1"/>
    <n v="426610"/>
    <s v="426610-Computer software licenses"/>
    <s v="000000"/>
    <s v="KUST - General"/>
    <n v="847001"/>
    <s v="FA179-Opex Expense"/>
    <n v="200179"/>
    <x v="159"/>
    <m/>
    <m/>
    <m/>
    <s v="426610.Computer software licenses-Software License Renewal-service level agreement-Service"/>
    <s v="Service"/>
    <n v="1"/>
    <n v="200000"/>
    <s v="Thermo Scientific™ PerGeos Software Upgrade"/>
    <n v="200000"/>
    <s v="KU Regular operations"/>
    <s v="Recurring"/>
    <n v="180000"/>
    <n v="160000"/>
    <n v="140000"/>
    <s v="We won't be able to renew it. Fixed maintenance pricing."/>
    <s v="We won't be able to renew it. Fixed maintenance pricing."/>
    <s v="We won't be able to renew it. Fixed maintenance pricing."/>
    <m/>
    <m/>
    <m/>
    <m/>
    <m/>
    <m/>
    <n v="200000"/>
    <m/>
    <m/>
    <m/>
    <m/>
    <m/>
    <n v="200000"/>
    <s v="Align academic programs with the local and global labor market needs"/>
    <m/>
  </r>
  <r>
    <s v="IT"/>
    <s v="Director, Technology Development"/>
    <s v="College of Engineering"/>
    <n v="847"/>
    <n v="8470350"/>
    <s v="KUST - Petroleum Engineering"/>
    <n v="1"/>
    <n v="426610"/>
    <s v="426610-Computer software licenses"/>
    <s v="000000"/>
    <s v="KUST - General"/>
    <n v="847001"/>
    <s v="FA179-Opex Expense"/>
    <n v="200179"/>
    <x v="159"/>
    <m/>
    <m/>
    <m/>
    <s v="426610.Computer software licenses-Software License Renewal-service level agreement-Service"/>
    <s v="Service"/>
    <n v="1"/>
    <n v="45000"/>
    <s v="QRI Speedwise Software"/>
    <n v="45000"/>
    <s v="KU Regular operations"/>
    <s v="Recurring"/>
    <n v="40500"/>
    <n v="36000"/>
    <n v="31499.999999999996"/>
    <s v="We won't be able to renew it. Fixed maintenance pricing."/>
    <s v="We won't be able to renew it. Fixed maintenance pricing."/>
    <s v="We won't be able to renew it. Fixed maintenance pricing."/>
    <m/>
    <m/>
    <m/>
    <m/>
    <m/>
    <n v="45000"/>
    <m/>
    <m/>
    <m/>
    <m/>
    <m/>
    <m/>
    <n v="45000"/>
    <s v="Align academic programs with the local and global labor market needs"/>
    <m/>
  </r>
  <r>
    <s v="Academic"/>
    <s v="No Applicable"/>
    <s v="College of Engineering"/>
    <n v="847"/>
    <n v="8470350"/>
    <s v="KUST - Petroleum Engineering"/>
    <n v="1"/>
    <n v="432209"/>
    <s v="432209-Laboratory equipment"/>
    <s v="000000"/>
    <s v="KUST - General"/>
    <n v="847001"/>
    <s v="FA179-Opex Expense"/>
    <n v="200179"/>
    <x v="160"/>
    <n v="215416.78"/>
    <n v="305000"/>
    <n v="305000"/>
    <s v="432209.Laboratory equipment-Number of Students-Number"/>
    <s v="Number"/>
    <n v="10"/>
    <n v="35000"/>
    <s v="4 Gasometers, 4 Flash separators, 2 Rolling ball viscometers"/>
    <n v="350000"/>
    <s v="KU Regular operations"/>
    <s v="Recurring"/>
    <n v="315000"/>
    <n v="280000"/>
    <n v="244999.99999999997"/>
    <s v="No maintenance fixed price"/>
    <s v="No maintenance fixed price"/>
    <s v="No maintenance fixed price"/>
    <m/>
    <n v="350000"/>
    <m/>
    <m/>
    <m/>
    <m/>
    <m/>
    <m/>
    <m/>
    <m/>
    <m/>
    <m/>
    <n v="350000"/>
    <s v="Align academic programs with the local and global labor market needs"/>
    <m/>
  </r>
  <r>
    <s v="Academic"/>
    <s v="No Applicable"/>
    <s v="College of Engineering"/>
    <n v="847"/>
    <n v="8470350"/>
    <s v="KUST - Petroleum Engineering"/>
    <n v="1"/>
    <n v="432209"/>
    <s v="432209-Laboratory equipment"/>
    <s v="000000"/>
    <s v="KUST - General"/>
    <n v="847001"/>
    <s v="FA179-Opex Expense"/>
    <n v="200179"/>
    <x v="160"/>
    <m/>
    <m/>
    <m/>
    <s v="432209.Laboratory equipment-Number of Students-Number"/>
    <s v="Number"/>
    <n v="1"/>
    <n v="74000"/>
    <s v="Drilling Simulator  Service Maintenance"/>
    <n v="74000"/>
    <s v="KU Regular operations"/>
    <s v="Recurring"/>
    <n v="66600"/>
    <n v="59200"/>
    <n v="51800"/>
    <s v="We won't be able to renew it. Fixed maintenance pricing."/>
    <s v="We won't be able to renew it. Fixed maintenance pricing."/>
    <s v="We won't be able to renew it. Fixed maintenance pricing."/>
    <m/>
    <m/>
    <n v="74000"/>
    <m/>
    <m/>
    <m/>
    <m/>
    <m/>
    <m/>
    <m/>
    <m/>
    <m/>
    <n v="74000"/>
    <s v="Align academic programs with the local and global labor market needs"/>
    <m/>
  </r>
  <r>
    <s v="Academic"/>
    <s v="No Applicable"/>
    <s v="College of Engineering"/>
    <n v="847"/>
    <n v="8470350"/>
    <s v="KUST - Petroleum Engineering"/>
    <n v="1"/>
    <n v="432209"/>
    <s v="432209-Laboratory equipment"/>
    <s v="000000"/>
    <s v="KUST - General"/>
    <n v="847001"/>
    <s v="FA179-Opex Expense"/>
    <n v="200179"/>
    <x v="160"/>
    <m/>
    <m/>
    <m/>
    <s v="432209.Laboratory equipment-Number of Students-Number"/>
    <s v="Number"/>
    <n v="35"/>
    <n v="3000"/>
    <s v="Vinci He Porosimeter and Gas Permeameaters Service, Maintenance and Spare Parts"/>
    <n v="105000"/>
    <s v="KU Regular operations"/>
    <s v="Recurring"/>
    <n v="94500"/>
    <n v="84000"/>
    <n v="73500"/>
    <s v="Reduced Operations and Experiments"/>
    <s v="Less Operations and Experiments"/>
    <s v="Minimum Operations and Experiments"/>
    <m/>
    <m/>
    <m/>
    <n v="105000"/>
    <m/>
    <m/>
    <m/>
    <m/>
    <m/>
    <m/>
    <m/>
    <m/>
    <n v="105000"/>
    <s v="Align academic programs with the local and global labor market needs"/>
    <m/>
  </r>
  <r>
    <s v="Academic"/>
    <s v="No Applicable"/>
    <s v="College of Engineering"/>
    <n v="847"/>
    <n v="8470350"/>
    <s v="KUST - Petroleum Engineering"/>
    <n v="1"/>
    <n v="432209"/>
    <s v="432209-Laboratory equipment"/>
    <s v="000000"/>
    <s v="KUST - General"/>
    <n v="847001"/>
    <s v="FA179-Opex Expense"/>
    <n v="200179"/>
    <x v="160"/>
    <m/>
    <m/>
    <m/>
    <s v="432209.Laboratory equipment-Number of Students-Number"/>
    <s v="Number"/>
    <n v="1"/>
    <n v="300000"/>
    <s v="NER Systems Maintenance and Training"/>
    <n v="300000"/>
    <s v="KU Regular operations"/>
    <s v="Recurring"/>
    <n v="270000"/>
    <n v="240000"/>
    <n v="210000"/>
    <s v="Reduced Operations and Experiments"/>
    <s v="Less Operations and Experiments"/>
    <s v="Minimum Operations and Experiments"/>
    <m/>
    <n v="300000"/>
    <m/>
    <m/>
    <m/>
    <m/>
    <m/>
    <m/>
    <m/>
    <m/>
    <m/>
    <m/>
    <n v="300000"/>
    <s v="Align academic programs with the local and global labor market needs"/>
    <m/>
  </r>
  <r>
    <s v="Academic"/>
    <s v="No Applicable"/>
    <s v="College of Engineering"/>
    <n v="847"/>
    <n v="8470350"/>
    <s v="KUST - Petroleum Engineering"/>
    <n v="1"/>
    <n v="432209"/>
    <s v="432209-Laboratory equipment"/>
    <s v="000000"/>
    <s v="KUST - General"/>
    <n v="847001"/>
    <s v="FA179-Opex Expense"/>
    <n v="200179"/>
    <x v="160"/>
    <m/>
    <m/>
    <m/>
    <s v="432209.Laboratory equipment-Number of Students-Number"/>
    <s v="Number"/>
    <n v="15"/>
    <n v="10000"/>
    <s v="Grace Core Flood System Service, Maintenance and Spare Parts"/>
    <n v="150000"/>
    <s v="KU Regular operations"/>
    <s v="Recurring"/>
    <n v="135000"/>
    <n v="120000"/>
    <n v="105000"/>
    <s v="Reduced Operations and Experiments"/>
    <s v="Less Operations and Experiments"/>
    <s v="Minimum Operations and Experiments"/>
    <m/>
    <m/>
    <n v="150000"/>
    <m/>
    <m/>
    <m/>
    <m/>
    <m/>
    <m/>
    <m/>
    <m/>
    <m/>
    <n v="150000"/>
    <s v="Align the postgraduates programs with the research strategy"/>
    <m/>
  </r>
  <r>
    <s v="Academic"/>
    <s v="No Applicable"/>
    <s v="College of Engineering"/>
    <n v="847"/>
    <n v="8470350"/>
    <s v="KUST - Petroleum Engineering"/>
    <n v="1"/>
    <n v="435340"/>
    <s v="435340-Text books and library books"/>
    <s v="000000"/>
    <s v="KUST - General"/>
    <n v="847001"/>
    <s v="FA179-Opex Expense"/>
    <n v="200179"/>
    <x v="161"/>
    <n v="0"/>
    <n v="10000"/>
    <n v="10000"/>
    <s v="435340.Text books and library books-Faculty-Number oF Faculty"/>
    <s v="Number oF Faculty"/>
    <n v="10"/>
    <n v="1000"/>
    <s v="Rreference library books for graduate students research"/>
    <n v="10000"/>
    <s v="KU Regular operations"/>
    <s v="Recurring"/>
    <n v="9000"/>
    <n v="8000"/>
    <n v="7000"/>
    <s v="Reduced reference books"/>
    <s v="Less reference books"/>
    <s v="Minimum reference books"/>
    <m/>
    <m/>
    <m/>
    <n v="10000"/>
    <m/>
    <m/>
    <m/>
    <m/>
    <m/>
    <m/>
    <m/>
    <m/>
    <n v="10000"/>
    <s v="Align the postgraduates programs with the research strategy"/>
    <m/>
  </r>
  <r>
    <s v="Academic"/>
    <s v="No Applicable"/>
    <s v="College of Engineering"/>
    <n v="847"/>
    <n v="8470350"/>
    <s v="KUST - Petroleum Engineering"/>
    <n v="1"/>
    <n v="435350"/>
    <s v="435350-Academic Publications"/>
    <s v="000000"/>
    <s v="KUST - General"/>
    <n v="847001"/>
    <s v="FA179-Opex Expense"/>
    <n v="200179"/>
    <x v="162"/>
    <n v="31761.56"/>
    <n v="50000"/>
    <n v="50000"/>
    <s v="435350.Academic Publications-Number of Publications-Number"/>
    <s v="Number"/>
    <n v="10"/>
    <n v="9000"/>
    <s v="Q1 open journal publications for 10 faculty members"/>
    <n v="90000"/>
    <s v="KU Regular operations"/>
    <s v="Recurring"/>
    <n v="81000"/>
    <n v="72000"/>
    <n v="62999.999999999993"/>
    <s v="Reduced open source publications resulting in reduced citations."/>
    <s v="Less open source publications resulting in reduced citations."/>
    <s v="Reduced open source publications resulting in reduced citations."/>
    <m/>
    <n v="45000"/>
    <m/>
    <m/>
    <m/>
    <m/>
    <m/>
    <m/>
    <n v="45000"/>
    <m/>
    <m/>
    <m/>
    <n v="90000"/>
    <s v="Increase publications in journals with high impact factor"/>
    <m/>
  </r>
  <r>
    <s v="Academic"/>
    <s v="Director, Research Laboratories"/>
    <s v="College of Engineering"/>
    <n v="847"/>
    <n v="8470350"/>
    <s v="KUST - Petroleum Engineering"/>
    <n v="1"/>
    <n v="435508"/>
    <s v="435508-Laboratory - Scientific"/>
    <s v="000000"/>
    <s v="KUST - General"/>
    <n v="847001"/>
    <s v="FA179-Opex Expense"/>
    <n v="200179"/>
    <x v="163"/>
    <n v="29959.5"/>
    <n v="100000"/>
    <n v="100000"/>
    <s v="435508.Laboratory - Scientific-Number of Students-Number"/>
    <s v="Number"/>
    <n v="50"/>
    <n v="500"/>
    <s v="Helium, Nitrogen, etc Gas Cylinders"/>
    <n v="25000"/>
    <s v="KU Regular operations"/>
    <s v="Recurring"/>
    <n v="22500"/>
    <n v="20000"/>
    <n v="17500"/>
    <s v="Reduced Operations and Experiments"/>
    <s v="Less Operations and Experiments"/>
    <s v="Minimum Operations and Experiments"/>
    <m/>
    <n v="5000"/>
    <m/>
    <n v="5000"/>
    <m/>
    <n v="5000"/>
    <m/>
    <n v="5000"/>
    <m/>
    <n v="5000"/>
    <m/>
    <m/>
    <n v="25000"/>
    <s v="Align academic programs with the local and global labor market needs"/>
    <m/>
  </r>
  <r>
    <s v="Academic"/>
    <s v="Director, Research Laboratories"/>
    <s v="College of Engineering"/>
    <n v="847"/>
    <n v="8470350"/>
    <s v="KUST - Petroleum Engineering"/>
    <n v="1"/>
    <n v="435508"/>
    <s v="435508-Laboratory - Scientific"/>
    <s v="000000"/>
    <s v="KUST - General"/>
    <n v="847001"/>
    <s v="FA179-Opex Expense"/>
    <n v="200179"/>
    <x v="163"/>
    <m/>
    <m/>
    <m/>
    <s v="435508.Laboratory - Scientific-Number of Students-Number"/>
    <s v="Number"/>
    <n v="50"/>
    <n v="500"/>
    <s v="Salts, Chemicals and Solvents"/>
    <n v="25000"/>
    <s v="KU Regular operations"/>
    <s v="Recurring"/>
    <n v="22500"/>
    <n v="20000"/>
    <n v="17500"/>
    <s v="Reduced Operations and Experiments"/>
    <s v="Less Operations and Experiments"/>
    <s v="Minimum Operations and Experiments"/>
    <m/>
    <n v="5000"/>
    <m/>
    <n v="5000"/>
    <m/>
    <n v="5000"/>
    <m/>
    <n v="5000"/>
    <m/>
    <n v="5000"/>
    <m/>
    <m/>
    <n v="25000"/>
    <s v="Align academic programs with the local and global labor market needs"/>
    <m/>
  </r>
  <r>
    <s v="Academic"/>
    <s v="Director, Research Laboratories"/>
    <s v="College of Engineering"/>
    <n v="847"/>
    <n v="8470350"/>
    <s v="KUST - Petroleum Engineering"/>
    <n v="1"/>
    <n v="435508"/>
    <s v="435508-Laboratory - Scientific"/>
    <s v="000000"/>
    <s v="KUST - General"/>
    <n v="847001"/>
    <s v="FA179-Opex Expense"/>
    <n v="200179"/>
    <x v="163"/>
    <m/>
    <m/>
    <m/>
    <s v="435508.Laboratory - Scientific-Number of Students-Number"/>
    <s v="Number"/>
    <n v="50"/>
    <n v="1200"/>
    <s v="Miscellaneous (Tool boxes, timers, calipers, PPE, workstations hardwares, etc.) "/>
    <n v="60000"/>
    <s v="KU Regular operations"/>
    <s v="Recurring"/>
    <n v="54000"/>
    <n v="48000"/>
    <n v="42000"/>
    <s v="Reduced Operations and Experiments"/>
    <s v="Less Operations and Experiments"/>
    <s v="Minimum Operations and Experiments"/>
    <n v="10000"/>
    <m/>
    <n v="10000"/>
    <m/>
    <n v="10000"/>
    <m/>
    <n v="10000"/>
    <m/>
    <n v="10000"/>
    <m/>
    <n v="10000"/>
    <m/>
    <n v="60000"/>
    <s v="Align academic programs with the local and global labor market needs"/>
    <m/>
  </r>
  <r>
    <s v="Other support"/>
    <s v="No Applicable"/>
    <s v="College of Engineering"/>
    <n v="847"/>
    <n v="8470350"/>
    <s v="KUST - Petroleum Engineering"/>
    <n v="1"/>
    <n v="436110"/>
    <s v="436110-Printing supplies"/>
    <s v="000000"/>
    <s v="KUST - General"/>
    <n v="847001"/>
    <s v="FA179-Opex Expense"/>
    <n v="200179"/>
    <x v="164"/>
    <n v="0"/>
    <n v="7500"/>
    <n v="7500"/>
    <s v="436110.Printing supplies-Number of Employees-Number"/>
    <s v="Number"/>
    <n v="15"/>
    <n v="500"/>
    <m/>
    <n v="7500"/>
    <s v="KU Regular operations"/>
    <s v="Recurring"/>
    <n v="6750"/>
    <n v="6000"/>
    <n v="5250"/>
    <s v="Reduced quality of activity"/>
    <s v="Less quality of activity"/>
    <s v="Mimnimum quality activity"/>
    <n v="7500"/>
    <m/>
    <m/>
    <m/>
    <m/>
    <m/>
    <m/>
    <m/>
    <m/>
    <m/>
    <m/>
    <m/>
    <n v="7500"/>
    <s v="Enhance the communication plan and outreach activities"/>
    <m/>
  </r>
  <r>
    <s v="Academic"/>
    <s v="No Applicable"/>
    <s v="College of Engineering"/>
    <n v="847"/>
    <n v="8470350"/>
    <s v="KUST - Petroleum Engineering"/>
    <n v="1"/>
    <n v="436600"/>
    <s v="436600-Training/Teaching equipment and other educational aid"/>
    <s v="000000"/>
    <s v="KUST - General"/>
    <n v="847001"/>
    <s v="FA179-Opex Expense"/>
    <n v="200179"/>
    <x v="165"/>
    <s v="-"/>
    <n v="60000"/>
    <n v="60000"/>
    <s v="436600.Training/Teaching equipment and other educational aid-Number of Staff-Number"/>
    <s v="Number"/>
    <n v="4"/>
    <n v="25000"/>
    <s v="PE Staff Training and Development"/>
    <n v="100000"/>
    <s v="KU Regular operations"/>
    <s v="Recurring"/>
    <n v="90000"/>
    <n v="80000"/>
    <n v="70000"/>
    <s v="Reduced quality of activity"/>
    <s v="Less quality of activity"/>
    <s v="Mimnimum quality activity"/>
    <m/>
    <m/>
    <n v="50000"/>
    <m/>
    <m/>
    <n v="50000"/>
    <m/>
    <m/>
    <m/>
    <m/>
    <m/>
    <m/>
    <n v="100000"/>
    <s v="Develop a life-long culture of community service beyond the classroom "/>
    <m/>
  </r>
  <r>
    <s v="Facilities "/>
    <s v="Director, Research Laboratories"/>
    <s v="College of Engineering"/>
    <n v="847"/>
    <n v="8470350"/>
    <s v="KUST - Petroleum Engineering"/>
    <n v="1"/>
    <n v="492316"/>
    <s v="492316-Laboratory equipment"/>
    <s v="000000"/>
    <s v="KUST - General"/>
    <n v="847001"/>
    <s v="FA180-Capex Expense"/>
    <n v="300180"/>
    <x v="166"/>
    <n v="0"/>
    <n v="1446520"/>
    <n v="1445832.28"/>
    <s v="492316.Laboratory equipment-Number of Students-Number"/>
    <s v="Number"/>
    <n v="25"/>
    <n v="6500"/>
    <s v="Lab 3135 Workstations"/>
    <n v="162500"/>
    <s v="KU Regular operations"/>
    <s v="Non-recurring"/>
    <n v="146250"/>
    <n v="130000"/>
    <n v="113750"/>
    <s v="Reduced workstations specs."/>
    <s v="Less quality and  workstations specs."/>
    <s v="Minimum  workstations specs."/>
    <m/>
    <n v="162500"/>
    <m/>
    <m/>
    <m/>
    <m/>
    <m/>
    <m/>
    <m/>
    <m/>
    <m/>
    <m/>
    <n v="162500"/>
    <s v="Widen access to students with outstanding academic potential"/>
    <s v="Compared to FY22 budget has significantly increased by 42% for CoE; most of CoE increased their funding in the range of 40%-74%, except for ME and CE."/>
  </r>
  <r>
    <s v="Facilities "/>
    <s v="Director, Research Laboratories"/>
    <s v="College of Engineering"/>
    <n v="847"/>
    <n v="8470350"/>
    <s v="KUST - Petroleum Engineering"/>
    <n v="1"/>
    <n v="492316"/>
    <s v="492316-Laboratory equipment"/>
    <s v="000000"/>
    <s v="KUST - General"/>
    <n v="847001"/>
    <s v="FA180-Capex Expense"/>
    <n v="300180"/>
    <x v="166"/>
    <m/>
    <m/>
    <m/>
    <s v="492316.Laboratory equipment-Number of Students-Number"/>
    <s v="Number"/>
    <n v="21"/>
    <n v="8000"/>
    <s v="Lab 3137 Workstations"/>
    <n v="168000"/>
    <s v="KU Regular operations"/>
    <s v="Non-recurring"/>
    <n v="151200"/>
    <n v="134400"/>
    <n v="117599.99999999999"/>
    <s v="Reduced workstations specs."/>
    <s v="Less quality and  workstations specs."/>
    <s v="Minimum  workstations specs."/>
    <m/>
    <m/>
    <m/>
    <m/>
    <n v="168000"/>
    <m/>
    <m/>
    <m/>
    <m/>
    <m/>
    <m/>
    <m/>
    <n v="168000"/>
    <s v="Widen access to students with outstanding academic potential"/>
    <s v="Compared to FY22 budget has significantly increased by 42% for CoE; most of CoE increased their funding in the range of 40%-74%, except for ME and CE."/>
  </r>
  <r>
    <s v="Facilities "/>
    <s v="Director, Research Laboratories"/>
    <s v="College of Engineering"/>
    <n v="847"/>
    <n v="8470350"/>
    <s v="KUST - Petroleum Engineering"/>
    <n v="1"/>
    <n v="495110"/>
    <s v="495110-Computer software"/>
    <s v="000000"/>
    <s v="KUST - General"/>
    <n v="847001"/>
    <s v="FA180-Capex Expense"/>
    <n v="300180"/>
    <x v="167"/>
    <m/>
    <m/>
    <m/>
    <s v="495110.Computer software-TBD-TBD"/>
    <s v="TBD"/>
    <n v="1"/>
    <n v="45000"/>
    <s v="ITASCA SOFTWARE"/>
    <n v="45000"/>
    <s v="KU Regular operations"/>
    <s v="Non-recurring"/>
    <n v="40500"/>
    <n v="36000"/>
    <n v="31499.999999999996"/>
    <s v="We won't be able to renew it. Fixed software pricing."/>
    <s v="We won't be able to renew it. Fixed software pricing."/>
    <s v="We won't be able to renew it. Fixed software pricing."/>
    <m/>
    <n v="45000"/>
    <m/>
    <m/>
    <m/>
    <m/>
    <m/>
    <m/>
    <m/>
    <m/>
    <m/>
    <m/>
    <n v="45000"/>
    <s v="Widen access to students with outstanding academic potential"/>
    <m/>
  </r>
  <r>
    <s v="Facilities "/>
    <s v="Director, Research Laboratories"/>
    <s v="College of Engineering"/>
    <n v="847"/>
    <n v="8470350"/>
    <s v="KUST - Petroleum Engineering"/>
    <n v="1"/>
    <n v="492316"/>
    <s v="492316-Laboratory equipment"/>
    <s v="000000"/>
    <s v="KUST - General"/>
    <n v="847001"/>
    <s v="FA180-Capex Expense"/>
    <n v="300180"/>
    <x v="166"/>
    <n v="0"/>
    <m/>
    <m/>
    <s v="492316.Laboratory equipment-Number of Students-Number"/>
    <s v="Number"/>
    <n v="3"/>
    <n v="25000"/>
    <s v="High Ram Deep Learning Workstations"/>
    <n v="75000"/>
    <s v="KU Regular operations"/>
    <s v="Non-recurring"/>
    <n v="67500"/>
    <n v="60000"/>
    <n v="52500"/>
    <s v="Reduced workstations specs."/>
    <s v="Less quality and  workstations specs."/>
    <s v="Minimum  workstations specs."/>
    <m/>
    <m/>
    <m/>
    <n v="75000"/>
    <m/>
    <m/>
    <m/>
    <m/>
    <m/>
    <m/>
    <m/>
    <m/>
    <n v="75000"/>
    <s v="Widen access to students with outstanding academic potential"/>
    <s v="Compared to FY22 budget has significantly increased by 42% for CoE; most of CoE increased their funding in the range of 40%-74%, except for ME and CE."/>
  </r>
  <r>
    <s v="Facilities "/>
    <s v="Director, Research Laboratories"/>
    <s v="College of Engineering"/>
    <n v="847"/>
    <n v="8470350"/>
    <s v="KUST - Petroleum Engineering"/>
    <n v="1"/>
    <n v="492316"/>
    <s v="492316-Laboratory equipment"/>
    <s v="000000"/>
    <s v="KUST - General"/>
    <n v="847001"/>
    <s v="FA180-Capex Expense"/>
    <n v="300180"/>
    <x v="166"/>
    <m/>
    <m/>
    <m/>
    <s v="492316.Laboratory equipment-Number of Students-Number"/>
    <s v="Number"/>
    <n v="10"/>
    <n v="10000"/>
    <s v="Resistivity Core Holders"/>
    <n v="100000"/>
    <s v="KU Regular operations"/>
    <s v="Non-recurring"/>
    <n v="90000"/>
    <n v="80000"/>
    <n v="70000"/>
    <s v="Less number of core holders."/>
    <s v="Less number of core holders."/>
    <s v="Less number of core holders."/>
    <m/>
    <m/>
    <n v="100000"/>
    <m/>
    <m/>
    <m/>
    <m/>
    <m/>
    <m/>
    <m/>
    <m/>
    <m/>
    <n v="100000"/>
    <s v="Align academic programs with the local and global labor market needs"/>
    <s v="Compared to FY22 budget has significantly increased by 42% for CoE; most of CoE increased their funding in the range of 40%-74%, except for ME and CE."/>
  </r>
  <r>
    <s v="Facilities "/>
    <s v="Director, Research Laboratories"/>
    <s v="College of Engineering"/>
    <n v="847"/>
    <n v="8470350"/>
    <s v="KUST - Petroleum Engineering"/>
    <n v="1"/>
    <n v="492316"/>
    <s v="492316-Laboratory equipment"/>
    <s v="000000"/>
    <s v="KUST - General"/>
    <n v="847001"/>
    <s v="FA180-Capex Expense"/>
    <n v="300180"/>
    <x v="166"/>
    <m/>
    <m/>
    <m/>
    <s v="492316.Laboratory equipment-Number of Students-Number"/>
    <s v="Number"/>
    <n v="1"/>
    <n v="200000"/>
    <s v="Dual Acting Syringe Pump with logging software and connection cable to PC"/>
    <n v="200000"/>
    <s v="KU Regular operations"/>
    <s v="Non-recurring"/>
    <n v="180000"/>
    <n v="160000"/>
    <n v="140000"/>
    <s v="reduced options for the equipment to be purchased"/>
    <s v="less options for the equipment to be purchased"/>
    <s v="Will not be purchased"/>
    <m/>
    <m/>
    <m/>
    <m/>
    <n v="200000"/>
    <m/>
    <m/>
    <m/>
    <m/>
    <m/>
    <m/>
    <m/>
    <n v="200000"/>
    <s v="Align academic programs with the local and global labor market needs"/>
    <s v="Compared to FY22 budget has significantly increased by 42% for CoE; most of CoE increased their funding in the range of 40%-74%, except for ME and CE."/>
  </r>
  <r>
    <s v="Facilities "/>
    <s v="Director, Research Laboratories"/>
    <s v="College of Engineering"/>
    <n v="847"/>
    <n v="8470350"/>
    <s v="KUST - Petroleum Engineering"/>
    <n v="1"/>
    <n v="492316"/>
    <s v="492316-Laboratory equipment"/>
    <s v="000000"/>
    <s v="KUST - General"/>
    <n v="847001"/>
    <s v="FA180-Capex Expense"/>
    <n v="300180"/>
    <x v="166"/>
    <m/>
    <m/>
    <m/>
    <s v="492316.Laboratory equipment-Number of Students-Number"/>
    <s v="Number"/>
    <n v="2"/>
    <n v="75000"/>
    <s v="Individual Core holder - Hydrostatic_x000a_- Capable of accommodating 1.5” diameter and 3” length samples"/>
    <n v="150000"/>
    <s v="KU Regular operations"/>
    <s v="Non-recurring"/>
    <n v="135000"/>
    <n v="120000"/>
    <n v="105000"/>
    <s v="reduced options for the equipment to be purchased"/>
    <s v="less options for the equipment to be purchased"/>
    <s v="Will not be purchased"/>
    <m/>
    <m/>
    <m/>
    <m/>
    <n v="150000"/>
    <m/>
    <m/>
    <m/>
    <m/>
    <m/>
    <m/>
    <m/>
    <n v="150000"/>
    <s v="Align academic programs with the local and global labor market needs"/>
    <s v="Compared to FY22 budget has significantly increased by 42% for CoE; most of CoE increased their funding in the range of 40%-74%, except for ME and CE."/>
  </r>
  <r>
    <s v="Facilities "/>
    <s v="Director, Research Laboratories"/>
    <s v="College of Engineering"/>
    <n v="847"/>
    <n v="8470350"/>
    <s v="KUST - Petroleum Engineering"/>
    <n v="1"/>
    <n v="492316"/>
    <s v="492316-Laboratory equipment"/>
    <s v="000000"/>
    <s v="KUST - General"/>
    <n v="847001"/>
    <s v="FA180-Capex Expense"/>
    <n v="300180"/>
    <x v="166"/>
    <m/>
    <m/>
    <m/>
    <s v="492316.Laboratory equipment-Number of Students-Number"/>
    <s v="Number"/>
    <n v="2"/>
    <n v="85000"/>
    <s v="Individual Core holder - Hydrostatic_x000a_- Capable of accommodating 1.5” diameter and 6” length samples"/>
    <n v="170000"/>
    <s v="KU Regular operations"/>
    <s v="Non-recurring"/>
    <n v="153000"/>
    <n v="136000"/>
    <n v="118999.99999999999"/>
    <s v="reduced options for the equipment to be purchased"/>
    <s v="less options for the equipment to be purchased"/>
    <s v="Will not be purchased"/>
    <m/>
    <m/>
    <m/>
    <m/>
    <n v="170000"/>
    <m/>
    <m/>
    <m/>
    <m/>
    <m/>
    <m/>
    <m/>
    <n v="170000"/>
    <s v="Align academic programs with the local and global labor market needs"/>
    <s v="Compared to FY22 budget has significantly increased by 42% for CoE; most of CoE increased their funding in the range of 40%-74%, except for ME and CE."/>
  </r>
  <r>
    <s v="Facilities "/>
    <s v="Director, Research Laboratories"/>
    <s v="College of Engineering"/>
    <n v="847"/>
    <n v="8470350"/>
    <s v="KUST - Petroleum Engineering"/>
    <n v="1"/>
    <n v="492316"/>
    <s v="492316-Laboratory equipment"/>
    <s v="000000"/>
    <s v="KUST - General"/>
    <n v="847001"/>
    <s v="FA180-Capex Expense"/>
    <n v="300180"/>
    <x v="166"/>
    <m/>
    <m/>
    <m/>
    <s v="492316.Laboratory equipment-Number of Students-Number"/>
    <s v="Number"/>
    <n v="1"/>
    <n v="220000"/>
    <s v="Flow through cleaning unit"/>
    <n v="220000"/>
    <s v="KU Regular operations"/>
    <s v="Non-recurring"/>
    <n v="198000"/>
    <n v="176000"/>
    <n v="154000"/>
    <s v="reduced options for the equipment to be purchased"/>
    <s v="less options for the equipment to be purchased"/>
    <s v="Will not be purchased"/>
    <m/>
    <m/>
    <m/>
    <m/>
    <n v="220000"/>
    <m/>
    <m/>
    <m/>
    <m/>
    <m/>
    <m/>
    <m/>
    <n v="220000"/>
    <s v="Align academic programs with the local and global labor market needs"/>
    <s v="Compared to FY22 budget has significantly increased by 42% for CoE; most of CoE increased their funding in the range of 40%-74%, except for ME and CE."/>
  </r>
  <r>
    <s v="-"/>
    <s v="-"/>
    <s v="College of Engineering"/>
    <n v="847"/>
    <n v="8470350"/>
    <s v="KUST - Petroleum Engineering"/>
    <n v="1"/>
    <n v="492316"/>
    <s v="492316-Laboratory equipment"/>
    <s v="000000"/>
    <s v="KUST - General"/>
    <n v="847001"/>
    <s v="FA180-Capex Expense"/>
    <n v="300180"/>
    <x v="166"/>
    <m/>
    <m/>
    <m/>
    <s v="492316.Laboratory equipment-Number of Students-Number"/>
    <s v="Number"/>
    <n v="1"/>
    <n v="160000"/>
    <s v="Dean Stark-6 units"/>
    <n v="160000"/>
    <s v="KU Strategic New Initiative"/>
    <s v="Non-recurring"/>
    <n v="144000"/>
    <n v="128000"/>
    <n v="112000"/>
    <s v="reduced options for the equipment to be purchased"/>
    <s v="less options for the equipment to be purchased"/>
    <s v="Will not be purchased"/>
    <m/>
    <m/>
    <m/>
    <n v="80000"/>
    <m/>
    <m/>
    <m/>
    <m/>
    <m/>
    <n v="80000"/>
    <m/>
    <m/>
    <n v="160000"/>
    <s v="Align the postgraduates programs with the research strategy"/>
    <s v="Compared to FY22 budget has significantly increased by 42% for CoE; most of CoE increased their funding in the range of 40%-74%, except for ME and CE."/>
  </r>
  <r>
    <s v="Facilities "/>
    <s v="Director, Research Laboratories"/>
    <s v="College of Engineering"/>
    <n v="847"/>
    <n v="8470350"/>
    <s v="KUST - Petroleum Engineering"/>
    <n v="1"/>
    <n v="492316"/>
    <s v="492316-Laboratory equipment"/>
    <s v="000000"/>
    <s v="KUST - General"/>
    <n v="847001"/>
    <s v="FA180-Capex Expense"/>
    <n v="300180"/>
    <x v="166"/>
    <m/>
    <m/>
    <m/>
    <s v="492316.Laboratory equipment-Number of Students-Number"/>
    <s v="Number"/>
    <n v="8"/>
    <n v="8000"/>
    <s v="Vacuum Pumps"/>
    <n v="64000"/>
    <s v="KU Regular operations"/>
    <s v="Non-recurring"/>
    <n v="57600"/>
    <n v="51200"/>
    <n v="44800"/>
    <s v="reduced options for the equipment to be purchased"/>
    <s v="less options for the equipment to be purchased"/>
    <s v="Will not be purchased"/>
    <m/>
    <m/>
    <m/>
    <n v="64000"/>
    <m/>
    <m/>
    <m/>
    <m/>
    <m/>
    <m/>
    <m/>
    <m/>
    <n v="64000"/>
    <s v="Align academic programs with the local and global labor market needs"/>
    <s v="Compared to FY22 budget has significantly increased by 42% for CoE; most of CoE increased their funding in the range of 40%-74%, except for ME and CE."/>
  </r>
  <r>
    <n v="0"/>
    <s v="No Applicable"/>
    <s v="College of Engineering"/>
    <n v="847"/>
    <n v="8470350"/>
    <s v="KUST - Petroleum Engineering"/>
    <n v="1"/>
    <n v="495110"/>
    <s v="495110-Computer software"/>
    <s v="000000"/>
    <s v="KUST - General"/>
    <n v="847001"/>
    <s v="FA180-Capex Expense"/>
    <n v="300180"/>
    <x v="167"/>
    <m/>
    <m/>
    <m/>
    <s v="495110.Computer software-TBD-TBD"/>
    <s v="TBD"/>
    <n v="1"/>
    <n v="14500"/>
    <s v="iDrillSim Cloudbased Software"/>
    <n v="14500"/>
    <s v="KU Regular operations"/>
    <s v="Non-recurring"/>
    <n v="13050"/>
    <n v="11600"/>
    <n v="10150"/>
    <s v="We won't be able to renew it. Fixed software pricing."/>
    <s v="We won't be able to renew it. Fixed software pricing."/>
    <s v="We won't be able to renew it. Fixed software pricing."/>
    <m/>
    <n v="14500"/>
    <m/>
    <m/>
    <m/>
    <m/>
    <m/>
    <m/>
    <m/>
    <m/>
    <m/>
    <m/>
    <n v="14500"/>
    <s v="Align academic programs with the local and global labor market needs"/>
    <m/>
  </r>
  <r>
    <s v="Facilities "/>
    <s v="Director, Research Laboratories"/>
    <s v="College of Engineering"/>
    <n v="847"/>
    <n v="8470350"/>
    <s v="KUST - Petroleum Engineering"/>
    <n v="1"/>
    <n v="492316"/>
    <s v="492316-Laboratory equipment"/>
    <s v="000000"/>
    <s v="KUST - General"/>
    <n v="847001"/>
    <s v="FA180-Capex Expense"/>
    <n v="300180"/>
    <x v="166"/>
    <m/>
    <m/>
    <m/>
    <s v="492316.Laboratory equipment-Number of Students-Number"/>
    <s v="Number"/>
    <n v="1"/>
    <n v="500000"/>
    <s v="HT Flow Loop System"/>
    <n v="500000"/>
    <m/>
    <m/>
    <n v="450000"/>
    <n v="400000"/>
    <n v="350000"/>
    <s v="reduced options for the equipment to be purchased"/>
    <s v="less options for the equipment to be purchased"/>
    <s v="Will not be purchased"/>
    <m/>
    <m/>
    <m/>
    <m/>
    <m/>
    <m/>
    <m/>
    <m/>
    <n v="500000"/>
    <m/>
    <m/>
    <m/>
    <n v="500000"/>
    <s v="Align the postgraduates programs with the research strategy"/>
    <s v="Compared to FY22 budget has significantly increased by 42% for CoE; most of CoE increased their funding in the range of 40%-74%, except for ME and CE."/>
  </r>
  <r>
    <s v="Academic"/>
    <s v="No Applicable"/>
    <s v="College of Medicine &amp; Health Sciences"/>
    <n v="847"/>
    <n v="8471305"/>
    <s v="KUST - Dean Of Medicine"/>
    <n v="1"/>
    <n v="420570"/>
    <s v="420570-Academic Collaborative Partnership Services"/>
    <s v="000000"/>
    <s v="KUST - General"/>
    <n v="847001"/>
    <s v="FA179-Opex Expense"/>
    <n v="200179"/>
    <x v="168"/>
    <n v="16778285"/>
    <n v="21895944"/>
    <n v="25770240"/>
    <s v="420570.Academic Collaborative Partnership Services-Partnership Agreement or Academic Collaboration -No of Partneship/collaboration Agreement"/>
    <s v="No of Partneship/collaboration Agreement"/>
    <n v="1"/>
    <n v="33130272"/>
    <s v="As per the Signed Agreement for Clinical training for MD students between SSMC-SEHA and KU"/>
    <n v="33130272"/>
    <s v="KU Regular operations"/>
    <s v="Recurring"/>
    <n v="29817244.800000001"/>
    <n v="26504217.600000001"/>
    <n v="23191190.399999999"/>
    <s v="Fixed contract. Change not an option.  Fifty Six (56 ) students will attend for clinical skill and direct patient care learning. "/>
    <s v="Fixed contract. Change not an option.  Fifty Six (56 ) students will attend for clinical skill and direct patient care learning. "/>
    <s v="Fixed contract. Change not an option.  Fifty Six (56 ) students will attend for clinical skill and direct patient care learning. "/>
    <m/>
    <m/>
    <n v="8282560"/>
    <m/>
    <m/>
    <n v="8282592"/>
    <m/>
    <m/>
    <n v="8282560"/>
    <m/>
    <m/>
    <n v="8282560"/>
    <n v="33130272"/>
    <s v="Widen access to students with outstanding academic potential"/>
    <s v="SHEA contract for the full year"/>
  </r>
  <r>
    <s v="IT"/>
    <s v="Director, Technology Development"/>
    <s v="College of Medicine &amp; Health Sciences"/>
    <n v="847"/>
    <n v="8471305"/>
    <s v="KUST - Dean Of Medicine"/>
    <n v="1"/>
    <n v="420811"/>
    <s v="420811-IT Systems &amp; Support expenses-Application/Systems Operation"/>
    <s v="000000"/>
    <s v="KUST - General"/>
    <n v="847001"/>
    <s v="FA179-Opex Expense"/>
    <n v="200179"/>
    <x v="169"/>
    <s v="-"/>
    <n v="0"/>
    <m/>
    <s v="420811.IT Systems &amp; Support expenses-Application/Systems Operation-Number of Students-Number"/>
    <s v="Number"/>
    <n v="145"/>
    <n v="2820"/>
    <s v="supplemental learning tool in preparation for the basic science exams from P1 - P4 first year of medical school. This resource focus students on material that will be tested on the USMLE for higher success and increases abilitly for international match in the USA or Canada.  "/>
    <n v="408900"/>
    <s v="KU Regular operations"/>
    <s v="Recurring"/>
    <n v="368010"/>
    <n v="327120"/>
    <n v="286230"/>
    <s v="required for ongoing IT operations to include license, upgrades, repairs etc. "/>
    <s v="required for ongoing IT operations to include license, upgrades, repairs etc. "/>
    <s v="required for ongoing IT operations to include license, upgrades, repairs etc. "/>
    <m/>
    <m/>
    <n v="136303"/>
    <m/>
    <m/>
    <n v="136303"/>
    <m/>
    <m/>
    <n v="136294"/>
    <m/>
    <m/>
    <m/>
    <n v="408900"/>
    <s v="Widen access to students with outstanding academic potential"/>
    <m/>
  </r>
  <r>
    <s v="HR"/>
    <s v="Manager, Business Development"/>
    <s v="College of Medicine &amp; Health Sciences"/>
    <n v="847"/>
    <n v="8471305"/>
    <s v="KUST - Dean Of Medicine"/>
    <n v="1"/>
    <n v="421000"/>
    <s v="421000-Management consultancy"/>
    <s v="000000"/>
    <s v="KUST - General"/>
    <n v="847001"/>
    <s v="FA179-Opex Expense"/>
    <n v="200179"/>
    <x v="170"/>
    <n v="0"/>
    <n v="271000"/>
    <n v="300000"/>
    <s v="421000.Management consultancy-Number of contracted consultations -count"/>
    <s v="count"/>
    <n v="10"/>
    <n v="40000"/>
    <s v="High level consultants to review and evaluate or teach faculty and staff what is required to set plans, evaluation and success of students.  USMLE, CAA, Student Health, coaching, external speakers etc. advisory for curriculumn "/>
    <n v="400000"/>
    <s v="KU Regular operations"/>
    <s v="Recurring"/>
    <n v="360000"/>
    <n v="320000"/>
    <n v="280000"/>
    <s v="High level consultants to review and evaluate or teach faculty and staff what is required to set plans, evaluation and success of students.  USMLE, CAA, Student Health, coaching, external speakers etc. Accreditation, advisory for curriculumn "/>
    <s v="High level consultants to review and evaluate or teach faculty and staff what is required to set plans, evaluation and success of students.  USMLE, CAA, Student Health, coaching, external speakers etc. Accreditation, advisory for curriculumn "/>
    <s v="High level consultants to review and evaluate or teach faculty and staff what is required to set plans, evaluation and success of students.  USMLE, CAA, Student Health, coaching, external speakers etc. Accreditation, advisory for curriculumn "/>
    <m/>
    <m/>
    <n v="100000"/>
    <m/>
    <m/>
    <n v="100000"/>
    <m/>
    <m/>
    <n v="100000"/>
    <m/>
    <m/>
    <n v="100000"/>
    <n v="400000"/>
    <s v="Promote a working culture of excellence and accountability"/>
    <m/>
  </r>
  <r>
    <s v="Academic"/>
    <s v="Director, Institutional Research and Planning"/>
    <s v="College of Medicine &amp; Health Sciences"/>
    <n v="847"/>
    <n v="8471305"/>
    <s v="KUST - Dean Of Medicine"/>
    <n v="1"/>
    <n v="421700"/>
    <s v="421700-Standards certification (e.g. ISO)"/>
    <s v="000000"/>
    <s v="KUST - General"/>
    <n v="847001"/>
    <s v="FA179-Opex Expense"/>
    <n v="200179"/>
    <x v="171"/>
    <n v="85014.13"/>
    <n v="170000"/>
    <n v="170000"/>
    <s v="421700.Standards Certification Services (e.g. ISO)-professional services scope/deliverables-Number"/>
    <s v="Number"/>
    <n v="6"/>
    <n v="60000"/>
    <s v="BLS Certification: for P1/P2 students + staff, ACLC Certification"/>
    <n v="360000"/>
    <s v="KU Regular operations"/>
    <s v="Recurring"/>
    <n v="324000"/>
    <n v="288000"/>
    <n v="251999.99999999997"/>
    <s v="BLS Certification: for P1/P2 students + staff, ACLC Certification"/>
    <s v="required for accreditation and maintenance equipments"/>
    <s v="required for accreditation and maintenance equipments"/>
    <m/>
    <m/>
    <n v="120000"/>
    <m/>
    <m/>
    <n v="120000"/>
    <m/>
    <m/>
    <n v="120000"/>
    <m/>
    <m/>
    <m/>
    <n v="360000"/>
    <s v="Develop and implement of performance management system across the university"/>
    <m/>
  </r>
  <r>
    <s v="Facilities "/>
    <s v="No Applicable"/>
    <s v="College of Medicine &amp; Health Sciences"/>
    <n v="847"/>
    <n v="8471305"/>
    <s v="KUST - Dean Of Medicine"/>
    <n v="1"/>
    <n v="422100"/>
    <s v="422100-Waste management service"/>
    <s v="000000"/>
    <s v="KUST - General"/>
    <n v="847001"/>
    <s v="FA179-Opex Expense"/>
    <n v="200179"/>
    <x v="172"/>
    <n v="31000"/>
    <n v="12000"/>
    <n v="12000"/>
    <s v="422100.Waste management service-Number of Services-Number"/>
    <s v="Number"/>
    <n v="3"/>
    <n v="4000"/>
    <s v="to ensure that contaminated waste removal to include blood products, tissue &amp; science matter as properly removed and destroyed."/>
    <n v="12000"/>
    <s v="KU Regular operations"/>
    <s v="Recurring"/>
    <n v="10800"/>
    <n v="9600"/>
    <n v="8400"/>
    <s v="to ensure that contaminated waste removal to include blood products, tissue &amp; science matter as properly removed and destroyed."/>
    <s v="to ensure that contaminated waste removal to include blood products, tissue &amp; science matter as properly removed and destroyed."/>
    <s v="to ensure that contaminated waste removal to include blood products, tissue &amp; science matter as properly removed and destroyed."/>
    <m/>
    <m/>
    <n v="4000"/>
    <m/>
    <m/>
    <n v="4000"/>
    <m/>
    <m/>
    <m/>
    <m/>
    <n v="4000"/>
    <m/>
    <n v="12000"/>
    <s v="Realize a sustainable , healthy and safe campus environment for all community members"/>
    <m/>
  </r>
  <r>
    <s v="Communiction &amp; Marketing"/>
    <s v="Director, Marketing and Communication"/>
    <s v="College of Medicine &amp; Health Sciences"/>
    <n v="847"/>
    <n v="8471305"/>
    <s v="KUST - Dean Of Medicine"/>
    <n v="1"/>
    <n v="425510"/>
    <s v="425510-Conferences, seminars and exhibitions and other events: - Local Events"/>
    <s v="000000"/>
    <s v="KUST - General"/>
    <n v="847001"/>
    <s v="FA179-Opex Expense"/>
    <n v="200179"/>
    <x v="173"/>
    <n v="83485.8"/>
    <n v="820000"/>
    <n v="340000"/>
    <s v="425510.Conferences, seminars and exhibitions and other events: - Local Events-Events-Number of Events"/>
    <s v="Number of Events"/>
    <n v="34"/>
    <n v="30000"/>
    <s v="1- hosting, presenting and attending at local conferences, networking and learning to increase the KU CMHS visibilty and ranking. 50/6000AED_x000a_2- Department cermonial expenses 4/10000 AED"/>
    <n v="1020000"/>
    <s v="KU Regular operations"/>
    <s v="Recurring"/>
    <n v="918000"/>
    <n v="816000"/>
    <n v="714000"/>
    <s v="hosting, presenting and attending at local conferences, networking and learning to increase the KU CMHS visibilty and ranking. "/>
    <s v="hosting, presenting and attending at local conferences, networking and learning to increase the KU CMHS visibilty and ranking. "/>
    <s v="hosting, presenting and attending at local conferences, networking and learning to increase the KU CMHS visibilty and ranking. "/>
    <n v="85000"/>
    <n v="85000"/>
    <n v="85000"/>
    <n v="85000"/>
    <n v="85000"/>
    <n v="85000"/>
    <n v="85000"/>
    <n v="85000"/>
    <n v="85000"/>
    <n v="85000"/>
    <n v="85000"/>
    <n v="85000"/>
    <n v="1020000"/>
    <s v="Strengthen research ethical culture framework across the university"/>
    <s v="Incresed number of events since no limitation and restricitios due to COVID"/>
  </r>
  <r>
    <s v="Communiction &amp; Marketing"/>
    <s v="No Applicable"/>
    <s v="College of Medicine &amp; Health Sciences"/>
    <n v="847"/>
    <n v="8471305"/>
    <s v="KUST - Dean Of Medicine"/>
    <n v="1"/>
    <n v="425550"/>
    <s v="425550-Conferences, seminars and exhibitions and other events: - Overseas event"/>
    <s v="000000"/>
    <s v="KUST - General"/>
    <n v="847001"/>
    <s v="FA179-Opex Expense"/>
    <n v="200179"/>
    <x v="174"/>
    <n v="47146.720000000001"/>
    <n v="780000"/>
    <n v="720000"/>
    <s v="425550.Conferences, seminars and exhibitions and other events: - Overseas event-Conferences-Number of Conferences"/>
    <s v="Number of Conferences"/>
    <n v="38"/>
    <n v="30000"/>
    <s v="presenting at international conferences, networking and recruitment. Exposure to move to top 100 universities  24/30000AED"/>
    <n v="1140000"/>
    <s v="KU Regular operations"/>
    <s v="Recurring"/>
    <n v="1026000"/>
    <n v="912000"/>
    <n v="798000"/>
    <s v="presenting at international conferences, networking and recruitment. Exposure to move to top 100 universities "/>
    <s v="presenting at international conferences, networking and recruitment. Exposure to move to top 100 universities "/>
    <s v="presenting at international conferences, networking and recruitment. Exposure to move to top 100 universities "/>
    <n v="95000"/>
    <n v="95000"/>
    <n v="95000"/>
    <n v="95000"/>
    <n v="95000"/>
    <n v="95000"/>
    <n v="95000"/>
    <n v="95000"/>
    <n v="95000"/>
    <n v="95000"/>
    <n v="95000"/>
    <n v="95000"/>
    <n v="1140000"/>
    <s v="Build partnerships with local and international universities"/>
    <s v="Incresed number of events since no limitation and restricitios due to COVID"/>
  </r>
  <r>
    <s v="Student"/>
    <s v="No Applicable"/>
    <s v="College of Medicine &amp; Health Sciences"/>
    <n v="847"/>
    <n v="8471305"/>
    <s v="KUST - Dean Of Medicine"/>
    <n v="1"/>
    <n v="425720"/>
    <s v="425720-Education-Outsourced training service"/>
    <s v="000000"/>
    <s v="KUST - General"/>
    <n v="847001"/>
    <s v="FA179-Opex Expense"/>
    <n v="200179"/>
    <x v="175"/>
    <n v="1377538.15"/>
    <n v="2494345"/>
    <n v="3000000"/>
    <s v="425720.Education-Outsourced training service-Activities-No of Activities"/>
    <s v="No of Activities"/>
    <n v="10"/>
    <n v="300000"/>
    <s v="KAPLAN,MCAT standardized exams, predicting students success and progession academically and benchmark. Standardized patient exams"/>
    <n v="3000000"/>
    <s v="KU Regular operations"/>
    <s v="Recurring"/>
    <n v="2700000"/>
    <n v="2400000"/>
    <n v="2100000"/>
    <s v="standardized exams, predicting students success and progession academically and benchmark. Standardized patient exams"/>
    <s v="standardized exams, predicting students success and progession academically and benchmark. Standardized patient exams"/>
    <s v="standardized exams, predicting students success and progession academically and benchmark. Standardized patient exams"/>
    <m/>
    <n v="300000"/>
    <n v="300000"/>
    <n v="300000"/>
    <n v="300000"/>
    <n v="300000"/>
    <n v="300000"/>
    <n v="300000"/>
    <n v="300000"/>
    <n v="300000"/>
    <n v="300000"/>
    <m/>
    <n v="3000000"/>
    <s v="Widen access to students with outstanding academic potential"/>
    <m/>
  </r>
  <r>
    <s v="Academic"/>
    <s v="No Applicable"/>
    <s v="College of Medicine &amp; Health Sciences"/>
    <n v="847"/>
    <n v="8471305"/>
    <s v="KUST - Dean Of Medicine"/>
    <n v="1"/>
    <n v="425742"/>
    <s v="425742-Enrollment expenses"/>
    <s v="000000"/>
    <s v="KUST - General"/>
    <n v="847001"/>
    <s v="FA179-Opex Expense"/>
    <n v="200179"/>
    <x v="176"/>
    <n v="74619.92"/>
    <n v="180000"/>
    <n v="180000"/>
    <s v="425742.Enrollment expenses-Number of Students-Number"/>
    <s v="Number"/>
    <n v="145"/>
    <n v="2055"/>
    <s v="Added 50 new P1 students to have a total of 145 returning for courses this 2023 -2024 academic year. _x000a_Visa processing and health insurance requirments for students_x000a_"/>
    <n v="297975"/>
    <s v="KU Regular operations"/>
    <s v="Recurring"/>
    <n v="268177.5"/>
    <n v="238380"/>
    <n v="208582.5"/>
    <s v="Added 50 new P1 students to have a total of 145 returning for courses this 2023 -2024 academic year. "/>
    <s v="Added 50 new P1 students to have a total of 145 returning for courses this 2023 -2024 academic year. "/>
    <s v="Added 50 new P1 students to have a total of 145 returning for courses this 2023 -2024 academic year. "/>
    <m/>
    <m/>
    <n v="74493.75"/>
    <m/>
    <m/>
    <n v="74493.75"/>
    <m/>
    <m/>
    <n v="74493.75"/>
    <m/>
    <m/>
    <n v="74493.75"/>
    <n v="297975"/>
    <s v="Widen access to students with outstanding academic potential"/>
    <m/>
  </r>
  <r>
    <s v="Student"/>
    <s v="No Applicable"/>
    <s v="College of Medicine &amp; Health Sciences"/>
    <n v="847"/>
    <n v="8471305"/>
    <s v="KUST - Dean Of Medicine"/>
    <n v="1"/>
    <n v="425745"/>
    <s v="425745-Student relocation &amp; travel exps"/>
    <s v="000000"/>
    <s v="KUST - General"/>
    <n v="847001"/>
    <s v="FA179-Opex Expense"/>
    <n v="200179"/>
    <x v="177"/>
    <n v="16828"/>
    <n v="20000"/>
    <n v="20000"/>
    <s v="425745.Student relocation &amp; travel exps-Number of Students UG-Month"/>
    <s v="Month"/>
    <n v="25"/>
    <n v="33000"/>
    <s v="Travel for student abroad coming to KU for academic studies."/>
    <n v="825000"/>
    <s v="KU Regular operations"/>
    <s v="Recurring"/>
    <n v="742500"/>
    <n v="660000"/>
    <n v="577500"/>
    <s v="relocation overseas incoming expenses for onboarding students if reduced would be self paid"/>
    <s v="relocation overseas incoming expenses for onboarding students if reduced would be self paid"/>
    <s v="relocation overseas incoming expenses for onboarding students if reduced would be self paid"/>
    <m/>
    <m/>
    <m/>
    <m/>
    <m/>
    <m/>
    <m/>
    <n v="825000"/>
    <m/>
    <m/>
    <m/>
    <m/>
    <n v="825000"/>
    <s v="Widen access to students with outstanding academic potential"/>
    <s v="new students enrollment"/>
  </r>
  <r>
    <s v="Student"/>
    <s v="No Applicable"/>
    <s v="College of Medicine &amp; Health Sciences"/>
    <n v="847"/>
    <n v="8471305"/>
    <s v="KUST - Dean Of Medicine"/>
    <n v="1"/>
    <n v="425746"/>
    <s v="425746-Student Transport"/>
    <s v="000000"/>
    <s v="KUST - General"/>
    <n v="847001"/>
    <s v="FA179-Opex Expense"/>
    <n v="200179"/>
    <x v="178"/>
    <n v="0"/>
    <n v="292600"/>
    <n v="292600"/>
    <s v="425746.Student Transport-Students_x000a_-No of Students "/>
    <s v="No of Students "/>
    <n v="90"/>
    <n v="4180"/>
    <s v="transport students to and from accommodation and other activities provided by KU"/>
    <n v="376200"/>
    <s v="KU Regular operations"/>
    <s v="Recurring"/>
    <n v="338580"/>
    <n v="300960"/>
    <n v="263340"/>
    <s v="transport students to and from accommodation and other activities provided by KU"/>
    <s v="transport students to and from accommodation and other activities provided by KU"/>
    <s v="transport students to and from accommodation and other activities provided by KU"/>
    <n v="31350"/>
    <n v="31350"/>
    <n v="31350"/>
    <n v="31350"/>
    <n v="31350"/>
    <n v="31350"/>
    <n v="31350"/>
    <n v="31350"/>
    <n v="31350"/>
    <n v="31350"/>
    <n v="31350"/>
    <n v="31350"/>
    <n v="376200"/>
    <s v="Widen access to students with outstanding academic potential"/>
    <s v="new students enrollment"/>
  </r>
  <r>
    <s v="Student"/>
    <s v="No Applicable"/>
    <s v="College of Medicine &amp; Health Sciences"/>
    <n v="847"/>
    <n v="8471305"/>
    <s v="KUST - Dean Of Medicine"/>
    <n v="1"/>
    <n v="425749"/>
    <s v="425749-Postgraduate Student Salaries"/>
    <s v="000000"/>
    <s v="KUST - General"/>
    <n v="847001"/>
    <s v="FA179-Opex Expense"/>
    <n v="200179"/>
    <x v="179"/>
    <n v="14604066.380000001"/>
    <n v="24213178"/>
    <n v="24213178"/>
    <s v="425749.Postgraduate Student Salaries-Post Graduate students-No of Post Graduate Students"/>
    <s v="No of Post Graduate Students"/>
    <n v="1"/>
    <n v="40876000"/>
    <s v="Salaries paid to Emirati and expat students for financial support and the ability to focus on academic  studies in medicine to meet standards at the international level.  To reduce this salary puts the students at a disadvantage for cover of living expenses"/>
    <n v="40876000"/>
    <s v="KU Regular operations"/>
    <s v="Recurring"/>
    <n v="36788400"/>
    <n v="32700800"/>
    <n v="28613200"/>
    <s v="Salaries paid to Emirati and expat students for financial support and the ability to focus on academic  studies in medicine to meet standards at the international level.  To reduce this salary puts the students at a disadvantage for cover of living expenses"/>
    <s v="Salaries paid to Emirati and expat students for financial support and the ability to focus on academic  studies in medicine to meet standards at the international level.  To reduce this salary puts the students at a disadvantage for cover of living expenses"/>
    <s v="Salaries paid to Emirati and expat students for financial support and the ability to focus on academic  studies in medicine to meet standards at the international level.  To reduce this salary puts the students at a disadvantage for cover of living expenses"/>
    <n v="3406333.33"/>
    <n v="3406333.33"/>
    <n v="3406333.33"/>
    <n v="3406333.33"/>
    <n v="3406333.33"/>
    <n v="3406333.389"/>
    <n v="3406333.3130000001"/>
    <n v="3406333.3149999999"/>
    <n v="3406333.327"/>
    <n v="3406333.3229999999"/>
    <n v="3406333.3139999998"/>
    <n v="3406333.37"/>
    <n v="40876000.001000002"/>
    <s v="Increase number of postgraduate students"/>
    <s v="new students enrollment"/>
  </r>
  <r>
    <s v="Student"/>
    <s v="No Applicable"/>
    <s v="College of Medicine &amp; Health Sciences"/>
    <n v="847"/>
    <n v="8471305"/>
    <s v="KUST - Dean Of Medicine"/>
    <n v="1"/>
    <n v="425750"/>
    <s v="425750-Skill assessment service"/>
    <s v="000000"/>
    <s v="KUST - General"/>
    <n v="847001"/>
    <s v="FA179-Opex Expense"/>
    <n v="200179"/>
    <x v="180"/>
    <n v="0"/>
    <n v="864069"/>
    <n v="864069"/>
    <s v="425750.Skill assessment service-Events-No of Events"/>
    <s v="No of Events"/>
    <n v="145"/>
    <n v="18493"/>
    <s v="Required standardized exams NBME exam, IFOM, MCAT, USMLE STEP 1 AND STEP 2, Peer tutor for success for international internships. "/>
    <n v="2681485"/>
    <s v="KU Regular operations"/>
    <s v="Recurring"/>
    <n v="2413336.5"/>
    <n v="2145188"/>
    <n v="1877039.4999999998"/>
    <s v="Required standardized exams NBME exam, IFOM, MCAT, USMLE STEP 1 AND STEP 2, Peer tutor for success for international internships. "/>
    <s v="Required standardized exams NBME exam, IFOM, MCAT, USMLE STEP 1 AND STEP 2, Peer tutor for success for international internships. "/>
    <s v="Required standardized exams NBME exam, IFOM, MCAT, USMLE STEP 1 AND STEP 2, Peer tutor for success for international internships. "/>
    <m/>
    <m/>
    <n v="670371.25"/>
    <m/>
    <m/>
    <n v="670371.25"/>
    <m/>
    <m/>
    <n v="670371.25"/>
    <m/>
    <m/>
    <n v="670371.25"/>
    <n v="2681485"/>
    <s v="Widen access to students with outstanding academic potential"/>
    <s v="new students enrollment"/>
  </r>
  <r>
    <s v="Student"/>
    <s v="No Applicable"/>
    <s v="College of Medicine &amp; Health Sciences"/>
    <n v="847"/>
    <n v="8471305"/>
    <s v="KUST - Dean Of Medicine"/>
    <n v="1"/>
    <n v="425762"/>
    <s v="425762-Student Internship"/>
    <s v="000000"/>
    <s v="KUST - General"/>
    <n v="847001"/>
    <s v="FA179-Opex Expense"/>
    <n v="200179"/>
    <x v="181"/>
    <n v="0"/>
    <n v="2759974"/>
    <n v="2759974"/>
    <s v="425762.Student Internship-Number of Students UG-Month"/>
    <s v="Month"/>
    <n v="29"/>
    <n v="114206"/>
    <s v="P4 Student internships for 29 students. internships increase knowledge, skill and competencies required to function as an independent medical (general) practitioner and to facilitate entry into postgraduate medical education. Abillity to enter top academic postgrad sites abroad."/>
    <n v="3311974"/>
    <s v="KU Regular operations"/>
    <s v="Recurring"/>
    <n v="2980776.6"/>
    <n v="2649579.2000000002"/>
    <n v="2318381.7999999998"/>
    <s v="Student internships to increase knowledge, skill and competencies required to function as an independent medical (general) practitioner and to facilitate entry into postgraduate medical education. Abillity to enter top academic postgrad sites abroad."/>
    <s v="Student internships to increase knowledge, skill and competencies required to function as an independent medical (general) practitioner and to facilitate entry into postgraduate medical education. Abillity to enter top academic postgrad sites abroad."/>
    <s v="Student internships to increase knowledge, skill and competencies required to function as an independent medical (general) practitioner and to facilitate entry into postgraduate medical education. Abillity to enter top academic postgrad sites abroad."/>
    <n v="275997"/>
    <n v="275997"/>
    <n v="275997"/>
    <n v="275997"/>
    <n v="275997"/>
    <n v="275999"/>
    <n v="275999"/>
    <n v="275999"/>
    <n v="275998"/>
    <n v="275998"/>
    <n v="275998"/>
    <n v="275998"/>
    <n v="3311974"/>
    <s v="Widen access to students with outstanding academic potential"/>
    <s v="new students enrollment"/>
  </r>
  <r>
    <s v="Student"/>
    <s v="No Applicable"/>
    <s v="College of Medicine &amp; Health Sciences"/>
    <n v="847"/>
    <n v="8471305"/>
    <s v="KUST - Dean Of Medicine"/>
    <n v="1"/>
    <n v="425763"/>
    <s v="425763-Student Project Expenses"/>
    <s v="000000"/>
    <s v="KUST - General"/>
    <n v="847001"/>
    <s v="FA179-Opex Expense"/>
    <n v="200179"/>
    <x v="182"/>
    <n v="32580"/>
    <n v="200000"/>
    <n v="200000"/>
    <s v="425763.Student Project Expenses-Number of Students UG-Month"/>
    <s v="Month"/>
    <n v="11"/>
    <n v="23345"/>
    <s v="Ongoing research per individual students and with faculty for a total of 145 students who can utilize this as required."/>
    <n v="256795"/>
    <s v="KU Regular operations"/>
    <s v="Recurring"/>
    <n v="231115.5"/>
    <n v="205436"/>
    <n v="179756.5"/>
    <s v="Ongoing research per individual students and with faculty for 145 students who can utilize this as required."/>
    <s v="Ongoing research per individual students and with faculty for 145 students who can utilize this as required."/>
    <s v="Ongoing research per individual students and with faculty for 145 students who can utilize this as required."/>
    <m/>
    <n v="23345"/>
    <n v="23345"/>
    <n v="23345"/>
    <n v="23345"/>
    <n v="23345"/>
    <n v="23345"/>
    <n v="23345"/>
    <n v="23345"/>
    <n v="23345"/>
    <n v="23345"/>
    <n v="23345"/>
    <n v="256795"/>
    <s v="Widen access to students with outstanding academic potential"/>
    <s v="new students enrollment"/>
  </r>
  <r>
    <s v="Other support"/>
    <s v="Director, Human Resources"/>
    <s v="College of Medicine &amp; Health Sciences"/>
    <n v="847"/>
    <n v="8471305"/>
    <s v="KUST - Dean Of Medicine"/>
    <n v="1"/>
    <n v="425900"/>
    <s v="425900-Entertainment and hospitality"/>
    <s v="000000"/>
    <s v="KUST - General"/>
    <n v="847001"/>
    <s v="FA179-Opex Expense"/>
    <n v="200179"/>
    <x v="183"/>
    <n v="20410.759999999998"/>
    <n v="185000"/>
    <n v="185000"/>
    <s v="425900.Entertainment and hospitality-1. No of events/workshops planned-count"/>
    <s v="count"/>
    <n v="25"/>
    <n v="14746"/>
    <s v="12 events during the year to support faculty, staff and students related to recognition, visitors, awards, interal workgroups"/>
    <n v="368650"/>
    <s v="KU Regular operations"/>
    <s v="Recurring"/>
    <n v="331785"/>
    <n v="294920"/>
    <n v="258054.99999999997"/>
    <s v="entertainment and hospitality for relaxation and disctruction for student well-being"/>
    <s v="entertainment and hospitality for relaxation and disctruction for student well-being"/>
    <s v="entertainment and hospitality for relaxation and disctruction for student well-being"/>
    <n v="30720"/>
    <n v="30720"/>
    <n v="30720"/>
    <n v="30720"/>
    <n v="30720"/>
    <n v="30720"/>
    <n v="30720"/>
    <n v="30720"/>
    <n v="30720"/>
    <n v="30720"/>
    <n v="30730"/>
    <n v="30720"/>
    <n v="368650"/>
    <s v="Develop and implement of performance management system across the university"/>
    <m/>
  </r>
  <r>
    <s v="Facilities "/>
    <s v="No Applicable"/>
    <s v="College of Medicine &amp; Health Sciences"/>
    <n v="847"/>
    <n v="8471305"/>
    <s v="KUST - Dean Of Medicine"/>
    <n v="1"/>
    <n v="426100"/>
    <s v="426100-Freight and shipping costs, not included elsewhere under purchase costs"/>
    <s v="000000"/>
    <s v="KUST - General"/>
    <n v="847001"/>
    <s v="FA179-Opex Expense"/>
    <n v="200179"/>
    <x v="184"/>
    <n v="0"/>
    <n v="90000"/>
    <n v="90000"/>
    <s v="426100.Freight and shipping costs, Numbert included elsewhere under purchase costs-Number of items-Number"/>
    <s v="Number"/>
    <n v="12"/>
    <n v="8500"/>
    <s v="2500 DHS per academic - shipping samples to collaborators nationally and internationally _x000a_samples collection and shipping cost- others"/>
    <n v="102000"/>
    <s v="KU Regular operations"/>
    <s v="Recurring"/>
    <n v="91800"/>
    <n v="81600"/>
    <n v="71400"/>
    <s v="items required for overseas presentation or general conferene meetings that would not be carried per individual  as per request when attending a local, regional or international event presenting and/or representing KU CHMS"/>
    <s v="tems required for overseas presentation or general conferene meetings that would not be carried per individual  as per request when attending a local, regional or international event presenting and/or representing KU CHMS"/>
    <s v="tems required for overseas presentation or general conferene meetings that would not be carried per individual  as per request when attending a local, regional or international event presenting and/or representing KU CHMS"/>
    <n v="8500"/>
    <n v="8500"/>
    <n v="8500"/>
    <n v="8500"/>
    <n v="8500"/>
    <n v="8500"/>
    <n v="8500"/>
    <n v="8500"/>
    <n v="8500"/>
    <n v="8500"/>
    <n v="8500"/>
    <n v="8500"/>
    <n v="102000"/>
    <s v="Attract and organize international conferences and summits"/>
    <m/>
  </r>
  <r>
    <s v="IT"/>
    <s v="Director, Technology Development"/>
    <s v="College of Medicine &amp; Health Sciences"/>
    <n v="847"/>
    <n v="8471305"/>
    <s v="KUST - Dean Of Medicine"/>
    <n v="1"/>
    <n v="426610"/>
    <s v="426610-Computer software licenses"/>
    <s v="000000"/>
    <s v="KUST - General"/>
    <n v="847001"/>
    <s v="FA179-Opex Expense"/>
    <n v="200179"/>
    <x v="185"/>
    <n v="1212147.98"/>
    <n v="977363"/>
    <n v="977363"/>
    <s v="426610.Computer software licenses-Software License Renewal-number of licenses-Number"/>
    <s v="Number"/>
    <n v="1"/>
    <n v="977363"/>
    <s v=" strategically aligned with the Top Ten university goal, this budget meets student academic excellence.  This applies to academic sequel updates to versions for current practice.  Uworld, Lecturio, and others. "/>
    <n v="977363"/>
    <s v="KU Regular operations"/>
    <s v="Recurring"/>
    <n v="879626.70000000007"/>
    <n v="781890.4"/>
    <n v="684154.1"/>
    <s v="strategically aligned with the Top Ten university goal, this budget meets student academic excellence.  This applies to academic sequel updates to versions for current practice.  Uworld, Lecturio, and others."/>
    <s v="strategically aligned with the Top Ten university goal, this budget meets student academic excellence.  This applies to academic sequel updates to versions for current practice.  Uworld, Lecturio, and others."/>
    <s v="strategically aligned with the Top Ten university goal, this budget meets student academic excellence.  This applies to academic sequel updates to versions for current practice.  Uworld, Lecturio, and others."/>
    <m/>
    <m/>
    <n v="325787.65999999997"/>
    <m/>
    <n v="325787.65999999997"/>
    <m/>
    <n v="325787.68"/>
    <m/>
    <m/>
    <m/>
    <m/>
    <m/>
    <n v="977363"/>
    <m/>
    <m/>
  </r>
  <r>
    <s v="HR"/>
    <s v="No Applicable"/>
    <s v="College of Medicine &amp; Health Sciences"/>
    <n v="847"/>
    <n v="8471305"/>
    <s v="KUST - Dean Of Medicine"/>
    <n v="1"/>
    <n v="426900"/>
    <s v="426900-Postal, courier and other document delivery expenses"/>
    <s v="000000"/>
    <s v="KUST - General"/>
    <n v="847001"/>
    <s v="FA179-Opex Expense"/>
    <n v="200179"/>
    <x v="186"/>
    <n v="290"/>
    <n v="21000"/>
    <n v="21000"/>
    <s v="426900.Postal, courier and other document delivery expenses-Number of Faculty-Number"/>
    <s v="Number"/>
    <n v="12"/>
    <n v="1750"/>
    <s v="1750 DHS per academic - shipping samples or documents to collaborators nationally and internationally "/>
    <n v="21000"/>
    <s v="KU Regular operations"/>
    <s v="Recurring"/>
    <n v="18900"/>
    <n v="16800"/>
    <n v="14699.999999999998"/>
    <s v="important documents and communication that require tracking "/>
    <s v="important documents and communication that require tracking "/>
    <s v="important documents and communication that require tracking "/>
    <n v="1750"/>
    <n v="1750"/>
    <n v="1750"/>
    <n v="1750"/>
    <n v="1750"/>
    <n v="1750"/>
    <n v="1750"/>
    <n v="1750"/>
    <n v="1750"/>
    <n v="1750"/>
    <n v="1750"/>
    <n v="1750"/>
    <n v="21000"/>
    <s v="Provide reliable, accurate and timely reports to different stakeholders"/>
    <m/>
  </r>
  <r>
    <s v="Communiction &amp; Marketing"/>
    <s v="No Applicable"/>
    <s v="College of Medicine &amp; Health Sciences"/>
    <n v="847"/>
    <n v="8471305"/>
    <s v="KUST - Dean Of Medicine"/>
    <n v="1"/>
    <n v="427200"/>
    <s v="427200-Printing and publishing"/>
    <s v="000000"/>
    <s v="KUST - General"/>
    <n v="847001"/>
    <s v="FA179-Opex Expense"/>
    <n v="200179"/>
    <x v="187"/>
    <n v="158351.81"/>
    <n v="627674"/>
    <n v="627674"/>
    <s v="427200.Printing and publishing-The cost of design for the entity's publications to reflect the entity's identity-count"/>
    <s v="count"/>
    <n v="45"/>
    <n v="15000"/>
    <s v="publishing in Top Quarter Rated Journals to increase visibility of KU and CMHS, top 100 university goal_x000a_Free standing posters, badges, certificates, embriodery, logo pins_x000a_"/>
    <n v="675000"/>
    <s v="KU Regular operations"/>
    <s v="Recurring"/>
    <n v="607500"/>
    <n v="540000"/>
    <n v="472499.99999999994"/>
    <s v="publishing in Top Quarter Rated Journals to increase visibility of KU and CMHS, top 100 university goal"/>
    <s v="publishing in Top Quarter Rated Journals to increase visibility of KU and CMHS, top 100 university goal"/>
    <s v="publishing in Top Quarter Rated Journals to increase visibility of KU and CMHS, top 100 university goal"/>
    <m/>
    <n v="67500"/>
    <n v="67500"/>
    <n v="67500"/>
    <n v="67500"/>
    <n v="67500"/>
    <n v="67500"/>
    <n v="67500"/>
    <n v="67500"/>
    <n v="67500"/>
    <n v="67500"/>
    <m/>
    <n v="675000"/>
    <s v="Increase publications in journals with high impact factor"/>
    <m/>
  </r>
  <r>
    <s v="Academic"/>
    <s v="No Applicable"/>
    <s v="College of Medicine &amp; Health Sciences"/>
    <n v="847"/>
    <n v="8471305"/>
    <s v="KUST - Dean Of Medicine"/>
    <n v="1"/>
    <n v="427710"/>
    <s v="427710-Subscriptions and membership fees: Trade organisations"/>
    <s v="000000"/>
    <s v="KUST - General"/>
    <n v="847001"/>
    <s v="FA179-Opex Expense"/>
    <n v="200179"/>
    <x v="188"/>
    <n v="14706.73"/>
    <n v="153178"/>
    <n v="153178"/>
    <s v="427710.Subscriptions and membership fees: Trade organisations-Number  of Memberships-Number"/>
    <s v="Number"/>
    <n v="43"/>
    <n v="5520"/>
    <s v="5520 DHS per academic (membership to professional societies e.g. FENS, IBRO, AAMC, AMEE physiological society, pharmacological society, Alzheimer society, American Neuroscience, ASPET etc…)"/>
    <n v="237360"/>
    <s v="KU Regular operations"/>
    <s v="Recurring"/>
    <n v="213624"/>
    <n v="189888"/>
    <n v="166152"/>
    <s v="for TOP 100 recognition progressprofessional memberships and organization at international level, organizing onsite or regional symposiums, publications in the journals "/>
    <s v="for TOP 100 recognition progressprofessional memberships and organization at international level, organizing onsite or regional symposiums, publications in the journals "/>
    <s v="for TOP 100 recognition progressprofessional memberships and organization at international level, organizing onsite or regional symposiums, publications in the journals "/>
    <m/>
    <n v="29670"/>
    <n v="29670"/>
    <n v="29670"/>
    <n v="29670"/>
    <n v="29670"/>
    <n v="29670"/>
    <n v="29670"/>
    <n v="29670"/>
    <m/>
    <m/>
    <m/>
    <n v="237360"/>
    <s v="Increase publications in journals with high impact factor"/>
    <m/>
  </r>
  <r>
    <s v="Academic "/>
    <s v="No Applicable"/>
    <s v="College of Medicine &amp; Health Sciences"/>
    <n v="847"/>
    <n v="8471305"/>
    <s v="KUST - Dean Of Medicine"/>
    <n v="1"/>
    <n v="428090"/>
    <s v="428090-Business Travel - Combined expenses"/>
    <s v="000000"/>
    <s v="KUST - General"/>
    <n v="847001"/>
    <s v="FA179-Opex Expense"/>
    <n v="200179"/>
    <x v="189"/>
    <n v="0"/>
    <n v="419000"/>
    <n v="419000"/>
    <s v="428090.Business Travel - Combined expenses-Number of Staff-Number"/>
    <s v="Number"/>
    <n v="30"/>
    <n v="15000"/>
    <s v="professional travel for Assoc/Asst Deans, faculty or staff as assigned based on international invitations and meetings with academic sites for potential partnerships. "/>
    <n v="450000"/>
    <s v="KU Regular operations"/>
    <s v="Recurring"/>
    <n v="405000"/>
    <n v="360000"/>
    <n v="315000"/>
    <s v="professional travel for Assoc/Asst Deans, faculty or staff as assigned based on international invitations and meetings with academic sites for potential partnerships. "/>
    <s v="professional travel for Assoc/Asst Deans, faculty or staff as assigned based on international invitations and meetings with academic sites for potential partnerships. "/>
    <s v="professional travel for Assoc/Asst Deans, faculty or staff as assigned based on international invitations and meetings with academic sites for potential partnerships. "/>
    <n v="37500"/>
    <n v="37500"/>
    <n v="37500"/>
    <n v="37500"/>
    <n v="37500"/>
    <n v="37500"/>
    <n v="37500"/>
    <n v="37500"/>
    <n v="37500"/>
    <n v="37500"/>
    <n v="37500"/>
    <n v="37500"/>
    <n v="450000"/>
    <s v="Build partnerships with local and international universities"/>
    <m/>
  </r>
  <r>
    <s v="Communiction &amp; Marketing"/>
    <s v="Director, Marketing and Communication"/>
    <s v="College of Medicine &amp; Health Sciences"/>
    <n v="847"/>
    <n v="8471305"/>
    <s v="KUST - Dean Of Medicine"/>
    <n v="1"/>
    <n v="428640"/>
    <s v="428640-Events - Awards, prizes &amp; gifts"/>
    <s v="000000"/>
    <s v="KUST - General"/>
    <n v="847001"/>
    <s v="FA179-Opex Expense"/>
    <n v="200179"/>
    <x v="190"/>
    <n v="1200"/>
    <n v="5000"/>
    <n v="5000"/>
    <s v="428640.Events - Awards, prizes &amp; gifts-Number of Events-count"/>
    <s v="count"/>
    <n v="4"/>
    <n v="25000"/>
    <s v="3500/Event for students that engage fellowship, appreciation, extra-academic activities, other reward based on the compititon between studnets"/>
    <n v="100000"/>
    <s v="KU Regular operations"/>
    <s v="Recurring"/>
    <n v="90000"/>
    <n v="80000"/>
    <n v="70000"/>
    <s v="Events for students that engage fellowship, appreciation, extra-academic activities"/>
    <s v="Events for students that engage fellowship, appreciation, extra-academic activities"/>
    <s v="Events for students that engage fellowship, appreciation, extra-academic activities"/>
    <m/>
    <m/>
    <n v="25000"/>
    <m/>
    <m/>
    <n v="25000"/>
    <m/>
    <m/>
    <n v="25000"/>
    <m/>
    <m/>
    <n v="25000"/>
    <n v="100000"/>
    <s v="Widen access to students with outstanding academic potential"/>
    <m/>
  </r>
  <r>
    <s v="IT"/>
    <s v="Director, Technology Development"/>
    <s v="College of Medicine &amp; Health Sciences"/>
    <n v="847"/>
    <n v="8471305"/>
    <s v="KUST - Dean Of Medicine"/>
    <n v="1"/>
    <n v="432205"/>
    <s v="432205-Computers and peripherals"/>
    <s v="000000"/>
    <s v="KUST - General"/>
    <n v="847001"/>
    <s v="FA179-Opex Expense"/>
    <n v="200179"/>
    <x v="191"/>
    <n v="99532.62"/>
    <n v="565385"/>
    <n v="289385"/>
    <s v="432205.Computers and peripherals-End user and Infrastructure components maintenance and support-number of hardware devices-Month"/>
    <s v="Month"/>
    <n v="1"/>
    <n v="1949500"/>
    <s v="to protect our high level investment maintenance and support-is required for the number of hardware devices or warrenty may expire for laboratory and advanced learning systems.  This relates to high level competency of students, staff and external clients.  also expansions, new facluty and staff , Wet/Dry labs, renewal for smart collaborative classrooms., neting rooms and other connections for faculty."/>
    <n v="1949500"/>
    <s v="KU Regular operations"/>
    <s v="Recurring"/>
    <n v="1754550"/>
    <n v="1559600"/>
    <n v="1364650"/>
    <s v="to protect our high level investment maintenance and support-is required for the number of hardware devices or warrenty may expire for laboratory and advanced learning systems.  This relates to high level competency of students, staff and external clients.  "/>
    <s v="to protect our high level investment maintenance and support-is required for the number of hardware devices or warrenty may expire for laboratory and advanced learning systems.  This relates to high level competency of students, staff and external clients. "/>
    <s v="to protect our high level investment maintenance and support-is required for the number of hardware devices or warrenty may expire for laboratory and advanced learning systems.  This relates to high level competency of students, staff and external clients. "/>
    <m/>
    <m/>
    <n v="1949500"/>
    <m/>
    <m/>
    <m/>
    <m/>
    <m/>
    <m/>
    <m/>
    <m/>
    <m/>
    <n v="1949500"/>
    <s v="Widen access to students with outstanding academic potential"/>
    <m/>
  </r>
  <r>
    <s v="Academic"/>
    <s v="No Applicable"/>
    <s v="College of Medicine &amp; Health Sciences"/>
    <n v="847"/>
    <n v="8471305"/>
    <s v="KUST - Dean Of Medicine"/>
    <n v="1"/>
    <n v="432209"/>
    <s v="432209-Laboratory equipment"/>
    <s v="000000"/>
    <s v="KUST - General"/>
    <n v="847001"/>
    <s v="FA179-Opex Expense"/>
    <n v="200179"/>
    <x v="192"/>
    <n v="55631.5"/>
    <n v="516900"/>
    <n v="516900"/>
    <s v="432209.Laboratory equipment-Number of Students-Number"/>
    <s v="Number"/>
    <n v="1"/>
    <n v="600000"/>
    <s v="Maintenance of projectors,interactive screens, cameras at each station and main camera. Similator maintenance and warranty renewals_x000a_Care and function of science and technology for major advances in health and medicine, to reach a Top 100 distinction, to have a significant societal and economic impact and increase recognition in publications. _x000a_"/>
    <n v="600000"/>
    <s v="KU Regular operations"/>
    <s v="Recurring"/>
    <n v="540000"/>
    <n v="480000"/>
    <n v="420000"/>
    <s v="care and function of science and technology for major advances in health and medicine, to reach a Top 100 distinction, to have a significant societal and economic impact and increase recognition in publications. "/>
    <s v="care and function of science and technology for major advances in health and medicine, to reach a Top 100 distinction, to have a significant societal and economic impact and increase recognition in publications. "/>
    <s v="care and function of science and technology for major advances in health and medicine, to reach a Top 100 distinction, to have a significant societal and economic impact and increase recognition in publications. "/>
    <m/>
    <m/>
    <n v="150000"/>
    <m/>
    <m/>
    <n v="150000"/>
    <m/>
    <m/>
    <n v="150000"/>
    <m/>
    <n v="150000"/>
    <m/>
    <n v="600000"/>
    <s v="Align the postgraduates programs with the research strategy"/>
    <m/>
  </r>
  <r>
    <s v="Academic"/>
    <s v="No Applicable"/>
    <s v="College of Medicine &amp; Health Sciences"/>
    <n v="847"/>
    <n v="8471305"/>
    <s v="KUST - Dean Of Medicine"/>
    <n v="1"/>
    <n v="432210"/>
    <s v="432210-Medical equipment"/>
    <s v="000000"/>
    <s v="KUST - General"/>
    <n v="847001"/>
    <s v="FA179-Opex Expense"/>
    <n v="200179"/>
    <x v="193"/>
    <m/>
    <n v="35000"/>
    <n v="35000"/>
    <s v="432210-Medical equipment"/>
    <s v="Number"/>
    <n v="4"/>
    <n v="50000"/>
    <s v="development of science and technology for major advances in health and medicine, to reach a Top 100 distinction, to have a significant societal and economic impact and increase recognition in publications. "/>
    <n v="200000"/>
    <s v="KU Regular operations"/>
    <s v="Recurring"/>
    <n v="180000"/>
    <n v="160000"/>
    <n v="140000"/>
    <s v="development of science and technology for major advances in health and medicine, to reach a Top 100 distinction, to have a significant societal and economic impact and increase recognition in publications. "/>
    <s v="development of science and technology for major advances in health and medicine, to reach a Top 100 distinction, to have a significant societal and economic impact and increase recognition in publications. "/>
    <s v="development of science and technology for major advances in health and medicine, to reach a Top 100 distinction, to have a significant societal and economic impact and increase recognition in publications. "/>
    <m/>
    <n v="20000"/>
    <n v="20000"/>
    <n v="20000"/>
    <n v="20000"/>
    <n v="20000"/>
    <n v="20000"/>
    <n v="20000"/>
    <n v="20000"/>
    <n v="20000"/>
    <n v="20000"/>
    <m/>
    <n v="200000"/>
    <m/>
    <m/>
  </r>
  <r>
    <s v="Academic"/>
    <s v="No Applicable"/>
    <s v="College of Medicine &amp; Health Sciences"/>
    <n v="847"/>
    <n v="8471305"/>
    <s v="KUST - Dean Of Medicine"/>
    <n v="1"/>
    <n v="435330"/>
    <s v="435330-Library books"/>
    <s v="000000"/>
    <s v="KUST - General"/>
    <n v="847001"/>
    <s v="FA179-Opex Expense"/>
    <n v="200179"/>
    <x v="194"/>
    <n v="-22387"/>
    <n v="72000"/>
    <n v="591905"/>
    <s v="435330.Library books-Number of Students-Number"/>
    <s v="Number"/>
    <n v="12"/>
    <n v="53492"/>
    <s v="These are electronic platform best practice RESOUCES FOR STUDENTS.resources in library for student use to ensure academic success and improve CMHS and KU rankings. "/>
    <n v="641904"/>
    <s v="KU Regular operations"/>
    <s v="Recurring"/>
    <n v="577713.6"/>
    <n v="513523.20000000001"/>
    <n v="449332.8"/>
    <s v="These are electronic platform best practice RESOUCES FOR STUDENTS.resources in library for student use to ensure academic success and improve CMHS and KU rankings. "/>
    <s v="These are electronic platform best practice RESOUCES FOR STUDENTS.resources in library for student use to ensure academic success and improve CMHS and KU rankings. "/>
    <s v="These are electronic platform best practice RESOUCES FOR STUDENTS.resources in library for student use to ensure academic success and improve CMHS and KU rankings. "/>
    <m/>
    <m/>
    <n v="160476"/>
    <m/>
    <m/>
    <n v="160476"/>
    <m/>
    <m/>
    <n v="160476"/>
    <m/>
    <m/>
    <n v="160476"/>
    <n v="641904"/>
    <s v="Widen access to students with outstanding academic potential"/>
    <m/>
  </r>
  <r>
    <s v="Academic"/>
    <s v="No Applicable"/>
    <s v="College of Medicine &amp; Health Sciences"/>
    <n v="847"/>
    <n v="8471305"/>
    <s v="KUST - Dean Of Medicine"/>
    <n v="1"/>
    <n v="435340"/>
    <s v="435340-Text books and library books"/>
    <s v="000000"/>
    <s v="KUST - General"/>
    <n v="847001"/>
    <s v="FA179-Opex Expense"/>
    <n v="200179"/>
    <x v="195"/>
    <n v="-22387"/>
    <n v="72000"/>
    <n v="300000"/>
    <s v="435340.Text books and library books-The cost of printing a book-Number of pages"/>
    <s v="Number of pages"/>
    <n v="1"/>
    <n v="300000"/>
    <s v="medical reference and medical references, books. Purchase of subject specific books required by the departments as they are essintial resources for lecture preparation, resources in library for student use to ensure academic success and improve CMHS and KU rankings. "/>
    <n v="300000"/>
    <s v="KU Regular operations"/>
    <s v="Recurring"/>
    <n v="270000"/>
    <n v="240000"/>
    <n v="210000"/>
    <s v="resources in library for student  and faculty use to ensure academic success and improve CMHS and KU rankings. "/>
    <s v="resources in library for student use to ensure academic success and improve CMHS and KU rankings. "/>
    <s v="resources in library for student use to ensure academic success and improve CMHS and KU rankings. "/>
    <m/>
    <m/>
    <m/>
    <n v="100000"/>
    <s v="  "/>
    <n v="100000"/>
    <n v="100000"/>
    <m/>
    <m/>
    <m/>
    <m/>
    <m/>
    <n v="300000"/>
    <s v="Widen access to students with outstanding academic potential"/>
    <m/>
  </r>
  <r>
    <s v="Academic"/>
    <s v="No Applicable"/>
    <s v="College of Medicine &amp; Health Sciences"/>
    <n v="847"/>
    <n v="8471305"/>
    <s v="KUST - Dean Of Medicine"/>
    <n v="1"/>
    <n v="435350"/>
    <s v="435350-Academic Publications"/>
    <s v="000000"/>
    <s v="KUST - General"/>
    <n v="847001"/>
    <s v="FA179-Opex Expense"/>
    <n v="200179"/>
    <x v="196"/>
    <n v="74471.19"/>
    <n v="120000"/>
    <n v="500000"/>
    <s v="435350.Academic Publications-Number of Publications-Number"/>
    <s v="Number"/>
    <n v="84"/>
    <n v="15000"/>
    <s v="Required to increase h-ndex by publications in Q1 journals and move the Top 100 goal closer to its goal.  Increase visibility and reputation of KU and CMHS by pulications."/>
    <n v="1260000"/>
    <s v="KU Regular operations"/>
    <s v="Recurring"/>
    <n v="1134000"/>
    <n v="1008000"/>
    <n v="882000"/>
    <s v="Top 100 goal Required to increase h-ndex by publications in Q1 journals and move the Top 100 goal closer to its goal.  Increase visibility and reputation of KU and CMHS by pulications."/>
    <s v="op 100 goal Required to increase h-ndex by publications in Q1 journals and move the Top 100 goal closer to its goal.  Increase visibility and reputation of KU and CMHS by pulications."/>
    <s v="op 100 goal Required to increase h-ndex by publications in Q1 journals and move the Top 100 goal closer to its goal.  Increase visibility and reputation of KU and CMHS by pulications."/>
    <n v="105000"/>
    <n v="105000"/>
    <n v="105000"/>
    <n v="105000"/>
    <n v="105000"/>
    <n v="105000"/>
    <n v="105000"/>
    <n v="105000"/>
    <n v="105000"/>
    <n v="105000"/>
    <n v="105000"/>
    <n v="105000"/>
    <n v="1260000"/>
    <s v="Increase publications in journals with high impact factor"/>
    <m/>
  </r>
  <r>
    <s v="Academic"/>
    <s v="Director, Research Laboratories"/>
    <s v="College of Medicine &amp; Health Sciences"/>
    <n v="847"/>
    <n v="8471305"/>
    <s v="KUST - Dean Of Medicine"/>
    <n v="1"/>
    <n v="435508"/>
    <s v="435508-Laboratory - Scientific"/>
    <s v="000000"/>
    <s v="KUST - General"/>
    <n v="847001"/>
    <s v="FA179-Opex Expense"/>
    <n v="200179"/>
    <x v="197"/>
    <n v="241814.92"/>
    <n v="1592072"/>
    <n v="14077987"/>
    <s v="435508.Laboratory - Scientific-Number of Faculty-Number"/>
    <s v="Number"/>
    <n v="1"/>
    <n v="14077987"/>
    <s v="Laundry service, moulage &amp; props, medical disposables, new laundry, medical gas_x000a_small equipments/consumabales for different lab requirements"/>
    <n v="14077987"/>
    <s v="KU Regular operations"/>
    <s v="Recurring"/>
    <n v="12670188.300000001"/>
    <n v="11262389.600000001"/>
    <n v="9854590.8999999985"/>
    <s v="development of science and technology for major advances in health and medicine, to reach a Top 100 distinction, to have a significant societal and economic impact and increase recognition in publications. "/>
    <s v="development of science and technology for major advances in health and medicine, to reach a Top 100 distinction, to have a significant societal and economic impact and increase recognition in publications. "/>
    <s v="development of science and technology for major advances in health and medicine, to reach a Top 100 distinction, to have a significant societal and economic impact and increase recognition in publications. "/>
    <m/>
    <n v="1279817"/>
    <n v="1279817"/>
    <n v="1279817"/>
    <n v="2559634"/>
    <n v="1279817"/>
    <n v="1279817"/>
    <n v="1279817"/>
    <n v="1279817"/>
    <n v="1279817"/>
    <n v="1279817"/>
    <m/>
    <n v="14077987"/>
    <s v="Strengthen research ethical culture framework across the university"/>
    <m/>
  </r>
  <r>
    <s v="Academic"/>
    <s v="No Applicable"/>
    <s v="College of Medicine &amp; Health Sciences"/>
    <n v="847"/>
    <n v="8471305"/>
    <s v="KUST - Dean Of Medicine"/>
    <n v="1"/>
    <n v="435530"/>
    <s v="435530-School consumables, not specifically mentioned elsewhere"/>
    <s v="000000"/>
    <s v="KUST - General"/>
    <n v="847001"/>
    <s v="FA179-Opex Expense"/>
    <n v="200179"/>
    <x v="198"/>
    <n v="924.33"/>
    <n v="10000"/>
    <n v="75000"/>
    <s v="435530.School consumables, Numbert specifically mentioned elsewhere-Number of Students-Number"/>
    <s v="Number"/>
    <n v="1"/>
    <n v="225000"/>
    <s v="Student supplies, posters, post it, paper, carboard, creative presentation needs, research items"/>
    <n v="225000"/>
    <s v="KU Regular operations"/>
    <s v="Recurring"/>
    <n v="202500"/>
    <n v="180000"/>
    <n v="157500"/>
    <s v="Student supplies, posters, post it, paper, carboard, creative presentation needs, research items"/>
    <s v="Student supplies, posters, post it, paper, carboard, creative presentation needs, research items"/>
    <s v="Student supplies, posters, post it, paper, carboard, creative presentation needs, research items"/>
    <n v="18750"/>
    <n v="18750"/>
    <n v="18750"/>
    <n v="18750"/>
    <n v="18750"/>
    <n v="18750"/>
    <n v="18750"/>
    <n v="18750"/>
    <n v="18750"/>
    <n v="18750"/>
    <n v="18750"/>
    <n v="18750"/>
    <n v="225000"/>
    <s v="Widen access to students with outstanding academic potential"/>
    <m/>
  </r>
  <r>
    <s v="Other support"/>
    <s v="No Applicable"/>
    <s v="College of Medicine &amp; Health Sciences"/>
    <n v="847"/>
    <n v="8471305"/>
    <s v="KUST - Dean Of Medicine"/>
    <n v="1"/>
    <n v="436120"/>
    <s v="436120-Stationery"/>
    <s v="000000"/>
    <s v="KUST - General"/>
    <n v="847001"/>
    <s v="FA179-Opex Expense"/>
    <n v="200179"/>
    <x v="199"/>
    <n v="7188.06"/>
    <n v="112000"/>
    <n v="200000"/>
    <s v="436120.Stationery-Number of Faculty-Number"/>
    <s v="Number"/>
    <n v="64"/>
    <n v="5000"/>
    <s v="Business cards, research promotion, office based stationary, needs for faculty, staff, postdocs, informtionals at conferences etc.."/>
    <n v="320000"/>
    <s v="KU Regular operations"/>
    <s v="Recurring"/>
    <n v="288000"/>
    <n v="256000"/>
    <n v="224000"/>
    <s v="Communication and other research networking business cards, research promotion, office based stationary, needs for faculty, staff, postdocs, informtionals at conferences etc.."/>
    <s v="Communication and other research networking business cards, research promotion, office based stationary, needs for faculty, staff, postdocs, informtionals at conferences etc.."/>
    <s v="Communication and other research networking business cards, research promotion, office based stationary, needs for faculty, staff, postdocs, informtionals at conferences etc.."/>
    <m/>
    <n v="32000"/>
    <n v="32000"/>
    <n v="32000"/>
    <n v="32000"/>
    <n v="32000"/>
    <n v="32000"/>
    <n v="32000"/>
    <n v="32000"/>
    <n v="32000"/>
    <n v="32000"/>
    <m/>
    <n v="320000"/>
    <s v="Build partnerships with local and international universities"/>
    <m/>
  </r>
  <r>
    <s v="IT"/>
    <s v="Director, Technology Development"/>
    <s v="College of Medicine &amp; Health Sciences"/>
    <n v="847"/>
    <n v="8471305"/>
    <s v="KUST - Dean Of Medicine"/>
    <n v="1"/>
    <n v="495113"/>
    <s v="495113-Computer software-Application, Platform "/>
    <s v="000000"/>
    <s v="KUST - General"/>
    <n v="847001"/>
    <s v="FA180-Capex Expense"/>
    <n v="300180"/>
    <x v="200"/>
    <m/>
    <m/>
    <n v="250000"/>
    <s v="495113.Computer software-Application, Platform -number of licenses-Number"/>
    <s v="Month"/>
    <n v="2"/>
    <n v="125000"/>
    <s v="Newley requested software to support new facility areas and are required to ensure area is properly equiped. "/>
    <n v="250000"/>
    <s v="KU Regular operations"/>
    <s v="Recurring"/>
    <n v="225000"/>
    <n v="200000"/>
    <n v="175000"/>
    <s v="Newley requested software to support new facility areas and are required to ensure area is properly equiped. "/>
    <s v="Newley requested software to support new facility areas and are required to ensure area is properly equiped. "/>
    <s v="Newley requested software to support new facility areas and are required to ensure area is properly equiped. "/>
    <m/>
    <m/>
    <n v="125000"/>
    <m/>
    <m/>
    <m/>
    <n v="125000"/>
    <m/>
    <m/>
    <m/>
    <m/>
    <m/>
    <n v="250000"/>
    <s v="Widen access to students with outstanding academic potential"/>
    <m/>
  </r>
  <r>
    <s v="IT"/>
    <s v="Director, Technology Development"/>
    <s v="College of Medicine &amp; Health Sciences"/>
    <n v="847"/>
    <n v="8471305"/>
    <s v="KUST - Dean Of Medicine"/>
    <n v="1"/>
    <n v="492354"/>
    <s v="492354-Hardware &amp; peripherals-Peripherals &amp; Infrastructure  Components "/>
    <s v="000000"/>
    <s v="KUST - General"/>
    <n v="847001"/>
    <s v="FA180-Capex Expense"/>
    <n v="300180"/>
    <x v="201"/>
    <n v="4058968.47"/>
    <n v="638656"/>
    <n v="638656"/>
    <s v="492354.Hardware &amp; peripherals-Peripherals &amp; Infrastructure Components-TBD-TBD"/>
    <s v="TBD"/>
    <n v="1"/>
    <n v="1098800"/>
    <s v="support the Top Ten Goal for KU for the student learning medical education is essential to access resources such as drug information and clinical scoring systems etc for best practice knowledge, USMLE link to success in exams.  Mandotory of CAA accreditation "/>
    <n v="1098800"/>
    <s v="KU Regular operations"/>
    <s v="Recurring"/>
    <n v="988920"/>
    <n v="879040"/>
    <n v="769160"/>
    <s v="support the Top Ten Goal for KU for the student learning medical education is essential to access resources such as drug information and clinical scoring systems etc for best practice knowledge, USMLE link to success in exams.  Mandotory of CAA accreditation "/>
    <s v="support the Top Ten Goal for KU for the student learning medical education is essential to access resources such as drug information and clinical scoring systems etc for best practice knowledge, USMLE link to success in exams.  Mandotory of CAA accreditation "/>
    <s v="support the Top Ten Goal for KU for the student learning medical education is essential to access resources such as drug information and clinical scoring systems etc for best practice knowledge, USMLE link to success in exams.  Mandotory of CAA accreditation "/>
    <m/>
    <n v="219760"/>
    <m/>
    <n v="219760"/>
    <n v="219760"/>
    <n v="219760"/>
    <n v="219760"/>
    <m/>
    <m/>
    <m/>
    <m/>
    <m/>
    <n v="1098800"/>
    <s v="Widen access to students with outstanding academic potential"/>
    <m/>
  </r>
  <r>
    <s v="Facilities "/>
    <s v="Director, Research Laboratories"/>
    <s v="College of Medicine &amp; Health Sciences"/>
    <n v="847"/>
    <n v="8471305"/>
    <s v="KUST - Dean Of Medicine"/>
    <n v="1"/>
    <n v="492316"/>
    <s v="492316-Laboratory equipment"/>
    <s v="000000"/>
    <s v="KUST - General"/>
    <n v="847001"/>
    <s v="FA180-Capex Expense"/>
    <n v="300180"/>
    <x v="202"/>
    <n v="11810091.060000001"/>
    <n v="17788291"/>
    <n v="17788291"/>
    <s v="492316.Laboratory equipment-Number of Students-Number"/>
    <s v="Number"/>
    <n v="1"/>
    <n v="1800000"/>
    <s v="Simulation requirements to simulate real-life scenarios for student education and also external physicians from SKMC per contract. Allows access to practical “hands-on” applications of their theoretical and pratical care in the coummunity for pateints."/>
    <n v="1800000"/>
    <s v="KU Regular operations"/>
    <s v="Recurring"/>
    <n v="1620000"/>
    <n v="1440000"/>
    <n v="1260000"/>
    <s v="Simulation requirements to simulate real-life scenarios for student education and also external physicians from SKMC per contract. Allows access to practical “hands-on” applications of their theoretical and pratical care in the coummunity for pateints."/>
    <s v="Simulation requirements to simulate real-life scenarios for student education and also external physicians from SKMC per contract. Allows access to practical “hands-on” applications of their theoretical and pratical care in the coummunity for pateints."/>
    <s v="Simulation requirements to simulate real-life scenarios for student education and also external physicians from SKMC per contract. Allows access to practical “hands-on” applications of their theoretical and pratical care in the coummunity for pateints."/>
    <m/>
    <n v="600000"/>
    <m/>
    <n v="600000"/>
    <n v="600000"/>
    <m/>
    <m/>
    <m/>
    <m/>
    <m/>
    <m/>
    <m/>
    <n v="1800000"/>
    <s v="Widen access to students with outstanding academic potential"/>
    <m/>
  </r>
  <r>
    <s v="Facilities "/>
    <s v="Director, Research Laboratories"/>
    <s v="College of Medicine &amp; Health Sciences"/>
    <n v="847"/>
    <n v="8471305"/>
    <s v="KUST - Dean Of Medicine"/>
    <n v="1"/>
    <n v="492316"/>
    <s v="492316-Laboratory equipment"/>
    <s v="000000"/>
    <s v="KUST - General"/>
    <n v="847001"/>
    <s v="FA180-Capex Expense"/>
    <n v="300180"/>
    <x v="202"/>
    <m/>
    <m/>
    <m/>
    <s v="492316.Laboratory equipment-Number of Research-Number"/>
    <s v="Number"/>
    <n v="1"/>
    <n v="21822096"/>
    <s v="development of science and technology for major advances in health and medicine, to reach a Top 100 distinction, to have a significant societal and economic impact and increase recognition in publications. "/>
    <n v="21822096"/>
    <s v="KU Regular operations"/>
    <s v="Recurring"/>
    <n v="19639886.400000002"/>
    <n v="17457676.800000001"/>
    <n v="15275467.199999999"/>
    <s v="development of science and technology for major advances in health and medicine, to reach a Top 100 distinction, to have a significant societal and economic impact and increase recognition in publications. "/>
    <s v="development of science and technology for major advances in health and medicine, to reach a Top 100 distinction, to have a significant societal and economic impact and increase recognition in publications. "/>
    <s v="development of science and technology for major advances in health and medicine, to reach a Top 100 distinction, to have a significant societal and economic impact and increase recognition in publications. "/>
    <m/>
    <n v="5455524"/>
    <n v="5455524"/>
    <n v="5455524"/>
    <n v="5455524"/>
    <m/>
    <m/>
    <m/>
    <m/>
    <m/>
    <m/>
    <m/>
    <n v="21822096"/>
    <s v="Widen access to students with outstanding academic potential"/>
    <m/>
  </r>
  <r>
    <s v="Other support"/>
    <s v="No Applicable"/>
    <s v="College of Medicine &amp; Health Sciences"/>
    <n v="847"/>
    <n v="8471305"/>
    <s v="KUST - Dean Of Medicine"/>
    <n v="1"/>
    <n v="422900"/>
    <s v="422900-Other specialised professional services, not mentioned elsewhere"/>
    <s v="000000"/>
    <s v="KUST - General"/>
    <n v="847001"/>
    <s v="FA179-Opex Expense"/>
    <n v="200179"/>
    <x v="203"/>
    <n v="53742.06"/>
    <n v="53742.06"/>
    <n v="53742.06"/>
    <s v="422900.Other specialised professional services, not mentioned elsewhere-Assets Verification-Number of assets"/>
    <s v="Number of assets"/>
    <n v="10"/>
    <n v="22500"/>
    <s v="Teaching and Learning needs for students and faculty "/>
    <n v="225000"/>
    <s v="KU Regular operations"/>
    <s v="Recurring"/>
    <n v="202500"/>
    <n v="180000"/>
    <n v="157500"/>
    <s v="Teaching and Learning needs for students and faculty "/>
    <s v="Teaching and Learning needs for students and faculty "/>
    <s v="Teaching and Learning needs for students and faculty "/>
    <m/>
    <n v="22500"/>
    <n v="22500"/>
    <n v="22500"/>
    <n v="22500"/>
    <n v="22500"/>
    <n v="22500"/>
    <n v="22500"/>
    <n v="22500"/>
    <n v="22500"/>
    <n v="22500"/>
    <m/>
    <n v="225000"/>
    <s v="Widen access to students with outstanding academic potential"/>
    <m/>
  </r>
  <r>
    <s v="Other support"/>
    <s v="No Applicable"/>
    <s v="College of Medicine &amp; Health Sciences"/>
    <n v="847"/>
    <n v="8471305"/>
    <s v="KUST - Dean Of Medicine"/>
    <n v="1"/>
    <n v="436110"/>
    <s v="436110-Printing supplies"/>
    <s v="000000"/>
    <s v="KUST - General"/>
    <n v="847001"/>
    <s v="FA179-Opex Expense"/>
    <n v="200179"/>
    <x v="204"/>
    <s v="-"/>
    <s v="-"/>
    <n v="200000"/>
    <s v="436110.Printing supplies-Number of Employees-Number"/>
    <s v="Number"/>
    <n v="1"/>
    <n v="300000"/>
    <s v="Business cards, Research fylers, informtionals, use in conferences or local worships, meetings or networking at formal events to promote KU"/>
    <n v="300000"/>
    <s v="KU Regular operations"/>
    <s v="Recurring"/>
    <n v="270000"/>
    <n v="240000"/>
    <n v="210000"/>
    <s v="Business cards, Research fylers, informtionals, use in conferences or local worships, meetings or networking at formal events to promote KU"/>
    <s v="Business cards, Research fylers, informtionals, use in conferences or local worships, meetings or networking at formal events to promote KU"/>
    <s v="Business cards, Research fylers, informtionals, use in conferences or local worships, meetings or networking at formal events to promote KU"/>
    <m/>
    <n v="30000"/>
    <n v="30000"/>
    <n v="30000"/>
    <n v="30000"/>
    <n v="30000"/>
    <n v="30000"/>
    <n v="30000"/>
    <n v="30000"/>
    <n v="30000"/>
    <n v="30000"/>
    <m/>
    <n v="300000"/>
    <s v="Enhance the communication plan and outreach activities"/>
    <m/>
  </r>
  <r>
    <s v="Other support"/>
    <s v="No Applicable"/>
    <s v="College of Medicine &amp; Health Sciences"/>
    <n v="847"/>
    <n v="8471305"/>
    <s v="KUST - Dean Of Medicine"/>
    <n v="1"/>
    <n v="425100"/>
    <s v="425100.Advertising Services (General"/>
    <s v="000000"/>
    <s v="KUST - General"/>
    <n v="847001"/>
    <s v="FA179-Opex Expense"/>
    <n v="200179"/>
    <x v="205"/>
    <s v="-"/>
    <s v="-"/>
    <m/>
    <s v="425100.Advertising Services (General)-Advertising through newspapers and other print media-cm2 - Word"/>
    <m/>
    <n v="1"/>
    <n v="250000"/>
    <s v="Top 100 Recognition Media, paper, web, search engine, video, hoto shoots, international media digital/other to promote kU CMHS regionally, and internationally. "/>
    <n v="250000"/>
    <s v="KU Regular operations"/>
    <s v="Recurring"/>
    <n v="225000"/>
    <n v="200000"/>
    <n v="175000"/>
    <s v="Top 100 Recognition Media, paper, web, search engine, video, hoto shoots, international media digital/other to promote kU CMHS regionally, and internationally. "/>
    <s v="Top 100 Recognition Media, paper, web, search engine, video, hoto shoots, international media digital/other to promote kU CMHS regionally, and internationally. "/>
    <s v="Top 100 Recognition Media, paper, web, search engine, video, hoto shoots, international media digital/other to promote kU CMHS regionally, and internationally. "/>
    <m/>
    <n v="25000"/>
    <n v="25000"/>
    <n v="25000"/>
    <n v="25000"/>
    <n v="25000"/>
    <n v="25000"/>
    <n v="25000"/>
    <n v="25000"/>
    <n v="25000"/>
    <n v="25000"/>
    <m/>
    <n v="250000"/>
    <s v="Build partnerships with local and international universities"/>
    <m/>
  </r>
  <r>
    <s v="Other support"/>
    <s v="No Applicable"/>
    <s v="SVP/ Support Services Office"/>
    <n v="847"/>
    <n v="8470620"/>
    <s v="KUST - Finance Operations"/>
    <n v="1"/>
    <n v="420130"/>
    <s v="420130-External Audit service"/>
    <s v="000000"/>
    <s v="KUST - General"/>
    <n v="847001"/>
    <s v="FA179-Opex Expense"/>
    <n v="200179"/>
    <x v="206"/>
    <n v="203515"/>
    <n v="295000"/>
    <n v="283000"/>
    <s v="420130.External Audit service-Number of reports to be audited-Number of reports to be audited"/>
    <s v="Number of reports to be audited"/>
    <n v="1"/>
    <n v="236850"/>
    <s v="* yearend AED 90,900 + 50,000 addition _x000a_* midyear AED 35,350_x000a_*internal control (ICFR) AED 60,600"/>
    <n v="236850"/>
    <s v="KU Regular operations"/>
    <s v="Recurring"/>
    <n v="213165"/>
    <n v="189480"/>
    <n v="165795"/>
    <s v="there is no way to reduce the budget as we are committed with the agreement &amp; we have to follow the full external audit requirement for ICFR, mid year &amp; yearend audit as per the approval from ARCC &amp; BOT"/>
    <s v="there is no way to reduce the budget as we are committed with the agreement &amp; we have to follow the full external audit requirement for ICFR, mid year &amp; yearend audit as per the approval from ARCC &amp; BOT"/>
    <s v="there is no way to reduce the budget as we are committed with the agreement &amp; we have to follow the full external audit requirement for ICFR, mid year &amp; yearend audit as per the approval from ARCC &amp; BOT"/>
    <m/>
    <m/>
    <m/>
    <n v="201500"/>
    <m/>
    <m/>
    <m/>
    <n v="35350"/>
    <m/>
    <m/>
    <m/>
    <m/>
    <n v="236850"/>
    <s v="Promote a working culture of excellence and accountability"/>
    <m/>
  </r>
  <r>
    <s v="Other support"/>
    <s v="No Applicable"/>
    <s v="SVP/ Support Services Office"/>
    <n v="847"/>
    <n v="8470620"/>
    <s v="KUST - Finance Operations"/>
    <n v="1"/>
    <n v="422900"/>
    <s v="422900-Other specialized professional services, not mentioned elsewhere"/>
    <s v="000000"/>
    <s v="KUST - General"/>
    <n v="847001"/>
    <s v="FA179-Opex Expense"/>
    <n v="200179"/>
    <x v="207"/>
    <s v="-"/>
    <n v="416100"/>
    <n v="416100"/>
    <s v="422900.Other specialized professional services, not mentioned elsewhere-Miscellaneous consultants not mentioned above-Count"/>
    <s v="Number"/>
    <n v="1"/>
    <n v="210000"/>
    <s v="Gap assessment for the internal control over financial reporting - COSO framework 1*210000"/>
    <n v="210000"/>
    <s v="KU Strategic New Initiative"/>
    <s v="Non-recurring"/>
    <n v="189000"/>
    <n v="168000"/>
    <n v="147000"/>
    <s v="the scope of work will be changed if the budget reduced."/>
    <s v="the scope of work will be changed if the budget reduced."/>
    <s v="the scope of work will be changed if the budget reduced."/>
    <n v="210000"/>
    <m/>
    <m/>
    <m/>
    <m/>
    <m/>
    <m/>
    <m/>
    <m/>
    <m/>
    <m/>
    <m/>
    <n v="210000"/>
    <s v="Provide reliable, accurate and timely reports to different stakeholders"/>
    <m/>
  </r>
  <r>
    <s v="Other support"/>
    <s v="No Applicable"/>
    <s v="SVP/ Support Services Office"/>
    <n v="847"/>
    <n v="8470620"/>
    <s v="KUST - Finance Operations"/>
    <n v="1"/>
    <n v="422900"/>
    <s v="422900-Other specialized professional services, not mentioned elsewhere"/>
    <s v="000000"/>
    <s v="KUST - General"/>
    <s v="847001"/>
    <s v="FA179-Opex Expense"/>
    <n v="200179"/>
    <x v="207"/>
    <n v="0"/>
    <n v="0"/>
    <n v="0"/>
    <s v="422900.Other specialized professional services, not mentioned elsewhere-Miscellaneous consultants not mentioned above-Count"/>
    <s v="Number"/>
    <n v="1"/>
    <n v="375000"/>
    <s v="Impairment loss implementation for fixed assets"/>
    <n v="375000"/>
    <s v="KU Strategic New Initiative"/>
    <s v="Non-recurring"/>
    <n v="337500"/>
    <n v="300000"/>
    <n v="262500"/>
    <s v="the scope of work will be changed if the budget reduced."/>
    <s v="the scope of work will be changed if the budget reduced."/>
    <s v="the scope of work will be changed if the budget reduced."/>
    <n v="375000"/>
    <m/>
    <m/>
    <m/>
    <m/>
    <m/>
    <m/>
    <m/>
    <m/>
    <m/>
    <m/>
    <m/>
    <n v="375000"/>
    <s v="Provide reliable, accurate and timely reports to different stakeholders"/>
    <m/>
  </r>
  <r>
    <s v="Finance"/>
    <s v="No Applicable"/>
    <s v="SVP/ Support Services Office"/>
    <n v="847"/>
    <n v="8470620"/>
    <s v="KUST - Finance Operations"/>
    <n v="1"/>
    <n v="425300"/>
    <s v="425300-Banking service charges / Fees"/>
    <s v="000000"/>
    <s v="KUST - General"/>
    <n v="847001"/>
    <s v="FA179-Opex Expense"/>
    <n v="200179"/>
    <x v="208"/>
    <n v="1157.08"/>
    <n v="3600"/>
    <n v="1800"/>
    <s v="425300.Banking service charges / Fees-Number of Transactions-Number"/>
    <s v="Number"/>
    <n v="1"/>
    <n v="2400"/>
    <s v="Average AED 200/month"/>
    <n v="2400"/>
    <s v="KU Regular operations"/>
    <s v="Recurring"/>
    <n v="2160"/>
    <n v="1920"/>
    <n v="1680"/>
    <s v="these fees are mandated per transaction to clear the transaction in ADERP"/>
    <s v="these fees are mandated per transaction to clear the transaction in ADERP"/>
    <s v="these fees are mandated per transaction to clear the transaction in ADERP"/>
    <n v="200"/>
    <n v="200"/>
    <n v="200"/>
    <n v="200"/>
    <n v="200"/>
    <n v="200"/>
    <n v="200"/>
    <n v="200"/>
    <n v="200"/>
    <n v="200"/>
    <n v="200"/>
    <n v="200"/>
    <n v="2400"/>
    <s v="Provide reliable, accurate and timely reports to different stakeholders"/>
    <m/>
  </r>
  <r>
    <s v="Finance"/>
    <s v="No Applicable"/>
    <s v="SVP/ Support Services Office"/>
    <n v="847"/>
    <n v="8470620"/>
    <s v="KUST - Finance Operations"/>
    <n v="1"/>
    <n v="425350"/>
    <s v="425350-Fees for processing e-payments"/>
    <s v="000000"/>
    <s v="KUST - General"/>
    <n v="847001"/>
    <s v="FA179-Opex Expense"/>
    <n v="200179"/>
    <x v="209"/>
    <n v="57762.92"/>
    <n v="90000"/>
    <n v="90000"/>
    <s v="425350.Fees for processing e-payments-e-Payment operation-Number of Bank Transfers-Number"/>
    <s v="Number"/>
    <n v="1"/>
    <n v="117000"/>
    <s v="as of April (39000/4)*12=117000"/>
    <n v="117000"/>
    <s v="KU Regular operations"/>
    <s v="Recurring"/>
    <n v="105300"/>
    <n v="93600"/>
    <n v="81900"/>
    <s v="mandated fees charged by the bank for the exchange rate."/>
    <s v="mandated fees charged by the bank for the exchange rate."/>
    <s v="mandated fees charged by the bank for the exchange rate."/>
    <n v="9750"/>
    <n v="9750"/>
    <n v="9750"/>
    <n v="9750"/>
    <n v="9750"/>
    <n v="9750"/>
    <n v="9750"/>
    <n v="9750"/>
    <n v="9750"/>
    <n v="9750"/>
    <n v="9750"/>
    <n v="9750"/>
    <n v="117000"/>
    <s v="Provide reliable, accurate and timely reports to different stakeholders"/>
    <m/>
  </r>
  <r>
    <s v="IT"/>
    <s v="Director, Technology Development"/>
    <s v="SVP/ Support Services Office"/>
    <n v="847"/>
    <n v="8470620"/>
    <s v="KUST - Finance Operations"/>
    <n v="1"/>
    <n v="426610"/>
    <s v="426610-Computer software licenses"/>
    <s v="000000"/>
    <s v="KUST - General"/>
    <n v="847001"/>
    <s v="FA179-Opex Expense"/>
    <n v="200179"/>
    <x v="210"/>
    <n v="31680"/>
    <n v="31680"/>
    <n v="31680"/>
    <s v="426610.Computer software licenses-Software License Renewal-number of licenses-Number"/>
    <s v="Number"/>
    <n v="11"/>
    <n v="2880"/>
    <s v="11 license for Fixed asset SYSTEM * AED 2880"/>
    <n v="31680"/>
    <s v="KU Regular operations"/>
    <s v="Recurring"/>
    <n v="28512"/>
    <n v="25344"/>
    <n v="22176"/>
    <s v="can't be reduced since it is charged based on number of license &amp; users."/>
    <s v="can't be reduced since it is charged based on number of license &amp; users."/>
    <s v="can't be reduced since it is charged based on number of license &amp; users."/>
    <m/>
    <m/>
    <m/>
    <n v="31680"/>
    <m/>
    <m/>
    <m/>
    <m/>
    <m/>
    <m/>
    <m/>
    <m/>
    <n v="31680"/>
    <s v="Promote a working culture of excellence and accountability"/>
    <m/>
  </r>
  <r>
    <s v="Other support"/>
    <s v="No Applicable"/>
    <s v="SVP/ Support Services Office"/>
    <n v="847"/>
    <n v="8470620"/>
    <s v="KUST - Finance Operations"/>
    <n v="1"/>
    <n v="436110"/>
    <s v="436110-Printing supplies"/>
    <s v="000000"/>
    <s v="KUST - General"/>
    <n v="847001"/>
    <s v="FA179-Opex Expense"/>
    <n v="200179"/>
    <x v="211"/>
    <n v="4566.87"/>
    <n v="0"/>
    <n v="0"/>
    <s v="436110.Printing supplies-Number of Employees-Number"/>
    <s v="Number"/>
    <n v="4000"/>
    <n v="1"/>
    <s v="printing bank transfer letter"/>
    <n v="4000"/>
    <s v="KU Regular operations"/>
    <s v="Recurring"/>
    <n v="3600"/>
    <n v="3200"/>
    <n v="2800"/>
    <s v="we might end up with less bank transfer letter"/>
    <s v="we might end up with less bank transfer letter"/>
    <s v="we might end up with less bank transfer letter"/>
    <n v="4000"/>
    <m/>
    <m/>
    <m/>
    <m/>
    <m/>
    <m/>
    <m/>
    <m/>
    <m/>
    <m/>
    <m/>
    <n v="4000"/>
    <s v="Provide reliable, accurate and timely reports to different stakeholders"/>
    <m/>
  </r>
  <r>
    <s v="Other support"/>
    <s v="Director, Human Resources"/>
    <s v="SVP/ Support Services Office"/>
    <n v="847"/>
    <n v="8470620"/>
    <s v="KUST - Finance Operations"/>
    <n v="1"/>
    <n v="425900"/>
    <s v="425900-Entertainment and hospitality"/>
    <s v="000000"/>
    <s v="KUST - General"/>
    <n v="847001"/>
    <s v="FA179-Opex Expense"/>
    <n v="200179"/>
    <x v="212"/>
    <n v="2000"/>
    <s v="-"/>
    <s v="-"/>
    <s v="425900.Entertainment and hospitality-1. No of events/workshops planned-count"/>
    <s v="count"/>
    <n v="1"/>
    <n v="6800"/>
    <s v="finance retreat meeting_x000a_17 staff * AED 400"/>
    <n v="6800"/>
    <s v="KU Regular operations"/>
    <s v="Recurring"/>
    <n v="6120"/>
    <n v="5440"/>
    <n v="4760"/>
    <s v="we can reduce the number of staff attending the retreat."/>
    <s v="we can reduce the number of staff attending the retreat."/>
    <s v="we can reduce the number of staff attending the retreat."/>
    <n v="6800"/>
    <m/>
    <m/>
    <m/>
    <m/>
    <m/>
    <m/>
    <m/>
    <m/>
    <m/>
    <m/>
    <m/>
    <n v="6800"/>
    <s v="Promote a working culture of excellence and accountability"/>
    <m/>
  </r>
  <r>
    <s v="Other support"/>
    <s v="No Applicable"/>
    <s v="SVP/ Support Services Office"/>
    <n v="847"/>
    <n v="8470630"/>
    <s v="KUST - Business Development"/>
    <n v="1"/>
    <n v="425100"/>
    <s v="425100-Advertising Services (General)"/>
    <s v="000000"/>
    <s v="KUST - General"/>
    <n v="847001"/>
    <s v="FA179-Opex Expense"/>
    <n v="200179"/>
    <x v="213"/>
    <m/>
    <m/>
    <m/>
    <s v="425100.Advertising Services (General)-International Publicity-count"/>
    <s v="count"/>
    <n v="4"/>
    <n v="25000"/>
    <s v="Ads to promote Ku AND ATTRACT MORE STUDENTS"/>
    <n v="100000"/>
    <s v="KU Regular operations"/>
    <s v="Recurring"/>
    <n v="90000"/>
    <n v="80000"/>
    <n v="70000"/>
    <s v="less effective to promote KU"/>
    <s v="less effective to promote KU"/>
    <s v="less effective to promote KU"/>
    <m/>
    <m/>
    <m/>
    <n v="50000"/>
    <m/>
    <m/>
    <m/>
    <n v="50000"/>
    <m/>
    <m/>
    <m/>
    <m/>
    <n v="100000"/>
    <s v="Ensure the university sustainability "/>
    <m/>
  </r>
  <r>
    <s v="HR"/>
    <s v="No Applicable"/>
    <s v="SVP/ Support Services Office"/>
    <n v="847"/>
    <n v="8470630"/>
    <s v="KUST - Business Development"/>
    <n v="1"/>
    <n v="425550"/>
    <s v="425550-Conferences, seminars and exhibitions and other events: - Overseas event"/>
    <s v="000000"/>
    <s v="KUST - General"/>
    <n v="847001"/>
    <s v="FA179-Opex Expense"/>
    <n v="200179"/>
    <x v="214"/>
    <m/>
    <m/>
    <m/>
    <s v="425500.Conferences, seminars and exhibitions and other events:-Number of events &amp; attendees-Number of Number of events &amp; attendees"/>
    <s v="Number of Number of events &amp; attendees"/>
    <n v="4"/>
    <n v="50000"/>
    <s v="to run number of events"/>
    <n v="200000"/>
    <s v="KU Regular operations"/>
    <s v="Recurring"/>
    <n v="180000"/>
    <n v="160000"/>
    <n v="140000"/>
    <s v="less effective to promote KU"/>
    <s v="less effective to promote KU"/>
    <s v="less effective to promote KU"/>
    <n v="50000"/>
    <m/>
    <m/>
    <n v="50000"/>
    <m/>
    <m/>
    <n v="50000"/>
    <m/>
    <m/>
    <n v="50000"/>
    <m/>
    <m/>
    <n v="200000"/>
    <s v="Ensure the university sustainability "/>
    <m/>
  </r>
  <r>
    <s v="Other support"/>
    <s v="No Applicable"/>
    <s v="SVP/ Support Services Office"/>
    <n v="847"/>
    <n v="8470630"/>
    <s v="KUST - Business Development"/>
    <n v="1"/>
    <n v="427200"/>
    <s v="427200-Printing and publishing"/>
    <s v="000000"/>
    <s v="KUST - General"/>
    <n v="847001"/>
    <s v="FA179-Opex Expense"/>
    <n v="200179"/>
    <x v="215"/>
    <m/>
    <m/>
    <m/>
    <s v="427200.Printing and publishing-The cost of design for the entity's publications to reflect the entity's identity-count"/>
    <s v="count"/>
    <n v="10"/>
    <n v="1000"/>
    <s v="print ads and event details"/>
    <n v="10000"/>
    <s v="KU Regular operations"/>
    <s v="Recurring"/>
    <n v="9000"/>
    <n v="8000"/>
    <n v="7000"/>
    <s v="the scope of work will be changed if the budget reduced."/>
    <s v="the scope of work will be changed if the budget reduced."/>
    <s v="the scope of work will be changed if the budget reduced."/>
    <n v="10000"/>
    <m/>
    <m/>
    <m/>
    <m/>
    <m/>
    <m/>
    <m/>
    <m/>
    <m/>
    <m/>
    <m/>
    <n v="10000"/>
    <s v="Ensure the university sustainability "/>
    <m/>
  </r>
  <r>
    <s v="Other support"/>
    <s v="No Applicable"/>
    <s v="SVP/ Support Services Office"/>
    <n v="847"/>
    <n v="8470630"/>
    <s v="KUST - Business Development"/>
    <n v="1"/>
    <n v="436600"/>
    <s v="436600-Training/Teaching equipment and other educational aid"/>
    <s v="000000"/>
    <s v="KUST - General"/>
    <s v="847001"/>
    <s v="FA179-Opex Expense"/>
    <n v="200179"/>
    <x v="216"/>
    <m/>
    <m/>
    <m/>
    <s v="436600.Training/Teaching equipment and other educational aid-Number of Faculty-Number"/>
    <s v="Number"/>
    <n v="4"/>
    <n v="3000"/>
    <m/>
    <n v="12000"/>
    <s v="KU Strategic New Initiative"/>
    <s v="Non-recurring"/>
    <n v="10800"/>
    <n v="9600"/>
    <n v="8400"/>
    <s v="the scope of work will be changed if the budget reduced."/>
    <s v="the scope of work will be changed if the budget reduced."/>
    <s v="the scope of work will be changed if the budget reduced."/>
    <n v="6000"/>
    <m/>
    <m/>
    <m/>
    <m/>
    <n v="6000"/>
    <m/>
    <m/>
    <m/>
    <m/>
    <m/>
    <m/>
    <n v="12000"/>
    <s v="Ensure the university sustainability "/>
    <m/>
  </r>
  <r>
    <s v="HR"/>
    <s v="Manager, Business Development"/>
    <s v="SVP/ Support Services Office"/>
    <n v="847"/>
    <n v="8470730"/>
    <s v="KUST - Human Resources"/>
    <n v="1"/>
    <n v="495113"/>
    <s v="495113-Computer software-Application, Platform "/>
    <s v="000000"/>
    <s v="KUST - General"/>
    <n v="847001"/>
    <s v="FA180-Capex Expense"/>
    <n v="300180"/>
    <x v="217"/>
    <n v="7345"/>
    <n v="600000"/>
    <n v="600000"/>
    <s v="421000.Management consultancy-Number of contracted consultations -count"/>
    <s v="Solution delivered"/>
    <n v="1"/>
    <n v="200000"/>
    <s v="New implementation of system for Competency Framework"/>
    <n v="200000"/>
    <s v="KU Strategic New Initiative"/>
    <s v="Non-recurring"/>
    <n v="180000"/>
    <n v="160000"/>
    <n v="140000"/>
    <s v="the scope of work will be changed if the budget reduced."/>
    <s v="the scope of work will be changed if the budget reduced."/>
    <s v="the scope of work will be changed if the budget reduced."/>
    <m/>
    <m/>
    <m/>
    <m/>
    <n v="200000"/>
    <m/>
    <m/>
    <m/>
    <m/>
    <m/>
    <m/>
    <m/>
    <n v="200000"/>
    <s v="Ensure the university sustainability "/>
    <s v="new initiative"/>
  </r>
  <r>
    <s v="IT"/>
    <s v="Director, Technology Development"/>
    <s v="SVP/ Support Services Office"/>
    <n v="847"/>
    <n v="8470730"/>
    <s v="KUST - Human Resources"/>
    <n v="1"/>
    <n v="426610"/>
    <s v="426610-Computer software licenses"/>
    <s v="000000"/>
    <s v="KUST - General"/>
    <n v="847001"/>
    <s v="FA179-Opex Expense"/>
    <n v="200179"/>
    <x v="218"/>
    <m/>
    <n v="300000"/>
    <n v="300000"/>
    <s v="426610.Computer software licenses-Software License Renewal-number of licenses-Number"/>
    <s v="Subscription"/>
    <n v="1"/>
    <n v="175000"/>
    <s v="Taleo Subscription"/>
    <n v="175000"/>
    <s v="KU Regular operations"/>
    <s v="Recurring"/>
    <n v="157500"/>
    <n v="140000"/>
    <n v="122499.99999999999"/>
    <s v="the scope of work will be changed if the budget reduced."/>
    <s v="the scope of work will be changed if the budget reduced."/>
    <s v="the scope of work will be changed if the budget reduced."/>
    <m/>
    <m/>
    <m/>
    <m/>
    <n v="175000"/>
    <m/>
    <m/>
    <m/>
    <m/>
    <m/>
    <m/>
    <m/>
    <n v="175000"/>
    <s v="Ensure the university sustainability "/>
    <m/>
  </r>
  <r>
    <s v="IT"/>
    <s v="Director, Technology Development"/>
    <s v="SVP/ Support Services Office"/>
    <n v="847"/>
    <n v="8470730"/>
    <s v="KUST - Human Resources"/>
    <n v="1"/>
    <n v="495113"/>
    <s v="495113-Computer software-Application, Platform "/>
    <s v="000000"/>
    <s v="KUST - General"/>
    <n v="847001"/>
    <s v="FA180-Capex Expense"/>
    <n v="300180"/>
    <x v="217"/>
    <m/>
    <m/>
    <m/>
    <s v="426610.Computer software licenses-Software License Renewal-number of licenses-Number"/>
    <s v="Solution delivered"/>
    <n v="1"/>
    <n v="3000000"/>
    <s v="ERP Solution"/>
    <n v="3000000"/>
    <s v="KU Strategic New Initiative"/>
    <s v="Non-recurring"/>
    <n v="2700000"/>
    <n v="2400000"/>
    <n v="2100000"/>
    <s v="the scope of work will be changed if the budget reduced."/>
    <s v="the scope of work will be changed if the budget reduced."/>
    <s v="the scope of work will be changed if the budget reduced."/>
    <m/>
    <m/>
    <m/>
    <m/>
    <n v="3000000"/>
    <m/>
    <m/>
    <m/>
    <m/>
    <m/>
    <m/>
    <m/>
    <n v="3000000"/>
    <s v="Ensure the university sustainability "/>
    <s v="new initiative"/>
  </r>
  <r>
    <s v="IT"/>
    <s v="Director, Technology Development"/>
    <s v="SVP/ Support Services Office"/>
    <n v="847"/>
    <n v="8470730"/>
    <s v="KUST - Human Resources"/>
    <n v="1"/>
    <n v="495113"/>
    <s v="495113-Computer software-Application, Platform "/>
    <s v="000000"/>
    <s v="KUST - General"/>
    <n v="847001"/>
    <s v="FA180-Capex Expense"/>
    <n v="300180"/>
    <x v="217"/>
    <m/>
    <m/>
    <m/>
    <s v="426610.Computer software licenses-Software License Renewal-number of licenses-Number"/>
    <s v="Solution delivered"/>
    <n v="1"/>
    <n v="200000"/>
    <s v="New implementation of system for Appraisal System"/>
    <n v="200000"/>
    <s v="KU Strategic New Initiative"/>
    <s v="Non-recurring"/>
    <n v="180000"/>
    <n v="160000"/>
    <n v="140000"/>
    <s v="the scope of work will be changed if the budget reduced."/>
    <s v="the scope of work will be changed if the budget reduced."/>
    <s v="the scope of work will be changed if the budget reduced."/>
    <m/>
    <m/>
    <m/>
    <m/>
    <n v="200000"/>
    <m/>
    <m/>
    <m/>
    <m/>
    <m/>
    <m/>
    <m/>
    <n v="200000"/>
    <s v="Ensure the university sustainability "/>
    <s v="new initiative"/>
  </r>
  <r>
    <s v="IT"/>
    <s v="Director, Technology Development"/>
    <s v="SVP/ Support Services Office"/>
    <n v="847"/>
    <n v="8470730"/>
    <s v="KUST - Human Resources"/>
    <n v="1"/>
    <n v="495113"/>
    <s v="495113-Computer software-Application, Platform "/>
    <s v="000000"/>
    <s v="KUST - General"/>
    <n v="847001"/>
    <s v="FA180-Capex Expense"/>
    <n v="300180"/>
    <x v="217"/>
    <m/>
    <m/>
    <m/>
    <s v="426610.Computer software licenses-Software License Renewal-number of licenses-Number"/>
    <s v="Solution delivered"/>
    <n v="1"/>
    <n v="1000000"/>
    <s v="New implementation of system for Archiving Solution"/>
    <n v="1000000"/>
    <s v="KU Strategic New Initiative"/>
    <s v="Non-recurring"/>
    <n v="900000"/>
    <n v="800000"/>
    <n v="700000"/>
    <s v="the scope of work will be changed if the budget reduced."/>
    <s v="the scope of work will be changed if the budget reduced."/>
    <s v="the scope of work will be changed if the budget reduced."/>
    <m/>
    <n v="500000"/>
    <m/>
    <m/>
    <m/>
    <m/>
    <n v="500000"/>
    <m/>
    <m/>
    <m/>
    <m/>
    <m/>
    <n v="1000000"/>
    <s v="Ensure the university sustainability "/>
    <s v="new initiative"/>
  </r>
  <r>
    <s v="IT"/>
    <s v="Director, Technology Development"/>
    <s v="SVP/ Support Services Office"/>
    <n v="847"/>
    <n v="8470730"/>
    <s v="KUST - Human Resources"/>
    <n v="1"/>
    <n v="426610"/>
    <s v="426610-Computer software licenses"/>
    <s v="000000"/>
    <s v="KUST - General"/>
    <n v="847001"/>
    <s v="FA179-Opex Expense"/>
    <n v="200179"/>
    <x v="218"/>
    <m/>
    <m/>
    <m/>
    <s v="426610.Computer software licenses-Software License Renewal-number of licenses-Number"/>
    <s v="Solution delivered"/>
    <n v="1"/>
    <n v="300000"/>
    <s v="Attendance system enhancment"/>
    <n v="300000"/>
    <s v="KU Strategic New Initiative"/>
    <s v="Non-recurring"/>
    <n v="270000"/>
    <n v="240000"/>
    <n v="210000"/>
    <s v="the scope of work will be changed if the budget reduced."/>
    <s v="the scope of work will be changed if the budget reduced."/>
    <s v="the scope of work will be changed if the budget reduced."/>
    <m/>
    <m/>
    <n v="100000"/>
    <m/>
    <n v="100000"/>
    <m/>
    <m/>
    <n v="100000"/>
    <m/>
    <m/>
    <m/>
    <m/>
    <n v="300000"/>
    <s v="Ensure the university sustainability "/>
    <m/>
  </r>
  <r>
    <s v="Communiction &amp; Marketing"/>
    <s v="Director, Marketing and Communication"/>
    <s v="SVP/ Support Services Office"/>
    <n v="847"/>
    <n v="8470730"/>
    <s v="KUST - Human Resources"/>
    <n v="1"/>
    <n v="428640"/>
    <s v="428640-Events - Awards, prizes &amp; gifts"/>
    <s v="000000"/>
    <s v="KUST - General"/>
    <n v="847001"/>
    <s v="FA179-Opex Expense"/>
    <n v="200179"/>
    <x v="219"/>
    <n v="0"/>
    <n v="250000"/>
    <n v="250000"/>
    <s v="428640.Events - Awards, prizes &amp; gifts-Number of Events-count"/>
    <s v="Engagement  programs  "/>
    <n v="1"/>
    <n v="1000000"/>
    <s v="Engagement  programs  "/>
    <n v="1000000"/>
    <s v="KU Strategic New Initiative"/>
    <s v="Recurring"/>
    <n v="900000"/>
    <n v="800000"/>
    <n v="700000"/>
    <s v="the scope of work will be changed if the budget reduced."/>
    <s v="the scope of work will be changed if the budget reduced."/>
    <s v="the scope of work will be changed if the budget reduced."/>
    <m/>
    <m/>
    <n v="250000"/>
    <m/>
    <m/>
    <n v="250000"/>
    <m/>
    <m/>
    <n v="250000"/>
    <m/>
    <m/>
    <n v="250000"/>
    <n v="1000000"/>
    <s v="Ensure the university sustainability "/>
    <m/>
  </r>
  <r>
    <s v="Other support"/>
    <s v="No Applicable"/>
    <s v="SVP/ Support Services Office"/>
    <n v="847"/>
    <n v="8470730"/>
    <s v="KUST - Human Resources"/>
    <n v="1"/>
    <n v="436110"/>
    <s v="436110-Printing supplies"/>
    <s v="000000"/>
    <s v="KUST - General"/>
    <n v="847001"/>
    <s v="FA179-Opex Expense"/>
    <n v="200179"/>
    <x v="220"/>
    <n v="40440"/>
    <n v="50000"/>
    <n v="50000"/>
    <s v="436110.Printing supplies-Number of Employees-Number"/>
    <s v="Employee Folders"/>
    <n v="500"/>
    <n v="100"/>
    <s v="Employee Folders"/>
    <n v="50000"/>
    <s v="KU Regular operations"/>
    <s v="Recurring"/>
    <n v="45000"/>
    <n v="40000"/>
    <n v="35000"/>
    <s v="the scope of work will be changed if the budget reduced."/>
    <s v="the scope of work will be changed if the budget reduced."/>
    <s v="the scope of work will be changed if the budget reduced."/>
    <n v="10000"/>
    <m/>
    <n v="10000"/>
    <m/>
    <n v="10000"/>
    <m/>
    <n v="10000"/>
    <m/>
    <n v="10000"/>
    <m/>
    <m/>
    <m/>
    <n v="50000"/>
    <s v="Ensure the university sustainability "/>
    <m/>
  </r>
  <r>
    <s v="Other support"/>
    <s v="No Applicable"/>
    <s v="SVP/ Support Services Office"/>
    <n v="847"/>
    <n v="8470730"/>
    <s v="KUST - Human Resources"/>
    <n v="1"/>
    <n v="427900"/>
    <s v="427900-Translation and interpretation service"/>
    <s v="000000"/>
    <s v="KUST - General"/>
    <n v="847001"/>
    <s v="FA179-Opex Expense"/>
    <n v="200179"/>
    <x v="221"/>
    <n v="0"/>
    <n v="10000"/>
    <n v="10000"/>
    <s v="427900.Translation and interpretation service-Number of Employees-Number"/>
    <s v="Document Translation"/>
    <n v="100"/>
    <n v="100"/>
    <s v="Document Translation"/>
    <n v="10000"/>
    <s v="KU Regular operations"/>
    <s v="Recurring"/>
    <n v="9000"/>
    <n v="8000"/>
    <n v="7000"/>
    <s v="the scope of work will be changed if the budget reduced."/>
    <s v="the scope of work will be changed if the budget reduced."/>
    <s v="the scope of work will be changed if the budget reduced."/>
    <n v="2000"/>
    <m/>
    <n v="2000"/>
    <m/>
    <n v="2000"/>
    <m/>
    <n v="2000"/>
    <m/>
    <n v="2000"/>
    <m/>
    <m/>
    <m/>
    <n v="10000"/>
    <s v="Ensure the university sustainability "/>
    <m/>
  </r>
  <r>
    <s v="Other support"/>
    <s v="Director, Human Resources"/>
    <s v="Senior Vice President, Research Office"/>
    <n v="847"/>
    <n v="8471110"/>
    <s v="KUST - SVP/ Research &amp; Development Office"/>
    <n v="1"/>
    <n v="425900"/>
    <s v="425900-Entertainment and hospitality"/>
    <s v="000000"/>
    <s v="KUST - General"/>
    <n v="847001"/>
    <s v="FA179-Opex Expense"/>
    <n v="200179"/>
    <x v="222"/>
    <m/>
    <n v="30000"/>
    <n v="30000"/>
    <s v="425900.Entertainment and hospitality-1. No of events/workshops planned-count"/>
    <s v="count"/>
    <n v="10"/>
    <n v="3000"/>
    <s v="Inviting candidates for campus visit, Hosting of events eg IAEE, Invited lectures, Workshops, Conferences etc"/>
    <n v="30000"/>
    <s v="KU Regular operations"/>
    <s v="Recurring"/>
    <n v="27000"/>
    <n v="24000"/>
    <n v="21000"/>
    <s v="There will be an impact on the SVP Office events, conferences."/>
    <s v="There will be an impact on the SVP Office events, conferences."/>
    <s v="The reduction of 30% will affect the office operation "/>
    <n v="3000"/>
    <n v="3000"/>
    <n v="3000"/>
    <n v="2000"/>
    <n v="2000"/>
    <n v="3000"/>
    <n v="3000"/>
    <n v="3000"/>
    <n v="2000"/>
    <n v="2000"/>
    <n v="2000"/>
    <n v="2000"/>
    <n v="30000"/>
    <s v="Attract and organize international conferences and summits"/>
    <m/>
  </r>
  <r>
    <s v="Academic"/>
    <s v="No Applicable"/>
    <s v="Senior Vice President, Research Office"/>
    <n v="847"/>
    <n v="8471110"/>
    <s v="KUST - SVP/ Research &amp; Development Office"/>
    <n v="1"/>
    <n v="427710"/>
    <s v="427710-Subscriptions and membership fees: Trade organisations"/>
    <s v="000000"/>
    <s v="KUST - General"/>
    <n v="847001"/>
    <s v="FA179-Opex Expense"/>
    <n v="200179"/>
    <x v="223"/>
    <s v="-"/>
    <n v="428951"/>
    <n v="428951"/>
    <s v="427710.Subscriptions and membership fees: Trade organisations-Number  of Memberships-Number"/>
    <s v="Number"/>
    <n v="5"/>
    <n v="89767"/>
    <s v="MEED,Frost &amp; Sullivan,MEES, IAEE,Lux Research "/>
    <n v="448835"/>
    <s v="KU Regular operations"/>
    <s v="Recurring"/>
    <n v="403951.5"/>
    <n v="359068"/>
    <n v="314184.5"/>
    <s v="Subscriptions and memberships are very important to the SVP research office, and any budget cut will have negatice affects."/>
    <s v="20 % deduction is quite high and there will be a shortage to cover Subscriptions and membershipsthat  are very important to the SVP RnD office."/>
    <s v="with the 30 % deduction there  will be a shortage to cover Subscriptions and important  memberships for the SVP RnD office."/>
    <m/>
    <m/>
    <m/>
    <m/>
    <n v="9660"/>
    <n v="15426.6"/>
    <n v="339456"/>
    <n v="73273.399999999994"/>
    <m/>
    <m/>
    <n v="11019"/>
    <m/>
    <n v="448835"/>
    <s v="Diversify and increase external research funds"/>
    <m/>
  </r>
  <r>
    <s v="Academic "/>
    <s v="No Applicable"/>
    <s v="Senior Vice President, Research Office"/>
    <n v="847"/>
    <n v="8471110"/>
    <s v="KUST - SVP/ Research &amp; Development Office"/>
    <n v="1"/>
    <n v="428090"/>
    <s v="428090-Business Travel - Combined expenses"/>
    <s v="000000"/>
    <s v="KUST - General"/>
    <n v="847001"/>
    <s v="FA179-Opex Expense"/>
    <n v="200179"/>
    <x v="224"/>
    <s v="-"/>
    <n v="100000"/>
    <n v="100000"/>
    <s v="428090.Business Travel - Combined expenses-Number of Staff-Number"/>
    <s v="Number"/>
    <n v="5"/>
    <n v="30000"/>
    <s v="Collaboration Trips and other Missions"/>
    <n v="150000"/>
    <s v="KU Regular operations"/>
    <s v="Recurring"/>
    <n v="135000"/>
    <n v="120000"/>
    <n v="105000"/>
    <s v="Collaboration Trips and other Missions are very important to the RnD office and this amount is alreadt deducted comapring to previous years."/>
    <s v="Collaboration Trips and other Missions are very important to the RnD office and this amount is already deducted comapring to previous years."/>
    <s v="Collaboration Trips and other Missions are very important to the RnD office and this amount is already deducted comparing to previous years."/>
    <m/>
    <m/>
    <m/>
    <n v="30000"/>
    <m/>
    <m/>
    <n v="30000"/>
    <m/>
    <n v="30000"/>
    <m/>
    <n v="30000"/>
    <n v="30000"/>
    <n v="150000"/>
    <s v="Build partnerships with local and international universities"/>
    <m/>
  </r>
  <r>
    <s v="IT"/>
    <s v="Director, Technology Development"/>
    <s v="Senior Vice President, Research Office"/>
    <n v="847"/>
    <n v="8471130"/>
    <s v="KUST - Research Service"/>
    <n v="1"/>
    <n v="420811"/>
    <s v="420811-IT Systems &amp; Support expenses-Application/Systems Operation"/>
    <s v="000000"/>
    <s v="KUST - General"/>
    <n v="847001"/>
    <s v="FA179-Opex Expense"/>
    <n v="200179"/>
    <x v="225"/>
    <s v="-"/>
    <n v="300000"/>
    <n v="300000"/>
    <s v="420811.IT Systems &amp; Support expenses-Application/Systems Operation-professional services scope/deliverables-Month"/>
    <s v="Month"/>
    <n v="12"/>
    <n v="14167"/>
    <s v="IRB Module"/>
    <n v="170004"/>
    <s v="KU Regular operations"/>
    <s v="Non-recurring"/>
    <n v="153003.6"/>
    <n v="136003.20000000001"/>
    <n v="119002.79999999999"/>
    <s v="Delay in system"/>
    <s v="Delay in system"/>
    <s v="can't build system"/>
    <m/>
    <m/>
    <m/>
    <m/>
    <n v="85000"/>
    <m/>
    <m/>
    <m/>
    <n v="85004"/>
    <m/>
    <m/>
    <m/>
    <n v="170004"/>
    <s v="Strengthen research ethical culture framework across the university"/>
    <m/>
  </r>
  <r>
    <s v="Academic "/>
    <s v="No Applicable"/>
    <s v="Senior Vice President, Research Office"/>
    <n v="847"/>
    <n v="8471130"/>
    <s v="KUST - Research Service"/>
    <n v="1"/>
    <n v="428090"/>
    <s v="428090-Business Travel - Combined expenses"/>
    <s v="000000"/>
    <s v="KUST - General"/>
    <n v="847001"/>
    <s v="FA179-Opex Expense"/>
    <n v="200179"/>
    <x v="226"/>
    <s v="-"/>
    <n v="70000"/>
    <n v="70000"/>
    <s v="425500.Conferences, seminars and exhibitions and other events:-Number of events &amp; attendees-Number of Number of events &amp; attendees"/>
    <s v="Number of Number of events &amp; attendees"/>
    <n v="6"/>
    <n v="20000"/>
    <s v="Per conference"/>
    <n v="120000"/>
    <s v="KU Regular operations"/>
    <s v="Recurring"/>
    <n v="108000"/>
    <n v="96000"/>
    <n v="84000"/>
    <s v="5 conferences"/>
    <s v="less outreach"/>
    <s v="less outreach"/>
    <m/>
    <m/>
    <m/>
    <m/>
    <m/>
    <m/>
    <m/>
    <n v="60000"/>
    <m/>
    <n v="60000"/>
    <m/>
    <m/>
    <n v="120000"/>
    <s v="Diversify and increase external research funds"/>
    <m/>
  </r>
  <r>
    <s v="IT"/>
    <s v="Director, Technology Development"/>
    <s v="Senior Vice President, Research Office"/>
    <n v="847"/>
    <n v="8471130"/>
    <s v="KUST - Research Service"/>
    <n v="1"/>
    <n v="426610"/>
    <s v="426610-Computer software licenses"/>
    <s v="000000"/>
    <s v="KUST - General"/>
    <n v="847001"/>
    <s v="FA179-Opex Expense"/>
    <n v="200179"/>
    <x v="227"/>
    <n v="214870.5"/>
    <n v="171900"/>
    <n v="171900"/>
    <s v="495112.Computer software-Database-number of licenses-Number"/>
    <s v="Number"/>
    <n v="1"/>
    <n v="187323"/>
    <s v="Annual License Fee"/>
    <n v="187323"/>
    <s v="KU Regular operations"/>
    <s v="Recurring"/>
    <n v="168590.7"/>
    <n v="149858.4"/>
    <n v="131126.1"/>
    <s v="we can't license the sofware required to operate the research enterprise"/>
    <s v="we can't license the sofware required to operate the research enterprise"/>
    <s v="we can't license the sofware required to operate the research enterprise"/>
    <m/>
    <m/>
    <m/>
    <m/>
    <m/>
    <n v="187323"/>
    <m/>
    <m/>
    <m/>
    <m/>
    <m/>
    <m/>
    <n v="187323"/>
    <s v="Create diversified financial resources for self sustaining university"/>
    <m/>
  </r>
  <r>
    <s v="Other support"/>
    <s v="No Applicable"/>
    <s v="Senior Vice President, Research Office"/>
    <n v="847"/>
    <n v="8471130"/>
    <s v="KUST - Research Service"/>
    <n v="1"/>
    <n v="427900"/>
    <s v="427900-Translation and interpretation service"/>
    <s v="000000"/>
    <s v="KUST - General"/>
    <n v="847001"/>
    <s v="FA179-Opex Expense"/>
    <n v="200179"/>
    <x v="228"/>
    <n v="0"/>
    <n v="5000"/>
    <n v="5000"/>
    <s v="427900.Translation and interpretation service-Number of Employees-Number"/>
    <s v="Number"/>
    <n v="10"/>
    <n v="500"/>
    <s v="Per Translation"/>
    <n v="5000"/>
    <s v="KU Regular operations"/>
    <s v="Recurring"/>
    <n v="4500"/>
    <n v="4000"/>
    <n v="3500"/>
    <s v="may not be able to complete all required translations"/>
    <s v="may not be able to complete all required translations"/>
    <s v="may not be able to complete all required translations"/>
    <m/>
    <m/>
    <n v="1250"/>
    <m/>
    <m/>
    <n v="1250"/>
    <m/>
    <m/>
    <n v="1250"/>
    <m/>
    <m/>
    <n v="1250"/>
    <n v="5000"/>
    <s v="Diversify and increase external research funds"/>
    <m/>
  </r>
  <r>
    <s v="Research"/>
    <s v="No Applicable"/>
    <s v="Senior Vice President, Research Office"/>
    <n v="847"/>
    <n v="8471130"/>
    <s v="KUST - Research Service"/>
    <n v="1"/>
    <n v="435523"/>
    <s v="435523-Scientific"/>
    <s v="000000"/>
    <s v="KUST - General"/>
    <n v="847001"/>
    <s v="FA179-Opex Expense"/>
    <n v="200179"/>
    <x v="229"/>
    <n v="198468.28"/>
    <n v="205962"/>
    <n v="200000"/>
    <s v="435523.Scientific-Number of Research-Number"/>
    <s v="Number"/>
    <n v="1"/>
    <n v="200000"/>
    <s v="Total Cost"/>
    <n v="200000"/>
    <s v="KU Regular operations"/>
    <s v="Recurring"/>
    <n v="180000"/>
    <n v="160000"/>
    <n v="140000"/>
    <s v="Cut scientific research"/>
    <s v="Cut scientific research "/>
    <s v="Cut scientific research "/>
    <m/>
    <m/>
    <n v="50000"/>
    <m/>
    <m/>
    <m/>
    <n v="50000"/>
    <m/>
    <n v="50000"/>
    <m/>
    <m/>
    <n v="50000"/>
    <n v="200000"/>
    <s v="Create diversified financial resources for self sustaining university"/>
    <m/>
  </r>
  <r>
    <s v="Academic"/>
    <s v="No Applicable"/>
    <s v="Senior Vice President, Research Office"/>
    <n v="847"/>
    <n v="8471140"/>
    <s v="KUST - University Sponsored Research"/>
    <n v="1"/>
    <n v="420570"/>
    <s v="420570-Academic Collaborative Partnership Services"/>
    <s v="000000"/>
    <s v="KUST - General"/>
    <n v="847001"/>
    <s v="FA179-Opex Expense"/>
    <n v="200179"/>
    <x v="230"/>
    <n v="11867277.859999999"/>
    <n v="231840"/>
    <m/>
    <s v="420570.Academic Collaborative Partnership Services- Research Projects Agreements-No of Research Projects Agreement"/>
    <s v="No of Research Projects Agreement"/>
    <n v="1"/>
    <n v="305025"/>
    <s v="Estimated 140 proposals x 3 reviewers each @ $150 per review.   Plus 20 Center proposals x 4 reviewers each @ $250k per review"/>
    <n v="305025"/>
    <s v="KU Regular operations"/>
    <s v="Recurring"/>
    <n v="274522.5"/>
    <n v="244020"/>
    <n v="213517.5"/>
    <s v="The number of proposals eligible for shortlisting to full proposal stage will be reduced by 10%.  Additonal reviews to make this decision will need to be implemented."/>
    <s v="The number of proposals eligible for shortlisting to full proposal stage will be reduced by 20%.  Additonal reviews to make this decision will need to be implemented."/>
    <s v="The number of proposals eligible for shortlisting to full proposal stage will be reduced by 30%.  Additonal reviews to make this decision will need to be implemented."/>
    <n v="0"/>
    <n v="0"/>
    <n v="0"/>
    <n v="0"/>
    <n v="0"/>
    <n v="0"/>
    <n v="0"/>
    <n v="0"/>
    <n v="0"/>
    <n v="101675"/>
    <n v="101675"/>
    <n v="101675"/>
    <n v="305025"/>
    <s v="Develop a comprehensive competitive internal research funding program"/>
    <m/>
  </r>
  <r>
    <s v="-"/>
    <s v="-"/>
    <s v="Senior Vice President, Research Office"/>
    <n v="847"/>
    <n v="8471140"/>
    <s v="KUST - University Sponsored Research"/>
    <n v="1"/>
    <n v="428090"/>
    <s v="428090-Business Travel - Combined expenses"/>
    <s v="000000"/>
    <s v="KUST - General"/>
    <n v="847001"/>
    <s v="FA179-Opex Expense"/>
    <n v="200179"/>
    <x v="231"/>
    <s v="-"/>
    <n v="80000"/>
    <n v="80000"/>
    <s v="428090.Business Travel - Combined expenses-Number of Staff-Number"/>
    <s v="Number"/>
    <n v="5"/>
    <n v="20000"/>
    <s v="AED 20k per FTE for Training/Conference"/>
    <n v="100000"/>
    <s v="KU Regular operations"/>
    <s v="Recurring"/>
    <n v="90000"/>
    <n v="80000"/>
    <n v="70000"/>
    <s v="Number of trips or value per trip will be reduced accordingly"/>
    <s v="Number of trips or value per trip will be reduced accordingly"/>
    <s v="Number of trips or value per trip will be reduced accordingly"/>
    <n v="0"/>
    <n v="0"/>
    <n v="0"/>
    <n v="0"/>
    <n v="0"/>
    <n v="0"/>
    <n v="0"/>
    <n v="20000"/>
    <n v="40000"/>
    <n v="40000"/>
    <n v="0"/>
    <n v="0"/>
    <n v="100000"/>
    <s v="Develop a comprehensive competitive internal research funding program"/>
    <m/>
  </r>
  <r>
    <s v="Research"/>
    <s v="No Applicable"/>
    <s v="Senior Vice President, Research Office"/>
    <n v="847"/>
    <n v="8471140"/>
    <s v="KUST - University Sponsored Research"/>
    <n v="1"/>
    <n v="435523"/>
    <s v="435523-Scientific"/>
    <s v="000000"/>
    <s v="KUST - General"/>
    <n v="847001"/>
    <s v="FA179-Opex Expense"/>
    <n v="200179"/>
    <x v="232"/>
    <n v="83770903.290000096"/>
    <n v="99885358"/>
    <n v="99885358"/>
    <s v="435523.Scientific-Number of Research-Number"/>
    <s v="Number"/>
    <n v="1"/>
    <n v="81714797.610000014"/>
    <s v="Each project has a defined budget (split by expense type) which is managed at sub-GL level within the ORACLE Projects Module.  Awards have been made through specific funding call cycles."/>
    <n v="81714797.610000014"/>
    <s v="KU Regular operations"/>
    <s v="Recurring"/>
    <n v="73543317.849000022"/>
    <n v="65371838.088000014"/>
    <n v="57200358.327000007"/>
    <s v="The budget reflects active awards.  Any reductions in value will require assessment to either reduce specific award amounts or close projects (implications on project manpower and graudate students).  With 134 awards this will require significant review."/>
    <s v="The budget reflects active awards.  Any reductions in value will require assessment to either reduce specific award amounts or close projects (implications on project manpower and graudate students).  With 134 awards this will require significant review."/>
    <s v="The budget reflects active awards.  Any reductions in value will require assessment to either reduce specific award amounts or close projects (implications on project manpower and graudate students).  With 134 awards this will require significant review."/>
    <n v="5107174.8506250009"/>
    <n v="5107174.8506250009"/>
    <n v="7660762.2759375013"/>
    <n v="7660762.2759375013"/>
    <n v="7660762.2759375013"/>
    <n v="7660762.2759375013"/>
    <n v="7660762.2759375013"/>
    <n v="7660762.2759375013"/>
    <n v="6383968.5632812502"/>
    <n v="6383968.5632812502"/>
    <n v="6383968.5632812502"/>
    <n v="6383968.5632812502"/>
    <n v="81714797.610000014"/>
    <s v="Develop a comprehensive competitive internal research funding program"/>
    <s v="Quote and supporting docs provided"/>
  </r>
  <r>
    <s v="Research"/>
    <s v="No Applicable"/>
    <s v="Senior Vice President, Research Office"/>
    <n v="847"/>
    <n v="8471140"/>
    <s v="KUST - University Sponsored Research"/>
    <n v="1"/>
    <n v="435523"/>
    <s v="435523-Scientific"/>
    <s v="000000"/>
    <s v="KUST - General"/>
    <n v="847001"/>
    <s v="FA179-Opex Expense"/>
    <n v="200179"/>
    <x v="232"/>
    <m/>
    <m/>
    <m/>
    <s v="435523.Scientific-Number of Research-Number"/>
    <s v="Number"/>
    <n v="1"/>
    <n v="31734062.5"/>
    <s v="These are projects to be awarded in 2023 via a variety of research funding calls (KURIA/FSU/Centers/International Partnerships/Other).  Award value differs depending on the program type."/>
    <n v="31734062.5"/>
    <s v="KU Regular operations"/>
    <s v="Recurring"/>
    <n v="28560656.25"/>
    <n v="25387250"/>
    <n v="22213843.75"/>
    <s v="The requested budget is based on new awards to be made.  If the budget is reduced the number of awards will need to be reduced accordinlgly.  This will impact our average research spend per faculty which is a university world ranking metric contributor. "/>
    <s v="The requested budget is based on new awards to be made.  If the budget is reduced the number of awards will need to be reduced accordinlgly.  This will impact our average research spend per faculty which is a university world ranking metric contributor. "/>
    <s v="The requested budget is based on new awards to be made.  If the budget is reduced the number of awards will need to be reduced accordinlgly.  This will impact our average research spend per faculty which is a university world ranking metric contributor. "/>
    <n v="1983378.90625"/>
    <n v="1983378.90625"/>
    <n v="1983378.90625"/>
    <n v="2975068.359375"/>
    <n v="2975068.359375"/>
    <n v="2975068.359375"/>
    <n v="2975068.359375"/>
    <n v="2975068.359375"/>
    <n v="2975068.359375"/>
    <n v="2975068.359375"/>
    <n v="2975068.359375"/>
    <n v="1983378.9062500009"/>
    <n v="31734062.5"/>
    <s v="Develop a comprehensive competitive internal research funding program"/>
    <s v="Quote and supporting docs provided"/>
  </r>
  <r>
    <s v="Other support"/>
    <s v="General Counsel"/>
    <s v="Senior Vice President, Research Office"/>
    <n v="847"/>
    <n v="8471150"/>
    <s v="KUST - Technology Management &amp; Innovation"/>
    <n v="1"/>
    <n v="420900"/>
    <s v="420900-Legal services"/>
    <s v="000000"/>
    <s v="KUST - General"/>
    <n v="847001"/>
    <s v="FA179-Opex Expense"/>
    <n v="200179"/>
    <x v="233"/>
    <n v="2639907.12"/>
    <n v="3332844"/>
    <n v="3500000"/>
    <s v="420900.Legal services-Patent-Number of Patents"/>
    <s v="Number"/>
    <n v="4978500"/>
    <n v="1"/>
    <s v="Account Code 420900 – Legal Services - Total is  AED 4,978,500  - Priority Filings :YR 2022, to date, there has been 10 Priority filings (5 add’l authorized) and 29 other filings.  (Year End filing cannot be predicted as filings is fueled by Invention Disclosures received/Research Projects). 25-30 fully filed applications are anticipated 44 x AED@ AED 55,500.00/each) = AED 2,442,000_x000a_Coversheet Provisionals: 20 coversheet Provisionals as priority date space holders for immediate public disclosures @$750/each + fees  (AED 3,000) = AED 60,000._x000a_Additional Cost not anticipated, - Filing first applications in Greece due to Greek Law. Anticipated 5 @$1,200 each (AED 4,416) = AED 22,100_x000a_PCT  and X-US Applications: _x000a_10 PCT Filings @ AED 20,000/each {AED 200,000}; 10 Filings in the EP @ AED 15,350 {AED 153,500}; 10 filings in SA (Saudi Arabia) @AED 25,000/each {AED 250,000} and 25 UAE filings @AED 25,000/each {500,000} AED 1,103,500**_x000a_**(This does not include other countries were filings may be necessary due to commercialization strategy) _x000a_Ongoing Prosecution costs_x000a_Responses to examiners actions is various jurisdictions (US and foreign to include translations costs also). _x000a_KU’s patent portfolio is maturing and as the application ages, there is the likelihood for the application to be examined. Last year there were over 25-30 actions due and is steadily increasing and in complexity – to also include foreign filed applications that are being examined..  This also includes the payment of issued fee for allowed cases_x000a_We anticipate 50 actions @$3000 each (AED 11,010) = AED 550,500_x000a_Anticipated costs for ETO and Official Fees AED 90,000_x000a_ AED 640,900_x000a_Reimbursement to co-owners for filed applications and responses filed, such as UMN (University of Minnesota (YTD anticipated $50K)), UAEU and Emirates Steel AED 25,000 =  AED 210,000_x000a_Annuities_x000a_Maintenance and annuities are due for several applications and patents.  Using this service is at a signification cost reduction to the university. WE anticipate annuities and related costs for All foreign and issued US Patents to be ~$60K (AED 220,000)_x000a_Assessments _x000a_Assessment are done by 3rd party vendor TremMonti_x000a_Cost is dependent on type of service requested _x000a_Commercial Assessment/Development of Marketing materials/Technology marketing and Development of Licensing Comparable_x000a_For each Invention Disclosure received – as assessment is requested. _x000a_34 requests @ AED 5,505 /10 requests @ AED 9,175 = AED 280,000"/>
    <n v="4978500"/>
    <s v="KU Regular operations"/>
    <s v="Recurring"/>
    <n v="4480650"/>
    <n v="3982800"/>
    <n v="3484950"/>
    <s v="Some impact to the IP filing and strategy but will not affect increasing the IP Portfolio"/>
    <s v="Invention Disclosure received may not be assessed and filing may not occur if funds are not available for paying the costs associated with filing"/>
    <s v="May be devastating to KU as many inventions with commercial value may not be filed or jurisdictions were IP protection is necessary may be let unprotected.  This  will affect the value of the University's Portfolio which creates lost licensing opportunities and possible revenues. "/>
    <n v="414875"/>
    <n v="414875"/>
    <n v="414875"/>
    <n v="414875"/>
    <n v="414875"/>
    <n v="414875"/>
    <n v="414875"/>
    <n v="414875"/>
    <n v="414875"/>
    <n v="414875"/>
    <n v="414875"/>
    <n v="414875"/>
    <n v="4978500"/>
    <s v="Develop the university innovation and entrepreneurship system"/>
    <s v="Quote and supporting docs provided"/>
  </r>
  <r>
    <s v="Communiction &amp; Marketing"/>
    <s v="Director, Marketing and Communication"/>
    <s v="Senior Vice President, Research Office"/>
    <n v="847"/>
    <n v="8471150"/>
    <s v="KUST - Technology Management &amp; Innovation"/>
    <n v="1"/>
    <n v="425510"/>
    <s v="425510-Conferences, seminars and exhibitions and other events: - Local Events"/>
    <s v="000000"/>
    <s v="KUST - General"/>
    <n v="847001"/>
    <s v="FA179-Opex Expense"/>
    <n v="200179"/>
    <x v="234"/>
    <n v="10137.75"/>
    <n v="100002"/>
    <n v="10000"/>
    <s v="425510.Conferences, seminars and exhibitions and other events: - Local Events-The area of rented halls for events, seminars, and exhibition.-2m"/>
    <s v="Number"/>
    <n v="36000"/>
    <n v="2"/>
    <s v="Local outreach to other UAE Universities and institutions - open house and TMI Outreach/ Participation in ADNEC Exhibitions"/>
    <n v="72000"/>
    <s v="KU Regular operations"/>
    <s v="Recurring"/>
    <n v="64800"/>
    <n v="57600"/>
    <n v="50400"/>
    <m/>
    <m/>
    <m/>
    <n v="6000"/>
    <n v="6000"/>
    <n v="6000"/>
    <n v="6000"/>
    <n v="6000"/>
    <n v="6000"/>
    <n v="6000"/>
    <n v="6000"/>
    <n v="6000"/>
    <n v="6000"/>
    <n v="6000"/>
    <n v="6000"/>
    <n v="72000"/>
    <s v="Develop the university innovation and entrepreneurship system"/>
    <s v="Quote and supporting docs provided"/>
  </r>
  <r>
    <s v="Communiction &amp; Marketing"/>
    <s v="No Applicable"/>
    <s v="Senior Vice President, Research Office"/>
    <n v="847"/>
    <n v="8471150"/>
    <s v="KUST - Technology Management &amp; Innovation"/>
    <n v="1"/>
    <n v="425550"/>
    <s v="425550-Conferences, seminars and exhibitions and other events: - Overseas event"/>
    <s v="000000"/>
    <s v="KUST - General"/>
    <n v="847001"/>
    <s v="FA179-Opex Expense"/>
    <n v="200179"/>
    <x v="235"/>
    <n v="0"/>
    <n v="100002"/>
    <n v="45000"/>
    <s v="425500.Conferences, seminars and exhibitions and other events:-Number of events &amp; attendees-Number of Number of events &amp; attendees"/>
    <s v="Number of Number of events &amp; attendees"/>
    <n v="50001"/>
    <n v="2"/>
    <s v="Active participation in AUTM, ATSP, and other Technology Innovation Conferences worldwide"/>
    <n v="100002"/>
    <s v="KU Regular operations"/>
    <s v="Recurring"/>
    <n v="90001.8"/>
    <n v="80001.600000000006"/>
    <n v="70001.399999999994"/>
    <m/>
    <m/>
    <m/>
    <n v="8333.5"/>
    <n v="8333.5"/>
    <n v="8333.5"/>
    <n v="8333.5"/>
    <n v="8333.5"/>
    <n v="8333.5"/>
    <n v="8333.5"/>
    <n v="8333.5"/>
    <n v="8333.5"/>
    <n v="8333.5"/>
    <n v="8333.5"/>
    <n v="8333.5"/>
    <n v="100002"/>
    <s v="Develop the university innovation and entrepreneurship system"/>
    <s v="Quote and supporting docs provided"/>
  </r>
  <r>
    <s v="IT"/>
    <s v="Director, Technology Development"/>
    <s v="Senior Vice President, Research Office"/>
    <n v="847"/>
    <n v="8471150"/>
    <s v="KUST - Technology Management &amp; Innovation"/>
    <n v="1"/>
    <n v="426610"/>
    <s v="426610-Computer software licenses"/>
    <s v="000000"/>
    <s v="KUST - General"/>
    <n v="847001"/>
    <s v="FA179-Opex Expense"/>
    <n v="200179"/>
    <x v="236"/>
    <n v="76378.73"/>
    <n v="120000"/>
    <n v="165000"/>
    <s v="426610.Computer software licenses-Software License Renewal-service level agreement-Service"/>
    <s v="Service"/>
    <n v="165000"/>
    <n v="1"/>
    <s v="Account Code 426610 – Computer Software Licenses - Total is  AED 165,000_x000a_(Increase of 5% yearly to 2024 would be in order but not factored in)_x000a_Wellsprings Worldwide_x000a_License Agreement with Wellsprings for use of the Sophia Database for Intellectual Property Database Management.  This is a specialized Cloud-based Data Management System used for managing research and technology commercialization.  This database is used to track Invention Disclosures, The cycle of patent process from cradle to grave; Research Agreements with an Intellectual Property component, such as Licenses, NDAs, MTAs.  All of KU IP Related matters reside in this database.  We currently have Software for License and Service Agreement where an Annual Fee is required_x000a_Fees for each year is below (AED 75,000)_x000a_KtMine: _x000a_Data Analysis and Business Intelligence (Intellectual Property Data &amp; Analytics Platform) and is used to provide Technology Valuation and IP License Benchmarks - AED 15,000.00/yr_x000a_Frost and Sullivan_x000a_Access to their platform provides us with market intelligence to providing insight in our Invention Assessment and IP Filing Strategy (renewable every 12 months @USD$20,000/yr)– AED 74,600.00/yr"/>
    <n v="165000"/>
    <s v="KU Regular operations"/>
    <s v="Recurring"/>
    <n v="148500"/>
    <n v="132000"/>
    <n v="115499.99999999999"/>
    <s v="Minimal impact on meeting our obligations with software provider"/>
    <s v="We may have to cancel the use of one of the subscription, which may impact our ability to conduct proper assessments of our technologies, especially assessment on prior art and technology landscape. "/>
    <s v="This may cover the License associated with our database, however, the department's ability to keep up with trends in the industry will be greatly impacted.  Technology Transfer is a specialized area of Economic Innovation and staying ahead of the curve places us and the University in a an excellent position in regards to instruct trends and competiveness. "/>
    <n v="13750"/>
    <n v="13750"/>
    <n v="13750"/>
    <n v="13750"/>
    <n v="13750"/>
    <n v="13750"/>
    <n v="13750"/>
    <n v="13750"/>
    <n v="13750"/>
    <n v="13750"/>
    <n v="13750"/>
    <n v="13750"/>
    <n v="165000"/>
    <s v="Utilize state-of-the-art technologies and facilities in an optimal and efficient manner"/>
    <s v="Quote and supporting docs provided"/>
  </r>
  <r>
    <s v="Academic "/>
    <s v="No Applicable"/>
    <s v="Senior Vice President, Research Office"/>
    <n v="847"/>
    <n v="8471150"/>
    <s v="KUST - Technology Management &amp; Innovation"/>
    <n v="1"/>
    <n v="428090"/>
    <s v="428090-Business Travel - Combined expenses"/>
    <s v="000000"/>
    <s v="KUST - General"/>
    <n v="847001"/>
    <s v="FA179-Opex Expense"/>
    <n v="200179"/>
    <x v="237"/>
    <s v="-"/>
    <n v="50001"/>
    <n v="25000"/>
    <s v="428090.Business Travel - Combined expenses-Number of Staff-Number"/>
    <s v="Number"/>
    <n v="50400"/>
    <n v="1"/>
    <s v="Active participation in AUTM, ATSP, and other Technology Innovation Conferences worldwide"/>
    <n v="50400"/>
    <s v="KU Regular operations"/>
    <s v="Recurring"/>
    <n v="45360"/>
    <n v="40320"/>
    <n v="35280"/>
    <m/>
    <m/>
    <m/>
    <n v="4200"/>
    <n v="4200"/>
    <n v="4200"/>
    <n v="4200"/>
    <n v="4200"/>
    <n v="4200"/>
    <n v="4200"/>
    <n v="4200"/>
    <n v="4200"/>
    <n v="4200"/>
    <n v="4200"/>
    <n v="4200"/>
    <n v="50400"/>
    <s v="Develop the university innovation and entrepreneurship system"/>
    <s v="Quote and supporting docs provided"/>
  </r>
  <r>
    <s v="-"/>
    <s v="-"/>
    <s v="Senior Vice President, Research Office"/>
    <n v="847"/>
    <n v="8471150"/>
    <s v="KUST - Technology Management &amp; Innovation"/>
    <n v="1"/>
    <n v="435310"/>
    <s v="435310-Newspapers, magazines, journals, etc."/>
    <s v="000000"/>
    <s v="KUST - General"/>
    <n v="847001"/>
    <s v="FA179-Opex Expense"/>
    <n v="200179"/>
    <x v="238"/>
    <m/>
    <m/>
    <n v="12000"/>
    <s v="427710.Subscriptions and membership fees: Trade organizations-Number  of Memberships-Number"/>
    <s v="Number"/>
    <n v="12000"/>
    <n v="1"/>
    <s v="Tech Transfer Central _x000a_Business &amp; Operation Development – world leading content provider in Tech Transfer and Research Commercialization. It offers a unique, practical, and advanced strategies, case studies, best practices, and expert guidance on a broad range of challenges and opportunities for technology transfer offices and professionals. _x000a__x000a_Tech Transfer Central’s Distance Learning Module – where KU has access, produces 2-3 live webinars each month and has compiled an archive that includes hundreds of recorded programs. The webinars are expert-led, detailed explorations of topics that are relevant to the tech transfer and related communities. - AED 12,000.00/yr_x000a_"/>
    <n v="12000"/>
    <s v="KU Regular operations"/>
    <s v="Recurring"/>
    <n v="10800"/>
    <n v="9600"/>
    <n v="8400"/>
    <m/>
    <m/>
    <m/>
    <n v="1000"/>
    <n v="1000"/>
    <n v="1000"/>
    <n v="1000"/>
    <n v="1000"/>
    <n v="1000"/>
    <n v="1000"/>
    <n v="1000"/>
    <n v="1000"/>
    <n v="1000"/>
    <n v="1000"/>
    <n v="1000"/>
    <n v="12000"/>
    <s v="Develop the university innovation and entrepreneurship system"/>
    <s v="Quote and supporting docs provided"/>
  </r>
  <r>
    <s v="IT"/>
    <s v="Director, Technology Development"/>
    <s v="Senior Vice President, Research Office"/>
    <n v="847"/>
    <n v="8471170"/>
    <s v="KUST - Research Computing"/>
    <n v="1"/>
    <n v="420811"/>
    <s v="420811-IT Systems &amp; Support expenses-Application/Systems Operation"/>
    <s v="000000"/>
    <s v="KUST - General"/>
    <n v="847001"/>
    <s v="FA179-Opex Expense"/>
    <n v="200179"/>
    <x v="239"/>
    <s v="-"/>
    <n v="1709607"/>
    <n v="1709607"/>
    <s v="420811.IT Systems &amp; Support expenses-Application/Systems Operation-professional services scope/deliverables-Month"/>
    <s v="Number"/>
    <n v="12"/>
    <n v="411431.26499999996"/>
    <s v="Please see attached proposal from Ankabut. Includes hosting charges, backup services, hardware support &amp; maintenance, and IaaS management services"/>
    <n v="4937175.18"/>
    <s v="KU Regular operations"/>
    <s v="Recurring"/>
    <n v="4443457.6619999995"/>
    <n v="3949740.1439999999"/>
    <n v="3456022.6259999997"/>
    <s v="This is to host hardware for HPC and IaaS in the Ankabut datacentre, and purchase services required by Reseach Computing. The charges are for actual hardware in the datacentre,  and critical services and systemsl. It will not be possible to give partial payment,as this is should be part of an overall contract"/>
    <s v="This is to host hardware for HPC and IaaS in the Ankabut datacentre, and purchase services required by Reseach Computing. The charges are for actual hardware in the datacentre,  and critical services and systemsl. It will not be possible to give partial payment,as this is should be part of an overall contract"/>
    <s v="This is to host hardware for HPC and IaaS in the Ankabut datacentre, and purchase services required by Reseach Computing. The charges are for actual hardware in the datacentre,  and critical services and systemsl. It will not be possible to give partial payment,as this is should be part of an overall contract"/>
    <m/>
    <m/>
    <m/>
    <n v="4937175.18"/>
    <m/>
    <m/>
    <m/>
    <m/>
    <m/>
    <m/>
    <m/>
    <m/>
    <n v="4937175.18"/>
    <s v="Utilize state-of-the-art technologies and facilities in an optimal and efficient manner"/>
    <s v="Quote and supporting docs provided"/>
  </r>
  <r>
    <s v="-"/>
    <s v="-"/>
    <s v="Senior Vice President, Research Office"/>
    <n v="847"/>
    <n v="8471170"/>
    <s v="KUST - Research Computing"/>
    <n v="1"/>
    <n v="420811"/>
    <s v="420811-IT Systems &amp; Support expenses-Application/Systems Operation"/>
    <s v="000000"/>
    <s v="KUST - General"/>
    <n v="847001"/>
    <s v="FA179-Opex Expense"/>
    <n v="200179"/>
    <x v="239"/>
    <m/>
    <m/>
    <m/>
    <s v="420811.IT Systems &amp; Support expenses-Application/Systems Operation-professional services scope/deliverables-Month"/>
    <s v="Month"/>
    <n v="12"/>
    <n v="41667"/>
    <s v="Support for HPC management software, workload management software, and parallel filesystem software "/>
    <n v="500004"/>
    <s v="KU Regular operations"/>
    <s v="Recurring"/>
    <n v="450003.60000000003"/>
    <n v="400003.2"/>
    <n v="350002.8"/>
    <s v="This is to support KU's investment in HPC. Lack of support will compromise how effciently this critical infrastructure can be used.This will be a support contract, so must be paid in full"/>
    <s v="This is to support KU's investment in HPC. Lack of support will compromise how effciently this critical infrastructure can be used.This will be a support contract, so must be paid in full"/>
    <s v="This is to support KU's investment in HPC. Lack of support will compromise how effciently this critical infrastructure can be used.This will be a support contract, so must be paid in full"/>
    <m/>
    <m/>
    <m/>
    <m/>
    <m/>
    <n v="500004"/>
    <m/>
    <m/>
    <m/>
    <m/>
    <m/>
    <m/>
    <n v="500004"/>
    <s v="Utilize state-of-the-art technologies and facilities in an optimal and efficient manner"/>
    <s v="Quote and supporting docs provided"/>
  </r>
  <r>
    <s v="Other support"/>
    <s v="Director, Human Resources"/>
    <s v="Senior Vice President, Research Office"/>
    <n v="847"/>
    <n v="8471170"/>
    <s v="KUST - Research Computing"/>
    <n v="1"/>
    <n v="425900"/>
    <s v="425900-Entertainment and hospitality"/>
    <s v="000000"/>
    <s v="KUST - General"/>
    <n v="847001"/>
    <s v="FA179-Opex Expense"/>
    <n v="200179"/>
    <x v="240"/>
    <s v="-"/>
    <n v="10000"/>
    <n v="10000"/>
    <s v="425900.Entertainment and hospitality-1. No of events/workshops planned-count"/>
    <s v="count"/>
    <n v="2"/>
    <n v="5000"/>
    <s v="Estimate of cost of event"/>
    <n v="10000"/>
    <s v="KU Regular operations"/>
    <s v="Recurring"/>
    <n v="9000"/>
    <n v="8000"/>
    <n v="7000"/>
    <s v="Will organise smaller events"/>
    <s v="Will organise smaller events"/>
    <s v="Will organise a single event"/>
    <m/>
    <m/>
    <m/>
    <m/>
    <m/>
    <n v="5000"/>
    <m/>
    <m/>
    <m/>
    <m/>
    <n v="5000"/>
    <m/>
    <n v="10000"/>
    <s v="Utilize state-of-the-art technologies and facilities in an optimal and efficient manner"/>
    <m/>
  </r>
  <r>
    <s v="IT"/>
    <s v="Director, Technology Development"/>
    <s v="Senior Vice President, Research Office"/>
    <n v="847"/>
    <n v="8471170"/>
    <s v="KUST - Research Computing"/>
    <n v="1"/>
    <n v="426610"/>
    <s v="426610-Computer software licenses"/>
    <s v="000000"/>
    <s v="KUST - General"/>
    <n v="847001"/>
    <s v="FA179-Opex Expense"/>
    <n v="200179"/>
    <x v="241"/>
    <n v="1268350.46"/>
    <n v="2618576"/>
    <n v="2618576"/>
    <s v="426610.Computer software licenses-Software License Renewal-number of licenses-Number"/>
    <s v="Number"/>
    <n v="124"/>
    <n v="43599.40208870967"/>
    <s v="See attached excel sheet for details all software to be renewed"/>
    <n v="5406325.8589999992"/>
    <s v="KU Regular operations"/>
    <s v="Recurring"/>
    <n v="4865693.2730999999"/>
    <n v="4325060.6871999996"/>
    <n v="3784428.1012999993"/>
    <s v="Research projects dependent on this software may be halted or delayed due to unavaiblity of software. Software licnese comes in a bundle and it may not be possible to purchase part of the license. For full list of software see attached excel sheets."/>
    <s v="Research projects dependent on this software may be halted or delayed due to unavaiblity of software. Software licnese comes in a bundle and it may not be possible to purchase part of the license. For full list of software see attached excel sheets."/>
    <s v="Research projects dependent on this software may be halted or delayed due to unavaiblity of software. Software licnese comes in a bundle and it may not be possible to purchase part of the license. For full list of software see attached excel sheets."/>
    <m/>
    <m/>
    <n v="675790.73237499991"/>
    <n v="675790.73237499991"/>
    <n v="675790.73237499991"/>
    <n v="675790.73237499991"/>
    <n v="675790.73237499991"/>
    <n v="675790.73237499991"/>
    <n v="675790.73237499991"/>
    <n v="675790.73237499991"/>
    <m/>
    <m/>
    <n v="5406325.8589999983"/>
    <s v="Utilize state-of-the-art technologies and facilities in an optimal and efficient manner"/>
    <s v="Quote and supporting docs provided"/>
  </r>
  <r>
    <s v="Academic "/>
    <s v="No Applicable"/>
    <s v="Senior Vice President, Research Office"/>
    <n v="847"/>
    <n v="8471170"/>
    <s v="KUST - Research Computing"/>
    <n v="1"/>
    <n v="428090"/>
    <s v="428090-Business Travel - Combined expenses"/>
    <s v="000000"/>
    <s v="KUST - General"/>
    <n v="847001"/>
    <s v="FA179-Opex Expense"/>
    <n v="200179"/>
    <x v="242"/>
    <s v="-"/>
    <n v="45000"/>
    <n v="45000"/>
    <s v="428090.Business Travel - Combined expenses-Number of Staff-Number"/>
    <s v="Number"/>
    <n v="3"/>
    <n v="15000"/>
    <s v="Attendance of 2 major domain specific international conferences, and one regional conference."/>
    <n v="45000"/>
    <s v="KU Regular operations"/>
    <s v="Recurring"/>
    <n v="40500"/>
    <n v="36000"/>
    <n v="31499.999999999996"/>
    <s v="Will attend fewer conferences. Attend international conferences and skip regional one.  Will affect networking, and keeping up to date with advancements in HPC/tech field"/>
    <s v="Will attend fewer conferences. Attend international conferences and skip regional one.  Will affect networking, and keeping up to date with advancements in HPC/tech field"/>
    <s v="Will attend fewer conferences. Attend one international conference. Will affect networking, and keeping up to date with advancements in HPC/tech field"/>
    <m/>
    <m/>
    <m/>
    <n v="15000"/>
    <n v="15000"/>
    <m/>
    <m/>
    <m/>
    <n v="15000"/>
    <m/>
    <m/>
    <m/>
    <n v="45000"/>
    <s v="Utilize state-of-the-art technologies and facilities in an optimal and efficient manner"/>
    <m/>
  </r>
  <r>
    <s v="Facilities "/>
    <s v="Director, Research Laboratories"/>
    <s v="Senior Vice President, Research Office"/>
    <n v="847"/>
    <n v="8471170"/>
    <s v="KUST - Research Computing"/>
    <n v="1"/>
    <n v="492316"/>
    <s v="492316-Laboratory equipment"/>
    <s v="000000"/>
    <s v="KUST - General"/>
    <n v="847001"/>
    <s v="FA180-Capex Expense"/>
    <n v="300180"/>
    <x v="243"/>
    <n v="6593486"/>
    <n v="3308433"/>
    <n v="3308433"/>
    <s v="Computation growth rate"/>
    <s v="Number"/>
    <n v="4"/>
    <n v="5545455"/>
    <s v="Need to expand HPC resouces by a factor of 4. Estimate based on 4 times cost of HPC purchased in 2020. This is to account for new strategic projects"/>
    <n v="22181820"/>
    <s v="KU Strategic New Initiative"/>
    <s v="Non-recurring"/>
    <n v="19963638"/>
    <n v="17745456"/>
    <n v="15527273.999999998"/>
    <s v="This may hinder the research output of KU, as the majority of computation based research is carried out on the HPC. Will purchase a smaller number of compute nodes and storage. "/>
    <s v="This may hinder the research output of KU, as the majority of computation based research is carried out on the HPC. Will purchase a smaller number of compute nodes and storage. "/>
    <s v="This may hinder the research output of KU, as the majority of computation based research is carried out on the HPC. Will purchase a smaller number of compute nodes and storage. "/>
    <m/>
    <m/>
    <m/>
    <m/>
    <m/>
    <m/>
    <m/>
    <m/>
    <m/>
    <n v="22181820"/>
    <m/>
    <m/>
    <n v="22181820"/>
    <s v="Utilize state-of-the-art technologies and facilities in an optimal and efficient manner"/>
    <s v="Quote and supporting docs provided"/>
  </r>
  <r>
    <s v="IT"/>
    <s v="Director, Technology Development"/>
    <s v="Senior Vice President, Research Office"/>
    <n v="847"/>
    <n v="8471170"/>
    <s v="KUST - Research Computing"/>
    <n v="1"/>
    <n v="495113"/>
    <s v="495113-Computer software-Application, Platform "/>
    <s v="000000"/>
    <s v="KUST - General"/>
    <n v="847001"/>
    <s v="FA180-Capex Expense"/>
    <n v="300180"/>
    <x v="244"/>
    <s v="-"/>
    <n v="277018"/>
    <n v="277018"/>
    <s v="495113.Computer software-Application, Platform -number of licenses-Number"/>
    <s v="Number"/>
    <n v="3"/>
    <n v="100000"/>
    <s v="Estimated cost of new software licneses that may be needed"/>
    <n v="300000"/>
    <s v="KU Regular operations"/>
    <s v="Non-recurring"/>
    <n v="270000"/>
    <n v="240000"/>
    <n v="210000"/>
    <s v="Funds requested are in case new software is required by research projects or staff. We do not always know in advance what may be required"/>
    <s v="Will may be able to purchase fewer new pieces of software"/>
    <s v="Will may be able to purchase fewer new pieces of software"/>
    <m/>
    <m/>
    <n v="37500"/>
    <n v="37500"/>
    <n v="37500"/>
    <n v="37500"/>
    <n v="37500"/>
    <n v="37500"/>
    <n v="37500"/>
    <n v="37500"/>
    <m/>
    <m/>
    <n v="300000"/>
    <s v="Utilize state-of-the-art technologies and facilities in an optimal and efficient manner"/>
    <m/>
  </r>
  <r>
    <s v="Other support"/>
    <s v="Director, Human Resources"/>
    <s v="Academic and Student Services Office"/>
    <n v="847"/>
    <n v="8471210"/>
    <s v="KUST - SVP/ Academic &amp; Student Services Office"/>
    <n v="1"/>
    <n v="425900"/>
    <s v="425900-Entertainment and hospitality"/>
    <s v="000000"/>
    <s v="KUST - General"/>
    <n v="847001"/>
    <s v="FA179-Opex Expense"/>
    <n v="200179"/>
    <x v="245"/>
    <s v="-"/>
    <n v="15000"/>
    <m/>
    <s v="425900.Entertainment and hospitality-1. No of events/workshops planned-count"/>
    <s v="number"/>
    <n v="5"/>
    <n v="3000"/>
    <s v="Catering for VIP meetings_x000a_Catering for the professional training events - Retreat_x000a_Catering for the inhouse workshops_x000a_- retreat invoices &quot;Work Confirmation 156340&quot; were paid from this account  "/>
    <n v="15000"/>
    <s v="KU Regular operations"/>
    <s v="Recurring"/>
    <n v="13500"/>
    <n v="12000"/>
    <n v="10500"/>
    <s v="Will affect the VIP visits arrangements. "/>
    <s v="Will affect the VIP visits arrangements. "/>
    <s v="Will affect the VIP visits arrangements. "/>
    <n v="1000"/>
    <n v="2000"/>
    <n v="2000"/>
    <n v="2000"/>
    <n v="0"/>
    <m/>
    <m/>
    <m/>
    <n v="2000"/>
    <n v="2000"/>
    <n v="2000"/>
    <n v="2000"/>
    <n v="15000"/>
    <s v="Widen access to students with outstanding academic potential"/>
    <m/>
  </r>
  <r>
    <s v="Academic "/>
    <s v="No Applicable"/>
    <s v="Academic and Student Services Office"/>
    <n v="847"/>
    <n v="8471210"/>
    <s v="KUST - SVP/ Academic &amp; Student Services Office"/>
    <n v="1"/>
    <n v="428090"/>
    <s v="428090-Business Travel - Combined expenses"/>
    <s v="000000"/>
    <s v="KUST - General"/>
    <n v="847001"/>
    <s v="FA179-Opex Expense"/>
    <n v="200179"/>
    <x v="246"/>
    <s v="-"/>
    <n v="100000"/>
    <m/>
    <s v="428090.Business Travel - Combined expenses-Number of Staff-Number"/>
    <s v="number"/>
    <n v="4"/>
    <n v="40000"/>
    <s v="Business Travel for SVP_x000a_To identify detailed frameworks for cooperation and partnership with foreign intuitions to exchange experiences and develop joint programs for student exchange and research project of comment interest. DTR12/15/2021-522 and BMPA12/7/2021-65"/>
    <n v="160000"/>
    <s v="KU Regular operations"/>
    <s v="Recurring"/>
    <n v="144000"/>
    <n v="128000"/>
    <n v="112000"/>
    <s v="Will limit possibility to attend regional conferences related to Student Life. "/>
    <s v="Will constrain ability to participate in international student recruitment exhibitions and fairs."/>
    <s v="Will negatively impact our representation in international meetings with partner universities"/>
    <n v="40000"/>
    <n v="0"/>
    <n v="0"/>
    <n v="0"/>
    <n v="0"/>
    <n v="0"/>
    <n v="40000"/>
    <m/>
    <m/>
    <n v="40000"/>
    <m/>
    <n v="40000"/>
    <n v="160000"/>
    <s v="Develop a multidimensional program to attract and retain diverse outstanding students"/>
    <m/>
  </r>
  <r>
    <s v="Communiction &amp; Marketing"/>
    <s v="Director, Marketing and Communication"/>
    <s v="Academic and Student Services Office"/>
    <n v="847"/>
    <n v="8471210"/>
    <s v="KUST - SVP/ Academic &amp; Student Services Office"/>
    <n v="1"/>
    <n v="428640"/>
    <s v="428640-Events - Awards, prizes &amp; gifts"/>
    <s v="000000"/>
    <s v="KUST - General"/>
    <n v="847001"/>
    <s v="FA179-Opex Expense"/>
    <n v="200179"/>
    <x v="247"/>
    <s v="-"/>
    <n v="20000"/>
    <m/>
    <s v="428640.Events - Awards, prizes &amp; gifts-Number of Events-count"/>
    <s v="number"/>
    <n v="4"/>
    <n v="5000"/>
    <s v="Prizes and awards for winners or programs , to support in providing awards and prizes for students winning competitions"/>
    <n v="20000"/>
    <s v="KU Regular operations"/>
    <s v="Recurring"/>
    <n v="18000"/>
    <n v="16000"/>
    <n v="14000"/>
    <s v="Will effect the ability to motivate the students by incentives.  "/>
    <s v="Will limit ability to motivate the students by incentives.  "/>
    <s v="Will limit the ability to motivate the students by incentives.  "/>
    <n v="5000"/>
    <n v="0"/>
    <n v="0"/>
    <n v="0"/>
    <n v="0"/>
    <n v="0"/>
    <n v="5000"/>
    <n v="0"/>
    <m/>
    <n v="5000"/>
    <m/>
    <n v="5000"/>
    <n v="20000"/>
    <s v="Develop a life-long culture of community service beyond the classroom "/>
    <m/>
  </r>
  <r>
    <s v="Academic"/>
    <s v="No Applicable"/>
    <s v="Academic and Student Services Office"/>
    <n v="847"/>
    <n v="8471210"/>
    <s v="KUST - SVP/ Academic &amp; Student Services Office"/>
    <n v="1"/>
    <n v="435530"/>
    <s v="435530-School consumables, not specifically mentioned elsewhere"/>
    <s v="000000"/>
    <s v="KUST - General"/>
    <n v="847001"/>
    <s v="FA179-Opex Expense"/>
    <n v="200179"/>
    <x v="248"/>
    <s v="-"/>
    <n v="20000"/>
    <m/>
    <s v="435530.School consumables, Numbert specifically mentioned elsewhere-Number of Students-Number"/>
    <s v="number"/>
    <n v="5"/>
    <n v="4000"/>
    <s v="Office supplies"/>
    <n v="20000"/>
    <s v="KU Regular operations"/>
    <s v="Recurring"/>
    <n v="18000"/>
    <n v="16000"/>
    <n v="14000"/>
    <s v="Will limit ability to provide all the required supplies and materials needed for the office"/>
    <s v="Will limit ability to provide all the required supplies and materials needed for the office"/>
    <s v="Will limit ability to provide all the required supplies and materials needed for the office"/>
    <n v="5000"/>
    <m/>
    <m/>
    <n v="5000"/>
    <m/>
    <m/>
    <n v="5000"/>
    <m/>
    <m/>
    <n v="5000"/>
    <m/>
    <m/>
    <n v="20000"/>
    <s v="Develop a life-long culture of community service beyond the classroom "/>
    <m/>
  </r>
  <r>
    <s v="Communiction &amp; Marketing"/>
    <s v="Director, Marketing and Communication"/>
    <s v="Academic and Student Services Office"/>
    <n v="847"/>
    <n v="8471240"/>
    <s v="KUST - Student Success"/>
    <n v="1"/>
    <n v="425510"/>
    <s v="425510-Conferences, seminars and exhibitions and other events: - Local Events"/>
    <s v="000000"/>
    <s v="KUST - General"/>
    <n v="847001"/>
    <s v="FA179-Opex Expense"/>
    <n v="200179"/>
    <x v="249"/>
    <n v="2887.5"/>
    <n v="220000"/>
    <m/>
    <s v="425510.Conferences, seminars and exhibitions and other events: - Local Events-Events-Number of Events"/>
    <s v="Number of Events"/>
    <n v="1"/>
    <n v="45000"/>
    <s v="Counseling Day"/>
    <n v="45000"/>
    <s v="KU Regular operations"/>
    <s v="Non-recurring"/>
    <n v="40500"/>
    <n v="36000"/>
    <n v="31499.999999999996"/>
    <s v="Downsize event, catering, and marketing collateral"/>
    <s v="Downsize event, catering, and marketing collateral"/>
    <s v="Downsize event, catering, and marketing collateral"/>
    <m/>
    <m/>
    <m/>
    <n v="45000"/>
    <m/>
    <m/>
    <m/>
    <m/>
    <m/>
    <m/>
    <m/>
    <m/>
    <n v="45000"/>
    <s v="Develop a career guidance system"/>
    <m/>
  </r>
  <r>
    <s v="Communiction &amp; Marketing"/>
    <s v="Director, Marketing and Communication"/>
    <s v="Academic and Student Services Office"/>
    <n v="847"/>
    <n v="8471240"/>
    <s v="KUST - Student Success"/>
    <n v="1"/>
    <n v="425510"/>
    <s v="425510-Conferences, seminars and exhibitions and other events: - Local Events"/>
    <s v="000000"/>
    <s v="KUST - General"/>
    <n v="847001"/>
    <s v="FA179-Opex Expense"/>
    <n v="200179"/>
    <x v="249"/>
    <m/>
    <m/>
    <m/>
    <s v="425510.Conferences, seminars and exhibitions and other events: - Local Events-Events-Number of Events"/>
    <s v="Number of Events"/>
    <n v="1"/>
    <n v="20000"/>
    <s v="vFairs"/>
    <n v="20000"/>
    <s v="KU Regular operations"/>
    <s v="Non-recurring"/>
    <n v="18000"/>
    <n v="16000"/>
    <n v="14000"/>
    <s v="Downsize event, catering, and marketing collateral"/>
    <s v="Downsize event, catering, and marketing collateral"/>
    <s v="Downsize event, catering, and marketing collateral"/>
    <m/>
    <m/>
    <m/>
    <m/>
    <m/>
    <m/>
    <m/>
    <m/>
    <m/>
    <n v="20000"/>
    <m/>
    <m/>
    <n v="20000"/>
    <s v="Develop a life-long culture of community service beyond the classroom "/>
    <s v="new requests"/>
  </r>
  <r>
    <s v="Communiction &amp; Marketing"/>
    <s v="Director, Marketing and Communication"/>
    <s v="Academic and Student Services Office"/>
    <n v="847"/>
    <n v="8471240"/>
    <s v="KUST - Student Success"/>
    <n v="1"/>
    <n v="425510"/>
    <s v="425510-Conferences, seminars and exhibitions and other events: - Local Events"/>
    <s v="000000"/>
    <s v="KUST - General"/>
    <n v="847001"/>
    <s v="FA179-Opex Expense"/>
    <n v="200179"/>
    <x v="249"/>
    <m/>
    <m/>
    <m/>
    <s v="425510.Conferences, seminars and exhibitions and other events: - Local Events-Events-Number of Events"/>
    <s v="Number of Events"/>
    <n v="1"/>
    <n v="5000"/>
    <s v="Student Success Open Day"/>
    <n v="5000"/>
    <s v="KU Regular operations"/>
    <s v="Non-recurring"/>
    <n v="4500"/>
    <n v="4000"/>
    <n v="3500"/>
    <s v="Downsize event, catering, and marketing collateral"/>
    <s v="Downsize event, catering, and marketing collateral"/>
    <s v="Downsize event, catering, and marketing collateral"/>
    <m/>
    <m/>
    <m/>
    <m/>
    <m/>
    <m/>
    <m/>
    <m/>
    <n v="5000"/>
    <m/>
    <m/>
    <m/>
    <n v="5000"/>
    <s v="Develop a multidimensional program to attract and retain diverse outstanding students"/>
    <s v="new requests"/>
  </r>
  <r>
    <s v="Communiction &amp; Marketing"/>
    <s v="Director, Marketing and Communication"/>
    <s v="Academic and Student Services Office"/>
    <n v="847"/>
    <n v="8471240"/>
    <s v="KUST - Student Success"/>
    <n v="1"/>
    <n v="425510"/>
    <s v="425510-Conferences, seminars and exhibitions and other events: - Local Events"/>
    <s v="000000"/>
    <s v="KUST - General"/>
    <n v="847001"/>
    <s v="FA179-Opex Expense"/>
    <n v="200179"/>
    <x v="249"/>
    <m/>
    <m/>
    <m/>
    <s v="425510.Conferences, seminars and exhibitions and other events: - Local Events-Events-Number of Events"/>
    <s v="Number of Events"/>
    <n v="1"/>
    <n v="80000"/>
    <s v="Honors Day"/>
    <n v="80000"/>
    <s v="KU Regular operations"/>
    <s v="Non-recurring"/>
    <n v="72000"/>
    <n v="64000"/>
    <n v="56000"/>
    <s v="Downsize event, catering, and marketing collateral"/>
    <s v="Downsize event, catering, and marketing collateral"/>
    <s v="Downsize event, catering, and marketing collateral"/>
    <m/>
    <m/>
    <m/>
    <m/>
    <m/>
    <m/>
    <m/>
    <m/>
    <m/>
    <m/>
    <m/>
    <n v="80000"/>
    <n v="80000"/>
    <s v="Widen access to students with outstanding academic potential"/>
    <s v="new requests"/>
  </r>
  <r>
    <s v="Communiction &amp; Marketing"/>
    <s v="Director, Marketing and Communication"/>
    <s v="Academic and Student Services Office"/>
    <n v="847"/>
    <n v="8471240"/>
    <s v="KUST - Student Success"/>
    <n v="1"/>
    <n v="425510"/>
    <s v="425510-Conferences, seminars and exhibitions and other events: - Local Events"/>
    <s v="000000"/>
    <s v="KUST - General"/>
    <n v="847001"/>
    <s v="FA179-Opex Expense"/>
    <n v="200179"/>
    <x v="249"/>
    <m/>
    <m/>
    <m/>
    <s v="425510.Conferences, seminars and exhibitions and other events: - Local Events-Events-Number of Events"/>
    <s v="Number of Events"/>
    <n v="1"/>
    <n v="40000"/>
    <s v="Community Service Awareness Day"/>
    <n v="40000"/>
    <s v="KU Regular operations"/>
    <s v="Non-recurring"/>
    <n v="36000"/>
    <n v="32000"/>
    <n v="28000"/>
    <s v="Downsize event, catering, and marketing collateral"/>
    <s v="Downsize event, catering, and marketing collateral"/>
    <s v="Downsize event, catering, and marketing collateral"/>
    <m/>
    <m/>
    <n v="40000"/>
    <m/>
    <m/>
    <m/>
    <m/>
    <m/>
    <m/>
    <m/>
    <m/>
    <m/>
    <n v="40000"/>
    <s v="Develop a life-long culture of community service beyond the classroom "/>
    <s v="new requests"/>
  </r>
  <r>
    <s v="Communiction &amp; Marketing"/>
    <s v="Director, Marketing and Communication"/>
    <s v="Academic and Student Services Office"/>
    <n v="847"/>
    <n v="8471240"/>
    <s v="KUST - Student Success"/>
    <n v="1"/>
    <n v="425510"/>
    <s v="425510-Conferences, seminars and exhibitions and other events: - Local Events"/>
    <s v="000000"/>
    <s v="KUST - General"/>
    <n v="847001"/>
    <s v="FA179-Opex Expense"/>
    <n v="200179"/>
    <x v="249"/>
    <m/>
    <m/>
    <m/>
    <s v="425510.Conferences, seminars and exhibitions and other events: - Local Events-Events-Number of Events"/>
    <s v="Number of Events"/>
    <n v="1"/>
    <n v="30000"/>
    <s v="UN-SDG Program"/>
    <n v="30000"/>
    <s v="KU Regular operations"/>
    <s v="Non-recurring"/>
    <n v="27000"/>
    <n v="24000"/>
    <n v="21000"/>
    <s v="Downsize event, catering, and marketing collateral"/>
    <s v="Downsize event, catering, and marketing collateral"/>
    <s v="Downsize event, catering, and marketing collateral"/>
    <m/>
    <m/>
    <m/>
    <m/>
    <n v="30000"/>
    <m/>
    <m/>
    <m/>
    <m/>
    <m/>
    <m/>
    <m/>
    <n v="30000"/>
    <s v="Develop a multidimensional program to attract and retain diverse outstanding students"/>
    <s v="new requests"/>
  </r>
  <r>
    <s v="Student"/>
    <s v="No Applicable"/>
    <s v="Academic and Student Services Office"/>
    <n v="847"/>
    <n v="8471240"/>
    <s v="KUST - Student Success"/>
    <n v="1"/>
    <n v="425720"/>
    <s v="425720-Education-Outsourced training service"/>
    <s v="000000"/>
    <s v="KUST - General"/>
    <n v="847001"/>
    <s v="FA179-Opex Expense"/>
    <n v="200179"/>
    <x v="250"/>
    <n v="-94.58"/>
    <n v="128000"/>
    <m/>
    <s v="425720.Education-Outsourced training service-Activities-No of Activities"/>
    <s v="No of Activities"/>
    <n v="1"/>
    <n v="75000"/>
    <s v="Entrepreneurship Bootcamp"/>
    <n v="75000"/>
    <s v="KU Regular operations"/>
    <s v="Non-recurring"/>
    <n v="67500"/>
    <n v="60000"/>
    <n v="52500"/>
    <s v="Downsize event, catering, and marketing collateral"/>
    <s v="Downsize event, catering, and marketing collateral"/>
    <s v="Downsize event, catering, and marketing collateral"/>
    <m/>
    <m/>
    <m/>
    <m/>
    <m/>
    <m/>
    <m/>
    <m/>
    <m/>
    <m/>
    <n v="75000"/>
    <m/>
    <n v="75000"/>
    <s v="Develop a multidimensional program to attract and retain diverse outstanding students"/>
    <m/>
  </r>
  <r>
    <s v="Student"/>
    <s v="No Applicable"/>
    <s v="Academic and Student Services Office"/>
    <n v="847"/>
    <n v="8471240"/>
    <s v="KUST - Student Success"/>
    <n v="1"/>
    <n v="425720"/>
    <s v="425720-Education-Outsourced training service"/>
    <s v="000000"/>
    <s v="KUST - General"/>
    <n v="847001"/>
    <s v="FA179-Opex Expense"/>
    <n v="200179"/>
    <x v="250"/>
    <m/>
    <m/>
    <m/>
    <s v="425720.Education-Outsourced training service-Activities-No of Activities"/>
    <s v="No of Activities"/>
    <n v="1"/>
    <n v="30000"/>
    <s v="Golden Key International Honour Society"/>
    <n v="30000"/>
    <s v="KU Regular operations"/>
    <s v="Non-recurring"/>
    <n v="27000"/>
    <n v="24000"/>
    <n v="21000"/>
    <s v="Membership rate is fixed by the vendor"/>
    <s v="Membership rate is fixed by the vendor"/>
    <s v="Membership rate is fixed by the vendor"/>
    <m/>
    <m/>
    <m/>
    <m/>
    <m/>
    <m/>
    <m/>
    <m/>
    <m/>
    <n v="30000"/>
    <m/>
    <m/>
    <n v="30000"/>
    <s v="Widen access to students with outstanding academic potential"/>
    <s v="new requests"/>
  </r>
  <r>
    <s v="Student"/>
    <s v="No Applicable"/>
    <s v="Academic and Student Services Office"/>
    <n v="847"/>
    <n v="8471240"/>
    <s v="KUST - Student Success"/>
    <n v="1"/>
    <n v="425720"/>
    <s v="425720-Education-Outsourced training service"/>
    <s v="000000"/>
    <s v="KUST - General"/>
    <n v="847001"/>
    <s v="FA179-Opex Expense"/>
    <n v="200179"/>
    <x v="250"/>
    <m/>
    <m/>
    <m/>
    <s v="425720.Education-Outsourced training service-Activities-No of Activities"/>
    <s v="No of Activities"/>
    <n v="3"/>
    <n v="6000"/>
    <s v="Invite professionals to arrange training sessions related to counseling topics"/>
    <n v="18000"/>
    <s v="KU Regular operations"/>
    <s v="Recurring"/>
    <n v="16200"/>
    <n v="14400"/>
    <n v="12600"/>
    <s v="Downsize event, catering, and marketing collateral"/>
    <s v="Downsize event, catering, and marketing collateral"/>
    <s v="Downsize event, catering, and marketing collateral"/>
    <m/>
    <m/>
    <n v="6000"/>
    <m/>
    <m/>
    <n v="6000"/>
    <m/>
    <m/>
    <n v="6000"/>
    <m/>
    <m/>
    <m/>
    <n v="18000"/>
    <s v="Widen access to students with outstanding academic potential"/>
    <s v="new requests"/>
  </r>
  <r>
    <s v="Student"/>
    <s v="No Applicable"/>
    <s v="Academic and Student Services Office"/>
    <n v="847"/>
    <n v="8471240"/>
    <s v="KUST - Student Success"/>
    <n v="1"/>
    <n v="425720"/>
    <s v="425720-Education-Outsourced training service"/>
    <s v="000000"/>
    <s v="KUST - General"/>
    <n v="847001"/>
    <s v="FA179-Opex Expense"/>
    <n v="200179"/>
    <x v="250"/>
    <m/>
    <m/>
    <m/>
    <s v="425720.Education-Outsourced training service-Activities-No of Activities"/>
    <s v="No of Activities"/>
    <n v="10"/>
    <n v="500"/>
    <s v="Organize workshops related to students personal needs"/>
    <n v="5000"/>
    <s v="KU Regular operations"/>
    <s v="Recurring"/>
    <n v="4500"/>
    <n v="4000"/>
    <n v="3500"/>
    <s v="Downsize event, catering, and marketing collateral"/>
    <s v="Downsize event, catering, and marketing collateral"/>
    <s v="Downsize event, catering, and marketing collateral"/>
    <n v="500"/>
    <n v="500"/>
    <n v="500"/>
    <n v="500"/>
    <n v="500"/>
    <m/>
    <m/>
    <n v="500"/>
    <n v="500"/>
    <n v="500"/>
    <n v="500"/>
    <n v="500"/>
    <n v="5000"/>
    <s v="Develop a multidimensional program to attract and retain diverse outstanding students"/>
    <s v="new requests"/>
  </r>
  <r>
    <s v="Student"/>
    <s v="No Applicable"/>
    <s v="Academic and Student Services Office"/>
    <n v="847"/>
    <n v="8471240"/>
    <s v="KUST - Student Success"/>
    <n v="1"/>
    <n v="425750"/>
    <s v="425750-Skill assessment service"/>
    <s v="000000"/>
    <s v="KUST - General"/>
    <n v="847001"/>
    <s v="FA179-Opex Expense"/>
    <n v="200179"/>
    <x v="251"/>
    <s v="-"/>
    <n v="23000"/>
    <m/>
    <s v="425750.Skill assessment service-Participating Students-No of Participating Students"/>
    <s v="No of Participating Students"/>
    <n v="6"/>
    <n v="1400"/>
    <s v="Personality and educational assessment for ex: learning difficulties, dyslexia"/>
    <n v="8400"/>
    <s v="KU Regular operations"/>
    <s v="Recurring"/>
    <n v="7560"/>
    <n v="6720"/>
    <n v="5880"/>
    <s v="Downsize event, catering, and marketing collateral"/>
    <s v="Downsize event, catering, and marketing collateral"/>
    <s v="Downsize event, catering, and marketing collateral"/>
    <m/>
    <m/>
    <m/>
    <n v="1400"/>
    <n v="1400"/>
    <n v="1400"/>
    <m/>
    <m/>
    <m/>
    <n v="1400"/>
    <n v="1400"/>
    <n v="1400"/>
    <n v="8400"/>
    <s v="Develop a multidimensional program to attract and retain diverse outstanding students"/>
    <m/>
  </r>
  <r>
    <s v="Student"/>
    <s v="No Applicable"/>
    <s v="Academic and Student Services Office"/>
    <n v="847"/>
    <n v="8471240"/>
    <s v="KUST - Student Success"/>
    <n v="1"/>
    <n v="425750"/>
    <s v="425750-Skill assessment service"/>
    <s v="000000"/>
    <s v="KUST - General"/>
    <n v="847001"/>
    <s v="FA179-Opex Expense"/>
    <n v="200179"/>
    <x v="251"/>
    <m/>
    <m/>
    <m/>
    <s v="425750.Skill assessment service-Events-No of Events"/>
    <s v="No of Events"/>
    <n v="1"/>
    <n v="14600"/>
    <s v="Material to deliver one day workshop"/>
    <n v="14600"/>
    <s v="KU Regular operations"/>
    <s v="Non-recurring"/>
    <n v="13140"/>
    <n v="11680"/>
    <n v="10220"/>
    <s v="Downsize event, catering, and marketing collateral"/>
    <s v="Downsize event, catering, and marketing collateral"/>
    <s v="Downsize event, catering, and marketing collateral"/>
    <m/>
    <m/>
    <m/>
    <m/>
    <m/>
    <m/>
    <m/>
    <n v="14600"/>
    <m/>
    <m/>
    <m/>
    <m/>
    <n v="14600"/>
    <s v="Develop a multidimensional program to attract and retain diverse outstanding students"/>
    <s v="new requests"/>
  </r>
  <r>
    <s v="Academic"/>
    <s v="No Applicable"/>
    <s v="Academic and Student Services Office"/>
    <n v="847"/>
    <n v="8471240"/>
    <s v="KUST - Student Success"/>
    <n v="1"/>
    <n v="425761"/>
    <s v="425761-Student Field trips"/>
    <s v="000000"/>
    <s v="KUST - General"/>
    <n v="847001"/>
    <s v="FA179-Opex Expense"/>
    <n v="200179"/>
    <x v="252"/>
    <n v="236379.63"/>
    <n v="800000"/>
    <m/>
    <s v="425761.Student Field trips-Number of Students UG-Month"/>
    <s v="No of Events"/>
    <n v="1"/>
    <n v="1000000"/>
    <s v="Student Success External Activities"/>
    <n v="1000000"/>
    <s v="KU Regular operations"/>
    <s v="Recurring"/>
    <n v="900000"/>
    <n v="800000"/>
    <n v="700000"/>
    <s v="Downsize student exchange and studying abroad educational experience"/>
    <s v="Downsize student exchange and studying abroad educational experience"/>
    <s v="Downsize student exchange and studying abroad educational experience"/>
    <m/>
    <m/>
    <m/>
    <m/>
    <m/>
    <n v="500000"/>
    <m/>
    <m/>
    <m/>
    <m/>
    <m/>
    <n v="500000"/>
    <n v="1000000"/>
    <s v="Widen access to students with outstanding academic potential"/>
    <m/>
  </r>
  <r>
    <s v="Other support"/>
    <s v="Director, Human Resources"/>
    <s v="Academic and Student Services Office"/>
    <n v="847"/>
    <n v="8471240"/>
    <s v="KUST - Student Success"/>
    <n v="1"/>
    <n v="425900"/>
    <s v="425900-Entertainment and hospitality"/>
    <s v="000000"/>
    <s v="KUST - General"/>
    <n v="847001"/>
    <s v="FA179-Opex Expense"/>
    <n v="200179"/>
    <x v="253"/>
    <s v="-"/>
    <n v="24000"/>
    <m/>
    <s v="425900.Entertainment and hospitality-1. No of events/workshops planned-count"/>
    <s v="count"/>
    <n v="2"/>
    <n v="7250"/>
    <s v="Catering for Student Success events"/>
    <n v="14500"/>
    <s v="KU Regular operations"/>
    <s v="Recurring"/>
    <n v="13050"/>
    <n v="11600"/>
    <n v="10150"/>
    <s v="Downsize event, catering, and marketing collateral"/>
    <s v="Downsize event, catering, and marketing collateral"/>
    <s v="Downsize event, catering, and marketing collateral"/>
    <m/>
    <m/>
    <m/>
    <n v="7250"/>
    <m/>
    <m/>
    <m/>
    <m/>
    <m/>
    <n v="7250"/>
    <m/>
    <m/>
    <n v="14500"/>
    <m/>
    <m/>
  </r>
  <r>
    <s v="Other support"/>
    <s v="Director, Human Resources"/>
    <s v="Academic and Student Services Office"/>
    <n v="847"/>
    <n v="8471240"/>
    <s v="KUST - Student Success"/>
    <n v="1"/>
    <n v="425900"/>
    <s v="425900-Entertainment and hospitality"/>
    <s v="000000"/>
    <s v="KUST - General"/>
    <n v="847001"/>
    <s v="FA179-Opex Expense"/>
    <n v="200179"/>
    <x v="253"/>
    <m/>
    <m/>
    <m/>
    <s v="425900.Entertainment and hospitality-1. No of events/workshops planned-count"/>
    <s v="count"/>
    <n v="3"/>
    <n v="1500"/>
    <s v="Catering for the professional training events"/>
    <n v="4500"/>
    <s v="KU Regular operations"/>
    <s v="Recurring"/>
    <n v="4050"/>
    <n v="3600"/>
    <n v="3150"/>
    <s v="Downsize event, catering, and marketing collateral"/>
    <s v="Downsize event, catering, and marketing collateral"/>
    <s v="Downsize event, catering, and marketing collateral"/>
    <m/>
    <m/>
    <n v="1500"/>
    <m/>
    <m/>
    <m/>
    <m/>
    <m/>
    <n v="1500"/>
    <m/>
    <n v="1500"/>
    <m/>
    <n v="4500"/>
    <m/>
    <s v="new requests"/>
  </r>
  <r>
    <s v="Other support"/>
    <s v="Director, Human Resources"/>
    <s v="Academic and Student Services Office"/>
    <n v="847"/>
    <n v="8471240"/>
    <s v="KUST - Student Success"/>
    <n v="1"/>
    <n v="425900"/>
    <s v="425900-Entertainment and hospitality"/>
    <s v="000000"/>
    <s v="KUST - General"/>
    <n v="847001"/>
    <s v="FA179-Opex Expense"/>
    <n v="200179"/>
    <x v="253"/>
    <m/>
    <m/>
    <m/>
    <s v="425900.Entertainment and hospitality-1. No of events/workshops planned-count"/>
    <s v="count"/>
    <n v="10"/>
    <n v="500"/>
    <s v="Catering for the inhouse workshops"/>
    <n v="5000"/>
    <s v="KU Regular operations"/>
    <s v="Recurring"/>
    <n v="4500"/>
    <n v="4000"/>
    <n v="3500"/>
    <s v="Downsize event, catering, and marketing collateral"/>
    <s v="Downsize event, catering, and marketing collateral"/>
    <s v="Downsize event, catering, and marketing collateral"/>
    <n v="500"/>
    <n v="500"/>
    <n v="500"/>
    <n v="500"/>
    <n v="500"/>
    <m/>
    <m/>
    <n v="500"/>
    <n v="500"/>
    <n v="500"/>
    <n v="500"/>
    <n v="500"/>
    <n v="5000"/>
    <m/>
    <s v="new requests"/>
  </r>
  <r>
    <s v="IT"/>
    <s v="Director, Technology Development"/>
    <s v="Academic and Student Services Office"/>
    <n v="847"/>
    <n v="8471240"/>
    <s v="KUST - Student Success"/>
    <n v="1"/>
    <n v="426610"/>
    <s v="426610-Computer software licenses"/>
    <s v="000000"/>
    <s v="KUST - General"/>
    <n v="847001"/>
    <s v="FA179-Opex Expense"/>
    <n v="200179"/>
    <x v="254"/>
    <n v="495462"/>
    <n v="353000"/>
    <n v="363000"/>
    <s v="426610.Computer software licenses-Software License Renewal-duration of license maintenance/support period-Month"/>
    <s v="Month"/>
    <n v="1"/>
    <n v="400000"/>
    <s v="Student Success Management System (EAB Navigate)"/>
    <n v="400000"/>
    <s v="KU Regular operations"/>
    <s v="Non-recurring"/>
    <n v="360000"/>
    <n v="320000"/>
    <n v="280000"/>
    <s v="Rate is fixed per the contract"/>
    <s v="Rate is fixed per the contract"/>
    <s v="Rate is fixed per the contract"/>
    <m/>
    <m/>
    <m/>
    <m/>
    <m/>
    <n v="400000"/>
    <m/>
    <m/>
    <m/>
    <m/>
    <m/>
    <m/>
    <n v="400000"/>
    <s v="Widen access to students with outstanding academic potential"/>
    <m/>
  </r>
  <r>
    <s v="Academic "/>
    <s v="No Applicable"/>
    <s v="Academic and Student Services Office"/>
    <n v="847"/>
    <n v="8471240"/>
    <s v="KUST - Student Success"/>
    <n v="1"/>
    <n v="428090"/>
    <s v="428090-Business Travel - Combined expenses"/>
    <s v="000000"/>
    <s v="KUST - General"/>
    <n v="847001"/>
    <s v="FA179-Opex Expense"/>
    <n v="200179"/>
    <x v="255"/>
    <s v="-"/>
    <n v="60000"/>
    <m/>
    <s v="428090.Business Travel - Combined expenses-Number of Staff-Number"/>
    <s v="Number"/>
    <n v="2"/>
    <n v="30000"/>
    <s v="Business Travel for Manager and Heads"/>
    <n v="60000"/>
    <s v="KU Regular operations"/>
    <s v="Recurring"/>
    <n v="54000"/>
    <n v="48000"/>
    <n v="42000"/>
    <s v="Reduce travel expenses"/>
    <s v="Reduce travel expenses"/>
    <s v="Reduce travel expenses"/>
    <m/>
    <m/>
    <m/>
    <n v="30000"/>
    <m/>
    <m/>
    <m/>
    <m/>
    <m/>
    <n v="30000"/>
    <m/>
    <m/>
    <n v="60000"/>
    <s v="Establish a mobility program for students, faculty, researchers and staff"/>
    <m/>
  </r>
  <r>
    <s v="Communiction &amp; Marketing"/>
    <s v="Director, Marketing and Communication"/>
    <s v="Academic and Student Services Office"/>
    <n v="847"/>
    <n v="8471240"/>
    <s v="KUST - Student Success"/>
    <n v="1"/>
    <n v="428640"/>
    <s v="428640-Events - Awards, prizes &amp; gifts"/>
    <s v="000000"/>
    <s v="KUST - General"/>
    <n v="847001"/>
    <s v="FA179-Opex Expense"/>
    <n v="200179"/>
    <x v="256"/>
    <s v="-"/>
    <n v="14000"/>
    <m/>
    <s v="428640.Events - Awards, prizes &amp; gifts-Number of Events-count"/>
    <s v="count"/>
    <n v="2"/>
    <n v="5000"/>
    <s v="Awards, prizes &amp; gifts for events competitions"/>
    <n v="10000"/>
    <s v="KU Regular operations"/>
    <s v="Recurring"/>
    <n v="9000"/>
    <n v="8000"/>
    <n v="7000"/>
    <s v="Downsize event and marketing collateral"/>
    <s v="Downsize event and marketing collateral"/>
    <s v="Downsize event and marketing collateral"/>
    <m/>
    <m/>
    <m/>
    <n v="5000"/>
    <n v="5000"/>
    <m/>
    <m/>
    <m/>
    <m/>
    <m/>
    <m/>
    <m/>
    <n v="10000"/>
    <m/>
    <m/>
  </r>
  <r>
    <s v="Communiction &amp; Marketing"/>
    <s v="Director, Marketing and Communication"/>
    <s v="Academic and Student Services Office"/>
    <n v="847"/>
    <n v="8471240"/>
    <s v="KUST - Student Success"/>
    <n v="1"/>
    <n v="428640"/>
    <s v="428640-Events - Awards, prizes &amp; gifts"/>
    <s v="000000"/>
    <s v="KUST - General"/>
    <n v="847001"/>
    <s v="FA179-Opex Expense"/>
    <n v="200179"/>
    <x v="256"/>
    <m/>
    <m/>
    <m/>
    <s v="428640.Events - Awards, prizes &amp; gifts-Number of Prizes-count"/>
    <s v="count"/>
    <n v="10"/>
    <n v="200"/>
    <s v="Gifts &amp; awards for the guests who are delivering training sessions for the students"/>
    <n v="2000"/>
    <s v="KU Regular operations"/>
    <s v="Non-recurring"/>
    <n v="1800"/>
    <n v="1600"/>
    <n v="1400"/>
    <s v="Downsize event and marketing collateral"/>
    <s v="Downsize event and marketing collateral"/>
    <s v="Downsize event and marketing collateral"/>
    <m/>
    <m/>
    <m/>
    <m/>
    <m/>
    <m/>
    <m/>
    <m/>
    <m/>
    <m/>
    <m/>
    <n v="2000"/>
    <n v="2000"/>
    <m/>
    <s v="new requests"/>
  </r>
  <r>
    <s v="Communiction &amp; Marketing"/>
    <s v="Director, Marketing and Communication"/>
    <s v="Academic and Student Services Office"/>
    <n v="847"/>
    <n v="8471240"/>
    <s v="KUST - Student Success"/>
    <n v="1"/>
    <n v="428640"/>
    <s v="428640-Events - Awards, prizes &amp; gifts"/>
    <s v="000000"/>
    <s v="KUST - General"/>
    <n v="847001"/>
    <s v="FA179-Opex Expense"/>
    <n v="200179"/>
    <x v="256"/>
    <m/>
    <m/>
    <m/>
    <s v="428640.Events - Awards, prizes &amp; gifts-Number of Prizes-count"/>
    <s v="count"/>
    <n v="10"/>
    <n v="200"/>
    <s v="Gift items, branded KU merchandise for external partners"/>
    <n v="2000"/>
    <s v="KU Regular operations"/>
    <s v="Non-recurring"/>
    <n v="1800"/>
    <n v="1600"/>
    <n v="1400"/>
    <s v="Downsize event and marketing collateral"/>
    <s v="Downsize event and marketing collateral"/>
    <s v="Downsize event and marketing collateral"/>
    <m/>
    <m/>
    <m/>
    <m/>
    <m/>
    <m/>
    <m/>
    <n v="2000"/>
    <m/>
    <m/>
    <m/>
    <m/>
    <n v="2000"/>
    <m/>
    <s v="new requests"/>
  </r>
  <r>
    <s v="Academic"/>
    <s v="No Applicable"/>
    <s v="Academic and Student Services Office"/>
    <n v="847"/>
    <n v="8471240"/>
    <s v="KUST - Student Success"/>
    <n v="1"/>
    <n v="435330"/>
    <s v="435330-Library books"/>
    <s v="000000"/>
    <s v="KUST - General"/>
    <n v="847001"/>
    <s v="FA179-Opex Expense"/>
    <n v="200179"/>
    <x v="257"/>
    <s v="-"/>
    <n v="4750"/>
    <m/>
    <s v="435330.Library books-Number of Students-Number"/>
    <s v="Number"/>
    <n v="50"/>
    <n v="95"/>
    <s v="Books related to counseling topics and issues to be available for the students for, for ex: time management, self esteem,.."/>
    <n v="4750"/>
    <s v="KU Regular operations"/>
    <s v="Non-recurring"/>
    <n v="4275"/>
    <n v="3800"/>
    <n v="3325"/>
    <s v="Downsize event and marketing collateral"/>
    <s v="Downsize event and marketing collateral"/>
    <s v="Downsize event and marketing collateral"/>
    <m/>
    <m/>
    <m/>
    <m/>
    <m/>
    <m/>
    <m/>
    <n v="4750"/>
    <m/>
    <m/>
    <m/>
    <m/>
    <n v="4750"/>
    <m/>
    <m/>
  </r>
  <r>
    <s v="Other support"/>
    <s v="No Applicable"/>
    <s v="Academic and Student Services Office"/>
    <n v="847"/>
    <n v="8471240"/>
    <s v="KUST - Student Success"/>
    <n v="1"/>
    <n v="436110"/>
    <s v="436110-Printing supplies"/>
    <s v="000000"/>
    <s v="KUST - General"/>
    <n v="847001"/>
    <s v="FA179-Opex Expense"/>
    <n v="200179"/>
    <x v="258"/>
    <s v="-"/>
    <n v="42000"/>
    <m/>
    <s v="436110.Printing supplies-Number of Student-Number"/>
    <s v="Number"/>
    <n v="1000"/>
    <n v="35"/>
    <s v="Printing of Booklets, Guides, Brochures, Flyers, etc."/>
    <n v="35000"/>
    <s v="KU Regular operations"/>
    <s v="Non-recurring"/>
    <n v="31500"/>
    <n v="28000"/>
    <n v="24500"/>
    <s v="Downsize event and marketing collateral"/>
    <s v="Downsize event and marketing collateral"/>
    <s v="Downsize event and marketing collateral"/>
    <m/>
    <m/>
    <m/>
    <m/>
    <m/>
    <m/>
    <m/>
    <n v="35000"/>
    <m/>
    <m/>
    <m/>
    <m/>
    <n v="35000"/>
    <m/>
    <m/>
  </r>
  <r>
    <s v="Other support"/>
    <s v="No Applicable"/>
    <s v="Academic and Student Services Office"/>
    <n v="847"/>
    <n v="8471240"/>
    <s v="KUST - Student Success"/>
    <n v="1"/>
    <n v="436110"/>
    <s v="436110-Printing supplies"/>
    <s v="000000"/>
    <s v="KUST - General"/>
    <n v="847001"/>
    <s v="FA179-Opex Expense"/>
    <n v="200179"/>
    <x v="258"/>
    <m/>
    <m/>
    <m/>
    <s v="436110.Printing supplies-Number of Student-Number"/>
    <s v="Number"/>
    <n v="10"/>
    <n v="500"/>
    <s v="Advertising and marketing for student success services, events, and workshops"/>
    <n v="5000"/>
    <s v="KU Regular operations"/>
    <s v="Recurring"/>
    <n v="4500"/>
    <n v="4000"/>
    <n v="3500"/>
    <s v="Downsize event and marketing collateral"/>
    <s v="Downsize event and marketing collateral"/>
    <s v="Downsize event and marketing collateral"/>
    <m/>
    <m/>
    <m/>
    <m/>
    <m/>
    <m/>
    <m/>
    <m/>
    <m/>
    <m/>
    <n v="5000"/>
    <m/>
    <n v="5000"/>
    <m/>
    <s v="new requests"/>
  </r>
  <r>
    <s v="Communiction &amp; Marketing"/>
    <s v="Director, Marketing and Communication"/>
    <s v="Academic and Student Services Office"/>
    <n v="847"/>
    <n v="8471240"/>
    <s v="KUST - Student Success"/>
    <n v="1"/>
    <n v="436110"/>
    <s v="436110-Printing supplies"/>
    <s v="000000"/>
    <s v="KUST - General"/>
    <n v="847001"/>
    <s v="FA179-Opex Expense"/>
    <n v="200179"/>
    <x v="258"/>
    <m/>
    <m/>
    <m/>
    <s v="436110.Printing supplies-Number of Student-Number"/>
    <s v="Number"/>
    <n v="80"/>
    <n v="25"/>
    <s v="Certificates for the students who attended the workshops"/>
    <n v="2000"/>
    <s v="KU Regular operations"/>
    <s v="Non-recurring"/>
    <n v="1800"/>
    <n v="1600"/>
    <n v="1400"/>
    <s v="Downsize event and marketing collateral"/>
    <s v="Downsize event and marketing collateral"/>
    <s v="Downsize event and marketing collateral"/>
    <m/>
    <m/>
    <m/>
    <m/>
    <m/>
    <m/>
    <m/>
    <m/>
    <m/>
    <m/>
    <m/>
    <n v="2000"/>
    <n v="2000"/>
    <m/>
    <s v="new requests"/>
  </r>
  <r>
    <s v="Other support"/>
    <s v="No Applicable"/>
    <s v="Academic and Student Services Office"/>
    <n v="847"/>
    <n v="8471240"/>
    <s v="KUST - Student Success"/>
    <n v="1"/>
    <n v="436120"/>
    <s v="436120-Stationery"/>
    <s v="000000"/>
    <s v="KUST - General"/>
    <n v="847001"/>
    <s v="FA179-Opex Expense"/>
    <n v="200179"/>
    <x v="259"/>
    <s v="-"/>
    <n v="35000"/>
    <m/>
    <s v="436120.Stationery-Number of Staff-Number"/>
    <s v="Number"/>
    <n v="10"/>
    <n v="3400"/>
    <s v="Materials &amp; consumables items"/>
    <n v="34000"/>
    <s v="KU Regular operations"/>
    <s v="Recurring"/>
    <n v="30600"/>
    <n v="27200"/>
    <n v="23800"/>
    <s v="Downsize event and marketing collateral"/>
    <s v="Downsize event and marketing collateral"/>
    <s v="Downsize event and marketing collateral"/>
    <m/>
    <m/>
    <m/>
    <m/>
    <m/>
    <m/>
    <m/>
    <m/>
    <m/>
    <m/>
    <n v="34000"/>
    <m/>
    <n v="34000"/>
    <m/>
    <m/>
  </r>
  <r>
    <s v="Other support"/>
    <s v="No Applicable"/>
    <s v="Academic and Student Services Office"/>
    <n v="847"/>
    <n v="8471240"/>
    <s v="KUST - Student Success"/>
    <n v="1"/>
    <n v="436120"/>
    <s v="436120-Stationery"/>
    <s v="000000"/>
    <s v="KUST - General"/>
    <n v="847001"/>
    <s v="FA179-Opex Expense"/>
    <n v="200179"/>
    <x v="259"/>
    <m/>
    <m/>
    <m/>
    <s v="436120.Stationery-Number of Staff-Number"/>
    <s v="Number"/>
    <n v="10"/>
    <n v="100"/>
    <s v="Folders, pens, papers"/>
    <n v="1000"/>
    <s v="KU Regular operations"/>
    <s v="Non-recurring"/>
    <n v="900"/>
    <n v="800"/>
    <n v="700"/>
    <m/>
    <m/>
    <m/>
    <m/>
    <m/>
    <m/>
    <m/>
    <m/>
    <m/>
    <m/>
    <m/>
    <m/>
    <m/>
    <n v="1000"/>
    <m/>
    <n v="1000"/>
    <m/>
    <s v="new requests"/>
  </r>
  <r>
    <s v="-"/>
    <s v="-"/>
    <s v="Academic and Student Services Office"/>
    <n v="847"/>
    <n v="8471260"/>
    <s v="KUST - Student Life"/>
    <n v="1"/>
    <n v="425510"/>
    <s v="425510-Conferences, seminars and exhibitions and other events: - Local Events"/>
    <s v="000000"/>
    <s v="KUST - General"/>
    <n v="847001"/>
    <s v="FA179-Opex Expense"/>
    <n v="200179"/>
    <x v="260"/>
    <m/>
    <m/>
    <m/>
    <s v="425510.Conferences, seminars and exhibitions and other events: - Local Events-Number of attendees-count"/>
    <s v="count"/>
    <n v="1250"/>
    <n v="100"/>
    <s v="UG &amp; PG Student Orientation Program"/>
    <n v="125000"/>
    <s v="KU Regular operations"/>
    <s v="Recurring"/>
    <n v="112500"/>
    <n v="100000"/>
    <n v="87500"/>
    <s v="Moderate Impact - we will have to reduce the number of activities"/>
    <s v="Moderate Impact - we will have to reduce the number of activities"/>
    <s v="We will have to reduce the number of activities. This may negatively impact the overall experience of the new students"/>
    <n v="45000"/>
    <m/>
    <m/>
    <m/>
    <m/>
    <m/>
    <m/>
    <n v="80000"/>
    <m/>
    <m/>
    <m/>
    <m/>
    <n v="125000"/>
    <s v="Develop a multidimensional program to attract and retain diverse outstanding students"/>
    <s v="new requests"/>
  </r>
  <r>
    <s v="-"/>
    <s v="-"/>
    <s v="Academic and Student Services Office"/>
    <n v="847"/>
    <n v="8471260"/>
    <s v="KUST - Student Life"/>
    <n v="1"/>
    <n v="425510"/>
    <s v="425510-Conferences, seminars and exhibitions and other events: - Local Events"/>
    <s v="000000"/>
    <s v="KUST - General"/>
    <n v="847001"/>
    <s v="FA179-Opex Expense"/>
    <n v="200179"/>
    <x v="260"/>
    <m/>
    <m/>
    <m/>
    <s v="425510.Conferences, seminars and exhibitions and other events: - Local Events-Number of attendees-count"/>
    <s v="count"/>
    <n v="1500"/>
    <n v="50"/>
    <s v="National Day Celebrations "/>
    <n v="75000"/>
    <s v="KU Regular operations"/>
    <s v="Recurring"/>
    <n v="67500"/>
    <n v="60000"/>
    <n v="52500"/>
    <s v="Moderate Impact - we will have to reduce the number of activities"/>
    <s v="Moderate Impact - we will have to reduce the number of activities"/>
    <s v="We will have to reduce the number of activities. This may negatively impact the student's level of satisfaction with KU National Celebrations and festivities "/>
    <m/>
    <m/>
    <m/>
    <m/>
    <m/>
    <m/>
    <m/>
    <m/>
    <m/>
    <m/>
    <n v="75000"/>
    <m/>
    <n v="75000"/>
    <s v="Develop a multidimensional program to attract and retain diverse outstanding students"/>
    <s v="new requests"/>
  </r>
  <r>
    <s v="-"/>
    <s v="-"/>
    <s v="Academic and Student Services Office"/>
    <n v="847"/>
    <n v="8471260"/>
    <s v="KUST - Student Life"/>
    <n v="1"/>
    <n v="425510"/>
    <s v="425510-Conferences, seminars and exhibitions and other events: - Local Events"/>
    <s v="000000"/>
    <s v="KUST - General"/>
    <n v="847001"/>
    <s v="FA179-Opex Expense"/>
    <n v="200179"/>
    <x v="260"/>
    <m/>
    <m/>
    <m/>
    <s v="425510.Conferences, seminars and exhibitions and other events: - Local Events-Number of attendees-count"/>
    <s v="count"/>
    <n v="500"/>
    <n v="20"/>
    <s v="KU Sport Day "/>
    <n v="10000"/>
    <s v="KU Regular operations"/>
    <s v="Recurring"/>
    <n v="9000"/>
    <n v="8000"/>
    <n v="7000"/>
    <s v="Moderate Impact - we will have to reduce the number of activities"/>
    <s v="Moderate Impact - we will have to reduce the number of activities"/>
    <s v="We will have to reduce the number of activities. This may negatively impact the student's level of satisfaction with Sports activities"/>
    <m/>
    <m/>
    <n v="10000"/>
    <m/>
    <m/>
    <m/>
    <m/>
    <m/>
    <m/>
    <m/>
    <m/>
    <m/>
    <n v="10000"/>
    <s v="Develop a multidimensional program to attract and retain diverse outstanding students"/>
    <s v="new requests"/>
  </r>
  <r>
    <s v="-"/>
    <s v="-"/>
    <s v="Academic and Student Services Office"/>
    <n v="847"/>
    <n v="8471260"/>
    <s v="KUST - Student Life"/>
    <n v="1"/>
    <n v="425510"/>
    <s v="425510-Conferences, seminars and exhibitions and other events: - Local Events"/>
    <s v="000000"/>
    <s v="KUST - General"/>
    <n v="847001"/>
    <s v="FA179-Opex Expense"/>
    <n v="200179"/>
    <x v="260"/>
    <m/>
    <m/>
    <m/>
    <s v="425510.Conferences, seminars and exhibitions and other events: - Local Events-Number of attendees-count"/>
    <s v="count"/>
    <n v="1200"/>
    <n v="20"/>
    <s v="Iftar Gathering in Ramadan _ KU Residences (Male &amp; Female) "/>
    <n v="24000"/>
    <s v="KU Regular operations"/>
    <s v="Recurring"/>
    <n v="21600"/>
    <n v="19200"/>
    <n v="16800"/>
    <s v="Moderate Impact - we will have to reduce the number of activities"/>
    <s v="Moderate Impact - we will have to reduce the number of activities"/>
    <s v="We will have to reduce the number of activities. This may negatively impact the student's level of satisfaction with KU events &amp; activities"/>
    <m/>
    <m/>
    <m/>
    <n v="24000"/>
    <m/>
    <m/>
    <m/>
    <m/>
    <m/>
    <m/>
    <m/>
    <m/>
    <n v="24000"/>
    <s v="Develop a multidimensional program to attract and retain diverse outstanding students"/>
    <s v="new requests"/>
  </r>
  <r>
    <s v="Communiction &amp; Marketing"/>
    <s v="Director, Marketing and Communication"/>
    <s v="Academic and Student Services Office"/>
    <n v="847"/>
    <n v="8471260"/>
    <s v="KUST - Student Life"/>
    <n v="1"/>
    <n v="425510"/>
    <s v="425510-Conferences, seminars and exhibitions and other events: - Local Events"/>
    <s v="000000"/>
    <s v="KUST - General"/>
    <n v="847001"/>
    <s v="FA179-Opex Expense"/>
    <n v="200179"/>
    <x v="260"/>
    <s v="-"/>
    <n v="205000"/>
    <n v="205000"/>
    <s v="425510.Conferences, seminars and exhibitions and other events: - Local Events-Number of attendees-count"/>
    <s v="count"/>
    <n v="1000"/>
    <n v="40"/>
    <s v="Social Gathering &amp; BBQ Night in KU Residences "/>
    <n v="40000"/>
    <s v="KU Regular operations"/>
    <s v="Recurring"/>
    <n v="36000"/>
    <n v="32000"/>
    <n v="28000"/>
    <s v="Low Impact - we will have to reduce the number of activities"/>
    <s v="Moderate Impact - we will have to reduce the number of activities"/>
    <s v="We will have to reduce the number of activities. This may negatively impact the student's level of satisfaction with KU's engagements in events and activities "/>
    <m/>
    <m/>
    <m/>
    <m/>
    <m/>
    <m/>
    <m/>
    <m/>
    <m/>
    <m/>
    <n v="40000"/>
    <m/>
    <n v="40000"/>
    <s v="Develop a multidimensional program to attract and retain diverse outstanding students"/>
    <m/>
  </r>
  <r>
    <s v="-"/>
    <s v="-"/>
    <s v="Academic and Student Services Office"/>
    <n v="847"/>
    <n v="8471260"/>
    <s v="KUST - Student Life"/>
    <n v="1"/>
    <n v="425746"/>
    <s v="425746-Student Transport"/>
    <s v="000000"/>
    <s v="KUST - General"/>
    <n v="847001"/>
    <s v="FA179-Opex Expense"/>
    <n v="200179"/>
    <x v="261"/>
    <m/>
    <m/>
    <m/>
    <s v="425746.Student Transport-Students_x000a_-No of Students "/>
    <s v="Number of TBD"/>
    <n v="390"/>
    <n v="8195"/>
    <s v="Daily Shuttle Services - Bus - 34 seaters"/>
    <n v="3196050"/>
    <s v="KU Regular operations"/>
    <m/>
    <n v="2876445"/>
    <n v="2556840"/>
    <n v="2237235"/>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n v="319605"/>
    <n v="319605"/>
    <n v="319605"/>
    <n v="319605"/>
    <n v="319605"/>
    <n v="319605"/>
    <m/>
    <m/>
    <n v="319605"/>
    <n v="319605"/>
    <n v="319605"/>
    <n v="319605"/>
    <n v="3196050"/>
    <s v="Utilize state-of-the-art technologies and facilities in an optimal and efficient manner"/>
    <s v="new requests"/>
  </r>
  <r>
    <s v="-"/>
    <s v="-"/>
    <s v="Academic and Student Services Office"/>
    <n v="847"/>
    <n v="8471260"/>
    <s v="KUST - Student Life"/>
    <n v="1"/>
    <n v="425746"/>
    <s v="425746-Student Transport"/>
    <s v="000000"/>
    <s v="KUST - General"/>
    <n v="847001"/>
    <s v="FA179-Opex Expense"/>
    <n v="200179"/>
    <x v="261"/>
    <m/>
    <m/>
    <m/>
    <s v="425746.Student Transport-Students_x000a_-No of Students "/>
    <s v="Number of TBD"/>
    <n v="50"/>
    <n v="11435"/>
    <s v="Weekly Transportation Services - 37 seaters"/>
    <n v="571750"/>
    <s v="KU Regular operations"/>
    <m/>
    <n v="514575"/>
    <n v="457400"/>
    <n v="400225"/>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n v="57175"/>
    <n v="57175"/>
    <n v="57175"/>
    <n v="57175"/>
    <n v="57175"/>
    <n v="57175"/>
    <m/>
    <m/>
    <n v="57175"/>
    <n v="57175"/>
    <n v="57175"/>
    <n v="57175"/>
    <n v="571750"/>
    <s v="Utilize state-of-the-art technologies and facilities in an optimal and efficient manner"/>
    <s v="new requests"/>
  </r>
  <r>
    <s v="-"/>
    <s v="-"/>
    <s v="Academic and Student Services Office"/>
    <n v="847"/>
    <n v="8471260"/>
    <s v="KUST - Student Life"/>
    <n v="1"/>
    <n v="425746"/>
    <s v="425746-Student Transport"/>
    <s v="000000"/>
    <s v="KUST - General"/>
    <n v="847001"/>
    <s v="FA179-Opex Expense"/>
    <n v="200179"/>
    <x v="261"/>
    <m/>
    <m/>
    <m/>
    <s v="425746.Student Transport-Students_x000a_-No of Students "/>
    <s v="Number of TBD"/>
    <n v="130"/>
    <n v="15455"/>
    <s v="Weekly Transportation Services - 50 seaters"/>
    <n v="2009150"/>
    <s v="KU Regular operations"/>
    <m/>
    <n v="1808235"/>
    <n v="1607320"/>
    <n v="1406405"/>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n v="200915"/>
    <n v="200915"/>
    <n v="200915"/>
    <n v="200915"/>
    <n v="200915"/>
    <n v="200915"/>
    <m/>
    <m/>
    <n v="200915"/>
    <n v="200915"/>
    <n v="200915"/>
    <n v="200915"/>
    <n v="2009150"/>
    <s v="Utilize state-of-the-art technologies and facilities in an optimal and efficient manner"/>
    <s v="new requests"/>
  </r>
  <r>
    <s v="-"/>
    <s v="-"/>
    <s v="Academic and Student Services Office"/>
    <n v="847"/>
    <n v="8471260"/>
    <s v="KUST - Student Life"/>
    <n v="1"/>
    <n v="425746"/>
    <s v="425746-Student Transport"/>
    <s v="000000"/>
    <s v="KUST - General"/>
    <n v="847001"/>
    <s v="FA179-Opex Expense"/>
    <n v="200179"/>
    <x v="261"/>
    <m/>
    <m/>
    <m/>
    <s v="425746.Student Transport-Students_x000a_-No of Students "/>
    <s v="Number of Number of employees and type of service provided"/>
    <n v="73"/>
    <n v="65716"/>
    <s v="Personnel - Heavy Drivers and Lady Attendant"/>
    <n v="4797268"/>
    <s v="KU Regular operations"/>
    <m/>
    <n v="4317541.2"/>
    <n v="3837814.4000000004"/>
    <n v="3358087.5999999996"/>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n v="399772.33"/>
    <n v="399772.33"/>
    <n v="399772.33"/>
    <n v="399772.33"/>
    <n v="399772.33"/>
    <n v="399772.33"/>
    <n v="399772.33"/>
    <n v="399772.33"/>
    <n v="399772.33"/>
    <n v="399772.33"/>
    <n v="399772.33"/>
    <n v="399772.37"/>
    <n v="4797268"/>
    <s v="Utilize state-of-the-art technologies and facilities in an optimal and efficient manner"/>
    <s v="new requests"/>
  </r>
  <r>
    <s v="-"/>
    <s v="-"/>
    <s v="Academic and Student Services Office"/>
    <n v="847"/>
    <n v="8471260"/>
    <s v="KUST - Student Life"/>
    <n v="1"/>
    <n v="425746"/>
    <s v="425746-Student Transport"/>
    <s v="000000"/>
    <s v="KUST - General"/>
    <n v="847001"/>
    <s v="FA179-Opex Expense"/>
    <n v="200179"/>
    <x v="261"/>
    <m/>
    <m/>
    <m/>
    <s v="425746.Student Transport-Students_x000a_-No of Students "/>
    <s v="Number of TBD"/>
    <n v="1"/>
    <n v="142085"/>
    <s v="Fuel Cost"/>
    <n v="142085"/>
    <s v="KU Regular operations"/>
    <m/>
    <n v="127876.5"/>
    <n v="113668"/>
    <n v="99459.5"/>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n v="14208.5"/>
    <n v="14208.5"/>
    <n v="14208.5"/>
    <n v="14208.5"/>
    <n v="14208.5"/>
    <n v="14208.5"/>
    <m/>
    <m/>
    <n v="14208.5"/>
    <n v="14208.5"/>
    <n v="14208.5"/>
    <n v="14208.5"/>
    <n v="142085"/>
    <s v="Utilize state-of-the-art technologies and facilities in an optimal and efficient manner"/>
    <s v="new requests"/>
  </r>
  <r>
    <s v="-"/>
    <s v="-"/>
    <s v="Academic and Student Services Office"/>
    <n v="847"/>
    <n v="8471260"/>
    <s v="KUST - Student Life"/>
    <n v="1"/>
    <n v="425746"/>
    <s v="425746-Student Transport"/>
    <s v="000000"/>
    <s v="KUST - General"/>
    <n v="847001"/>
    <s v="FA179-Opex Expense"/>
    <n v="200179"/>
    <x v="261"/>
    <m/>
    <m/>
    <m/>
    <s v="425746.Student Transport-Students_x000a_-No of Students "/>
    <s v="Number of TBD"/>
    <n v="1"/>
    <n v="525"/>
    <s v="Salik "/>
    <n v="525"/>
    <s v="KU Regular operations"/>
    <m/>
    <n v="472.5"/>
    <n v="420"/>
    <n v="367.5"/>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n v="525"/>
    <m/>
    <m/>
    <m/>
    <m/>
    <m/>
    <m/>
    <m/>
    <m/>
    <m/>
    <m/>
    <m/>
    <n v="525"/>
    <s v="Utilize state-of-the-art technologies and facilities in an optimal and efficient manner"/>
    <s v="new requests"/>
  </r>
  <r>
    <s v="-"/>
    <s v="-"/>
    <s v="Academic and Student Services Office"/>
    <n v="847"/>
    <n v="8471260"/>
    <s v="KUST - Student Life"/>
    <n v="1"/>
    <n v="425746"/>
    <s v="425746-Student Transport"/>
    <s v="000000"/>
    <s v="KUST - General"/>
    <n v="847001"/>
    <s v="FA179-Opex Expense"/>
    <n v="200179"/>
    <x v="261"/>
    <m/>
    <m/>
    <m/>
    <s v="425746.Student Transport-Students_x000a_-No of Students "/>
    <s v="Number of TBD"/>
    <n v="10"/>
    <n v="60000"/>
    <s v="Adhoc Trips - Buses - Recreational and Fields Trips "/>
    <n v="600000"/>
    <s v="KU Regular operations"/>
    <m/>
    <n v="540000"/>
    <n v="480000"/>
    <n v="420000"/>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n v="60000"/>
    <n v="60000"/>
    <n v="60000"/>
    <n v="60000"/>
    <n v="60000"/>
    <n v="60000"/>
    <m/>
    <m/>
    <n v="60000"/>
    <n v="60000"/>
    <n v="60000"/>
    <n v="60000"/>
    <n v="600000"/>
    <s v="Utilize state-of-the-art technologies and facilities in an optimal and efficient manner"/>
    <s v="new requests"/>
  </r>
  <r>
    <s v="Student"/>
    <s v="No Applicable"/>
    <s v="Academic and Student Services Office"/>
    <n v="847"/>
    <n v="8471260"/>
    <s v="KUST - Student Life"/>
    <n v="1"/>
    <n v="425746"/>
    <s v="425746-Student Transport"/>
    <s v="000000"/>
    <s v="KUST - General"/>
    <n v="847001"/>
    <s v="FA179-Opex Expense"/>
    <n v="200179"/>
    <x v="261"/>
    <n v="8221710.8799999999"/>
    <n v="9349361"/>
    <n v="12000000"/>
    <s v="425746.Student Transport-Students_x000a_-No of Students "/>
    <s v="Number of TBD"/>
    <n v="10"/>
    <n v="30000"/>
    <s v="Limousine Services "/>
    <n v="300000"/>
    <s v="KU Regular operations"/>
    <m/>
    <n v="270000"/>
    <n v="240000"/>
    <n v="210000"/>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n v="30000"/>
    <n v="30000"/>
    <n v="30000"/>
    <n v="30000"/>
    <n v="30000"/>
    <n v="30000"/>
    <m/>
    <m/>
    <n v="30000"/>
    <n v="30000"/>
    <n v="30000"/>
    <n v="30000"/>
    <n v="300000"/>
    <s v="Utilize state-of-the-art technologies and facilities in an optimal and efficient manner"/>
    <m/>
  </r>
  <r>
    <s v="-"/>
    <s v="-"/>
    <s v="Academic and Student Services Office"/>
    <n v="847"/>
    <n v="8471260"/>
    <s v="KUST - Student Life"/>
    <n v="1"/>
    <n v="425760"/>
    <s v="425760-Student activities &amp; field trip expenses"/>
    <s v="000000"/>
    <s v="KUST - General"/>
    <n v="847001"/>
    <s v="FA179-Opex Expense"/>
    <n v="200179"/>
    <x v="262"/>
    <m/>
    <m/>
    <m/>
    <s v="425760.Student activities &amp; field trip expenses-Students-No of Students"/>
    <s v="No of Students"/>
    <n v="25"/>
    <n v="1600"/>
    <s v="Club Day _ Club Fair _ 25 Student Clubs/Chapters "/>
    <n v="40000"/>
    <s v="KU Regular operations"/>
    <s v="Recurring"/>
    <n v="36000"/>
    <n v="32000"/>
    <n v="28000"/>
    <s v="Low Impact - we will have to reduce the number of participating groups."/>
    <s v="Moderate Impact - we will have to reduce the number of participating groups."/>
    <s v="We will have to reduce the number of participating groups. This may negatively impact the student's level of satisfaction on KU's engagements in events and activities "/>
    <m/>
    <m/>
    <m/>
    <m/>
    <m/>
    <m/>
    <m/>
    <m/>
    <n v="40000"/>
    <m/>
    <m/>
    <m/>
    <n v="40000"/>
    <s v="Develop a multidimensional program to attract and retain diverse outstanding students"/>
    <s v="new requests"/>
  </r>
  <r>
    <s v="-"/>
    <s v="-"/>
    <s v="Academic and Student Services Office"/>
    <n v="847"/>
    <n v="8471260"/>
    <s v="KUST - Student Life"/>
    <n v="1"/>
    <n v="425760"/>
    <s v="425760-Student activities &amp; field trip expenses"/>
    <s v="000000"/>
    <s v="KUST - General"/>
    <n v="847001"/>
    <s v="FA179-Opex Expense"/>
    <n v="200179"/>
    <x v="262"/>
    <m/>
    <m/>
    <m/>
    <s v="425760.Student activities &amp; field trip expenses-Students-No of Students"/>
    <s v="No of Students"/>
    <n v="30"/>
    <n v="2334"/>
    <s v="Global Day 2023"/>
    <n v="70020"/>
    <s v="KU Regular operations"/>
    <s v="Recurring"/>
    <n v="63018"/>
    <n v="56016"/>
    <n v="49014"/>
    <s v="Low Impact - we will have to reduce the number of participating groups."/>
    <s v="Moderate Impact - we will have to reduce the number of participating groups."/>
    <s v="We will have to reduce the number of participating groups. This may negatively impact the student's level of satisfaction with KU's engagements in events and activities "/>
    <m/>
    <n v="70020"/>
    <m/>
    <m/>
    <m/>
    <m/>
    <m/>
    <m/>
    <m/>
    <m/>
    <m/>
    <m/>
    <n v="70020"/>
    <s v="Develop a multidimensional program to attract and retain diverse outstanding students"/>
    <s v="new requests"/>
  </r>
  <r>
    <s v="-"/>
    <s v="-"/>
    <s v="Academic and Student Services Office"/>
    <n v="847"/>
    <n v="8471260"/>
    <s v="KUST - Student Life"/>
    <n v="1"/>
    <n v="425760"/>
    <s v="425760-Student activities &amp; field trip expenses"/>
    <s v="000000"/>
    <s v="KUST - General"/>
    <n v="847001"/>
    <s v="FA179-Opex Expense"/>
    <n v="200179"/>
    <x v="262"/>
    <m/>
    <m/>
    <m/>
    <s v="425760.Student activities &amp; field trip expenses-Students-No of Students"/>
    <s v="No of Students"/>
    <n v="15"/>
    <n v="4000"/>
    <s v="KU Film Festival "/>
    <n v="60000"/>
    <s v="KU Regular operations"/>
    <s v="Recurring"/>
    <n v="54000"/>
    <n v="48000"/>
    <n v="42000"/>
    <s v="Low Impact - we will have to reduce the number of participating groups."/>
    <s v="Moderate Impact - we will have to reduce the number of participating groups."/>
    <s v="We will have to reduce the number of participating groups. This may negatively impact the student's level of satisfaction with KU's engagements in events and activities "/>
    <m/>
    <m/>
    <m/>
    <n v="60000"/>
    <m/>
    <m/>
    <m/>
    <m/>
    <m/>
    <m/>
    <m/>
    <m/>
    <n v="60000"/>
    <s v="Develop a multidimensional program to attract and retain diverse outstanding students"/>
    <s v="new requests"/>
  </r>
  <r>
    <s v="-"/>
    <s v="-"/>
    <s v="Academic and Student Services Office"/>
    <n v="847"/>
    <n v="8471260"/>
    <s v="KUST - Student Life"/>
    <n v="1"/>
    <n v="425760"/>
    <s v="425760-Student activities &amp; field trip expenses"/>
    <s v="000000"/>
    <s v="KUST - General"/>
    <n v="847001"/>
    <s v="FA179-Opex Expense"/>
    <n v="200179"/>
    <x v="262"/>
    <m/>
    <m/>
    <m/>
    <s v="425760.Student activities &amp; field trip expenses-Students-No of Students"/>
    <s v="No of Students"/>
    <n v="30"/>
    <n v="2000"/>
    <s v="KU Bazaar 2023 and Entrepreneurship Talks "/>
    <n v="60000"/>
    <s v="KU Regular operations"/>
    <s v="Recurring"/>
    <n v="54000"/>
    <n v="48000"/>
    <n v="42000"/>
    <s v="Low Impact - we will have to reduce the number of participating groups."/>
    <s v="Moderate Impact - we will have to reduce the number of participating groups."/>
    <s v="We will have to reduce the number of participating groups. This may negatively impact the student's level of satisfaction with KU's engagements in events and activities "/>
    <m/>
    <n v="60000"/>
    <m/>
    <m/>
    <m/>
    <m/>
    <m/>
    <m/>
    <m/>
    <m/>
    <m/>
    <m/>
    <n v="60000"/>
    <s v="Develop the university innovation and entrepreneurship system"/>
    <s v="new requests"/>
  </r>
  <r>
    <s v="-"/>
    <s v="-"/>
    <s v="Academic and Student Services Office"/>
    <n v="847"/>
    <n v="8471260"/>
    <s v="KUST - Student Life"/>
    <n v="1"/>
    <n v="425760"/>
    <s v="425760-Student activities &amp; field trip expenses"/>
    <s v="000000"/>
    <s v="KUST - General"/>
    <n v="847001"/>
    <s v="FA179-Opex Expense"/>
    <n v="200179"/>
    <x v="262"/>
    <m/>
    <m/>
    <m/>
    <s v="425760.Student activities &amp; field trip expenses-Events-No of Events"/>
    <s v="No of Events"/>
    <n v="35"/>
    <n v="2500"/>
    <s v="Recreational/Sports/ Local Trips "/>
    <n v="87500"/>
    <s v="KU Regular operations"/>
    <s v="Recurring"/>
    <n v="78750"/>
    <n v="70000"/>
    <n v="61249.999999999993"/>
    <s v="Low Impact - we will have to reduce the number of trips."/>
    <s v="Moderate Impact - we will have to reduce the number of trips"/>
    <s v="We will have to reduce the number of trips. This may negatively impact the student's level of satisfaction with KU's engagements in recreational trips"/>
    <n v="8750"/>
    <n v="8750"/>
    <n v="8750"/>
    <n v="8750"/>
    <n v="8750"/>
    <n v="8750"/>
    <m/>
    <m/>
    <n v="8750"/>
    <n v="8750"/>
    <n v="8750"/>
    <n v="8750"/>
    <n v="87500"/>
    <s v="Develop a multidimensional program to attract and retain diverse outstanding students"/>
    <s v="new requests"/>
  </r>
  <r>
    <s v="-"/>
    <s v="-"/>
    <s v="Academic and Student Services Office"/>
    <n v="847"/>
    <n v="8471260"/>
    <s v="KUST - Student Life"/>
    <n v="1"/>
    <n v="425760"/>
    <s v="425760-Student activities &amp; field trip expenses"/>
    <s v="000000"/>
    <s v="KUST - General"/>
    <n v="847001"/>
    <s v="FA179-Opex Expense"/>
    <n v="200179"/>
    <x v="262"/>
    <m/>
    <m/>
    <m/>
    <s v="425760.Student activities &amp; field trip expenses-Events-No of Events"/>
    <s v="No of Events"/>
    <n v="20"/>
    <n v="1500"/>
    <s v="Clubs/Chapters Events and Activities "/>
    <n v="30000"/>
    <s v="KU Regular operations"/>
    <s v="Recurring"/>
    <n v="27000"/>
    <n v="24000"/>
    <n v="21000"/>
    <s v="Low Impact - we will have to reduce the number of trips."/>
    <s v="Moderate Impact - we will have to reduce the number of trips"/>
    <s v="We will have to reduce the number of trips. This may negatively impact the student's level of satisfaction with KU's engagements in recreational trips"/>
    <n v="2000"/>
    <n v="4000"/>
    <n v="4000"/>
    <n v="3000"/>
    <n v="3000"/>
    <n v="1000"/>
    <m/>
    <m/>
    <n v="3000"/>
    <n v="4000"/>
    <n v="3000"/>
    <n v="3000"/>
    <n v="30000"/>
    <s v="Develop a multidimensional program to attract and retain diverse outstanding students"/>
    <s v="new requests"/>
  </r>
  <r>
    <s v="Student"/>
    <s v="Director, Student Services"/>
    <s v="Academic and Student Services Office"/>
    <n v="847"/>
    <n v="8471260"/>
    <s v="KUST - Student Life"/>
    <n v="1"/>
    <n v="425760"/>
    <s v="425760-Student activities &amp; field trip expenses"/>
    <s v="000000"/>
    <s v="KUST - General"/>
    <n v="847001"/>
    <s v="FA179-Opex Expense"/>
    <n v="200179"/>
    <x v="262"/>
    <n v="229618.26"/>
    <n v="936870"/>
    <n v="700000"/>
    <s v="425760.Student activities &amp; field trip expenses-Events-No of Events"/>
    <s v="No of Events"/>
    <n v="20"/>
    <n v="25000"/>
    <s v="International Trips "/>
    <n v="500000"/>
    <s v="KU Regular operations"/>
    <s v="Recurring"/>
    <n v="450000"/>
    <n v="400000"/>
    <n v="350000"/>
    <s v="Low Impact - we will have to reduce the number of trips."/>
    <s v="Moderate Impact - we will have to reduce the number of trips"/>
    <s v="We will have to reduce the number of trips. This may negatively impact the student's level of satisfaction on KU's support in international trips"/>
    <m/>
    <n v="200000"/>
    <m/>
    <m/>
    <n v="150000"/>
    <m/>
    <m/>
    <n v="150000"/>
    <m/>
    <m/>
    <m/>
    <m/>
    <n v="500000"/>
    <s v="Develop a multidimensional program to attract and retain diverse outstanding students"/>
    <m/>
  </r>
  <r>
    <s v="-"/>
    <s v="-"/>
    <s v="Academic and Student Services Office"/>
    <n v="847"/>
    <n v="8471260"/>
    <s v="KUST - Student Life"/>
    <n v="1"/>
    <n v="425900"/>
    <s v="425900-Entertainment and hospitality"/>
    <s v="000000"/>
    <s v="KUST - General"/>
    <n v="847001"/>
    <s v="FA179-Opex Expense"/>
    <n v="200179"/>
    <x v="263"/>
    <m/>
    <m/>
    <m/>
    <s v="425900.Entertainment and hospitality-1. No of events/workshops planned-count"/>
    <s v="count"/>
    <n v="1700"/>
    <n v="30"/>
    <s v="Catering for UG &amp; PG Student Orientation Program Fall &amp; Spring "/>
    <n v="51000"/>
    <s v="KU Regular operations"/>
    <s v="Recurring"/>
    <n v="45900"/>
    <n v="40800"/>
    <n v="35700"/>
    <s v="Low Impact - we will have to reduce the quantity in the menu"/>
    <s v="Moderate Impact -  we will have to further reduce the quantity in the menu"/>
    <s v="We will have to reduce the quantity in the menu. This may negatively impact the student's level of satisfaction with KU's Major  events and activities "/>
    <n v="18000"/>
    <m/>
    <m/>
    <m/>
    <m/>
    <m/>
    <m/>
    <n v="33000"/>
    <m/>
    <m/>
    <m/>
    <m/>
    <n v="51000"/>
    <s v="Develop a multidimensional program to attract and retain diverse outstanding students"/>
    <s v="new requests"/>
  </r>
  <r>
    <s v="-"/>
    <s v="-"/>
    <s v="Academic and Student Services Office"/>
    <n v="847"/>
    <n v="8471260"/>
    <s v="KUST - Student Life"/>
    <n v="1"/>
    <n v="425900"/>
    <s v="425900-Entertainment and hospitality"/>
    <s v="000000"/>
    <s v="KUST - General"/>
    <n v="847001"/>
    <s v="FA179-Opex Expense"/>
    <n v="200179"/>
    <x v="263"/>
    <m/>
    <m/>
    <m/>
    <s v="425900.Entertainment and hospitality-1. No of events/workshops planned-count"/>
    <s v="count"/>
    <n v="1000"/>
    <n v="20"/>
    <s v="Catering/ selected Emirati food items for National Day Event"/>
    <n v="20000"/>
    <s v="KU Regular operations"/>
    <s v="Recurring"/>
    <n v="18000"/>
    <n v="16000"/>
    <n v="14000"/>
    <s v="Low Impact - we will have to reduce the quantity in the menu"/>
    <s v="Moderate Impact -  we will have to further reduce the quantity in the menu"/>
    <s v="We will have to reduce the quantity in the menu. This may negatively impact the student's level of satisfaction with KU's Major  events and activities "/>
    <m/>
    <m/>
    <m/>
    <m/>
    <m/>
    <m/>
    <m/>
    <m/>
    <m/>
    <m/>
    <n v="20000"/>
    <m/>
    <n v="20000"/>
    <s v="Develop a multidimensional program to attract and retain diverse outstanding students"/>
    <s v="new requests"/>
  </r>
  <r>
    <s v="-"/>
    <s v="-"/>
    <s v="Academic and Student Services Office"/>
    <n v="847"/>
    <n v="8471260"/>
    <s v="KUST - Student Life"/>
    <n v="1"/>
    <n v="425900"/>
    <s v="425900-Entertainment and hospitality"/>
    <s v="000000"/>
    <s v="KUST - General"/>
    <n v="847001"/>
    <s v="FA179-Opex Expense"/>
    <n v="200179"/>
    <x v="263"/>
    <m/>
    <m/>
    <m/>
    <s v="425900.Entertainment and hospitality-1. No of events/workshops planned-count"/>
    <s v="count"/>
    <n v="1000"/>
    <n v="15"/>
    <s v="Catering /selected food items from international cuisine For Global Day Event "/>
    <n v="15000"/>
    <s v="KU Regular operations"/>
    <s v="Recurring"/>
    <n v="13500"/>
    <n v="12000"/>
    <n v="10500"/>
    <s v="Low Impact - we will have to reduce the quantity in the menu"/>
    <s v="Moderate Impact -  we will have to further reduce the quantity in the menu"/>
    <s v="We will have to reduce the quantity in the menu. This may negatively impact the student's level of satisfaction with KU's Major  events and activities "/>
    <m/>
    <n v="15000"/>
    <m/>
    <m/>
    <m/>
    <m/>
    <m/>
    <m/>
    <m/>
    <m/>
    <m/>
    <m/>
    <n v="15000"/>
    <s v="Develop a multidimensional program to attract and retain diverse outstanding students"/>
    <s v="new requests"/>
  </r>
  <r>
    <s v="-"/>
    <s v="-"/>
    <s v="Academic and Student Services Office"/>
    <n v="847"/>
    <n v="8471260"/>
    <s v="KUST - Student Life"/>
    <n v="1"/>
    <n v="425900"/>
    <s v="425900-Entertainment and hospitality"/>
    <s v="000000"/>
    <s v="KUST - General"/>
    <n v="847001"/>
    <s v="FA179-Opex Expense"/>
    <n v="200179"/>
    <x v="263"/>
    <m/>
    <m/>
    <m/>
    <s v="425900.Entertainment and hospitality-1. No of events/workshops planned-count"/>
    <s v="count"/>
    <n v="1600"/>
    <n v="20"/>
    <s v="Social Gathering &amp; BBQ Night in KU Residences (Male &amp; Female Residences)  "/>
    <n v="32000"/>
    <s v="KU Regular operations"/>
    <s v="Recurring"/>
    <n v="28800"/>
    <n v="25600"/>
    <n v="22400"/>
    <s v="Low Impact - we will have to reduce the quantity in the menu"/>
    <s v="Moderate Impact -  we will have to further reduce the quantity in the menu"/>
    <s v="We will have to reduce the quantity in the menu. This may negatively impact the student's level of satisfaction with KU's Major  events and activities "/>
    <m/>
    <m/>
    <m/>
    <m/>
    <m/>
    <m/>
    <m/>
    <m/>
    <m/>
    <m/>
    <n v="32000"/>
    <m/>
    <n v="32000"/>
    <s v="Develop a multidimensional program to attract and retain diverse outstanding students"/>
    <s v="new requests"/>
  </r>
  <r>
    <s v="-"/>
    <s v="-"/>
    <s v="Academic and Student Services Office"/>
    <n v="847"/>
    <n v="8471260"/>
    <s v="KUST - Student Life"/>
    <n v="1"/>
    <n v="425900"/>
    <s v="425900-Entertainment and hospitality"/>
    <s v="000000"/>
    <s v="KUST - General"/>
    <n v="847001"/>
    <s v="FA179-Opex Expense"/>
    <n v="200179"/>
    <x v="263"/>
    <m/>
    <m/>
    <m/>
    <s v="425900.Entertainment and hospitality-1. No of events/workshops planned-count"/>
    <s v="count"/>
    <n v="800"/>
    <n v="15"/>
    <s v="Snacks/light food for events, activities, workshops, seminars..etc. "/>
    <n v="12000"/>
    <s v="KU Regular operations"/>
    <s v="Recurring"/>
    <n v="10800"/>
    <n v="9600"/>
    <n v="8400"/>
    <s v="Low Impact - we will have to reduce the quantity in the menu"/>
    <s v="Moderate Impact -  we will have to further reduce the quantity in the menu"/>
    <s v="We will have to reduce the quantity in the menu. This may negatively impact the student's level of satisfaction with KU's Major  events and activities "/>
    <n v="1200"/>
    <n v="1200"/>
    <n v="1200"/>
    <n v="1200"/>
    <n v="1200"/>
    <n v="1200"/>
    <m/>
    <m/>
    <n v="1200"/>
    <n v="1200"/>
    <n v="1200"/>
    <n v="1200"/>
    <n v="12000"/>
    <s v="Develop a multidimensional program to attract and retain diverse outstanding students"/>
    <s v="new requests"/>
  </r>
  <r>
    <s v="Other support"/>
    <s v="Director, Human Resources"/>
    <s v="Academic and Student Services Office"/>
    <n v="847"/>
    <n v="8471260"/>
    <s v="KUST - Student Life"/>
    <n v="1"/>
    <n v="425900"/>
    <s v="425900-Entertainment and hospitality"/>
    <s v="000000"/>
    <s v="KUST - General"/>
    <n v="847001"/>
    <s v="FA179-Opex Expense"/>
    <n v="200179"/>
    <x v="263"/>
    <n v="7085.98"/>
    <n v="70800"/>
    <n v="70800"/>
    <s v="425900.Entertainment and hospitality-1. No of events/workshops planned-count"/>
    <s v="count"/>
    <n v="2000"/>
    <n v="20"/>
    <s v="Iftar Gathering in Ramadan _ KU Residences (Male &amp; Female) "/>
    <n v="40000"/>
    <s v="KU Regular operations"/>
    <s v="Recurring"/>
    <n v="36000"/>
    <n v="32000"/>
    <n v="28000"/>
    <s v="Low Impact - we will have to reduce the quantity in the menu"/>
    <s v="Moderate Impact -  we will have to further reduce the quantity in the menu"/>
    <s v="We will have to reduce the quantity in the menu. This may negatively impact the student's level of satisfaction with KU's Major  events and activities "/>
    <m/>
    <m/>
    <m/>
    <n v="40000"/>
    <m/>
    <m/>
    <m/>
    <m/>
    <m/>
    <m/>
    <m/>
    <m/>
    <n v="40000"/>
    <s v="Develop a multidimensional program to attract and retain diverse outstanding students"/>
    <m/>
  </r>
  <r>
    <s v="-"/>
    <s v="-"/>
    <s v="Academic and Student Services Office"/>
    <n v="847"/>
    <n v="8471260"/>
    <s v="KUST - Student Life"/>
    <n v="1"/>
    <n v="428640"/>
    <s v="428640-Events - Awards, prizes &amp; gifts"/>
    <s v="000000"/>
    <s v="KUST - General"/>
    <n v="847001"/>
    <s v="FA179-Opex Expense"/>
    <n v="200179"/>
    <x v="264"/>
    <m/>
    <m/>
    <m/>
    <s v="428640.Events - Awards, prizes &amp; gifts-Number of gifts-count"/>
    <s v="count"/>
    <n v="40"/>
    <n v="250"/>
    <s v="Gift cards &amp; vouchers for winners in different competitions "/>
    <n v="10000"/>
    <m/>
    <m/>
    <n v="9000"/>
    <n v="8000"/>
    <n v="7000"/>
    <s v="Low Impact "/>
    <s v="Moderate Impact "/>
    <s v="Significant Impact "/>
    <m/>
    <n v="5000"/>
    <m/>
    <m/>
    <m/>
    <m/>
    <m/>
    <m/>
    <m/>
    <m/>
    <n v="5000"/>
    <m/>
    <n v="10000"/>
    <s v="Develop a multidimensional program to attract and retain diverse outstanding students"/>
    <s v="new requests"/>
  </r>
  <r>
    <s v="-"/>
    <s v="-"/>
    <s v="Academic and Student Services Office"/>
    <n v="847"/>
    <n v="8471260"/>
    <s v="KUST - Student Life"/>
    <n v="1"/>
    <n v="428640"/>
    <s v="428640-Events - Awards, prizes &amp; gifts"/>
    <s v="000000"/>
    <s v="KUST - General"/>
    <n v="847001"/>
    <s v="FA179-Opex Expense"/>
    <n v="200179"/>
    <x v="264"/>
    <m/>
    <m/>
    <m/>
    <s v="428640.Events - Awards, prizes &amp; gifts-Number of gifts-count"/>
    <s v="count"/>
    <n v="30"/>
    <n v="400"/>
    <s v="Trophies for winners &amp; participants in sports competitions and other competitions"/>
    <n v="12000"/>
    <m/>
    <m/>
    <n v="10800"/>
    <n v="9600"/>
    <n v="8400"/>
    <s v="Low Impact "/>
    <s v="Moderate Impact "/>
    <s v="Significant Impact "/>
    <m/>
    <m/>
    <n v="3000"/>
    <m/>
    <n v="3000"/>
    <m/>
    <m/>
    <m/>
    <n v="3000"/>
    <m/>
    <n v="3000"/>
    <m/>
    <n v="12000"/>
    <s v="Develop a multidimensional program to attract and retain diverse outstanding students"/>
    <s v="new requests"/>
  </r>
  <r>
    <s v="Communiction &amp; Marketing"/>
    <s v="Director, Marketing and Communication"/>
    <s v="Academic and Student Services Office"/>
    <n v="847"/>
    <n v="8471260"/>
    <s v="KUST - Student Life"/>
    <n v="1"/>
    <n v="428640"/>
    <s v="428640-Events - Awards, prizes &amp; gifts"/>
    <s v="000000"/>
    <s v="KUST - General"/>
    <n v="847001"/>
    <s v="FA179-Opex Expense"/>
    <n v="200179"/>
    <x v="264"/>
    <n v="10810.35"/>
    <n v="32500"/>
    <n v="32500"/>
    <s v="428640.Events - Awards, prizes &amp; gifts-Number of gifts-count"/>
    <s v="count"/>
    <n v="40"/>
    <n v="250"/>
    <s v="Customized gifts for participants in competitions "/>
    <n v="10000"/>
    <m/>
    <m/>
    <n v="9000"/>
    <n v="8000"/>
    <n v="7000"/>
    <s v="Low Impact "/>
    <s v="Moderate Impact "/>
    <s v="Significant Impact "/>
    <m/>
    <n v="3000"/>
    <m/>
    <n v="4000"/>
    <m/>
    <m/>
    <m/>
    <m/>
    <m/>
    <n v="3000"/>
    <m/>
    <m/>
    <n v="10000"/>
    <s v="Develop a multidimensional program to attract and retain diverse outstanding students"/>
    <m/>
  </r>
  <r>
    <s v="-"/>
    <s v="-"/>
    <s v="Academic and Student Services Office"/>
    <n v="847"/>
    <n v="8471260"/>
    <s v="KUST - Student Life"/>
    <n v="1"/>
    <n v="435530"/>
    <s v="435530-School consumables, not specifically mentioned elsewhere"/>
    <s v="000000"/>
    <s v="KUST - General"/>
    <n v="847001"/>
    <s v="FA179-Opex Expense"/>
    <n v="200179"/>
    <x v="265"/>
    <m/>
    <m/>
    <m/>
    <s v="435530.School consumables, Numbert specifically mentioned elsewhere-Number of Students-Number"/>
    <s v="Number"/>
    <n v="350"/>
    <n v="40"/>
    <s v="Tools, Materials &amp; Equipment for Sports Activities (Balls for table tennis, volleyball, basketball..etc)"/>
    <n v="14000"/>
    <s v="KU Regular operations"/>
    <s v="Recurring"/>
    <n v="12600"/>
    <n v="11200"/>
    <n v="9800"/>
    <s v="Low Impact - we will have to reduce the number of items."/>
    <s v="Moderate Impact - we will have to reduce the number of items"/>
    <s v="We will have to reduce the number of items per team member. This may impact the student's participation in sports tournaments and competitions happening on and off campus"/>
    <m/>
    <m/>
    <m/>
    <m/>
    <m/>
    <m/>
    <n v="14000"/>
    <m/>
    <m/>
    <m/>
    <m/>
    <m/>
    <n v="14000"/>
    <s v="Develop a multidimensional program to attract and retain diverse outstanding students"/>
    <s v="new requests"/>
  </r>
  <r>
    <s v="-"/>
    <s v="-"/>
    <s v="Academic and Student Services Office"/>
    <n v="847"/>
    <n v="8471260"/>
    <s v="KUST - Student Life"/>
    <n v="1"/>
    <n v="435530"/>
    <s v="435530-School consumables, not specifically mentioned elsewhere"/>
    <s v="000000"/>
    <s v="KUST - General"/>
    <n v="847001"/>
    <s v="FA179-Opex Expense"/>
    <n v="200179"/>
    <x v="265"/>
    <m/>
    <m/>
    <m/>
    <s v="435530.School consumables, Numbert specifically mentioned elsewhere-Number of Students-Number"/>
    <s v="Number"/>
    <n v="350"/>
    <n v="40"/>
    <s v="PPE and personal tools for sports teams (racket, knee pads, goalkeeper gloves, drawstring bags..etc)"/>
    <n v="14000"/>
    <s v="KU Regular operations"/>
    <s v="Recurring"/>
    <n v="12600"/>
    <n v="11200"/>
    <n v="9800"/>
    <s v="Low Impact - we will have to reduce the number of items."/>
    <s v="Moderate Impact - we will have to reduce the number of items."/>
    <s v="We will have to reduce the number of items per team member. This may impact the student's participation in sports tournaments and competitions happening on and off campus"/>
    <m/>
    <m/>
    <m/>
    <m/>
    <m/>
    <m/>
    <n v="14000"/>
    <m/>
    <m/>
    <m/>
    <m/>
    <m/>
    <n v="14000"/>
    <s v="Develop a multidimensional program to attract and retain diverse outstanding students"/>
    <s v="new requests"/>
  </r>
  <r>
    <s v="Academic"/>
    <s v="No Applicable"/>
    <s v="Academic and Student Services Office"/>
    <n v="847"/>
    <n v="8471260"/>
    <s v="KUST - Student Life"/>
    <n v="1"/>
    <n v="435530"/>
    <s v="435530-School consumables, not specifically mentioned elsewhere"/>
    <s v="000000"/>
    <s v="KUST - General"/>
    <n v="847001"/>
    <s v="FA179-Opex Expense"/>
    <n v="200179"/>
    <x v="265"/>
    <n v="31417"/>
    <n v="12000"/>
    <n v="12000"/>
    <s v="435530.School consumables, Numbert specifically mentioned elsewhere-Number of Students-Number"/>
    <s v="Number"/>
    <n v="349"/>
    <n v="150"/>
    <s v="Sports uniforms/jersey/training suits for Sports Teams and Coordinators."/>
    <n v="52350"/>
    <s v="KU Regular operations"/>
    <s v="Recurring"/>
    <n v="47115"/>
    <n v="41880"/>
    <n v="36645"/>
    <s v="Low Impact - we will have to reduce the number of uniforms per player."/>
    <s v="Moderate Impact - we will have to reduce the number of uniform per player."/>
    <s v="We will have to reduce the number of uniforms per team member. This may impact the student's participation in sports tournaments and competitions happening on and off campus"/>
    <m/>
    <m/>
    <m/>
    <m/>
    <m/>
    <m/>
    <n v="52350"/>
    <m/>
    <m/>
    <m/>
    <m/>
    <m/>
    <n v="52350"/>
    <s v="Develop a multidimensional program to attract and retain diverse outstanding students"/>
    <m/>
  </r>
  <r>
    <s v="-"/>
    <s v="-"/>
    <s v="Academic and Student Services Office"/>
    <n v="847"/>
    <n v="8471260"/>
    <s v="KUST - Student Life"/>
    <n v="1"/>
    <n v="436110"/>
    <s v="436110-Printing supplies"/>
    <s v="000000"/>
    <s v="KUST - General"/>
    <n v="847001"/>
    <s v="FA179-Opex Expense"/>
    <n v="200179"/>
    <x v="266"/>
    <m/>
    <m/>
    <m/>
    <s v="436110.Printing supplies-Number of Student-Number"/>
    <s v="Number"/>
    <n v="80"/>
    <n v="60"/>
    <s v="Certificates of Appreciations/Participations With Solid Cover"/>
    <n v="4800"/>
    <s v="KU Regular operations"/>
    <s v="Recurring"/>
    <n v="4320"/>
    <n v="3840"/>
    <n v="3360"/>
    <s v="low impact "/>
    <s v="moderate impact"/>
    <s v="moderate impact "/>
    <m/>
    <m/>
    <m/>
    <m/>
    <n v="1600"/>
    <n v="1600"/>
    <m/>
    <m/>
    <m/>
    <m/>
    <n v="1600"/>
    <m/>
    <n v="4800"/>
    <s v="Develop a multidimensional program to attract and retain diverse outstanding students"/>
    <s v="new requests"/>
  </r>
  <r>
    <s v="Other support"/>
    <s v="No Applicable"/>
    <s v="Academic and Student Services Office"/>
    <n v="847"/>
    <n v="8471260"/>
    <s v="KUST - Student Life"/>
    <n v="1"/>
    <n v="436110"/>
    <s v="436110-Printing supplies"/>
    <s v="000000"/>
    <s v="KUST - General"/>
    <n v="847001"/>
    <s v="FA179-Opex Expense"/>
    <n v="200179"/>
    <x v="266"/>
    <s v="-"/>
    <n v="13500"/>
    <n v="13500"/>
    <s v="436110.Printing supplies-Number of Student-Number"/>
    <s v="No of Events"/>
    <n v="30"/>
    <n v="160"/>
    <s v="Rollups/Banners for campaigns and events "/>
    <n v="4800"/>
    <s v="KU Regular operations"/>
    <s v="Recurring"/>
    <n v="4320"/>
    <n v="3840"/>
    <n v="3360"/>
    <s v="low impact "/>
    <s v="moderate impact"/>
    <s v="moderate impact "/>
    <m/>
    <n v="1000"/>
    <n v="800"/>
    <n v="1000"/>
    <m/>
    <m/>
    <m/>
    <n v="1000"/>
    <m/>
    <n v="1000"/>
    <m/>
    <m/>
    <n v="4800"/>
    <s v="Develop a multidimensional program to attract and retain diverse outstanding students"/>
    <m/>
  </r>
  <r>
    <s v="Facilities "/>
    <s v="No Applicable"/>
    <s v="Academic and Student Services Office"/>
    <n v="847"/>
    <n v="8471260"/>
    <s v="KUST - Student Life"/>
    <n v="1"/>
    <n v="421600"/>
    <s v="421600-Security service"/>
    <s v="000000"/>
    <s v="KUST - General"/>
    <n v="847001"/>
    <s v="FA179-Opex Expense"/>
    <n v="200179"/>
    <x v="267"/>
    <n v="1750.45"/>
    <s v="-"/>
    <m/>
    <m/>
    <s v="-_"/>
    <m/>
    <m/>
    <m/>
    <n v="0"/>
    <m/>
    <m/>
    <n v="0"/>
    <n v="0"/>
    <n v="0"/>
    <m/>
    <m/>
    <m/>
    <m/>
    <m/>
    <m/>
    <m/>
    <m/>
    <m/>
    <m/>
    <m/>
    <m/>
    <m/>
    <m/>
    <m/>
    <n v="0"/>
    <m/>
    <m/>
  </r>
  <r>
    <s v="Other support"/>
    <s v="No Applicable"/>
    <s v="Academic and Student Services Office"/>
    <n v="847"/>
    <n v="8471260"/>
    <s v="KUST - Student Life"/>
    <n v="1"/>
    <n v="422400"/>
    <s v="422400--"/>
    <s v="000000"/>
    <s v="KUST - General"/>
    <n v="847001"/>
    <s v="FA179-Opex Expense"/>
    <n v="200179"/>
    <x v="268"/>
    <n v="1240"/>
    <s v="-"/>
    <m/>
    <m/>
    <s v="-_"/>
    <m/>
    <m/>
    <m/>
    <n v="0"/>
    <m/>
    <m/>
    <n v="0"/>
    <n v="0"/>
    <n v="0"/>
    <m/>
    <m/>
    <m/>
    <m/>
    <m/>
    <m/>
    <m/>
    <m/>
    <m/>
    <m/>
    <m/>
    <m/>
    <m/>
    <m/>
    <m/>
    <n v="0"/>
    <m/>
    <m/>
  </r>
  <r>
    <s v="Student"/>
    <s v="No Applicable"/>
    <s v="Academic and Student Services Office"/>
    <n v="847"/>
    <n v="8471260"/>
    <s v="KUST - Student Life"/>
    <n v="1"/>
    <n v="425750"/>
    <s v="425750-Skill assessment service"/>
    <s v="000000"/>
    <s v="KUST - General"/>
    <n v="847001"/>
    <s v="FA179-Opex Expense"/>
    <n v="200179"/>
    <x v="269"/>
    <n v="25000"/>
    <s v="-"/>
    <m/>
    <m/>
    <s v="-_"/>
    <m/>
    <m/>
    <m/>
    <n v="0"/>
    <m/>
    <m/>
    <n v="0"/>
    <n v="0"/>
    <n v="0"/>
    <m/>
    <m/>
    <m/>
    <m/>
    <m/>
    <m/>
    <m/>
    <m/>
    <m/>
    <m/>
    <m/>
    <m/>
    <m/>
    <m/>
    <m/>
    <n v="0"/>
    <m/>
    <m/>
  </r>
  <r>
    <s v="Facilities "/>
    <s v="No Applicable"/>
    <s v="Academic and Student Services Office"/>
    <n v="847"/>
    <n v="8471260"/>
    <s v="KUST - Student Life"/>
    <n v="1"/>
    <n v="426220"/>
    <s v="426220-Insurance - Fire and allied perils"/>
    <s v="000000"/>
    <s v="KUST - General"/>
    <n v="847001"/>
    <s v="FA179-Opex Expense"/>
    <n v="200179"/>
    <x v="270"/>
    <n v="7904.54000000001"/>
    <s v="-"/>
    <m/>
    <m/>
    <s v="-_"/>
    <m/>
    <m/>
    <m/>
    <n v="0"/>
    <m/>
    <m/>
    <n v="0"/>
    <n v="0"/>
    <n v="0"/>
    <m/>
    <m/>
    <m/>
    <m/>
    <m/>
    <m/>
    <m/>
    <m/>
    <m/>
    <m/>
    <m/>
    <m/>
    <m/>
    <m/>
    <m/>
    <n v="0"/>
    <m/>
    <m/>
  </r>
  <r>
    <s v="Facilities "/>
    <s v="No Applicable"/>
    <s v="Academic and Student Services Office"/>
    <n v="847"/>
    <n v="8471260"/>
    <s v="KUST - Student Life"/>
    <n v="1"/>
    <n v="428111"/>
    <s v="428111-Electricity consumption charges"/>
    <s v="000000"/>
    <s v="KUST - General"/>
    <n v="847001"/>
    <s v="FA179-Opex Expense"/>
    <n v="200179"/>
    <x v="271"/>
    <n v="506184.86"/>
    <s v="-"/>
    <m/>
    <m/>
    <s v="-_"/>
    <m/>
    <m/>
    <m/>
    <n v="0"/>
    <m/>
    <m/>
    <n v="0"/>
    <n v="0"/>
    <n v="0"/>
    <m/>
    <m/>
    <m/>
    <m/>
    <m/>
    <m/>
    <m/>
    <m/>
    <m/>
    <m/>
    <m/>
    <m/>
    <m/>
    <m/>
    <m/>
    <n v="0"/>
    <m/>
    <m/>
  </r>
  <r>
    <s v="Facilities "/>
    <s v="No Applicable"/>
    <s v="Academic and Student Services Office"/>
    <n v="847"/>
    <n v="8471260"/>
    <s v="KUST - Student Life"/>
    <n v="1"/>
    <n v="428112"/>
    <s v="428112-Water consumption charges"/>
    <s v="000000"/>
    <s v="KUST - General"/>
    <n v="847001"/>
    <s v="FA179-Opex Expense"/>
    <n v="200179"/>
    <x v="272"/>
    <n v="166804.99"/>
    <s v="-"/>
    <m/>
    <m/>
    <s v="-_"/>
    <m/>
    <m/>
    <m/>
    <n v="0"/>
    <m/>
    <m/>
    <n v="0"/>
    <n v="0"/>
    <n v="0"/>
    <m/>
    <m/>
    <m/>
    <m/>
    <m/>
    <m/>
    <m/>
    <m/>
    <m/>
    <m/>
    <m/>
    <m/>
    <m/>
    <m/>
    <m/>
    <n v="0"/>
    <m/>
    <m/>
  </r>
  <r>
    <s v="IT"/>
    <s v="No Applicable"/>
    <s v="Academic and Student Services Office"/>
    <n v="847"/>
    <n v="8471260"/>
    <s v="KUST - Student Life"/>
    <n v="1"/>
    <n v="430230"/>
    <s v="430230-Rental - Equipment"/>
    <s v="000000"/>
    <s v="KUST - General"/>
    <n v="847001"/>
    <s v="FA179-Opex Expense"/>
    <n v="200179"/>
    <x v="273"/>
    <n v="5500"/>
    <s v="-"/>
    <m/>
    <m/>
    <s v="-_"/>
    <m/>
    <m/>
    <m/>
    <n v="0"/>
    <m/>
    <m/>
    <n v="0"/>
    <n v="0"/>
    <n v="0"/>
    <m/>
    <m/>
    <m/>
    <m/>
    <m/>
    <m/>
    <m/>
    <m/>
    <m/>
    <m/>
    <m/>
    <m/>
    <m/>
    <m/>
    <m/>
    <n v="0"/>
    <m/>
    <m/>
  </r>
  <r>
    <s v="Facilities "/>
    <s v="No Applicable"/>
    <s v="Academic and Student Services Office"/>
    <n v="847"/>
    <n v="8471260"/>
    <s v="KUST - Student Life"/>
    <n v="1"/>
    <n v="432120"/>
    <s v="432120-Bldg maintenance-Business premises"/>
    <s v="000000"/>
    <s v="KUST - General"/>
    <n v="847001"/>
    <s v="FA179-Opex Expense"/>
    <n v="200179"/>
    <x v="274"/>
    <n v="118836.36"/>
    <s v="-"/>
    <m/>
    <m/>
    <s v="-_"/>
    <m/>
    <m/>
    <m/>
    <n v="0"/>
    <m/>
    <m/>
    <n v="0"/>
    <n v="0"/>
    <n v="0"/>
    <m/>
    <m/>
    <m/>
    <m/>
    <m/>
    <m/>
    <m/>
    <m/>
    <m/>
    <m/>
    <m/>
    <m/>
    <m/>
    <m/>
    <m/>
    <n v="0"/>
    <m/>
    <m/>
  </r>
  <r>
    <s v="Communiction &amp; Marketing"/>
    <s v="Director, Marketing and Communication"/>
    <s v="Academic and Student Services Office"/>
    <n v="847"/>
    <n v="8471220"/>
    <s v="KUST - Registrar"/>
    <n v="1"/>
    <n v="425510"/>
    <s v="425510-Conferences, seminars and exhibitions and other events: - Local Events"/>
    <s v="000000"/>
    <s v="KUST - General"/>
    <n v="847001"/>
    <s v="FA179-Opex Expense"/>
    <n v="200179"/>
    <x v="275"/>
    <n v="0"/>
    <n v="2200"/>
    <m/>
    <s v="425510.Conferences, seminars and exhibitions and other events: - Local Events-Events-Number of Events"/>
    <s v="Number of Events"/>
    <n v="2"/>
    <n v="2000"/>
    <s v="Registration Office team functional expertise development."/>
    <n v="4000"/>
    <s v="Regular operations"/>
    <s v="Recurring"/>
    <n v="3600"/>
    <n v="3200"/>
    <n v="2800"/>
    <s v="Affect student education progression"/>
    <s v="Affect student education progression"/>
    <s v="Affect student education progression"/>
    <n v="4000"/>
    <m/>
    <m/>
    <m/>
    <m/>
    <m/>
    <m/>
    <m/>
    <m/>
    <m/>
    <m/>
    <m/>
    <n v="4000"/>
    <m/>
    <m/>
  </r>
  <r>
    <s v="Student"/>
    <s v="No Applicable"/>
    <s v="Academic and Student Services Office"/>
    <n v="847"/>
    <n v="8471220"/>
    <s v="KUST - Registrar"/>
    <n v="1"/>
    <n v="425741"/>
    <s v="425741-Student stipend"/>
    <s v="000000"/>
    <s v="KUST - General"/>
    <n v="847001"/>
    <s v="FA179-Opex Expense"/>
    <n v="200179"/>
    <x v="276"/>
    <n v="40250800"/>
    <n v="80501600"/>
    <m/>
    <s v="425741.Student stipend-Students-No of Students"/>
    <s v="No of Students"/>
    <n v="1"/>
    <n v="98652604.176784843"/>
    <s v="Student Stipend. Rate is not fixed. Please refer to the atatched calculations. "/>
    <n v="98652604.176784843"/>
    <s v="Regular operations"/>
    <s v="Recurring"/>
    <n v="88787343.759106368"/>
    <n v="78922083.341427878"/>
    <n v="69056822.923749387"/>
    <s v="Affect student education progression"/>
    <s v="Affect student education progression"/>
    <s v="Affect student education progression"/>
    <n v="6165787.7610490527"/>
    <n v="12331575.522098105"/>
    <n v="12331575.522098105"/>
    <n v="12331575.522098105"/>
    <n v="12331575.522098105"/>
    <m/>
    <m/>
    <m/>
    <n v="12331575.522098105"/>
    <n v="12331575.522098105"/>
    <n v="12331575.522098105"/>
    <n v="6165787.7610490527"/>
    <n v="98652604.176784843"/>
    <m/>
    <s v="increase number of students? Is it the same as planned?"/>
  </r>
  <r>
    <s v="HR"/>
    <s v="No Applicable"/>
    <s v="Academic and Student Services Office"/>
    <n v="847"/>
    <n v="8471220"/>
    <s v="KUST - Registrar"/>
    <n v="1"/>
    <n v="426900"/>
    <s v="426900-Postal, courier and other document delivery expenses"/>
    <s v="000000"/>
    <s v="KUST - General"/>
    <n v="847001"/>
    <s v="FA179-Opex Expense"/>
    <n v="200179"/>
    <x v="277"/>
    <n v="0"/>
    <n v="11000"/>
    <m/>
    <s v="426900.Postal, courier and other document delivery expenses-Number of Staff-Number"/>
    <s v="Number"/>
    <n v="5190"/>
    <n v="1"/>
    <s v="Postal to use for document delivery. And cost of graduation folder"/>
    <n v="5190"/>
    <s v="Regular operations"/>
    <s v="Recurring"/>
    <n v="4671"/>
    <n v="4152"/>
    <n v="3632.9999999999995"/>
    <s v="Affect student education progression"/>
    <s v="Affect student education progression"/>
    <s v="Affect student education progression"/>
    <n v="5190"/>
    <m/>
    <m/>
    <m/>
    <m/>
    <m/>
    <m/>
    <m/>
    <m/>
    <m/>
    <m/>
    <m/>
    <n v="5190"/>
    <m/>
    <m/>
  </r>
  <r>
    <s v="Academic"/>
    <s v="No Applicable"/>
    <s v="Academic and Student Services Office"/>
    <n v="847"/>
    <n v="8471220"/>
    <s v="KUST - Registrar"/>
    <n v="1"/>
    <n v="435340"/>
    <s v="435340-Text books and library books"/>
    <s v="000000"/>
    <s v="KUST - General"/>
    <n v="847001"/>
    <s v="FA179-Opex Expense"/>
    <n v="200179"/>
    <x v="278"/>
    <n v="9483734.2200000007"/>
    <n v="9500000"/>
    <m/>
    <s v="435340.Text books and library books-Students-Number of students"/>
    <s v="Number of students"/>
    <n v="1"/>
    <n v="11400000"/>
    <s v="Textbooks for students. Essential for education progression"/>
    <n v="11400000"/>
    <s v="Regular operations"/>
    <s v="Recurring"/>
    <n v="10260000"/>
    <n v="9120000"/>
    <n v="7979999.9999999991"/>
    <s v="Affect student education progression"/>
    <s v="Affect student education progression"/>
    <s v="Affect student education progression"/>
    <n v="11400000"/>
    <m/>
    <m/>
    <m/>
    <m/>
    <m/>
    <m/>
    <m/>
    <m/>
    <m/>
    <m/>
    <m/>
    <n v="11400000"/>
    <m/>
    <s v="this is increased with the increase number of students"/>
  </r>
  <r>
    <s v="Other support"/>
    <s v="No Applicable"/>
    <s v="Academic and Student Services Office"/>
    <n v="847"/>
    <n v="8471220"/>
    <s v="KUST - Registrar"/>
    <n v="1"/>
    <n v="436110"/>
    <s v="436110-Printing supplies"/>
    <s v="000000"/>
    <s v="KUST - General"/>
    <n v="847001"/>
    <s v="FA179-Opex Expense"/>
    <n v="200179"/>
    <x v="279"/>
    <n v="21820"/>
    <n v="300000"/>
    <m/>
    <s v="436110.Printing supplies-Number of Student-Number"/>
    <s v="Number"/>
    <n v="1"/>
    <n v="361000"/>
    <s v="Needed supplies to serve the registration office operations. "/>
    <n v="361000"/>
    <s v="Regular operations"/>
    <s v="Recurring"/>
    <n v="324900"/>
    <n v="288800"/>
    <n v="252699.99999999997"/>
    <s v="Affect student education progression"/>
    <s v="Affect student education progression"/>
    <s v="Affect student education progression"/>
    <n v="361000"/>
    <m/>
    <m/>
    <m/>
    <m/>
    <m/>
    <m/>
    <m/>
    <m/>
    <m/>
    <m/>
    <m/>
    <n v="361000"/>
    <m/>
    <m/>
  </r>
  <r>
    <s v="Other support"/>
    <s v="No Applicable"/>
    <s v="Academic and Student Services Office"/>
    <n v="847"/>
    <n v="8471220"/>
    <s v="KUST - Registrar"/>
    <n v="1"/>
    <n v="436120"/>
    <s v="436120-Stationery"/>
    <s v="000000"/>
    <s v="KUST - General"/>
    <n v="847001"/>
    <s v="FA179-Opex Expense"/>
    <n v="200179"/>
    <x v="280"/>
    <n v="0"/>
    <n v="6000"/>
    <m/>
    <s v="436120.Stationery-Number of Staff-Number"/>
    <s v="Number"/>
    <n v="12"/>
    <n v="200"/>
    <s v="Needed stationary to serve the registration office operations."/>
    <n v="2400"/>
    <s v="Regular operations"/>
    <s v="Recurring"/>
    <n v="2160"/>
    <n v="1920"/>
    <n v="1680"/>
    <s v="Affect student education progression"/>
    <s v="Affect student education progression"/>
    <s v="Affect student education progression"/>
    <n v="2400"/>
    <m/>
    <m/>
    <m/>
    <m/>
    <m/>
    <m/>
    <m/>
    <m/>
    <m/>
    <m/>
    <m/>
    <n v="2400"/>
    <m/>
    <m/>
  </r>
  <r>
    <s v="Other support"/>
    <s v="Director, Human Resources"/>
    <s v="Academic and Student Services Office"/>
    <n v="847"/>
    <n v="8471270"/>
    <s v="KUST - Libraries"/>
    <n v="1"/>
    <n v="425900"/>
    <s v="425900-Entertainment and hospitality"/>
    <s v="000000"/>
    <s v="KUST - General"/>
    <n v="847001"/>
    <s v="FA179-Opex Expense"/>
    <n v="200179"/>
    <x v="281"/>
    <s v="-"/>
    <n v="50000"/>
    <n v="50000"/>
    <s v="425900.Entertainment and hospitality-1. No of events/workshops planned-count"/>
    <s v="Number"/>
    <n v="1"/>
    <n v="50000"/>
    <s v="1. RefWorks 2. How to publish a research paper 3. Petent seminar 4. Author workshops 5. OrCid Seminar 6. E-resources workshop 7. EMBASE 8. Web of Science webnar"/>
    <n v="50000"/>
    <s v="KU Regular operations"/>
    <s v="Recurring"/>
    <n v="45000"/>
    <n v="40000"/>
    <n v="35000"/>
    <s v="It would reduce the awarenewss, library instuction, visibility and marketing of library services among the KU community "/>
    <s v="It would reduce the awarenewss of library services among the KU community"/>
    <s v="It would reduce the awarenewss of library services among the KU community"/>
    <n v="15000"/>
    <m/>
    <m/>
    <m/>
    <n v="15000"/>
    <m/>
    <m/>
    <m/>
    <n v="20000"/>
    <m/>
    <m/>
    <m/>
    <n v="50000"/>
    <s v="Widen access to students with outstanding academic potential"/>
    <m/>
  </r>
  <r>
    <s v="Academic "/>
    <s v="No Applicable"/>
    <s v="Academic and Student Services Office"/>
    <n v="847"/>
    <n v="8471270"/>
    <s v="KUST - Libraries"/>
    <n v="1"/>
    <n v="428090"/>
    <s v="428090-Business Travel - Combined expenses"/>
    <s v="000000"/>
    <s v="KUST - General"/>
    <n v="847001"/>
    <s v="FA179-Opex Expense"/>
    <n v="200179"/>
    <x v="282"/>
    <s v="-"/>
    <n v="300000"/>
    <n v="300000"/>
    <s v="428090.Business Travel - Combined expenses-Number of Staff-Number"/>
    <s v="Number"/>
    <n v="16"/>
    <n v="18750"/>
    <s v="1 SLA conference Sharjah 2. SLA conference UAS 3. IFLA conference , Dublin 4. Harvard Business school leadersip courses 5. E&amp;RL conference U.S.A, AATUL Zayed university"/>
    <n v="300000"/>
    <s v="KU Regular operations"/>
    <s v="Recurring"/>
    <n v="270000"/>
    <n v="240000"/>
    <n v="210000"/>
    <s v="Less participation in professional development programes will effect the chance for improving library staff skills and career path."/>
    <s v="Lesser participation in professional development programes will effect the chance for improving library staff skills and career path."/>
    <s v="Severly reduced participation in professional development programes will effect the chance for improving library staff skills and career path."/>
    <m/>
    <n v="100000"/>
    <m/>
    <m/>
    <m/>
    <n v="100000"/>
    <m/>
    <m/>
    <n v="100000"/>
    <m/>
    <m/>
    <m/>
    <n v="300000"/>
    <s v="Design and implement professional development programs for researchers, faculty, and  staff to contribute to the university strategic plan"/>
    <m/>
  </r>
  <r>
    <s v="Academic"/>
    <s v="No Applicable"/>
    <s v="Academic and Student Services Office"/>
    <n v="847"/>
    <n v="8471270"/>
    <s v="KUST - Libraries"/>
    <n v="1"/>
    <n v="435330"/>
    <s v="435330-Library books"/>
    <s v="000000"/>
    <s v="KUST - General"/>
    <n v="847001"/>
    <s v="FA179-Opex Expense"/>
    <n v="200179"/>
    <x v="283"/>
    <n v="13236762.58"/>
    <n v="15199430"/>
    <n v="15199430"/>
    <s v="435330.Library books-Number of Students-Number"/>
    <s v="Number"/>
    <n v="4000"/>
    <n v="3891"/>
    <m/>
    <n v="15564000"/>
    <s v="KU Regular operations"/>
    <s v="Recurring"/>
    <n v="14007600"/>
    <n v="12451200"/>
    <n v="10894800"/>
    <s v="These resources are vital for the faculty, researchers and students to accomplish their accademic and research goals. Cutting the budget for these resources would require the library to cancel database subscriptions. This would impact research output, University's academic  ranking and accreditaion for academic programs"/>
    <s v="These resources are vital for the faculty, researchers and students to accomplish their accademic and research goals. Cutting the budget for these resources would require the library to cancel database subscriptions. This would impact research output, University's academic  ranking and accreditaion for academic programs"/>
    <s v="These resources are vital for the faculty, researchers and students to accomplish their accademic and research goals. Cutting the budget for these resources would require the library to cancel database subscriptions. This would impact research output, University's academic  ranking and accreditaion for academic programs"/>
    <n v="10000000"/>
    <m/>
    <m/>
    <m/>
    <m/>
    <n v="5564000"/>
    <m/>
    <m/>
    <m/>
    <m/>
    <m/>
    <m/>
    <n v="15564000"/>
    <s v="Widen access to students with outstanding academic potential"/>
    <m/>
  </r>
  <r>
    <s v="Other support"/>
    <s v="No Applicable"/>
    <s v="Academic and Student Services Office"/>
    <n v="847"/>
    <n v="8471270"/>
    <s v="KUST - Libraries"/>
    <n v="1"/>
    <n v="436110"/>
    <s v="436110-Printing supplies"/>
    <s v="000000"/>
    <s v="KUST - General"/>
    <n v="847001"/>
    <s v="FA179-Opex Expense"/>
    <n v="200179"/>
    <x v="284"/>
    <s v="-"/>
    <n v="50000"/>
    <n v="50000"/>
    <s v="436110.Printing supplies-Number of Student-Number"/>
    <s v="Number"/>
    <n v="4000"/>
    <n v="12"/>
    <m/>
    <n v="48000"/>
    <m/>
    <m/>
    <n v="43200"/>
    <n v="38400"/>
    <n v="33600"/>
    <s v="It would affect studets to relay on the library printers for their academic work "/>
    <s v="It would affect studets to relay on the library printers for their academic work "/>
    <s v="It would affect studets to relay on the library printers for their academic work "/>
    <n v="24000"/>
    <m/>
    <m/>
    <m/>
    <m/>
    <n v="24000"/>
    <m/>
    <m/>
    <m/>
    <m/>
    <m/>
    <m/>
    <n v="48000"/>
    <s v="Widen access to students with outstanding academic potential"/>
    <m/>
  </r>
  <r>
    <s v="-"/>
    <s v="-"/>
    <s v="Academic and Student Services Office"/>
    <n v="847"/>
    <n v="8471230"/>
    <s v="KUST - Student Enrollment"/>
    <n v="1"/>
    <n v="425742"/>
    <s v="425742-Enrollment expenses"/>
    <s v="000000"/>
    <s v="KUST - General"/>
    <n v="847001"/>
    <s v="FA179-Opex Expense"/>
    <n v="200179"/>
    <x v="285"/>
    <m/>
    <m/>
    <m/>
    <s v="425510.Conferences, seminars and exhibitions and other events: - Local Events-Conferences-Number of Conferences"/>
    <s v="Number of Conferences"/>
    <n v="11"/>
    <n v="50000"/>
    <s v="Local exhibitions such as Najah Exhibition, Sharjah International Show, KU Open Day, Education Interface, AETEX, GETEX, TVET Week, NAPO Tour..etc"/>
    <n v="550000"/>
    <s v="KU Regular operations"/>
    <s v="Recurring"/>
    <n v="495000"/>
    <n v="440000"/>
    <n v="385000"/>
    <s v=" Reducing number of leads. ( Prospective Students)"/>
    <s v=" Reducing number of leads. ( Prospective Students)"/>
    <s v=" Reducing number of leads. ( Prospective Students)"/>
    <n v="50000"/>
    <n v="50000"/>
    <n v="50000"/>
    <n v="50000"/>
    <n v="50000"/>
    <n v="50000"/>
    <m/>
    <n v="50000"/>
    <n v="50000"/>
    <n v="50000"/>
    <n v="50000"/>
    <n v="50000"/>
    <n v="550000"/>
    <s v="Develop a multidimensional program to attract and retain diverse outstanding students"/>
    <s v="new requests"/>
  </r>
  <r>
    <s v="-"/>
    <s v="-"/>
    <s v="Academic and Student Services Office"/>
    <n v="847"/>
    <n v="8471230"/>
    <s v="KUST - Student Enrollment"/>
    <n v="1"/>
    <n v="425742"/>
    <s v="425742-Enrollment expenses"/>
    <s v="000000"/>
    <s v="KUST - General"/>
    <n v="847001"/>
    <s v="FA179-Opex Expense"/>
    <n v="200179"/>
    <x v="285"/>
    <m/>
    <m/>
    <m/>
    <s v="425550.Conferences, seminars and exhibitions and other events: - Overseas event-Conferences-Number of Conferences"/>
    <s v="Number of Conferences"/>
    <n v="10"/>
    <n v="50000"/>
    <s v="International Recruitment Trips for UG and PG"/>
    <n v="500000"/>
    <s v="KU Regular operations"/>
    <s v="Recurring"/>
    <n v="450000"/>
    <n v="400000"/>
    <n v="350000"/>
    <s v=" Reducing number of leads. ( Prospective Interntional Students) "/>
    <s v=" Reducing number of leads. ( Prospective Interntional Students) "/>
    <s v=" Reducing number of leads. ( Prospective Interntional Students) "/>
    <n v="80000"/>
    <n v="80000"/>
    <n v="80000"/>
    <m/>
    <m/>
    <m/>
    <m/>
    <m/>
    <m/>
    <n v="100000"/>
    <n v="80000"/>
    <n v="80000"/>
    <n v="500000"/>
    <s v="Develop a multidimensional program to attract and retain diverse outstanding students"/>
    <s v="new requests"/>
  </r>
  <r>
    <s v="-"/>
    <s v="-"/>
    <s v="Academic and Student Services Office"/>
    <n v="847"/>
    <n v="8471230"/>
    <s v="KUST - Student Enrollment"/>
    <n v="1"/>
    <n v="425742"/>
    <s v="425742-Enrollment expenses"/>
    <s v="000000"/>
    <s v="KUST - General"/>
    <n v="847001"/>
    <s v="FA179-Opex Expense"/>
    <n v="200179"/>
    <x v="285"/>
    <m/>
    <m/>
    <m/>
    <s v="428640.Events - Awards, prizes &amp; gifts-Number of gifts-count"/>
    <s v="count"/>
    <n v="30000"/>
    <n v="10"/>
    <s v="Givaways and gifts "/>
    <n v="300000"/>
    <s v="KU Regular operations"/>
    <s v="Recurring"/>
    <n v="270000"/>
    <n v="240000"/>
    <n v="210000"/>
    <s v="Low Impact"/>
    <s v="Moderate Impact"/>
    <s v="Moderate Impact"/>
    <m/>
    <m/>
    <m/>
    <m/>
    <m/>
    <n v="150000"/>
    <m/>
    <m/>
    <n v="150000"/>
    <m/>
    <m/>
    <m/>
    <n v="300000"/>
    <s v="Develop a multidimensional program to attract and retain diverse outstanding students"/>
    <s v="new requests"/>
  </r>
  <r>
    <s v="Academic"/>
    <s v="No Applicable"/>
    <s v="Academic and Student Services Office"/>
    <n v="847"/>
    <n v="8471230"/>
    <s v="KUST - Student Enrollment"/>
    <n v="1"/>
    <n v="425742"/>
    <s v="425742-Enrollment expenses"/>
    <s v="000000"/>
    <s v="KUST - General"/>
    <n v="847001"/>
    <s v="FA179-Opex Expense"/>
    <n v="200179"/>
    <x v="285"/>
    <n v="967573.09"/>
    <n v="1647000"/>
    <m/>
    <s v="425742.Enrollment expenses-Number of Students-Number"/>
    <s v="Number"/>
    <n v="9"/>
    <n v="70000"/>
    <s v="Number of Projects: Al Nokhba Program, Scholarship Digital Campigan, Abu Dhabi Science Festival, Think Science ….etc"/>
    <n v="630000"/>
    <s v="KU Regular operations"/>
    <s v="Recurring"/>
    <n v="567000"/>
    <n v="504000"/>
    <n v="441000"/>
    <s v="Moderate Impact"/>
    <s v="Moderate Impact"/>
    <s v="High Impact"/>
    <m/>
    <m/>
    <m/>
    <m/>
    <m/>
    <n v="90000"/>
    <n v="90000"/>
    <n v="90000"/>
    <n v="90000"/>
    <n v="90000"/>
    <n v="90000"/>
    <n v="90000"/>
    <n v="630000"/>
    <s v="Develop a multidimensional program to attract and retain diverse outstanding students"/>
    <m/>
  </r>
  <r>
    <s v="IT"/>
    <s v="Director, Technology Development"/>
    <s v="Academic and Student Services Office"/>
    <n v="847"/>
    <n v="8471230"/>
    <s v="KUST - Student Enrollment"/>
    <n v="1"/>
    <n v="426610"/>
    <s v="426610-Computer software licenses"/>
    <s v="000000"/>
    <s v="KUST - General"/>
    <n v="847001"/>
    <s v="FA179-Opex Expense"/>
    <n v="200179"/>
    <x v="286"/>
    <n v="95604.5"/>
    <n v="120000"/>
    <m/>
    <s v="426610.Computer software licenses-Software License Renewal-number of licenses-Number"/>
    <s v="Number"/>
    <n v="1000"/>
    <n v="100"/>
    <s v="Webinars and Placement Tests. "/>
    <n v="100000"/>
    <s v="KU Regular operations"/>
    <s v="Recurring"/>
    <n v="90000"/>
    <n v="80000"/>
    <n v="70000"/>
    <s v="High Impact toward quality of students"/>
    <s v="High Impact toward qualified students"/>
    <s v="High Impact toward qualified students"/>
    <m/>
    <m/>
    <m/>
    <n v="20000"/>
    <m/>
    <m/>
    <m/>
    <n v="40000"/>
    <m/>
    <m/>
    <m/>
    <n v="40000"/>
    <n v="100000"/>
    <s v="Develop a multidimensional program to attract and retain diverse outstanding students"/>
    <m/>
  </r>
  <r>
    <s v="Communiction &amp; Marketing"/>
    <s v="Director, Marketing and Communication"/>
    <s v="Academic and Student Services Office"/>
    <n v="847"/>
    <n v="8471280"/>
    <s v="KUST - Center for Teaching &amp; Learning"/>
    <n v="1"/>
    <n v="425100"/>
    <s v="425100-Advertising"/>
    <s v="000000"/>
    <s v="KUST - General"/>
    <n v="847001"/>
    <s v="FA179-Opex Expense"/>
    <n v="200179"/>
    <x v="287"/>
    <s v="-"/>
    <n v="2500"/>
    <n v="2500"/>
    <s v="425100.Advertising Services (General)-Branding -count"/>
    <s v="count"/>
    <n v="100"/>
    <n v="30"/>
    <s v="200 brochures for AED 2.50"/>
    <n v="3000"/>
    <s v="KU Regular operations"/>
    <s v="Recurring"/>
    <n v="2700"/>
    <n v="2400"/>
    <n v="2100"/>
    <n v="2250"/>
    <n v="2000"/>
    <n v="1750"/>
    <n v="250"/>
    <n v="250"/>
    <n v="250"/>
    <n v="250"/>
    <n v="250"/>
    <n v="250"/>
    <n v="250"/>
    <n v="250"/>
    <n v="250"/>
    <n v="250"/>
    <n v="250"/>
    <n v="250"/>
    <n v="3000"/>
    <s v="Widen access to students with outstanding academic potential"/>
    <m/>
  </r>
  <r>
    <s v="Communiction &amp; Marketing"/>
    <s v="Director, Marketing and Communication"/>
    <s v="Academic and Student Services Office"/>
    <n v="847"/>
    <n v="8471280"/>
    <s v="KUST - Center for Teaching &amp; Learning"/>
    <n v="1"/>
    <n v="425510"/>
    <s v="425510-Conferences, seminars and exhibitions and other events: - Local Events"/>
    <s v="000000"/>
    <s v="KUST - General"/>
    <n v="847001"/>
    <s v="FA179-Opex Expense"/>
    <n v="200179"/>
    <x v="288"/>
    <n v="14261"/>
    <n v="30000"/>
    <n v="30000"/>
    <s v="425510.Conferences, seminars and exhibitions and other events: - Local Events-Events-Number of Events"/>
    <s v="Number of Events"/>
    <n v="30"/>
    <n v="1200"/>
    <s v="20-30 workshops and webinars"/>
    <n v="36000"/>
    <s v="KU Regular operations"/>
    <s v="Recurring"/>
    <n v="32400"/>
    <n v="28800"/>
    <n v="25200"/>
    <n v="27000"/>
    <n v="24000"/>
    <n v="21000"/>
    <n v="9000"/>
    <m/>
    <m/>
    <n v="9000"/>
    <m/>
    <m/>
    <m/>
    <n v="9000"/>
    <m/>
    <m/>
    <n v="9000"/>
    <m/>
    <n v="36000"/>
    <s v="Design and implement professional development programs for researchers, faculty, and  staff to contribute to the university strategic plan"/>
    <m/>
  </r>
  <r>
    <s v="Communiction &amp; Marketing"/>
    <s v="No Applicable"/>
    <s v="Academic and Student Services Office"/>
    <n v="847"/>
    <n v="8471280"/>
    <s v="KUST - Center for Teaching &amp; Learning"/>
    <n v="1"/>
    <n v="425550"/>
    <s v="425550-Conferences, seminars and exhibitions and other events: - Overseas event"/>
    <s v="000000"/>
    <s v="KUST - General"/>
    <n v="847001"/>
    <s v="FA179-Opex Expense"/>
    <n v="200179"/>
    <x v="289"/>
    <n v="7346"/>
    <n v="60000"/>
    <n v="60000"/>
    <s v="425550.Conferences, seminars and exhibitions and other events: - Overseas event-Conferences-Number of Conferences"/>
    <s v="Number of Conferences"/>
    <n v="4"/>
    <n v="18000"/>
    <s v="4 conferences for AED 15,000 each"/>
    <n v="72000"/>
    <s v="KU Regular operations"/>
    <s v="Recurring"/>
    <n v="64800"/>
    <n v="57600"/>
    <n v="50400"/>
    <n v="54000"/>
    <n v="48000"/>
    <n v="42000"/>
    <m/>
    <n v="18000"/>
    <m/>
    <m/>
    <n v="18000"/>
    <m/>
    <m/>
    <m/>
    <n v="18000"/>
    <m/>
    <m/>
    <n v="18000"/>
    <n v="72000"/>
    <s v="Build partnerships with local and international universities"/>
    <m/>
  </r>
  <r>
    <n v="0"/>
    <s v="No Applicable"/>
    <s v="Academic and Student Services Office"/>
    <n v="847"/>
    <n v="8471280"/>
    <s v="KUST - Center for Teaching &amp; Learning"/>
    <n v="1"/>
    <n v="425710"/>
    <s v="425710-Higher education and specialisation incentives"/>
    <s v="000000"/>
    <s v="KUST - General"/>
    <n v="847001"/>
    <s v="FA179-Opex Expense"/>
    <n v="200179"/>
    <x v="290"/>
    <s v="-"/>
    <n v="300000"/>
    <n v="300000"/>
    <s v="425710.Higher education and specialisation incentives-number of faculty-number"/>
    <s v="number"/>
    <n v="2"/>
    <n v="180000"/>
    <s v="10 Faculty Mini-Grants, and Accreditation &amp; Faculty Fellowship"/>
    <n v="360000"/>
    <s v="KU Regular operations"/>
    <s v="Recurring"/>
    <n v="324000"/>
    <n v="288000"/>
    <n v="251999.99999999997"/>
    <n v="270000"/>
    <n v="240000"/>
    <n v="210000"/>
    <n v="120000"/>
    <m/>
    <m/>
    <m/>
    <m/>
    <n v="120000"/>
    <m/>
    <m/>
    <m/>
    <m/>
    <m/>
    <n v="120000"/>
    <n v="360000"/>
    <s v="Develop a new learning outcomes assessment framework at the course, programs, and institutional levels"/>
    <m/>
  </r>
  <r>
    <s v="Student"/>
    <s v="Director, Student Services"/>
    <s v="Academic and Student Services Office"/>
    <n v="847"/>
    <n v="8471280"/>
    <s v="KUST - Center for Teaching &amp; Learning"/>
    <n v="1"/>
    <n v="425760"/>
    <s v="425760-Student activities &amp; field trip expenses"/>
    <s v="000000"/>
    <s v="KUST - General"/>
    <n v="847001"/>
    <s v="FA179-Opex Expense"/>
    <n v="200179"/>
    <x v="291"/>
    <s v="-"/>
    <n v="30000"/>
    <n v="30000"/>
    <s v="425760.Student activities &amp; field trip expenses-Events-No of Events"/>
    <s v="No of Events"/>
    <n v="2"/>
    <n v="18000"/>
    <s v="workshop and training for AED 15,000  / symposium for AED 15,000"/>
    <n v="36000"/>
    <s v="KU Regular operations"/>
    <s v="Recurring"/>
    <n v="32400"/>
    <n v="28800"/>
    <n v="25200"/>
    <n v="27000"/>
    <n v="24000"/>
    <n v="21000"/>
    <m/>
    <n v="9000"/>
    <m/>
    <n v="9000"/>
    <m/>
    <m/>
    <n v="9000"/>
    <m/>
    <m/>
    <n v="9000"/>
    <m/>
    <m/>
    <n v="36000"/>
    <s v="Develop a life-long culture of community service beyond the classroom "/>
    <m/>
  </r>
  <r>
    <s v="Academic"/>
    <s v="No Applicable"/>
    <s v="Academic and Student Services Office"/>
    <n v="847"/>
    <n v="8471280"/>
    <s v="KUST - Center for Teaching &amp; Learning"/>
    <n v="1"/>
    <n v="425770"/>
    <s v="425770-Academic Missions - Combined expenses"/>
    <s v="000000"/>
    <s v="KUST - General"/>
    <n v="847001"/>
    <s v="FA179-Opex Expense"/>
    <n v="200179"/>
    <x v="292"/>
    <n v="30906.93"/>
    <n v="200000"/>
    <n v="200000"/>
    <s v="425770.Academic Missions - Combined expenses-Number of Conference-Number"/>
    <s v="Number"/>
    <n v="4"/>
    <n v="60000"/>
    <s v="guest speakers, honorarium and  blended courses"/>
    <n v="240000"/>
    <s v="KU Regular operations"/>
    <s v="Recurring"/>
    <n v="216000"/>
    <n v="192000"/>
    <n v="168000"/>
    <n v="180000"/>
    <n v="160000"/>
    <n v="140000"/>
    <n v="40000"/>
    <m/>
    <n v="40000"/>
    <m/>
    <m/>
    <n v="40000"/>
    <m/>
    <n v="40000"/>
    <m/>
    <n v="40000"/>
    <m/>
    <n v="40000"/>
    <n v="240000"/>
    <s v="Attract and organize international conferences and summits"/>
    <m/>
  </r>
  <r>
    <s v="IT"/>
    <s v="Director, Technology Development"/>
    <s v="Academic and Student Services Office"/>
    <n v="847"/>
    <n v="8471280"/>
    <s v="KUST - Center for Teaching &amp; Learning"/>
    <n v="1"/>
    <n v="426610"/>
    <s v="426610-Computer software licenses"/>
    <s v="000000"/>
    <s v="KUST - General"/>
    <n v="847001"/>
    <s v="FA179-Opex Expense"/>
    <n v="200179"/>
    <x v="293"/>
    <n v="117689.83"/>
    <n v="321000"/>
    <n v="321000"/>
    <s v="426610.Computer software licenses-Software License Renewal-number of licenses-Number"/>
    <s v="Number"/>
    <n v="20"/>
    <n v="79260"/>
    <s v="tools/software for exam, collaborative, survey, assessment, project management, authoring, polling, learners reporting, statistics, awards and management"/>
    <n v="1585200"/>
    <s v="KU Regular operations"/>
    <s v="Recurring"/>
    <n v="1426680"/>
    <n v="1268160"/>
    <n v="1109640"/>
    <n v="324000"/>
    <n v="288000"/>
    <n v="252000"/>
    <n v="96300"/>
    <n v="1200000"/>
    <m/>
    <n v="96300"/>
    <m/>
    <m/>
    <n v="96300"/>
    <m/>
    <m/>
    <n v="96300"/>
    <m/>
    <m/>
    <n v="1585200"/>
    <s v="Utilize state-of-the-art technologies and facilities in an optimal and efficient manner"/>
    <s v="tools and software requested from IT"/>
  </r>
  <r>
    <s v="Communiction &amp; Marketing"/>
    <s v="Director, Marketing and Communication"/>
    <s v="Academic and Student Services Office"/>
    <n v="847"/>
    <n v="8471280"/>
    <s v="KUST - Center for Teaching &amp; Learning"/>
    <n v="1"/>
    <n v="428640"/>
    <s v="428640-Events - Awards, prizes &amp; gifts"/>
    <s v="000000"/>
    <s v="KUST - General"/>
    <n v="847001"/>
    <s v="FA179-Opex Expense"/>
    <n v="200179"/>
    <x v="294"/>
    <n v="866.25"/>
    <n v="15000"/>
    <n v="15000"/>
    <s v="428640.Events - Awards, prizes &amp; gifts-Number of prizes-count"/>
    <s v="count"/>
    <n v="6"/>
    <n v="3000"/>
    <s v="faculty and student competition, activities, and services"/>
    <n v="18000"/>
    <s v="KU Regular operations"/>
    <s v="Recurring"/>
    <n v="16200"/>
    <n v="14400"/>
    <n v="12600"/>
    <n v="13500"/>
    <n v="12000"/>
    <n v="10500"/>
    <n v="1800"/>
    <n v="1800"/>
    <n v="1800"/>
    <n v="1800"/>
    <n v="1800"/>
    <m/>
    <n v="1800"/>
    <n v="1800"/>
    <n v="1800"/>
    <n v="1800"/>
    <n v="1800"/>
    <m/>
    <n v="18000"/>
    <s v="Enhance the communication plan and outreach activities"/>
    <m/>
  </r>
  <r>
    <s v="Facilities"/>
    <s v="No Applicable"/>
    <s v="Academic and Student Services Office"/>
    <n v="847"/>
    <n v="8471280"/>
    <s v="KUST - Center for Teaching &amp; Learning"/>
    <n v="1"/>
    <n v="432170"/>
    <s v="432170-Bldg decoration &amp; minor improvements"/>
    <s v="000000"/>
    <s v="KUST - General"/>
    <n v="847001"/>
    <s v="FA179-Opex Expense"/>
    <n v="200179"/>
    <x v="295"/>
    <s v="-"/>
    <n v="200000"/>
    <n v="200000"/>
    <s v="432170.Bldg decoration &amp; miNumberr improvements-Number of Buildings-Number"/>
    <s v="Number"/>
    <n v="3"/>
    <n v="80000"/>
    <s v="Upgrade and fix the learning spaces and workshop areas into quiet and individualized environment that meet the minimum standards. "/>
    <n v="240000"/>
    <s v="KU Regular operations"/>
    <s v="Recurring"/>
    <n v="216000"/>
    <n v="192000"/>
    <n v="168000"/>
    <n v="202500"/>
    <n v="180000"/>
    <n v="157500"/>
    <n v="60000"/>
    <m/>
    <m/>
    <n v="60000"/>
    <m/>
    <m/>
    <m/>
    <n v="60000"/>
    <n v="60000"/>
    <m/>
    <m/>
    <m/>
    <n v="240000"/>
    <s v="Utilize state-of-the-art technologies and facilities in an optimal and efficient manner"/>
    <m/>
  </r>
  <r>
    <s v="Academic"/>
    <s v="No Applicable"/>
    <s v="Academic and Student Services Office"/>
    <n v="847"/>
    <n v="8471280"/>
    <s v="KUST - Center for Teaching &amp; Learning"/>
    <n v="1"/>
    <n v="435340"/>
    <s v="435340-Text books and library books"/>
    <s v="000000"/>
    <s v="KUST - General"/>
    <n v="847001"/>
    <s v="FA179-Opex Expense"/>
    <n v="200179"/>
    <x v="296"/>
    <s v="-"/>
    <n v="10000"/>
    <n v="10000"/>
    <s v="435340.Text books and library books-Design cost of the book-Number of pages"/>
    <s v="Number of pages"/>
    <n v="40"/>
    <n v="300"/>
    <s v="Teaching and learning resources including access to as e-books  "/>
    <n v="12000"/>
    <s v="KU Regular operations"/>
    <s v="Recurring"/>
    <n v="10800"/>
    <n v="9600"/>
    <n v="8400"/>
    <n v="9000"/>
    <n v="8000"/>
    <n v="7000"/>
    <n v="1000"/>
    <n v="1000"/>
    <n v="1000"/>
    <n v="1000"/>
    <n v="1000"/>
    <n v="1000"/>
    <n v="1000"/>
    <n v="1000"/>
    <n v="1000"/>
    <n v="1000"/>
    <n v="1000"/>
    <n v="1000"/>
    <n v="12000"/>
    <s v="Establish a mobility program for students, faculty, researchers and staff"/>
    <m/>
  </r>
  <r>
    <s v="Academic"/>
    <s v="No Applicable"/>
    <s v="Academic and Student Services Office"/>
    <n v="847"/>
    <n v="8471280"/>
    <s v="KUST - Center for Teaching &amp; Learning"/>
    <n v="1"/>
    <n v="435530"/>
    <s v="435530-School consumables, not specifically mentioned elsewhere"/>
    <s v="000000"/>
    <s v="KUST - General"/>
    <n v="847001"/>
    <s v="FA179-Opex Expense"/>
    <n v="200179"/>
    <x v="297"/>
    <s v="-"/>
    <n v="5000"/>
    <n v="5000"/>
    <s v="435530.School consumables, Numbert specifically mentioned elsewhere-Number of Faculty-Number"/>
    <s v="Number"/>
    <n v="50"/>
    <n v="120"/>
    <s v="Stationery supplies and resources not in the store"/>
    <n v="6000"/>
    <s v="KU Regular operations"/>
    <s v="Recurring"/>
    <n v="5400"/>
    <n v="4800"/>
    <n v="4200"/>
    <n v="4500"/>
    <n v="4000"/>
    <n v="3500"/>
    <m/>
    <n v="2000"/>
    <m/>
    <m/>
    <n v="2000"/>
    <m/>
    <m/>
    <m/>
    <m/>
    <n v="2000"/>
    <m/>
    <m/>
    <n v="6000"/>
    <s v="Ensure the university sustainability "/>
    <m/>
  </r>
  <r>
    <s v="Facilities "/>
    <s v="Director, Research Laboratories"/>
    <s v="Academic and Student Services Office"/>
    <n v="847"/>
    <n v="8471280"/>
    <s v="KUST - Center for Teaching &amp; Learning"/>
    <n v="1"/>
    <n v="492316"/>
    <s v="492316-Laboratory equipment"/>
    <s v="000000"/>
    <s v="KUST - General"/>
    <n v="847001"/>
    <s v="FA180-Capex Expense"/>
    <n v="300180"/>
    <x v="298"/>
    <s v="-"/>
    <n v="6879"/>
    <n v="6879"/>
    <s v="492316.Laboratory equipment-Number of Students-Number"/>
    <s v="Number"/>
    <n v="6"/>
    <n v="1375"/>
    <s v="Converting face to face courses to hybrid format (SME, ID, IT) and developing blended online courses (SME, ID, IT)"/>
    <n v="8250"/>
    <s v="KU Regular operations"/>
    <s v="Recurring"/>
    <n v="7425"/>
    <n v="6600"/>
    <n v="5775"/>
    <n v="4500"/>
    <n v="4000"/>
    <n v="3500"/>
    <n v="1375"/>
    <m/>
    <n v="1375"/>
    <m/>
    <n v="1375"/>
    <m/>
    <m/>
    <m/>
    <m/>
    <n v="1375"/>
    <n v="1375"/>
    <n v="1375"/>
    <n v="8250"/>
    <s v="Utilize state-of-the-art technologies and facilities in an optimal and efficient manner"/>
    <m/>
  </r>
  <r>
    <s v="Academic "/>
    <s v="No Applicable"/>
    <s v="Academic and Student Services Office"/>
    <n v="847"/>
    <n v="8471280"/>
    <s v="KUST - Center for Teaching &amp; Learning"/>
    <n v="1"/>
    <n v="428090"/>
    <s v="428090-Business Travel - Combined expenses"/>
    <s v="000000"/>
    <s v="KUST - General"/>
    <n v="847001"/>
    <s v="FA179-Opex Expense"/>
    <n v="200179"/>
    <x v="299"/>
    <n v="2200"/>
    <m/>
    <m/>
    <s v="428090.Business Travel - Combined expenses-Number of Staff-Number"/>
    <s v="Number"/>
    <n v="3"/>
    <n v="880"/>
    <s v="overseas conferences for staff"/>
    <n v="2640"/>
    <s v="KU Regular operations"/>
    <s v="Recurring"/>
    <n v="2376"/>
    <n v="2112"/>
    <n v="1847.9999999999998"/>
    <n v="27000"/>
    <n v="24000"/>
    <n v="21000"/>
    <n v="880"/>
    <m/>
    <m/>
    <n v="880"/>
    <m/>
    <m/>
    <m/>
    <m/>
    <n v="880"/>
    <m/>
    <m/>
    <m/>
    <n v="2640"/>
    <s v="Align academic programs with the local and global labor market needs"/>
    <s v="new requests"/>
  </r>
  <r>
    <s v="Communiction &amp; Marketing"/>
    <s v="Director, Marketing and Communication"/>
    <s v="Academic and Student Services Office"/>
    <n v="847"/>
    <n v="8471250"/>
    <s v="KUST - Career Services"/>
    <n v="1"/>
    <n v="425510"/>
    <s v="425510-Conferences, seminars and exhibitions and other events: - Local Events"/>
    <s v="000000"/>
    <s v="KUST - General"/>
    <n v="847001"/>
    <s v="FA179-Opex Expense"/>
    <n v="200179"/>
    <x v="300"/>
    <n v="255064.92"/>
    <n v="317500"/>
    <n v="317500"/>
    <s v="425510.Conferences, seminars and exhibitions and other events: - Local Events-Number of Event-Number"/>
    <s v="Number"/>
    <n v="5"/>
    <n v="200000"/>
    <s v="Career Fair, Alumni Reunion, Majors Day and Employer Recognition -  event organization/ venue setup"/>
    <n v="1000000"/>
    <s v="KU Strategic New Initiative"/>
    <m/>
    <n v="900000"/>
    <n v="800000"/>
    <n v="700000"/>
    <s v="Venue setup and planning will be affected- might not be able to meet all KU, employer, alumni and students Expectations and requirements"/>
    <s v="Will not meet our target of 65 employers, so number of employers participating will decrease"/>
    <s v="Will not meet our target of 65 employers, so number of employers participating will decrease"/>
    <m/>
    <n v="80000"/>
    <m/>
    <m/>
    <m/>
    <m/>
    <m/>
    <n v="70000"/>
    <n v="300000"/>
    <n v="300000"/>
    <n v="250000"/>
    <m/>
    <n v="1000000"/>
    <s v="Develop a career guidance system"/>
    <s v="new events ( alumni reunion 300 k in hotel)  waiting for supporting document"/>
  </r>
  <r>
    <s v="Student"/>
    <s v="No Applicable"/>
    <s v="Academic and Student Services Office"/>
    <n v="847"/>
    <n v="8471250"/>
    <s v="KUST - Career Services"/>
    <n v="1"/>
    <n v="425720"/>
    <s v="425720-Education-Outsourced training service"/>
    <s v="000000"/>
    <s v="KUST - General"/>
    <n v="847001"/>
    <s v="FA179-Opex Expense"/>
    <n v="200179"/>
    <x v="301"/>
    <n v="370000"/>
    <n v="550000"/>
    <n v="550000"/>
    <s v="425720.Education-Outsourced training service-Activities-No of Activities"/>
    <s v="No of Activities"/>
    <n v="2"/>
    <n v="280000"/>
    <s v="Outsourced: Career Development Course Content"/>
    <n v="560000"/>
    <s v="KU Strategic New Initiative"/>
    <m/>
    <n v="504000"/>
    <n v="448000"/>
    <n v="392000"/>
    <s v="Quality of courses content and development will be affected"/>
    <s v="Quality of courses content and development will be affected"/>
    <s v="Might not be able to meet the expectation of the courses "/>
    <m/>
    <n v="560000"/>
    <m/>
    <m/>
    <m/>
    <m/>
    <m/>
    <m/>
    <m/>
    <m/>
    <m/>
    <m/>
    <n v="560000"/>
    <s v="Develop a career guidance system"/>
    <m/>
  </r>
  <r>
    <s v="Student"/>
    <s v="No Applicable"/>
    <s v="Academic and Student Services Office"/>
    <n v="847"/>
    <n v="8471250"/>
    <s v="KUST - Career Services"/>
    <n v="1"/>
    <n v="425762"/>
    <s v="425762-Student Internship"/>
    <s v="000000"/>
    <s v="KUST - General"/>
    <n v="847001"/>
    <s v="FA179-Opex Expense"/>
    <n v="200179"/>
    <x v="302"/>
    <n v="0"/>
    <n v="520000"/>
    <n v="520000"/>
    <s v="425762.Student Internship-Number of Students UG-Month"/>
    <s v="Month"/>
    <n v="80"/>
    <n v="26800"/>
    <s v="International placements: to cover accomodation, travel expenses, air tickets and per diem"/>
    <n v="2144000"/>
    <s v="KU Strategic New Initiative"/>
    <m/>
    <n v="1929600"/>
    <n v="1715200"/>
    <n v="1500800"/>
    <s v="Number of students on international internship will be impacted"/>
    <s v="Number of students on international internship will be impacted"/>
    <s v="Number of students on international internship will be impacted"/>
    <m/>
    <n v="2144000"/>
    <m/>
    <m/>
    <m/>
    <m/>
    <m/>
    <m/>
    <m/>
    <m/>
    <m/>
    <m/>
    <n v="2144000"/>
    <s v="Develop holistic internship programs "/>
    <s v="international internship and exchange program related to strategic project"/>
  </r>
  <r>
    <s v="Other support"/>
    <s v="Director, Human Resources"/>
    <s v="Academic and Student Services Office"/>
    <n v="847"/>
    <n v="8471250"/>
    <s v="KUST - Career Services"/>
    <n v="1"/>
    <n v="425900"/>
    <s v="425900-Entertainment and hospitality"/>
    <s v="000000"/>
    <s v="KUST - General"/>
    <n v="847001"/>
    <s v="FA179-Opex Expense"/>
    <n v="200179"/>
    <x v="303"/>
    <s v="-"/>
    <n v="51000"/>
    <n v="51000"/>
    <s v="425900.Entertainment and hospitality-1. No of events/workshops planned-count"/>
    <s v="count"/>
    <n v="5"/>
    <n v="15000"/>
    <s v="To cover the various events held during the academic year"/>
    <n v="75000"/>
    <s v="KU Regular operations"/>
    <m/>
    <n v="67500"/>
    <n v="60000"/>
    <n v="52500"/>
    <s v="Lower the standard of catering provided"/>
    <s v="Lower the standard of catering provided"/>
    <s v="Will affect number of invited guests - selected menu will be affected"/>
    <m/>
    <n v="15000"/>
    <m/>
    <m/>
    <m/>
    <m/>
    <m/>
    <n v="10000"/>
    <n v="15000"/>
    <n v="20000"/>
    <n v="15000"/>
    <m/>
    <n v="75000"/>
    <m/>
    <m/>
  </r>
  <r>
    <s v="IT"/>
    <s v="Director, Technology Development"/>
    <s v="Academic and Student Services Office"/>
    <n v="847"/>
    <n v="8471250"/>
    <s v="KUST - Career Services"/>
    <n v="1"/>
    <n v="426610"/>
    <s v="426610-Computer software licenses"/>
    <s v="000000"/>
    <s v="KUST - General"/>
    <n v="847001"/>
    <s v="FA179-Opex Expense"/>
    <n v="200179"/>
    <x v="304"/>
    <n v="0"/>
    <n v="60608"/>
    <n v="60605"/>
    <s v="426610.Computer software licenses-Software License Renewal-number of licenses-Number"/>
    <s v="Number"/>
    <n v="3"/>
    <n v="124384"/>
    <s v="Systems renewal cost"/>
    <n v="373152"/>
    <s v="KU Regular operations"/>
    <m/>
    <n v="335836.8"/>
    <n v="298521.60000000003"/>
    <n v="261206.39999999999"/>
    <s v="Systems cost should be paid in full"/>
    <s v="Systems cost should be paid in full"/>
    <s v="Systems cost should be paid in full"/>
    <m/>
    <n v="373152"/>
    <m/>
    <m/>
    <m/>
    <m/>
    <m/>
    <m/>
    <m/>
    <m/>
    <m/>
    <m/>
    <n v="373152"/>
    <m/>
    <s v="ADDA IT "/>
  </r>
  <r>
    <s v="Academic "/>
    <s v="No Applicable"/>
    <s v="Academic and Student Services Office"/>
    <n v="847"/>
    <n v="8471250"/>
    <s v="KUST - Career Services"/>
    <n v="1"/>
    <n v="428090"/>
    <s v="428090-Business Travel - Combined expenses"/>
    <s v="000000"/>
    <s v="KUST - General"/>
    <n v="847001"/>
    <s v="FA179-Opex Expense"/>
    <n v="200179"/>
    <x v="305"/>
    <n v="0"/>
    <n v="10000"/>
    <n v="10000"/>
    <s v="428090.Business Travel - Combined expenses-Number of Staff-Number"/>
    <s v="Number"/>
    <m/>
    <m/>
    <m/>
    <n v="0"/>
    <m/>
    <m/>
    <n v="0"/>
    <n v="0"/>
    <n v="0"/>
    <m/>
    <m/>
    <m/>
    <m/>
    <m/>
    <m/>
    <m/>
    <m/>
    <m/>
    <m/>
    <m/>
    <m/>
    <m/>
    <m/>
    <m/>
    <n v="0"/>
    <m/>
    <m/>
  </r>
  <r>
    <s v="Communiction &amp; Marketing"/>
    <s v="Director, Marketing and Communication"/>
    <s v="Academic and Student Services Office"/>
    <n v="847"/>
    <n v="8471250"/>
    <s v="KUST - Career Services"/>
    <n v="1"/>
    <n v="428640"/>
    <s v="428640-Events - Awards, prizes &amp; gifts"/>
    <s v="000000"/>
    <s v="KUST - General"/>
    <n v="847001"/>
    <s v="FA179-Opex Expense"/>
    <n v="200179"/>
    <x v="306"/>
    <s v="-"/>
    <n v="46500"/>
    <n v="46500"/>
    <s v="428640.Events - Awards, prizes &amp; gifts-Number of gifts-count"/>
    <s v="count"/>
    <n v="200"/>
    <n v="400"/>
    <s v="Trophies for participants in major events as an appreciation for their contribution to further students career development "/>
    <n v="80000"/>
    <s v="KU Regular operations"/>
    <m/>
    <n v="72000"/>
    <n v="64000"/>
    <n v="56000"/>
    <s v="Quality of the gifts will be impacted"/>
    <s v="Quality of the gifts will be impacted - not all events/employers will be covered"/>
    <s v="Quality and quantity will be impacted"/>
    <m/>
    <n v="15000"/>
    <m/>
    <m/>
    <m/>
    <m/>
    <m/>
    <n v="5000"/>
    <n v="40000"/>
    <n v="10000"/>
    <n v="10000"/>
    <m/>
    <n v="80000"/>
    <m/>
    <s v="quality of gifts"/>
  </r>
  <r>
    <s v="Other support"/>
    <s v="No Applicable"/>
    <s v="Academic and Student Services Office"/>
    <n v="847"/>
    <n v="8471250"/>
    <s v="KUST - Career Services"/>
    <n v="1"/>
    <n v="436110"/>
    <s v="436110-Printing supplies"/>
    <s v="000000"/>
    <s v="KUST - General"/>
    <n v="847001"/>
    <s v="FA179-Opex Expense"/>
    <n v="200179"/>
    <x v="307"/>
    <n v="-5910"/>
    <n v="10000"/>
    <n v="10000"/>
    <s v="436110.Printing supplies-Number of Employees-Number"/>
    <s v="Number"/>
    <n v="5"/>
    <n v="2000"/>
    <s v="branding and collaterals, flyers and handbooks to be printed for events "/>
    <n v="10000"/>
    <s v="KU Regular operations"/>
    <m/>
    <n v="9000"/>
    <n v="8000"/>
    <n v="7000"/>
    <s v="Number/quality of printed material will be impacted"/>
    <s v="Number/quality of printed material will be impacted"/>
    <s v="Number/quality of printed material will be impacted"/>
    <m/>
    <n v="10000"/>
    <m/>
    <m/>
    <m/>
    <m/>
    <m/>
    <m/>
    <m/>
    <m/>
    <m/>
    <m/>
    <n v="10000"/>
    <m/>
    <m/>
  </r>
  <r>
    <s v="Communiction &amp; Marketing"/>
    <s v="Director, Marketing and Communication"/>
    <s v="Continuing Education"/>
    <n v="847"/>
    <n v="8471010"/>
    <s v="KUST - Continuing Education Office"/>
    <n v="1"/>
    <n v="425510"/>
    <s v="425510-Conferences, seminars and exhibitions and other events: - Local Events"/>
    <s v="000000"/>
    <s v="KUST - General"/>
    <n v="847001"/>
    <s v="FA179-Opex Expense"/>
    <n v="200179"/>
    <x v="308"/>
    <n v="0"/>
    <n v="100000"/>
    <m/>
    <s v="425510.Conferences, seminars and exhibitions and other events: - Local Events-Events-Number of Events"/>
    <s v="Number of Events"/>
    <n v="2"/>
    <n v="50000"/>
    <s v="Conference/ seminars for the Manager and to participate in local exhibit to promote the KU Continuing Education activities."/>
    <n v="100000"/>
    <s v="KU Regular operations"/>
    <s v="Recurring"/>
    <n v="90000"/>
    <n v="80000"/>
    <n v="70000"/>
    <s v="Reduce the the number of activities  by 10%"/>
    <s v="Reduce the the number of activities  by 20%"/>
    <s v="Reduce the the number of activities  by 30%"/>
    <m/>
    <m/>
    <m/>
    <n v="50000"/>
    <m/>
    <m/>
    <m/>
    <m/>
    <n v="50000"/>
    <m/>
    <m/>
    <m/>
    <n v="100000"/>
    <s v="Attract and organize international conferences and summits"/>
    <m/>
  </r>
  <r>
    <s v="Student"/>
    <s v="No Applicable"/>
    <s v="Continuing Education"/>
    <n v="847"/>
    <n v="8471010"/>
    <s v="KUST - Continuing Education Office"/>
    <n v="1"/>
    <n v="425720"/>
    <s v="425720-Education-Outsourced training service"/>
    <s v="000000"/>
    <s v="KUST - General"/>
    <n v="847001"/>
    <s v="FA179-Opex Expense"/>
    <n v="200179"/>
    <x v="309"/>
    <n v="23528"/>
    <n v="76120"/>
    <m/>
    <s v="425720.Education-Outsourced training service-Activities-No of Activities"/>
    <s v="No of Activities"/>
    <n v="11"/>
    <n v="6920"/>
    <s v="Outsourced Fee for  57 days @ AED 1384/daily"/>
    <n v="76120"/>
    <s v="KU Regular operations"/>
    <s v="Recurring"/>
    <n v="68508"/>
    <n v="60896"/>
    <n v="53284"/>
    <s v="This will affect the regular operation "/>
    <s v="This will affect the regular operation "/>
    <s v="This will affect the regular operation "/>
    <m/>
    <m/>
    <n v="6920"/>
    <m/>
    <n v="6920"/>
    <n v="13840"/>
    <n v="13840"/>
    <m/>
    <n v="13840"/>
    <n v="13840"/>
    <n v="6920"/>
    <m/>
    <n v="76120"/>
    <s v="Build partnerships with local and international universities"/>
    <m/>
  </r>
  <r>
    <s v="Other support"/>
    <s v="Director, Human Resources"/>
    <s v="Continuing Education"/>
    <n v="847"/>
    <n v="8471010"/>
    <s v="KUST - Continuing Education Office"/>
    <n v="1"/>
    <n v="425900"/>
    <s v="425900-Entertainment and hospitality"/>
    <s v="000000"/>
    <s v="KUST - General"/>
    <n v="847001"/>
    <s v="FA179-Opex Expense"/>
    <n v="200179"/>
    <x v="310"/>
    <n v="26586"/>
    <n v="162500"/>
    <m/>
    <s v="425900.Entertainment and hospitality-1. No of events/workshops planned-count"/>
    <s v="count"/>
    <n v="20"/>
    <n v="4420"/>
    <s v="Catering services Expected 20 training &amp; worshop F2F with 20 participants each workshop"/>
    <n v="88400"/>
    <s v="KU Regular operations"/>
    <s v="Recurring"/>
    <n v="79560"/>
    <n v="70720"/>
    <n v="61879.999999999993"/>
    <s v="This will affect the regular operation "/>
    <s v="This will affect the regular operation "/>
    <s v="This will affect the regular operation "/>
    <n v="6500"/>
    <n v="6500"/>
    <n v="6500"/>
    <n v="9100"/>
    <m/>
    <n v="36400"/>
    <n v="10400"/>
    <m/>
    <n v="6500"/>
    <n v="6500"/>
    <m/>
    <m/>
    <n v="88400"/>
    <s v="Ensure the university sustainability "/>
    <m/>
  </r>
  <r>
    <s v="Other support"/>
    <s v="No Applicable"/>
    <s v="Continuing Education"/>
    <n v="847"/>
    <n v="8471010"/>
    <s v="KUST - Continuing Education Office"/>
    <n v="1"/>
    <n v="436110"/>
    <s v="436110-Printing supplies"/>
    <s v="000000"/>
    <s v="KUST - General"/>
    <n v="847001"/>
    <s v="FA179-Opex Expense"/>
    <n v="200179"/>
    <x v="311"/>
    <n v="0"/>
    <n v="50625"/>
    <m/>
    <s v="436110.Printing supplies-Number of Student-Number"/>
    <s v="Number"/>
    <n v="10"/>
    <n v="2000"/>
    <s v="Printing supplies for students at AED 2000 per training session for 10  trainings/worshop that required printing training materials"/>
    <n v="20000"/>
    <s v="KU Regular operations"/>
    <s v="Recurring"/>
    <n v="18000"/>
    <n v="16000"/>
    <n v="14000"/>
    <s v="This will affect the regular operation "/>
    <s v="This will affect the regular operation "/>
    <s v="This will affect the regular operation "/>
    <n v="2000"/>
    <n v="2000"/>
    <n v="2000"/>
    <n v="2000"/>
    <m/>
    <n v="2000"/>
    <n v="2000"/>
    <n v="2000"/>
    <n v="2000"/>
    <n v="2000"/>
    <n v="2000"/>
    <m/>
    <n v="20000"/>
    <s v="Ensure the university sustainability "/>
    <m/>
  </r>
  <r>
    <s v="Other support"/>
    <s v="No Applicable"/>
    <s v="Continuing Education"/>
    <n v="847"/>
    <n v="8471010"/>
    <s v="KUST - Continuing Education Office"/>
    <n v="1"/>
    <n v="436120"/>
    <s v="436120-Stationery"/>
    <s v="000000"/>
    <s v="KUST - General"/>
    <n v="847001"/>
    <s v="FA179-Opex Expense"/>
    <n v="200179"/>
    <x v="312"/>
    <n v="0"/>
    <n v="5625"/>
    <m/>
    <s v="436120.Stationery-Number of Employees-Number"/>
    <s v="Number"/>
    <n v="12"/>
    <n v="500"/>
    <s v="Training supplies for students attending the 12 trainings/ workshops ( Pens, pencil, note pads, flip chart paper, white board markers and etc."/>
    <n v="6000"/>
    <s v="KU Regular operations"/>
    <s v="Recurring"/>
    <n v="5400"/>
    <n v="4800"/>
    <n v="4200"/>
    <s v="This will affect the regular operation "/>
    <s v="This will affect the regular operation "/>
    <s v="This will affect the regular operation "/>
    <n v="500"/>
    <n v="500"/>
    <n v="500"/>
    <n v="500"/>
    <m/>
    <n v="1000"/>
    <n v="1000"/>
    <n v="500"/>
    <n v="500"/>
    <n v="500"/>
    <n v="500"/>
    <m/>
    <n v="6000"/>
    <s v="Ensure the university sustainability "/>
    <m/>
  </r>
  <r>
    <s v="Other support"/>
    <s v="No Applicable"/>
    <s v="Continuing Education"/>
    <n v="847"/>
    <n v="8471010"/>
    <s v="KUST - Continuing Education Office"/>
    <n v="1"/>
    <n v="425100"/>
    <s v="425100-Advertising Services (General)"/>
    <s v="000000"/>
    <s v="KUST - General"/>
    <n v="847001"/>
    <s v="FA179-Opex Expense"/>
    <n v="200179"/>
    <x v="313"/>
    <m/>
    <m/>
    <m/>
    <s v="425100.Advertising Services (General)-Digital Marketing Campaigns-count"/>
    <s v="count"/>
    <n v="20"/>
    <n v="6000"/>
    <s v="Yearly marketing campaign to promote KU-CE to increase visibilty through a digital platform  between  20-25 courses yearly."/>
    <n v="120000"/>
    <s v="KU Regular operations"/>
    <s v="Recurring"/>
    <n v="108000"/>
    <n v="96000"/>
    <n v="84000"/>
    <s v="This will affect the regular operation "/>
    <s v="This will affect the regular operation "/>
    <s v="This will affect the regular operation "/>
    <m/>
    <m/>
    <m/>
    <n v="120000"/>
    <m/>
    <m/>
    <m/>
    <m/>
    <m/>
    <m/>
    <m/>
    <m/>
    <n v="120000"/>
    <s v="Enhance the communication plan and outreach activities"/>
    <s v="new requests"/>
  </r>
  <r>
    <s v="Academic"/>
    <s v="No Applicable"/>
    <s v="Academic and Student Services Office"/>
    <n v="847"/>
    <n v="8470230"/>
    <s v="KUST - Graduate Studies"/>
    <n v="1"/>
    <n v="420550"/>
    <s v="420550-Academic Advisory Service"/>
    <s v="000000"/>
    <s v="KUST - General"/>
    <n v="847001"/>
    <s v="FA179-Opex Expense"/>
    <n v="200179"/>
    <x v="314"/>
    <n v="56949.06"/>
    <n v="1020620"/>
    <n v="1020620"/>
    <s v="420550.Academic Advisory Service-Number of Students-Number"/>
    <s v="Number"/>
    <n v="63"/>
    <n v="31902"/>
    <s v="Number of PhD students graduating - Refer to attached Itemised Details"/>
    <n v="2009826"/>
    <s v="KU Regular operations"/>
    <s v="Recurring"/>
    <n v="1808843.4000000001"/>
    <n v="1607860.8"/>
    <n v="1406878.2"/>
    <s v="Every PhD student's final defense committee requires an independent external examiner, as per KU policy. It will be diffcult to find external examiners who are willing to serve for free."/>
    <s v="Every PhD student's final defense committee requires an independent external examiner, as per KU policy. It will be diffcult to find external examiners who are willing to serve for free."/>
    <s v="Every PhD student's final defense committee requires an independent external examiner, as per KU policy. It will be diffcult to find external examiners who are willing to serve for free."/>
    <m/>
    <m/>
    <m/>
    <n v="46600"/>
    <n v="366567"/>
    <n v="366567"/>
    <n v="366568"/>
    <m/>
    <m/>
    <n v="272308"/>
    <n v="318908"/>
    <n v="272308"/>
    <n v="2009826"/>
    <s v="Align the postgraduates programs with the research strategy"/>
    <s v="increase number of students? Is it the same as planned?"/>
  </r>
  <r>
    <s v="Communiction &amp; Marketing"/>
    <s v="Director, Marketing and Communication"/>
    <s v="Academic and Student Services Office"/>
    <n v="847"/>
    <n v="8470230"/>
    <s v="KUST - Graduate Studies"/>
    <n v="1"/>
    <n v="425100"/>
    <s v="425100-Advertising"/>
    <s v="000000"/>
    <s v="KUST - General"/>
    <n v="847001"/>
    <s v="FA179-Opex Expense"/>
    <n v="200179"/>
    <x v="315"/>
    <n v="0"/>
    <n v="300000"/>
    <n v="300000"/>
    <s v="425100.Advertising Services (General)-Digital Marketing Campaigns-count"/>
    <s v="count"/>
    <n v="8"/>
    <n v="37500"/>
    <s v="Refer to attached Itemised Details"/>
    <n v="300000"/>
    <s v="KU Regular operations"/>
    <s v="Recurring"/>
    <n v="270000"/>
    <n v="240000"/>
    <n v="210000"/>
    <s v="Advertising campaign for KU graduate programs will be shorter."/>
    <s v="Advertising campaign for KU graduate programs will be shorter."/>
    <s v="Advertising campaign for KU graduate programs will be shorter."/>
    <n v="5000"/>
    <n v="5000"/>
    <n v="115000"/>
    <m/>
    <m/>
    <m/>
    <n v="15000"/>
    <n v="140000"/>
    <n v="10000"/>
    <n v="10000"/>
    <m/>
    <m/>
    <n v="300000"/>
    <s v="Increase number of postgraduate students"/>
    <m/>
  </r>
  <r>
    <s v="Communiction &amp; Marketing"/>
    <s v="Director, Marketing and Communication"/>
    <s v="Academic and Student Services Office"/>
    <n v="847"/>
    <n v="8470230"/>
    <s v="KUST - Graduate Studies"/>
    <n v="1"/>
    <n v="425510"/>
    <s v="425510-Conferences, seminars and exhibitions and other events: - Local Events"/>
    <s v="000000"/>
    <s v="KUST - General"/>
    <n v="847001"/>
    <s v="FA179-Opex Expense"/>
    <n v="200179"/>
    <x v="316"/>
    <n v="3706.11"/>
    <n v="34000"/>
    <n v="34000"/>
    <s v="425510.Conferences, seminars and exhibitions and other events: - Local Events-Number of attendees-count"/>
    <s v="count"/>
    <n v="12"/>
    <n v="3200"/>
    <s v="Number of students expected to apply for conference funding - Refer to attached Itemised Details"/>
    <n v="38400"/>
    <s v="KU Regular operations"/>
    <s v="Recurring"/>
    <n v="34560"/>
    <n v="30720"/>
    <n v="26880"/>
    <s v="The University makes a pledge to support students attending research/study events. Reduction in funds means that GSO can support fewer students and this will have a negative impact on reputation, research."/>
    <s v="The University makes a pledge to support students attending research/study events. Reduction in funds means that GSO can support fewer students and this will have a negative impact on reputation, research."/>
    <s v="The University makes a pledge to support students attending research/study events. Reduction in funds means that GSO can support fewer students and this will have a negative impact on reputation, research."/>
    <n v="3200"/>
    <n v="3200"/>
    <n v="3200"/>
    <n v="3200"/>
    <n v="3200"/>
    <n v="3200"/>
    <n v="3200"/>
    <n v="3200"/>
    <n v="3200"/>
    <n v="3200"/>
    <n v="3200"/>
    <n v="3200"/>
    <n v="38400"/>
    <s v="Increase publications in journals with high impact factor"/>
    <m/>
  </r>
  <r>
    <s v="Communiction &amp; Marketing"/>
    <s v="No Applicable"/>
    <s v="Academic and Student Services Office"/>
    <n v="847"/>
    <n v="8470230"/>
    <s v="KUST - Graduate Studies"/>
    <n v="1"/>
    <n v="425550"/>
    <s v="425550-Conferences, seminars and exhibitions and other events: - Overseas event"/>
    <s v="000000"/>
    <s v="KUST - General"/>
    <n v="847001"/>
    <s v="FA179-Opex Expense"/>
    <n v="200179"/>
    <x v="317"/>
    <n v="3326.03"/>
    <n v="222000"/>
    <n v="222000"/>
    <s v="425550.Conferences, seminars and exhibitions and other events: - Overseas event-Conferences-Number of Conferences"/>
    <s v="Number of Conferences"/>
    <n v="24"/>
    <n v="14800"/>
    <s v="Number of students expected to apply for conference funding - Refer to attached Itemised Details"/>
    <n v="355200"/>
    <s v="KU Regular operations"/>
    <s v="Recurring"/>
    <n v="319680"/>
    <n v="284160"/>
    <n v="248639.99999999997"/>
    <s v="The University makes a pledge to support students attending research/study events. Reduction in funds means that GSO can support fewer students and this will have a negative impact on reputation, research."/>
    <s v="The University makes a pledge to support students attending research/study events. Reduction in funds means that GSO can support fewer students and this will have a negative impact on reputation, research."/>
    <s v="The University makes a pledge to support students attending research/study events. Reduction in funds means that GSO can support fewer students and this will have a negative impact on reputation, research."/>
    <n v="29600"/>
    <n v="29600"/>
    <n v="29600"/>
    <n v="29600"/>
    <n v="29600"/>
    <n v="29600"/>
    <n v="29600"/>
    <n v="29600"/>
    <n v="29600"/>
    <n v="29600"/>
    <n v="29600"/>
    <n v="29600"/>
    <n v="355200"/>
    <s v="Increase publications in journals with high impact factor"/>
    <m/>
  </r>
  <r>
    <s v="Student"/>
    <s v="No Applicable"/>
    <s v="Academic and Student Services Office"/>
    <n v="847"/>
    <n v="8470230"/>
    <s v="KUST - Graduate Studies"/>
    <n v="1"/>
    <n v="425743"/>
    <s v="425743-Graduation rewards"/>
    <s v="000000"/>
    <s v="KUST - General"/>
    <n v="847001"/>
    <s v="FA179-Opex Expense"/>
    <n v="200179"/>
    <x v="318"/>
    <n v="960000"/>
    <n v="240000"/>
    <n v="240000"/>
    <m/>
    <s v="-_"/>
    <m/>
    <m/>
    <s v="Not required - zero MI legacy students eligible for graduation rewards after 2022."/>
    <n v="0"/>
    <m/>
    <m/>
    <n v="0"/>
    <n v="0"/>
    <n v="0"/>
    <m/>
    <m/>
    <m/>
    <m/>
    <m/>
    <m/>
    <m/>
    <m/>
    <m/>
    <m/>
    <m/>
    <m/>
    <m/>
    <m/>
    <m/>
    <n v="0"/>
    <m/>
    <m/>
  </r>
  <r>
    <s v="Student"/>
    <s v="No Applicable"/>
    <s v="Academic and Student Services Office"/>
    <n v="847"/>
    <n v="8470230"/>
    <s v="KUST - Graduate Studies"/>
    <n v="1"/>
    <n v="425744"/>
    <s v="425744-Student medical insurance"/>
    <s v="000000"/>
    <s v="KUST - General"/>
    <n v="847001"/>
    <s v="FA179-Opex Expense"/>
    <n v="200179"/>
    <x v="319"/>
    <n v="0"/>
    <n v="4816800"/>
    <n v="4816800"/>
    <s v="425744.Student medical insurance-Number Student Phd-Number"/>
    <s v="Number"/>
    <n v="925"/>
    <n v="4000"/>
    <s v="Number of eligible expat students - Refer to attached Itemised Details"/>
    <n v="3700000"/>
    <s v="KU Regular operations"/>
    <s v="Recurring"/>
    <n v="3330000"/>
    <n v="2960000"/>
    <n v="2590000"/>
    <s v="The medical insurance package for expat students will have to be reduced to ensure all eligible students have some medical insurance coverage."/>
    <s v="The medical insurance package for expat students will have to be reduced to ensure all eligible students have some medical insurance coverage."/>
    <s v="The medical insurance package for expat students will have to be reduced to ensure all eligible students have some medical insurance coverage."/>
    <n v="2412000"/>
    <n v="428000"/>
    <m/>
    <m/>
    <m/>
    <m/>
    <m/>
    <m/>
    <n v="860000"/>
    <m/>
    <m/>
    <m/>
    <n v="3700000"/>
    <s v="Increase number of postgraduate students"/>
    <m/>
  </r>
  <r>
    <s v="Student"/>
    <s v="No Applicable"/>
    <s v="Academic and Student Services Office"/>
    <n v="847"/>
    <n v="8470230"/>
    <s v="KUST - Graduate Studies"/>
    <n v="1"/>
    <n v="425745"/>
    <s v="425745-Student relocation &amp; travel exps"/>
    <s v="000000"/>
    <s v="KUST - General"/>
    <n v="847001"/>
    <s v="FA179-Opex Expense"/>
    <n v="200179"/>
    <x v="320"/>
    <n v="1286175"/>
    <n v="1971263"/>
    <n v="1971263"/>
    <s v="425745.Student relocation &amp; travel exps-Number of Students Phd-Month"/>
    <s v="Month"/>
    <n v="987"/>
    <n v="3145"/>
    <s v="Number of eligible expat students - Refer to attached Itemised Details"/>
    <n v="3104115"/>
    <s v="KU Regular operations"/>
    <s v="Recurring"/>
    <n v="2793703.5"/>
    <n v="2483292"/>
    <n v="2172880.5"/>
    <s v="Fewer graduate students will receive funding to travel from overseas to study at KU - mobilisation flights, visa application, visa medical test, annual airfare allowance."/>
    <s v="Fewer graduate students will receive funding to travel from overseas to study at KU - mobilisation flights, visa application, visa medical test, annual airfare allowance."/>
    <s v="Fewer graduate students will receive funding to travel from overseas to study at KU - mobilisation flights, visa application, visa medical test, annual airfare allowance."/>
    <n v="247815"/>
    <n v="5000"/>
    <n v="5000"/>
    <n v="1150000"/>
    <n v="220500"/>
    <n v="5000"/>
    <n v="5000"/>
    <n v="257500"/>
    <n v="257500"/>
    <n v="5000"/>
    <n v="785300"/>
    <n v="160500"/>
    <n v="3104115"/>
    <s v="Increase number of postgraduate students"/>
    <m/>
  </r>
  <r>
    <s v="Student"/>
    <s v="No Applicable"/>
    <s v="Academic and Student Services Office"/>
    <n v="847"/>
    <n v="8470230"/>
    <s v="KUST - Graduate Studies"/>
    <n v="1"/>
    <n v="425749"/>
    <s v="425749-Postgraduate Student Salaries"/>
    <s v="000000"/>
    <s v="KUST - General"/>
    <n v="847001"/>
    <s v="FA179-Opex Expense"/>
    <n v="200179"/>
    <x v="321"/>
    <n v="84701166.200000003"/>
    <n v="110824684"/>
    <n v="110824684"/>
    <s v="425749.Postgraduate Student Salaries-Post Graduate students-No of Post Graduate Students"/>
    <s v="No of Post Graduate Students"/>
    <n v="1250"/>
    <n v="163000"/>
    <s v="2022/2023 new graduate students number 758"/>
    <n v="203750000"/>
    <s v="KU Regular operations"/>
    <s v="Recurring"/>
    <n v="183375000"/>
    <n v="163000000"/>
    <n v="142625000"/>
    <s v="Fewer students will be admitted to KU with gradaute scholarships and/or student's stipend rates will have to be reduced. Negative impact on attracting top studnets to KU graduate programs. "/>
    <s v="Fewer students will be admitted to KU with gradaute scholarships and/or student's stipend rates will have to be reduced. Negative impact on attracting top studnets to KU graduate programs. "/>
    <s v="Fewer students will be admitted to KU with gradaute scholarships and/or student's stipend rates will have to be reduced. Negative impact on attracting top studnets to KU graduate programs. "/>
    <n v="15500000"/>
    <n v="15500000"/>
    <n v="15500000"/>
    <n v="15500000"/>
    <n v="15500000"/>
    <n v="15500000"/>
    <n v="13250000"/>
    <n v="19500000"/>
    <n v="19500000"/>
    <n v="19500000"/>
    <n v="19500000"/>
    <n v="19500000"/>
    <n v="203750000"/>
    <s v="Increase number of postgraduate students"/>
    <s v="student number increase?"/>
  </r>
  <r>
    <s v="Academic"/>
    <s v="No Applicable"/>
    <s v="Academic and Student Services Office"/>
    <n v="847"/>
    <n v="8470230"/>
    <s v="KUST - Graduate Studies"/>
    <n v="1"/>
    <n v="425761"/>
    <s v="425761-Student Field trips"/>
    <s v="000000"/>
    <s v="KUST - General"/>
    <n v="847001"/>
    <s v="FA179-Opex Expense"/>
    <n v="200179"/>
    <x v="322"/>
    <s v="-"/>
    <n v="150000"/>
    <n v="100000"/>
    <s v="425761.Student Field trips-Number Student Phd-Number"/>
    <s v="Number"/>
    <n v="12"/>
    <n v="15000"/>
    <s v="Number of students expected to apply for field trip - Refer to attached Itemised Details"/>
    <n v="180000"/>
    <s v="KU Regular operations"/>
    <s v="Recurring"/>
    <n v="162000"/>
    <n v="144000"/>
    <n v="125999.99999999999"/>
    <s v="Fewer graduate students supported to participate in field trips, resulting in negative impact on research activities."/>
    <s v="Fewer graduate students supported to participate in field trips, resulting in negative impact on research activities."/>
    <s v="Fewer graduate students supported to participate in field trips, resulting in negative impact on research activities."/>
    <n v="15000"/>
    <n v="15000"/>
    <n v="15000"/>
    <n v="15000"/>
    <n v="15000"/>
    <n v="15000"/>
    <n v="15000"/>
    <n v="15000"/>
    <n v="15000"/>
    <n v="15000"/>
    <n v="15000"/>
    <n v="15000"/>
    <n v="180000"/>
    <s v="Establish a mobility program for students, faculty, researchers and staff"/>
    <m/>
  </r>
  <r>
    <s v="Student"/>
    <s v="No Applicable"/>
    <s v="Academic and Student Services Office"/>
    <n v="847"/>
    <n v="8470230"/>
    <s v="KUST - Graduate Studies"/>
    <n v="1"/>
    <n v="425762"/>
    <s v="425762-Student Internship"/>
    <s v="000000"/>
    <s v="KUST - General"/>
    <n v="847001"/>
    <s v="FA179-Opex Expense"/>
    <n v="200179"/>
    <x v="323"/>
    <s v="-"/>
    <n v="150000"/>
    <n v="150000"/>
    <s v="425762.Student Internship-Number Student Phd-Number"/>
    <s v="Number"/>
    <n v="12"/>
    <n v="15000"/>
    <s v="Number of students expected to apply for internship - Refer to attached Itemised Details"/>
    <n v="180000"/>
    <s v="KU Regular operations"/>
    <s v="Recurring"/>
    <n v="162000"/>
    <n v="144000"/>
    <n v="125999.99999999999"/>
    <s v="Fewer graduate students supported to participate in internships, resulting in negative impact on research activities."/>
    <s v="Fewer graduate students supported to participate in internships, resulting in negative impact on research activities."/>
    <s v="Fewer graduate students supported to participate in internships, resulting in negative impact on research activities."/>
    <n v="15000"/>
    <n v="15000"/>
    <n v="15000"/>
    <n v="15000"/>
    <n v="15000"/>
    <n v="15000"/>
    <n v="15000"/>
    <n v="15000"/>
    <n v="15000"/>
    <n v="15000"/>
    <n v="15000"/>
    <n v="15000"/>
    <n v="180000"/>
    <s v="Develop holistic internship programs "/>
    <m/>
  </r>
  <r>
    <s v="Other support"/>
    <s v="Director, Human Resources"/>
    <s v="Academic and Student Services Office"/>
    <n v="847"/>
    <n v="8470230"/>
    <s v="KUST - Graduate Studies"/>
    <n v="1"/>
    <n v="425900"/>
    <s v="425900-Entertainment and hospitality"/>
    <s v="000000"/>
    <s v="KUST - General"/>
    <n v="847001"/>
    <s v="FA179-Opex Expense"/>
    <n v="200179"/>
    <x v="324"/>
    <s v="-"/>
    <n v="45648"/>
    <n v="30000"/>
    <s v="425900.Entertainment and hospitality-1. No of events/workshops planned-count"/>
    <s v="count"/>
    <n v="186"/>
    <n v="323"/>
    <s v="Refer to attached Itemised Details"/>
    <n v="60078"/>
    <s v="KU Regular operations"/>
    <s v="Recurring"/>
    <n v="54070.200000000004"/>
    <n v="48062.400000000001"/>
    <n v="42054.6"/>
    <s v="Catering for graduate student orientation, external examiner visits and events for graduate studnets will be reduced."/>
    <s v="Catering for graduate student orientation, external examiner visits and events for graduate studnets will be reduced."/>
    <s v="Catering for graduate student orientation, external examiner visits and events for graduate studnets will be reduced."/>
    <n v="25000"/>
    <m/>
    <m/>
    <n v="5250"/>
    <n v="500"/>
    <m/>
    <m/>
    <n v="25000"/>
    <m/>
    <n v="3900"/>
    <n v="428"/>
    <m/>
    <n v="60078"/>
    <m/>
    <m/>
  </r>
  <r>
    <s v="IT"/>
    <s v="Director, Technology Development"/>
    <s v="Academic and Student Services Office"/>
    <n v="847"/>
    <n v="8470230"/>
    <s v="KUST - Graduate Studies"/>
    <n v="1"/>
    <n v="426610"/>
    <s v="426610-Computer software licenses"/>
    <s v="000000"/>
    <s v="KUST - General"/>
    <n v="847001"/>
    <s v="FA179-Opex Expense"/>
    <n v="200179"/>
    <x v="325"/>
    <n v="0"/>
    <n v="10000"/>
    <n v="10000"/>
    <s v="426610.Computer software licenses-Software License Renewal-number of licenses-Number"/>
    <s v="Number"/>
    <n v="1"/>
    <n v="10000"/>
    <s v="Refer to attached Itemised Details"/>
    <n v="10000"/>
    <s v="KU Regular operations"/>
    <s v="Recurring"/>
    <n v="9000"/>
    <n v="8000"/>
    <n v="7000"/>
    <s v="Fewer GSO staff will have access to licensed software."/>
    <s v="Fewer GSO staff will have access to licensed software."/>
    <s v="Fewer GSO staff will have access to licensed software."/>
    <n v="833.33333333333337"/>
    <n v="833.33333333333337"/>
    <n v="833.33333333333337"/>
    <n v="833.33333333333337"/>
    <n v="833.33333333333337"/>
    <n v="833.33333333333337"/>
    <n v="833.33333333333337"/>
    <n v="833.33333333333337"/>
    <n v="833.33333333333337"/>
    <n v="833.33333333333337"/>
    <n v="833.33333333333337"/>
    <n v="833.33333333333337"/>
    <n v="10000"/>
    <m/>
    <m/>
  </r>
  <r>
    <s v="Academic "/>
    <s v="No Applicable"/>
    <s v="Academic and Student Services Office"/>
    <n v="847"/>
    <n v="8470230"/>
    <s v="KUST - Graduate Studies"/>
    <n v="1"/>
    <n v="428090"/>
    <s v="428090-Business Travel - Combined expenses"/>
    <s v="000000"/>
    <s v="KUST - General"/>
    <n v="847001"/>
    <s v="FA179-Opex Expense"/>
    <n v="200179"/>
    <x v="326"/>
    <s v="-"/>
    <n v="97000"/>
    <n v="97000"/>
    <s v="428090.Business Travel - Combined expenses-Number of Staff-Number"/>
    <s v="Number"/>
    <n v="5"/>
    <n v="19160"/>
    <s v="Number of trips per year - Refer to attached Itemised Details"/>
    <n v="95800"/>
    <s v="KU Regular operations"/>
    <s v="Recurring"/>
    <n v="86220"/>
    <n v="76640"/>
    <n v="67060"/>
    <s v="Fewer GSO staff will be able to attend recruitment / networking / professional development / promotional events to represent KU and promote graduate programs. Number of trips reduced from 5 to 4 (including AVP travel)."/>
    <s v="Fewer GSO staff will be able to attend recruitment / networking / professional development / promotional events to represent KU and promote graduate programs. Number of trips reduced from 4 to 3 (including AVP travel)."/>
    <s v="Fewer GSO staff will be able to attend recruitment / networking / professional development / promotional events to represent KU and promote graduate programs. Number of trips reduced from 3 to 2 (including AVP travel)."/>
    <m/>
    <n v="26000"/>
    <n v="14600"/>
    <n v="14600"/>
    <m/>
    <m/>
    <n v="26000"/>
    <m/>
    <n v="14600"/>
    <m/>
    <m/>
    <m/>
    <n v="95800"/>
    <s v="Increase number of postgraduate students"/>
    <m/>
  </r>
  <r>
    <s v="Communiction &amp; Marketing"/>
    <s v="Director, Marketing and Communication"/>
    <s v="Academic and Student Services Office"/>
    <n v="847"/>
    <n v="8470230"/>
    <s v="KUST - Graduate Studies"/>
    <n v="1"/>
    <n v="428640"/>
    <s v="428640-Events - Awards, prizes &amp; gifts"/>
    <s v="000000"/>
    <s v="KUST - General"/>
    <n v="847001"/>
    <s v="FA179-Opex Expense"/>
    <n v="200179"/>
    <x v="327"/>
    <s v="-"/>
    <n v="80000"/>
    <n v="40000"/>
    <s v="428640.Events - Awards, prizes &amp; gifts-Number of prizes-count"/>
    <s v="count"/>
    <n v="1063"/>
    <n v="67"/>
    <s v="Refer to attached Itemised Details"/>
    <n v="71221"/>
    <s v="KU Regular operations"/>
    <s v="Recurring"/>
    <n v="64098.9"/>
    <n v="56976.800000000003"/>
    <n v="49854.7"/>
    <s v="Number of gifts and prizes reduced."/>
    <s v="Number of gifts and prizes reduced."/>
    <s v="Number of gifts and prizes reduced."/>
    <m/>
    <n v="71221"/>
    <m/>
    <m/>
    <m/>
    <m/>
    <m/>
    <m/>
    <m/>
    <m/>
    <m/>
    <m/>
    <n v="71221"/>
    <m/>
    <m/>
  </r>
  <r>
    <s v="Other support"/>
    <s v="No Applicable"/>
    <s v="Academic and Student Services Office"/>
    <n v="847"/>
    <n v="8470230"/>
    <s v="KUST - Graduate Studies"/>
    <n v="1"/>
    <n v="436110"/>
    <s v="436110-Printing supplies"/>
    <s v="000000"/>
    <s v="KUST - General"/>
    <n v="847001"/>
    <s v="FA179-Opex Expense"/>
    <n v="200179"/>
    <x v="328"/>
    <n v="0"/>
    <n v="5000"/>
    <n v="5000"/>
    <s v="436110.Printing supplies-Number of Employees-Number"/>
    <s v="Number"/>
    <n v="1"/>
    <n v="5000"/>
    <s v="General cost for the office - Refer to attached Itemised Details"/>
    <n v="5000"/>
    <s v="KU Regular operations"/>
    <s v="Recurring"/>
    <n v="4500"/>
    <n v="4000"/>
    <n v="3500"/>
    <s v="GSO staff will be unable to print documents to support office operations."/>
    <s v="GSO staff will be unable to print documents to support office operations."/>
    <s v="GSO staff will be unable to print documents to support office operations."/>
    <n v="416.66666666666669"/>
    <n v="416.66666666666669"/>
    <n v="416.66666666666669"/>
    <n v="416.66666666666669"/>
    <n v="416.66666666666669"/>
    <n v="416.66666666666669"/>
    <n v="416.66666666666669"/>
    <n v="416.66666666666669"/>
    <n v="416.66666666666669"/>
    <n v="416.66666666666669"/>
    <n v="416.66666666666669"/>
    <n v="416.66666666666669"/>
    <n v="5000"/>
    <m/>
    <m/>
  </r>
  <r>
    <s v="IT"/>
    <s v="Director, Technology Development"/>
    <s v="Academic and Student Services Office"/>
    <n v="847"/>
    <n v="8470230"/>
    <s v="KUST - Graduate Studies"/>
    <n v="1"/>
    <n v="492310"/>
    <s v="492310-Hardware &amp; peripherals"/>
    <s v="000000"/>
    <s v="KUST - General"/>
    <n v="847001"/>
    <s v="FA180-Capex Expense"/>
    <n v="300180"/>
    <x v="329"/>
    <s v="-"/>
    <n v="1380709"/>
    <n v="1380709"/>
    <s v="492310.Hardware &amp; peripherals-number of hardware devices-Month"/>
    <s v="Month"/>
    <n v="347"/>
    <n v="4500"/>
    <s v="Number of PhD students - Refer to attached Itemised Details"/>
    <n v="1561500"/>
    <s v="KU Regular operations"/>
    <s v="Recurring"/>
    <n v="1405350"/>
    <n v="1249200"/>
    <n v="1093050"/>
    <s v="Not all PhD students will be able to request a laptop for use during their studies."/>
    <s v="Not all PhD students will be able to request a laptop for use during their studies."/>
    <s v="Not all PhD students will be able to request a laptop for use during their studies."/>
    <m/>
    <n v="1561500"/>
    <m/>
    <m/>
    <m/>
    <m/>
    <m/>
    <m/>
    <m/>
    <m/>
    <m/>
    <m/>
    <n v="1561500"/>
    <s v="Increase number of postgraduate students"/>
    <m/>
  </r>
  <r>
    <s v="Academic"/>
    <s v="No Applicable"/>
    <s v="College of Arts &amp; Science"/>
    <n v="847"/>
    <n v="8470405"/>
    <s v="KUST - Dean Of Arts &amp; Science"/>
    <n v="1"/>
    <n v="420550"/>
    <s v="420550-Academic Advisory Service"/>
    <s v="000000"/>
    <s v="KUST - General"/>
    <n v="847001"/>
    <s v="FA179-Opex Expense"/>
    <n v="200179"/>
    <x v="330"/>
    <s v="-"/>
    <n v="59692"/>
    <n v="59692"/>
    <s v="420550.Academic Advisory Service-Number of Services-Number"/>
    <s v="count"/>
    <n v="16"/>
    <n v="1469"/>
    <s v="Standard Cost according to policy"/>
    <n v="23504"/>
    <s v="KU Regular operations"/>
    <s v="Recurring"/>
    <n v="21153.600000000002"/>
    <n v="18803.2"/>
    <n v="16452.8"/>
    <s v="reduced number of evaluators"/>
    <s v="reduced number of evaluators"/>
    <s v="reduced number of evaluators"/>
    <n v="0"/>
    <n v="0"/>
    <n v="0"/>
    <n v="23504"/>
    <n v="0"/>
    <n v="0"/>
    <n v="0"/>
    <n v="0"/>
    <n v="0"/>
    <n v="0"/>
    <n v="0"/>
    <n v="0"/>
    <n v="23504"/>
    <n v="0"/>
    <s v="Design and implement professional development programs for researchers, faculty, and  staff to contribute to the university strategic plan"/>
  </r>
  <r>
    <s v="Academic"/>
    <s v="Director, Institutional Research and Planning"/>
    <s v="College of Arts &amp; Science"/>
    <n v="847"/>
    <n v="8470405"/>
    <s v="KUST - Dean Of Arts &amp; Science"/>
    <n v="1"/>
    <n v="421700"/>
    <s v="421700-Standards certification (e.g. ISO)"/>
    <s v="000000"/>
    <s v="KUST - General"/>
    <n v="847001"/>
    <s v="FA179-Opex Expense"/>
    <n v="200179"/>
    <x v="331"/>
    <n v="109525.28"/>
    <n v="500308"/>
    <n v="368363"/>
    <s v="421700.Standards Certification Services (e.g. ISO)-Number of Academic programs-Number"/>
    <s v="count"/>
    <n v="2"/>
    <n v="140000"/>
    <s v="Standard Cost according to policy"/>
    <n v="280000"/>
    <s v="KU Strategic New Initiative"/>
    <s v="Non-recurring"/>
    <n v="252000"/>
    <n v="224000"/>
    <n v="196000"/>
    <s v="Standard Rate for CAA visit.  Required for accreditation of new program"/>
    <s v="Failed accreditation of program"/>
    <s v="Failed accreditation of program"/>
    <n v="0"/>
    <n v="140000"/>
    <n v="140000"/>
    <n v="0"/>
    <n v="0"/>
    <n v="0"/>
    <n v="0"/>
    <n v="0"/>
    <n v="0"/>
    <n v="0"/>
    <n v="0"/>
    <n v="0"/>
    <n v="280000"/>
    <n v="0"/>
    <s v="Increase number of postgraduate students"/>
  </r>
  <r>
    <s v="Communiction &amp; Marketing"/>
    <s v="Director, Marketing and Communication"/>
    <s v="College of Arts &amp; Science"/>
    <n v="847"/>
    <n v="8470405"/>
    <s v="KUST - Dean Of Arts &amp; Science"/>
    <n v="1"/>
    <n v="425510"/>
    <s v="425510-Conferences, seminars and exhibitions and other events: - Local Events"/>
    <s v="000000"/>
    <s v="KUST - General"/>
    <n v="847001"/>
    <s v="FA179-Opex Expense"/>
    <n v="200179"/>
    <x v="332"/>
    <n v="4400"/>
    <n v="15000"/>
    <n v="15000"/>
    <s v="425500.Conferences, seminars and exhibitions and other events:-Number of events &amp; attendees-Number of Number of events &amp; attendees"/>
    <s v="count"/>
    <n v="1"/>
    <n v="15000"/>
    <s v="Standard Cost according to policy"/>
    <n v="15000"/>
    <s v="KU Regular operations"/>
    <s v="Recurring"/>
    <n v="13500"/>
    <n v="12000"/>
    <n v="10500"/>
    <s v="Less representation and university exposure in local venues"/>
    <s v="Less representation and university exposure in local venues"/>
    <s v="Less representation and university exposure in local venues"/>
    <n v="1000"/>
    <n v="1000"/>
    <n v="1000"/>
    <n v="2000"/>
    <n v="2000"/>
    <m/>
    <m/>
    <m/>
    <n v="2000"/>
    <n v="2000"/>
    <n v="2000"/>
    <n v="2000"/>
    <n v="15000"/>
    <n v="0"/>
    <s v="Increase publications in journals with high impact factor"/>
  </r>
  <r>
    <s v="Communiction &amp; Marketing"/>
    <s v="No Applicable"/>
    <s v="College of Arts &amp; Science"/>
    <n v="847"/>
    <n v="8470405"/>
    <s v="KUST - Dean Of Arts &amp; Science"/>
    <n v="1"/>
    <n v="425550"/>
    <s v="425550-Conferences, seminars and exhibitions and other events: - Overseas event"/>
    <s v="000000"/>
    <s v="KUST - General"/>
    <n v="847001"/>
    <s v="FA179-Opex Expense"/>
    <n v="200179"/>
    <x v="333"/>
    <s v="-"/>
    <n v="15000"/>
    <s v="-"/>
    <s v="425550.Conferences, seminars and exhibitions and other events: - Overseas event-Conferences-Number of Conferences"/>
    <s v="count"/>
    <n v="1"/>
    <n v="15000"/>
    <s v="Standard Cost according to policy"/>
    <n v="15000"/>
    <s v="KU Regular operations"/>
    <s v="Recurring"/>
    <n v="13500"/>
    <n v="12000"/>
    <n v="10500"/>
    <s v="Less representation and university exposure at international conferences and other venues"/>
    <s v="Less representation and university exposure at international conferences and other venues"/>
    <s v="Impact on global rankings"/>
    <n v="1500"/>
    <n v="1500"/>
    <n v="1500"/>
    <n v="1500"/>
    <n v="1500"/>
    <n v="0"/>
    <n v="0"/>
    <n v="0"/>
    <n v="2000"/>
    <n v="2000"/>
    <n v="2000"/>
    <n v="1500"/>
    <n v="15000"/>
    <n v="0"/>
    <s v="Attract and organize international conferences and summits"/>
  </r>
  <r>
    <s v="Academic"/>
    <s v="No Applicable"/>
    <s v="College of Arts &amp; Science"/>
    <n v="847"/>
    <n v="8470405"/>
    <s v="KUST - Dean Of Arts &amp; Science"/>
    <n v="1"/>
    <n v="425770"/>
    <s v="425770-Academic Missions - Combined expenses"/>
    <s v="000000"/>
    <s v="KUST - General"/>
    <n v="847001"/>
    <s v="FA179-Opex Expense"/>
    <n v="200179"/>
    <x v="334"/>
    <n v="0"/>
    <n v="41825"/>
    <n v="41825"/>
    <s v="425770.Academic Missions - Combined expenses-Number of Meeting-Number"/>
    <s v="count"/>
    <n v="10"/>
    <n v="5000"/>
    <s v="Academic/missionContinue to build collaborations through networking with world class entities."/>
    <n v="50000"/>
    <s v="KU Regular operations"/>
    <s v="Recurring"/>
    <n v="45000"/>
    <n v="40000"/>
    <n v="35000"/>
    <s v="Less representation and university exposure at international conferences and other venues"/>
    <s v="Less representation and university exposure at international conferences and other venues"/>
    <s v="Impact on global rankings"/>
    <n v="5000"/>
    <n v="5000"/>
    <n v="5000"/>
    <n v="4000"/>
    <n v="2000"/>
    <n v="2000"/>
    <n v="2000"/>
    <n v="5000"/>
    <n v="5000"/>
    <n v="5000"/>
    <n v="5000"/>
    <n v="5000"/>
    <n v="50000"/>
    <n v="0"/>
    <s v="Recruit and retain high caliber faculty, researchers and staff"/>
  </r>
  <r>
    <s v="Academic"/>
    <s v="No Applicable"/>
    <s v="College of Arts &amp; Science"/>
    <n v="847"/>
    <n v="8470405"/>
    <s v="KUST - Dean Of Arts &amp; Science"/>
    <n v="1"/>
    <n v="427710"/>
    <s v="427710-Subscriptions and membership fees: Trade organisations"/>
    <s v="000000"/>
    <s v="KUST - General"/>
    <n v="847001"/>
    <s v="FA179-Opex Expense"/>
    <n v="200179"/>
    <x v="335"/>
    <n v="12539.46"/>
    <n v="20175"/>
    <n v="20175"/>
    <s v="427710.Subscriptions and membership fees: Trade organisations-Number  of Memberships-Number"/>
    <s v="count"/>
    <n v="20"/>
    <n v="1681"/>
    <s v="Subscription/MembershipKeep faculty and staff informed of new information and methods"/>
    <n v="33620"/>
    <s v="KU Regular operations"/>
    <s v="Recurring"/>
    <n v="30258"/>
    <n v="26896"/>
    <n v="23534"/>
    <s v="Reduced entrance fees to events and subscriptions"/>
    <s v="Reduced entrance fees to events and subscriptions"/>
    <s v="Inadequate  representation in organizations"/>
    <n v="2801.6666666666665"/>
    <n v="2801.6666666666665"/>
    <n v="2801.6666666666665"/>
    <n v="2801.6666666666665"/>
    <n v="2801.6666666666665"/>
    <n v="2801.6666666666665"/>
    <n v="2801.6666666666665"/>
    <n v="2801.6666666666665"/>
    <n v="2801.6666666666665"/>
    <n v="2801.6666666666665"/>
    <n v="2801.6666666666665"/>
    <n v="2801.6666666666665"/>
    <n v="33620"/>
    <n v="0"/>
    <s v="Increase publications in journals with high impact factor"/>
  </r>
  <r>
    <s v="Academic"/>
    <s v="Director, Research Laboratories"/>
    <s v="College of Arts &amp; Science"/>
    <n v="847"/>
    <n v="8470405"/>
    <s v="KUST - Dean Of Arts &amp; Science"/>
    <n v="1"/>
    <n v="435508"/>
    <s v="435508-Laboratory - Scientific"/>
    <s v="000000"/>
    <s v="KUST - General"/>
    <n v="847001"/>
    <s v="FA179-Opex Expense"/>
    <n v="200179"/>
    <x v="336"/>
    <n v="152176"/>
    <n v="200000"/>
    <n v="200000"/>
    <s v="435508.Laboratory - Scientific-Number of Students-Number"/>
    <s v="count"/>
    <n v="5"/>
    <n v="40000"/>
    <s v="Materials/ConsumablesDevelope high quality labs for top teaching"/>
    <n v="200000"/>
    <s v="KU Regular operations"/>
    <s v="Recurring"/>
    <n v="180000"/>
    <n v="160000"/>
    <n v="140000"/>
    <s v="Diminished student resources"/>
    <s v="Diminished student resources"/>
    <s v="Inadequate lab resources"/>
    <m/>
    <m/>
    <n v="50000"/>
    <m/>
    <m/>
    <n v="50000"/>
    <m/>
    <m/>
    <n v="50000"/>
    <m/>
    <m/>
    <n v="50000"/>
    <n v="200000"/>
    <n v="0"/>
    <s v="Align the postgraduates programs with the research strategy"/>
  </r>
  <r>
    <s v="Academic"/>
    <s v="No Applicable"/>
    <s v="College of Arts &amp; Science"/>
    <n v="847"/>
    <n v="8470405"/>
    <s v="KUST - Dean Of Arts &amp; Science"/>
    <n v="1"/>
    <n v="435350"/>
    <s v="435350-Academic Publications"/>
    <s v="000000"/>
    <s v="KUST - General"/>
    <n v="847001"/>
    <s v="FA179-Opex Expense"/>
    <n v="200179"/>
    <x v="337"/>
    <n v="65753.490000000005"/>
    <n v="30000"/>
    <n v="30000"/>
    <s v="435350.Academic Publications-Number of Publications-Number"/>
    <s v="count"/>
    <n v="20"/>
    <n v="1500"/>
    <s v="Keep faculty and staff informed of new information and methods"/>
    <n v="30000"/>
    <s v="KU Regular operations"/>
    <s v="Recurring"/>
    <n v="27000"/>
    <n v="24000"/>
    <n v="21000"/>
    <s v="Reduced access to academic journals"/>
    <s v="Reduced access to academic journals"/>
    <s v="Reduced publications and impact on academic ranking"/>
    <n v="3000"/>
    <n v="3000"/>
    <n v="2000"/>
    <n v="2000"/>
    <n v="2000"/>
    <n v="2000"/>
    <n v="2000"/>
    <n v="2000"/>
    <n v="3000"/>
    <n v="3000"/>
    <n v="3000"/>
    <n v="3000"/>
    <n v="30000"/>
    <n v="0"/>
    <s v="Increase publications in journals with high impact factor"/>
  </r>
  <r>
    <s v="Student"/>
    <s v="No Applicable"/>
    <s v="College of Arts &amp; Science"/>
    <n v="847"/>
    <n v="8470405"/>
    <s v="KUST - Dean Of Arts &amp; Science"/>
    <n v="1"/>
    <n v="425720"/>
    <s v="425720-Education-Outsourced training service"/>
    <s v="000000"/>
    <s v="KUST - General"/>
    <n v="847001"/>
    <s v="FA179-Opex Expense"/>
    <n v="200179"/>
    <x v="338"/>
    <s v="-"/>
    <s v="-"/>
    <m/>
    <s v="425720.Education-Outsourced training service-Students-No of Students"/>
    <s v="count"/>
    <n v="30"/>
    <n v="7000"/>
    <s v="MCAT registration and travel expenses - estimated at 7000 AED per student"/>
    <n v="210000"/>
    <s v="KU Regular operations"/>
    <s v="Recurring"/>
    <n v="189000"/>
    <n v="168000"/>
    <n v="147000"/>
    <s v="Mandatory requirement and the budget cannot be reduced as it is a pre- quisite to join the medical college"/>
    <s v="Mandatory requirement and the budget cannot be reduced as it is a pre- quisite to join the medical college"/>
    <s v="Mandatory requirement and the budget cannot be reduced as it is a pre- quisite to join the medical college"/>
    <m/>
    <n v="105000"/>
    <n v="105000"/>
    <m/>
    <m/>
    <m/>
    <m/>
    <m/>
    <m/>
    <m/>
    <m/>
    <m/>
    <n v="210000"/>
    <n v="0"/>
    <s v="Develop competitive fellowship programs for students"/>
  </r>
  <r>
    <s v="Student"/>
    <s v="No Applicable"/>
    <s v="College of Arts &amp; Science"/>
    <n v="847"/>
    <n v="8470405"/>
    <s v="KUST - Dean Of Arts &amp; Science"/>
    <n v="1"/>
    <n v="425720"/>
    <s v="425720-Education-Outsourced training service"/>
    <s v="000000"/>
    <s v="KUST - General"/>
    <n v="847001"/>
    <s v="FA179-Opex Expense"/>
    <n v="200179"/>
    <x v="338"/>
    <m/>
    <s v="-"/>
    <m/>
    <s v="425720.Education-Outsourced training service-Students-No of Students"/>
    <s v="count"/>
    <n v="1"/>
    <n v="40000"/>
    <s v="PMB teaching resources for instructors"/>
    <n v="40000"/>
    <s v="KU Regular operations"/>
    <s v="Recurring"/>
    <n v="36000"/>
    <n v="32000"/>
    <n v="28000"/>
    <s v="Reduced number of resources"/>
    <s v="Reduced number of resources"/>
    <s v="Reduced number of resources"/>
    <n v="0"/>
    <n v="40000"/>
    <n v="0"/>
    <n v="0"/>
    <n v="0"/>
    <n v="0"/>
    <n v="0"/>
    <n v="0"/>
    <n v="0"/>
    <n v="0"/>
    <n v="0"/>
    <n v="0"/>
    <n v="40000"/>
    <n v="0"/>
    <s v="Develop a multidimensional program to attract and retain diverse outstanding students"/>
  </r>
  <r>
    <s v="Student"/>
    <s v="No Applicable"/>
    <s v="College of Arts &amp; Science"/>
    <n v="847"/>
    <n v="8470405"/>
    <s v="KUST - Dean Of Arts &amp; Science"/>
    <n v="1"/>
    <n v="425763"/>
    <s v="425763-Student Project Expenses"/>
    <s v="000000"/>
    <s v="KUST - General"/>
    <n v="847001"/>
    <s v="FA179-Opex Expense"/>
    <n v="200179"/>
    <x v="339"/>
    <s v="-"/>
    <s v="-"/>
    <m/>
    <s v="425763.Student Project Expenses-Number of Students UG-Month"/>
    <s v="count"/>
    <n v="15"/>
    <n v="10000"/>
    <s v="Teaching costs for PMB  students"/>
    <n v="150000"/>
    <s v="KU Regular operations"/>
    <s v="Recurring"/>
    <n v="135000"/>
    <n v="120000"/>
    <n v="105000"/>
    <s v="Reduced number of PMB students Research"/>
    <s v="Reduced number of PMB students Research"/>
    <s v="Reduced number of PMB students Research"/>
    <n v="0"/>
    <n v="0"/>
    <n v="50000"/>
    <n v="50000"/>
    <n v="50000"/>
    <n v="0"/>
    <n v="0"/>
    <n v="0"/>
    <n v="0"/>
    <n v="0"/>
    <n v="0"/>
    <n v="0"/>
    <n v="150000"/>
    <n v="0"/>
    <s v="Strengthen research ethical culture framework across the university"/>
  </r>
  <r>
    <s v="Student"/>
    <s v="No Applicable"/>
    <s v="College of Arts &amp; Science"/>
    <n v="847"/>
    <n v="8470405"/>
    <s v="KUST - Dean Of Arts &amp; Science"/>
    <n v="1"/>
    <n v="425720"/>
    <s v="425720-Education-Outsourced training service"/>
    <s v="000000"/>
    <s v="KUST - General"/>
    <n v="847001"/>
    <s v="FA179-Opex Expense"/>
    <n v="200179"/>
    <x v="338"/>
    <s v="-"/>
    <s v="-"/>
    <m/>
    <s v="425720.Education-Outsourced training service-Students-No of Students"/>
    <s v="count"/>
    <n v="1"/>
    <n v="300000"/>
    <s v="Kaplan Contract renewal for PMB preparation courses and resources (Based on signed statement of work) - to be renewed in May 2023"/>
    <n v="300000"/>
    <s v="KU Regular operations"/>
    <s v="Recurring"/>
    <n v="270000"/>
    <n v="240000"/>
    <n v="210000"/>
    <s v="Required amount for one year renewal as of May 2023"/>
    <s v="Required amount for one year renewal as of May 2023"/>
    <s v="Required amount for one year renewal as of May 2023"/>
    <n v="0"/>
    <n v="0"/>
    <n v="0"/>
    <n v="0"/>
    <n v="300000"/>
    <n v="0"/>
    <n v="0"/>
    <n v="0"/>
    <n v="0"/>
    <n v="0"/>
    <n v="0"/>
    <n v="0"/>
    <n v="300000"/>
    <n v="0"/>
    <s v="Develop a multidimensional program to attract and retain diverse outstanding students"/>
  </r>
  <r>
    <s v="Academic"/>
    <s v="No Applicable"/>
    <s v="College of Arts &amp; Science"/>
    <n v="847"/>
    <n v="8470410"/>
    <s v="KUST - Institute of International &amp; Civil Security"/>
    <n v="1"/>
    <n v="425761"/>
    <s v="425761-Student Field trips"/>
    <s v="000000"/>
    <s v="KUST - General"/>
    <n v="847001"/>
    <s v="FA179-Opex Expense"/>
    <n v="200179"/>
    <x v="340"/>
    <s v="-"/>
    <n v="162000"/>
    <n v="1000"/>
    <s v="425761.Student Field trips-Number of Students UG-Month"/>
    <s v="Month"/>
    <n v="5"/>
    <n v="200"/>
    <s v="one bus"/>
    <n v="1000"/>
    <s v="KU Regular operations"/>
    <s v="Non-recurring"/>
    <n v="900"/>
    <n v="800"/>
    <n v="700"/>
    <s v="we hire taxis"/>
    <s v="we hire taxis"/>
    <s v="we hire taxis"/>
    <n v="0"/>
    <n v="500"/>
    <m/>
    <m/>
    <m/>
    <m/>
    <m/>
    <m/>
    <n v="500"/>
    <m/>
    <m/>
    <m/>
    <n v="1000"/>
    <n v="0"/>
    <s v="Widen access to students with outstanding academic potential"/>
  </r>
  <r>
    <s v="Academic"/>
    <s v="No Applicable"/>
    <s v="College of Arts &amp; Science"/>
    <n v="847"/>
    <n v="8470410"/>
    <s v="KUST - Institute of International &amp; Civil Security"/>
    <n v="1"/>
    <n v="425770"/>
    <s v="425770-Academic Missions - Combined expenses"/>
    <s v="000000"/>
    <s v="KUST - General"/>
    <n v="847001"/>
    <s v="FA179-Opex Expense"/>
    <n v="200179"/>
    <x v="341"/>
    <n v="2513.17"/>
    <n v="120000"/>
    <n v="120000"/>
    <s v="425770.Academic Missions - Combined expenses-Number of Conference-Number"/>
    <s v="Number"/>
    <n v="12"/>
    <n v="12000"/>
    <s v="each conference"/>
    <n v="144000"/>
    <s v="KU Regular operations"/>
    <s v="Non-recurring"/>
    <n v="129600"/>
    <n v="115200"/>
    <n v="100800"/>
    <s v="11 conferences attended"/>
    <s v="10 conferences attended"/>
    <s v="9 conferences attended"/>
    <m/>
    <m/>
    <n v="12000"/>
    <n v="12000"/>
    <n v="24000"/>
    <n v="24000"/>
    <n v="24000"/>
    <m/>
    <n v="12000"/>
    <n v="12000"/>
    <m/>
    <n v="24000"/>
    <n v="144000"/>
    <n v="0"/>
    <s v="Increase publications in journals with high impact factor"/>
  </r>
  <r>
    <s v="IT"/>
    <s v="Director, Technology Development"/>
    <s v="College of Arts &amp; Science"/>
    <n v="847"/>
    <n v="8470410"/>
    <s v="KUST - Institute of International &amp; Civil Security"/>
    <n v="1"/>
    <n v="426610"/>
    <s v="426610-Computer software licenses"/>
    <s v="000000"/>
    <s v="KUST - General"/>
    <n v="847001"/>
    <s v="FA179-Opex Expense"/>
    <n v="200179"/>
    <x v="342"/>
    <n v="346.48"/>
    <n v="5600"/>
    <n v="5600"/>
    <s v="426610.Computer software licenses-Software License Renewal-number of licenses-Number"/>
    <s v="Number"/>
    <n v="1"/>
    <n v="5600"/>
    <s v="one software"/>
    <n v="5600"/>
    <s v="KU Regular operations"/>
    <s v="Recurring"/>
    <n v="5040"/>
    <n v="4480"/>
    <n v="3919.9999999999995"/>
    <s v="software cant be bought"/>
    <s v="software cant be bought"/>
    <s v="software cant be bought"/>
    <m/>
    <m/>
    <n v="5600"/>
    <m/>
    <m/>
    <m/>
    <m/>
    <m/>
    <m/>
    <m/>
    <m/>
    <m/>
    <n v="5600"/>
    <n v="0"/>
    <s v="Increase publications in journals with high impact factor"/>
  </r>
  <r>
    <s v="Other support"/>
    <s v="No Applicable"/>
    <s v="College of Arts &amp; Science"/>
    <n v="847"/>
    <n v="8470410"/>
    <s v="KUST - Institute of International &amp; Civil Security"/>
    <n v="1"/>
    <n v="435310"/>
    <s v="435310-Newspapers, magazines, journals, etc"/>
    <s v="000000"/>
    <s v="KUST - General"/>
    <n v="847001"/>
    <s v="FA179-Opex Expense"/>
    <n v="200179"/>
    <x v="343"/>
    <n v="85229"/>
    <n v="85229"/>
    <n v="85229"/>
    <s v="435310.Newspapers, magazines, journals, etc-Number of Staff-Number"/>
    <s v="Number"/>
    <n v="4"/>
    <n v="21307"/>
    <s v="4 journal subscriptions"/>
    <n v="85228"/>
    <s v="KU Regular operations"/>
    <s v="Recurring"/>
    <n v="76705.2"/>
    <n v="68182.400000000009"/>
    <n v="59659.6"/>
    <s v="3 journal subscriptions"/>
    <s v="3 journal subscriptions"/>
    <s v="3 journal subscriptions"/>
    <m/>
    <m/>
    <n v="85228"/>
    <m/>
    <m/>
    <m/>
    <m/>
    <m/>
    <m/>
    <m/>
    <m/>
    <m/>
    <n v="85228"/>
    <n v="0"/>
    <s v="Increase publications in journals with high impact factor"/>
  </r>
  <r>
    <s v="Academic"/>
    <s v="No Applicable"/>
    <s v="College of Arts &amp; Science"/>
    <n v="847"/>
    <n v="8470410"/>
    <s v="KUST - Institute of International &amp; Civil Security"/>
    <n v="1"/>
    <n v="435350"/>
    <s v="435350-Academic Publications"/>
    <s v="000000"/>
    <s v="KUST - General"/>
    <n v="847001"/>
    <s v="FA179-Opex Expense"/>
    <n v="200179"/>
    <x v="344"/>
    <n v="4800"/>
    <n v="17900"/>
    <n v="17900"/>
    <s v="435350.Academic Publications-Number of Publications-Number"/>
    <s v="Number"/>
    <n v="10"/>
    <n v="10000"/>
    <s v="open source publication costs"/>
    <n v="100000"/>
    <s v="KU Regular operations"/>
    <s v="Non-recurring"/>
    <n v="90000"/>
    <n v="80000"/>
    <n v="70000"/>
    <s v="9 publications"/>
    <s v="8 publiations"/>
    <s v="7 publications"/>
    <m/>
    <m/>
    <n v="30000"/>
    <m/>
    <m/>
    <m/>
    <n v="30000"/>
    <m/>
    <m/>
    <m/>
    <n v="40000"/>
    <m/>
    <n v="100000"/>
    <n v="0"/>
    <s v="Increase publications in journals with high impact factor"/>
  </r>
  <r>
    <s v="Academic"/>
    <s v="Director, Institutional Research and Planning"/>
    <s v="College of Arts &amp; Science"/>
    <n v="847"/>
    <n v="8470415"/>
    <s v="KUST - Chemistry"/>
    <n v="1"/>
    <n v="421700"/>
    <s v="421700-Standards certification (e.g. ISO)"/>
    <s v="000000"/>
    <s v="KUST - General"/>
    <n v="847001"/>
    <s v="FA179-Opex Expense"/>
    <n v="200179"/>
    <x v="345"/>
    <s v="-"/>
    <n v="150000"/>
    <n v="0"/>
    <s v="420130.External Audit service-Audit type-Number of Audit type"/>
    <s v="count"/>
    <n v="1"/>
    <n v="150000"/>
    <s v="Standard rate provided. We expect to submit to CAA an updated Masters programme."/>
    <n v="150000"/>
    <s v="KU Strategic New Initiative"/>
    <s v="Non-recurring"/>
    <n v="135000"/>
    <n v="120000"/>
    <n v="105000"/>
    <s v="New programme not accredited"/>
    <s v="New programme not accredited"/>
    <s v="New programme not accredited"/>
    <m/>
    <m/>
    <m/>
    <m/>
    <n v="150000"/>
    <m/>
    <m/>
    <m/>
    <m/>
    <m/>
    <m/>
    <m/>
    <n v="150000"/>
    <n v="0"/>
    <s v="Align academic programs with the local and global labor market needs"/>
  </r>
  <r>
    <s v="Communiction &amp; Marketing"/>
    <s v="Director, Marketing and Communication"/>
    <s v="College of Arts &amp; Science"/>
    <n v="847"/>
    <n v="8470415"/>
    <s v="KUST - Chemistry"/>
    <n v="1"/>
    <n v="425510"/>
    <s v="425510-Conferences, seminars and exhibitions and other events: - Local Events"/>
    <s v="000000"/>
    <s v="KUST - General"/>
    <n v="847001"/>
    <s v="FA179-Opex Expense"/>
    <n v="200179"/>
    <x v="346"/>
    <m/>
    <n v="0"/>
    <m/>
    <s v="425500.Conferences, seminars and exhibitions and other events:-Number of events &amp; attendees-Number of Number of events &amp; attendees"/>
    <s v="count"/>
    <n v="2"/>
    <n v="50000"/>
    <s v="We expect to run two 1 day events. One will be around materials chemistry, one around forensics"/>
    <n v="100000"/>
    <s v="KU Strategic New Initiative"/>
    <s v="Non-recurring"/>
    <n v="90000"/>
    <n v="80000"/>
    <n v="70000"/>
    <s v="Scvope of conference (e.g. invited speaker(s) may be limited"/>
    <s v="Scvope of conference (e.g. invited speaker(s) may be limited"/>
    <s v="Scvope of conference (e.g. invited speaker(s) may be severly limited"/>
    <m/>
    <m/>
    <m/>
    <m/>
    <n v="50000"/>
    <m/>
    <m/>
    <m/>
    <n v="50000"/>
    <m/>
    <m/>
    <m/>
    <n v="100000"/>
    <n v="0"/>
    <s v="Attract and organize international conferences and summits"/>
  </r>
  <r>
    <s v="Communiction &amp; Marketing"/>
    <s v="Director, Marketing and Communication"/>
    <s v="College of Arts &amp; Science"/>
    <n v="847"/>
    <n v="8470415"/>
    <s v="KUST - Chemistry"/>
    <n v="1"/>
    <n v="425100"/>
    <s v="425100-Advertising"/>
    <s v="000000"/>
    <s v="KUST - General"/>
    <n v="847001"/>
    <s v="FA179-Opex Expense"/>
    <n v="200179"/>
    <x v="347"/>
    <s v="-"/>
    <n v="50000"/>
    <n v="30000"/>
    <s v="425100.Advertising Services (General)-International Publicity-count"/>
    <s v="count"/>
    <n v="1"/>
    <n v="50000"/>
    <s v="Advertising new MSc and strengthening PhD knowledge in the market"/>
    <n v="50000"/>
    <s v="KU Regular operations"/>
    <s v="Recurring"/>
    <n v="45000"/>
    <n v="40000"/>
    <n v="35000"/>
    <s v="Less effective advertisment = fewer applications"/>
    <s v="Less effective advertisment = fewer applications"/>
    <s v="Less effective advertisment = fewer applications"/>
    <m/>
    <n v="25000"/>
    <m/>
    <m/>
    <m/>
    <m/>
    <m/>
    <m/>
    <n v="25000"/>
    <m/>
    <m/>
    <m/>
    <n v="50000"/>
    <n v="0"/>
    <s v="Increase number of postgraduate students"/>
  </r>
  <r>
    <s v="Academic "/>
    <s v="No Applicable"/>
    <s v="College of Arts &amp; Science"/>
    <n v="847"/>
    <n v="8470415"/>
    <s v="KUST - Chemistry"/>
    <n v="1"/>
    <n v="428090"/>
    <s v="428090-Business Travel - Combined expenses"/>
    <s v="000000"/>
    <s v="KUST - General"/>
    <n v="847001"/>
    <s v="FA179-Opex Expense"/>
    <n v="200179"/>
    <x v="348"/>
    <m/>
    <m/>
    <m/>
    <s v="428000.Travel expenses - business-related-Number of eligible employees: (tickets, hotels, per diem, visa fees)-count"/>
    <s v="count"/>
    <n v="10"/>
    <n v="300"/>
    <s v="10 visits to schools and related venues for outreach activity."/>
    <n v="3000"/>
    <s v="KU Regular operations"/>
    <s v="Recurring"/>
    <n v="2700"/>
    <n v="2400"/>
    <n v="2100"/>
    <s v="Impact Dept. run operation"/>
    <s v="Impact Dept. run operation"/>
    <s v="Impact Dept. run operation"/>
    <m/>
    <n v="300"/>
    <n v="300"/>
    <n v="300"/>
    <n v="300"/>
    <m/>
    <m/>
    <n v="600"/>
    <n v="600"/>
    <n v="600"/>
    <m/>
    <m/>
    <n v="3000"/>
    <n v="0"/>
    <s v="Widen access to students with outstanding academic potential"/>
  </r>
  <r>
    <s v="Communiction &amp; Marketing"/>
    <s v="No Applicable"/>
    <s v="College of Arts &amp; Science"/>
    <n v="847"/>
    <n v="8470415"/>
    <s v="KUST - Chemistry"/>
    <n v="1"/>
    <n v="427200"/>
    <s v="427200-Printing and publishing"/>
    <s v="000000"/>
    <s v="KUST - General"/>
    <n v="847001"/>
    <s v="FA179-Opex Expense"/>
    <n v="200179"/>
    <x v="349"/>
    <m/>
    <m/>
    <m/>
    <s v="427200.Printing and publishing-The printing cost of the department's publications-count"/>
    <s v="count"/>
    <n v="20"/>
    <n v="500"/>
    <s v="Printing of posters for conferences, laboratories, schools' outreach and related activities"/>
    <n v="10000"/>
    <s v="KU Regular operations"/>
    <s v="Recurring"/>
    <n v="9000"/>
    <n v="8000"/>
    <n v="7000"/>
    <s v="Impact Dept. run operation"/>
    <s v="Impact Dept. run operation"/>
    <s v="Impact Dept. run operation"/>
    <m/>
    <n v="2000"/>
    <n v="1000"/>
    <m/>
    <m/>
    <n v="2500"/>
    <m/>
    <n v="1500"/>
    <m/>
    <n v="2000"/>
    <n v="1000"/>
    <m/>
    <n v="10000"/>
    <n v="0"/>
    <s v="Build partnerships with local and international universities"/>
  </r>
  <r>
    <s v="Student"/>
    <s v="Director, Student Services"/>
    <s v="College of Arts &amp; Science"/>
    <n v="847"/>
    <n v="8470415"/>
    <s v="KUST - Chemistry"/>
    <n v="1"/>
    <n v="425760"/>
    <s v="425760-Student activities &amp; field trip expenses"/>
    <s v="000000"/>
    <s v="KUST - General"/>
    <n v="847001"/>
    <s v="FA179-Opex Expense"/>
    <n v="200179"/>
    <x v="350"/>
    <s v="-"/>
    <n v="5000"/>
    <n v="5000"/>
    <s v="425760.Student activities &amp; field trip expenses-Events-No of Events"/>
    <s v="No of Events"/>
    <n v="8"/>
    <n v="2500"/>
    <s v="Strengthen relation of BSc tracks with industrial / professional organisations. 2 trips for each of our four BSc final tracks"/>
    <n v="20000"/>
    <s v="KU Regular operations"/>
    <s v="Recurring"/>
    <n v="18000"/>
    <n v="16000"/>
    <n v="14000"/>
    <s v="Fewer trips, lower level of activity"/>
    <s v="Fewer trips, lower level of activity"/>
    <s v="Fewer trips, lower level of activity"/>
    <m/>
    <n v="5000"/>
    <n v="5000"/>
    <m/>
    <m/>
    <m/>
    <m/>
    <m/>
    <m/>
    <n v="5000"/>
    <n v="5000"/>
    <m/>
    <n v="20000"/>
    <n v="0"/>
    <s v="Develop the university innovation and entrepreneurship system"/>
  </r>
  <r>
    <s v="Student"/>
    <s v="No Applicable"/>
    <s v="College of Arts &amp; Science"/>
    <n v="847"/>
    <n v="8470415"/>
    <s v="KUST - Chemistry"/>
    <n v="1"/>
    <n v="425763"/>
    <s v="425763-Student Project Expenses"/>
    <s v="000000"/>
    <s v="KUST - General"/>
    <n v="847001"/>
    <s v="FA179-Opex Expense"/>
    <n v="200179"/>
    <x v="351"/>
    <s v="-"/>
    <n v="80000"/>
    <n v="75000"/>
    <s v="425763.Student Project Expenses-Number Student Phd-Number"/>
    <s v="Number"/>
    <n v="2"/>
    <n v="12000"/>
    <s v="To support exploratory research for 2 PhD students in the department. Other students will be funded by grants."/>
    <n v="24000"/>
    <s v="KU Regular operations"/>
    <s v="Recurring"/>
    <n v="21600"/>
    <n v="19200"/>
    <n v="16800"/>
    <s v="Less funding available or only one project funded"/>
    <s v="Less funding available or only one project funded"/>
    <s v="Less funding available or only one project funded"/>
    <n v="2000"/>
    <n v="2000"/>
    <n v="2000"/>
    <n v="2000"/>
    <n v="2000"/>
    <n v="2000"/>
    <n v="2000"/>
    <n v="2000"/>
    <n v="2000"/>
    <n v="2000"/>
    <n v="2000"/>
    <n v="2000"/>
    <n v="24000"/>
    <n v="0"/>
    <s v="Recruit and retain high caliber faculty, researchers and staff"/>
  </r>
  <r>
    <s v="Student"/>
    <s v="No Applicable"/>
    <s v="College of Arts &amp; Science"/>
    <n v="847"/>
    <n v="8470415"/>
    <s v="KUST - Chemistry"/>
    <n v="1"/>
    <n v="425763"/>
    <s v="425763-Student Project Expenses"/>
    <s v="000000"/>
    <s v="KUST - General"/>
    <n v="847001"/>
    <s v="FA179-Opex Expense"/>
    <n v="200179"/>
    <x v="351"/>
    <m/>
    <m/>
    <m/>
    <s v="425763.Student Project Expenses-Number of Students Master-Month"/>
    <s v="Month"/>
    <n v="20"/>
    <n v="1000"/>
    <s v="To support exploratory research for 2 MSc students in the department working for 10 months. Other students will be funded by grants."/>
    <n v="20000"/>
    <s v="KU Regular operations"/>
    <s v="Recurring"/>
    <n v="18000"/>
    <n v="16000"/>
    <n v="14000"/>
    <s v="Less funding for projects - limits the work to be done."/>
    <s v="Less funding for projects - limits the work to be done."/>
    <s v="Severly limits the qunatity and quality of work to be done."/>
    <m/>
    <n v="2000"/>
    <n v="2000"/>
    <n v="2000"/>
    <n v="2000"/>
    <n v="2000"/>
    <n v="2000"/>
    <n v="2000"/>
    <n v="2000"/>
    <n v="2000"/>
    <m/>
    <n v="2000"/>
    <n v="20000"/>
    <n v="0"/>
    <s v="Recruit and retain high caliber faculty, researchers and staff"/>
  </r>
  <r>
    <s v="Student"/>
    <s v="No Applicable"/>
    <s v="College of Arts &amp; Science"/>
    <n v="847"/>
    <n v="8470415"/>
    <s v="KUST - Chemistry"/>
    <n v="1"/>
    <n v="425763"/>
    <s v="425763-Student Project Expenses"/>
    <s v="000000"/>
    <s v="KUST - General"/>
    <n v="847001"/>
    <s v="FA179-Opex Expense"/>
    <n v="200179"/>
    <x v="351"/>
    <m/>
    <m/>
    <m/>
    <s v="425763.Student Project Expenses-Number of Students UG-Month"/>
    <s v="Month"/>
    <n v="60"/>
    <n v="1000"/>
    <s v="12 senior BSc students each working for 5 months"/>
    <n v="60000"/>
    <s v="KU Regular operations"/>
    <s v="Recurring"/>
    <n v="54000"/>
    <n v="48000"/>
    <n v="42000"/>
    <s v="Less innovative projects to be conducted"/>
    <s v="Less innovative projects to be conducted"/>
    <s v="Less innovative projects to be conducted"/>
    <m/>
    <n v="15000"/>
    <n v="15000"/>
    <m/>
    <m/>
    <m/>
    <m/>
    <m/>
    <n v="15000"/>
    <n v="15000"/>
    <m/>
    <m/>
    <n v="60000"/>
    <n v="0"/>
    <s v="Develop the university innovation and entrepreneurship system"/>
  </r>
  <r>
    <s v="Academic"/>
    <s v="No Applicable"/>
    <s v="College of Arts &amp; Science"/>
    <n v="847"/>
    <n v="8470415"/>
    <s v="KUST - Chemistry"/>
    <n v="1"/>
    <n v="425770"/>
    <s v="425770-Academic Missions - Combined expenses"/>
    <s v="000000"/>
    <s v="KUST - General"/>
    <n v="847001"/>
    <s v="FA179-Opex Expense"/>
    <n v="200179"/>
    <x v="352"/>
    <n v="6028.16"/>
    <n v="285000"/>
    <n v="220000"/>
    <s v="425770.Academic Missions - Combined expenses-Number of Conference-Number"/>
    <s v="Number"/>
    <n v="24"/>
    <n v="15000"/>
    <s v="24 faculty at 15000 per conference (NB: increase in number of faculty from 2022)"/>
    <n v="360000"/>
    <s v="KU Regular operations"/>
    <s v="Recurring"/>
    <n v="324000"/>
    <n v="288000"/>
    <n v="251999.99999999997"/>
    <s v="Fewer or less prestigious conferences attended - limits high quality research dissemination and reputation building. Less impact"/>
    <s v="Fewer or less prestigious conferences attended - limits high quality research dissemination and reputation building. Less impact."/>
    <s v="Fewer or less prestigious conferences attended - limits high quality research dissemination and reputation building. Much less impact."/>
    <m/>
    <m/>
    <m/>
    <n v="30000"/>
    <m/>
    <n v="90000"/>
    <n v="120000"/>
    <m/>
    <n v="90000"/>
    <m/>
    <m/>
    <n v="30000"/>
    <n v="360000"/>
    <n v="0"/>
    <s v="Recruit and retain high caliber faculty, researchers and staff"/>
  </r>
  <r>
    <s v="Academic"/>
    <s v="No Applicable"/>
    <s v="College of Arts &amp; Science"/>
    <n v="847"/>
    <n v="8470415"/>
    <s v="KUST - Chemistry"/>
    <n v="1"/>
    <n v="425770"/>
    <s v="425770-Academic Missions - Combined expenses"/>
    <s v="000000"/>
    <s v="KUST - General"/>
    <n v="847001"/>
    <s v="FA179-Opex Expense"/>
    <n v="200179"/>
    <x v="352"/>
    <m/>
    <m/>
    <m/>
    <s v="425770.Academic Missions - Combined expenses-Number of Meeting-Number"/>
    <s v="Number"/>
    <n v="5"/>
    <n v="15000"/>
    <s v="Visits for Chair and/or senior staff to potential collaborating institutions to set up research collaborations."/>
    <n v="75000"/>
    <s v="KU Regular operations"/>
    <s v="Recurring"/>
    <n v="67500"/>
    <n v="60000"/>
    <n v="52500"/>
    <s v="Fewer visits - limits work on building collaborations"/>
    <s v="Fewer visits - limits work on building collaborations"/>
    <s v="Fewer visits - limits work on building collaborations"/>
    <m/>
    <m/>
    <n v="15000"/>
    <m/>
    <m/>
    <n v="30000"/>
    <m/>
    <m/>
    <m/>
    <m/>
    <m/>
    <n v="30000"/>
    <n v="75000"/>
    <n v="0"/>
    <s v="Build partnerships with local and international universities"/>
  </r>
  <r>
    <s v="Other support"/>
    <s v="Director, Human Resources"/>
    <s v="College of Arts &amp; Science"/>
    <n v="847"/>
    <n v="8470415"/>
    <s v="KUST - Chemistry"/>
    <n v="1"/>
    <n v="425900"/>
    <s v="425900-Entertainment and hospitality"/>
    <s v="000000"/>
    <m/>
    <n v="847001"/>
    <s v="FA179-Opex Expense"/>
    <n v="200179"/>
    <x v="353"/>
    <m/>
    <m/>
    <m/>
    <s v="425900.Entertainment and hospitality-1. No of events/workshops planned-count"/>
    <s v="count"/>
    <n v="8"/>
    <n v="12000"/>
    <s v="Chemistry seminar series inviting distinguisjed speakers/visitors to give research lectures."/>
    <n v="96000"/>
    <s v="KU Regular operations"/>
    <s v="Recurring"/>
    <n v="86400"/>
    <n v="76800"/>
    <n v="67200"/>
    <s v="Fewer seminars/less distinguished speakers"/>
    <s v="Fewer seminars/less distinguished speakers"/>
    <s v="Fewer seminars/less distinguished speakers"/>
    <m/>
    <n v="12000"/>
    <n v="12000"/>
    <n v="12000"/>
    <n v="12000"/>
    <m/>
    <m/>
    <m/>
    <n v="12000"/>
    <n v="12000"/>
    <n v="12000"/>
    <n v="12000"/>
    <n v="96000"/>
    <n v="0"/>
    <s v="Build partnerships with local and international universities"/>
  </r>
  <r>
    <s v="Other support"/>
    <s v="Director, Human Resources"/>
    <s v="College of Arts &amp; Science"/>
    <n v="847"/>
    <n v="8470415"/>
    <s v="KUST - Chemistry"/>
    <n v="1"/>
    <n v="425900"/>
    <s v="425900-Entertainment and hospitality"/>
    <s v="000000"/>
    <s v="KUST - General"/>
    <n v="847001"/>
    <s v="FA179-Opex Expense"/>
    <n v="200179"/>
    <x v="353"/>
    <n v="0"/>
    <n v="140000"/>
    <n v="0"/>
    <s v="425900.Entertainment and hospitality-1. No of events/workshops planned-count"/>
    <s v="count"/>
    <n v="1"/>
    <n v="140000"/>
    <s v="Meeting of advisory board for BSc / MSc programmes - rate as circulated"/>
    <n v="140000"/>
    <s v="KU Regular operations"/>
    <s v="Recurring"/>
    <n v="126000"/>
    <n v="112000"/>
    <n v="98000"/>
    <s v="Limit on board activity"/>
    <s v="Limit on board activity"/>
    <s v="Limit on board activity"/>
    <m/>
    <m/>
    <n v="140000"/>
    <m/>
    <m/>
    <m/>
    <m/>
    <m/>
    <m/>
    <m/>
    <m/>
    <m/>
    <n v="140000"/>
    <n v="0"/>
    <s v="Align academic programs with the local and global labor market needs"/>
  </r>
  <r>
    <s v="Other support"/>
    <s v="Director, Human Resources"/>
    <s v="College of Arts &amp; Science"/>
    <n v="847"/>
    <n v="8470415"/>
    <s v="KUST - Chemistry"/>
    <n v="1"/>
    <n v="425900"/>
    <s v="425900-Entertainment and hospitality"/>
    <s v="000000"/>
    <s v="KUST - General"/>
    <n v="847001"/>
    <s v="FA179-Opex Expense"/>
    <n v="200179"/>
    <x v="353"/>
    <m/>
    <m/>
    <m/>
    <s v="425900.Entertainment and hospitality-1. No of events/workshops planned-count"/>
    <s v="count"/>
    <n v="1"/>
    <n v="140000"/>
    <s v="Meeting of advisory board for Materials Chemistry Research Centre expected to be established in July 2022"/>
    <n v="140000"/>
    <s v="KU Regular operations"/>
    <s v="Recurring"/>
    <n v="126000"/>
    <n v="112000"/>
    <n v="98000"/>
    <s v="Limit on board activity"/>
    <s v="Limit on board activity"/>
    <s v="Limit on board activity"/>
    <m/>
    <n v="140000"/>
    <m/>
    <m/>
    <m/>
    <m/>
    <m/>
    <m/>
    <m/>
    <m/>
    <m/>
    <m/>
    <n v="140000"/>
    <n v="0"/>
    <s v="Increase publications in journals with high impact factor"/>
  </r>
  <r>
    <s v="IT"/>
    <s v="Director, Technology Development"/>
    <s v="College of Arts &amp; Science"/>
    <n v="847"/>
    <n v="8470415"/>
    <s v="KUST - Chemistry"/>
    <n v="1"/>
    <n v="426610"/>
    <s v="426610-Computer software licenses"/>
    <s v="000000"/>
    <s v="KUST - General"/>
    <n v="847001"/>
    <s v="FA179-Opex Expense"/>
    <n v="200179"/>
    <x v="354"/>
    <n v="35235.129999999997"/>
    <n v="229511"/>
    <n v="165000"/>
    <s v="426610.Computer software licenses-Software License Renewal-number of licenses-Number"/>
    <s v="Number"/>
    <n v="1"/>
    <n v="97617"/>
    <s v="Spartan molecular modelling for undergraduate students. Budget taken from CoAS Academic Software list."/>
    <n v="97617"/>
    <s v="KU Regular operations"/>
    <s v="Recurring"/>
    <n v="87855.3"/>
    <n v="78093.600000000006"/>
    <n v="68331.899999999994"/>
    <s v="Negotiations needed with vendor. May not be posssible to purchase so will have to be removed from teaching. Teaching will be less effective"/>
    <s v="Negotiations needed with vendor. May not be posssible to purchase so will have to be removed from teaching. Teaching will be less effective"/>
    <s v="Will probably not be posssible to purchase so will have to be removed from teaching. Teaching will be less effective."/>
    <m/>
    <n v="97617"/>
    <m/>
    <m/>
    <m/>
    <m/>
    <m/>
    <m/>
    <m/>
    <m/>
    <s v=" "/>
    <m/>
    <n v="97617"/>
    <n v="0"/>
    <s v="Align academic programs with the local and global labor market needs"/>
  </r>
  <r>
    <s v="IT"/>
    <s v="Director, Technology Development"/>
    <s v="College of Arts &amp; Science"/>
    <n v="847"/>
    <n v="8470415"/>
    <s v="KUST - Chemistry"/>
    <n v="1"/>
    <n v="426610"/>
    <s v="426610-Computer software licenses"/>
    <s v="000000"/>
    <s v="KUST - General"/>
    <n v="847001"/>
    <s v="FA179-Opex Expense"/>
    <n v="200179"/>
    <x v="354"/>
    <m/>
    <m/>
    <m/>
    <s v="426610.Computer software licenses-Software License Renewal-number of licenses-Number"/>
    <s v="Number"/>
    <n v="1"/>
    <n v="30000"/>
    <s v="Subscription to Cambridge Crystallographic Data Centre. Important resource of researchers and also used in Sophomore and Senior teaching. Cost GBP6305.80.  Quotation Chem1"/>
    <n v="30000"/>
    <s v="KU Regular operations"/>
    <s v="Recurring"/>
    <n v="27000"/>
    <n v="24000"/>
    <n v="21000"/>
    <s v="Negotiations needed with vendor. May not be posssible to purchase so will have to limit some research and publications as well as activities of Chemical Crystallography laboratory."/>
    <s v="Negotiations needed with vendor. May not be posssible to purchase so will have to limit some research and publications as well as activities of Chemical Crystallography laboratory."/>
    <s v="Negotiations needed with vendor. May not be posssible to purchase so will have to limit or restrict some research and publications as well as activities of Chemical crystallography laboratory."/>
    <m/>
    <m/>
    <n v="30000"/>
    <m/>
    <m/>
    <m/>
    <m/>
    <m/>
    <m/>
    <m/>
    <m/>
    <m/>
    <n v="30000"/>
    <n v="0"/>
    <s v="Increase publications in journals with high impact factor"/>
  </r>
  <r>
    <s v="IT"/>
    <s v="Director, Technology Development"/>
    <s v="College of Arts &amp; Science"/>
    <n v="847"/>
    <n v="8470415"/>
    <s v="KUST - Chemistry"/>
    <n v="1"/>
    <n v="426610"/>
    <s v="426610-Computer software licenses"/>
    <s v="000000"/>
    <s v="KUST - General"/>
    <n v="847001"/>
    <s v="FA179-Opex Expense"/>
    <n v="200179"/>
    <x v="354"/>
    <m/>
    <m/>
    <m/>
    <s v="426610.Computer software licenses-Software License Renewal-number of licenses-Number"/>
    <s v="Number"/>
    <n v="1"/>
    <n v="31195"/>
    <s v="Chemdraw programme used for all chemistry students (UG &amp; PG)  and faculty. Rising numbers in Chemistry mean an upgrade to Medium licence - up to 300 users. Cost US$8500.  Quotation Chem2."/>
    <n v="31195"/>
    <s v="KU Regular operations"/>
    <s v="Recurring"/>
    <n v="28075.5"/>
    <n v="24956"/>
    <n v="21836.5"/>
    <s v="Negotiations needed with vendor. May not be posssible to purchase so will have to be removed from teaching. Teaching will be less effective, publication of high quality research papers will be compromised."/>
    <s v="Negotiations needed with vendor. May not be posssible to purchase so will have to be removed from teaching. Teaching will be less effective, publication of high quality research papers will be compromised."/>
    <s v="Negotiations needed with vendor. May not be posssible to purchase so will have to be removed from teaching. Teaching will be less effective, publication of high quality research papers will be compromised."/>
    <m/>
    <m/>
    <m/>
    <m/>
    <m/>
    <m/>
    <n v="31195"/>
    <m/>
    <m/>
    <m/>
    <m/>
    <m/>
    <n v="31195"/>
    <n v="0"/>
    <s v="Align academic programs with the local and global labor market needs"/>
  </r>
  <r>
    <s v="IT"/>
    <s v="Director, Technology Development"/>
    <s v="College of Arts &amp; Science"/>
    <n v="847"/>
    <n v="8470415"/>
    <s v="KUST - Chemistry"/>
    <n v="1"/>
    <n v="426610"/>
    <s v="426610-Computer software licenses"/>
    <s v="000000"/>
    <s v="KUST - General"/>
    <n v="847001"/>
    <s v="FA179-Opex Expense"/>
    <n v="200179"/>
    <x v="354"/>
    <m/>
    <m/>
    <m/>
    <s v="426610.Computer software licenses-Software License Renewal-number of licenses-Number"/>
    <s v="Number"/>
    <n v="1"/>
    <n v="25323"/>
    <s v="Gaussian16 molecular modelling .  New faculty joining ned tis for their work - can also be used in teaching. Cost US$6900.  Quotation Chem 3"/>
    <n v="25323"/>
    <s v="KU Strategic New Initiative"/>
    <s v="Non-recurring"/>
    <n v="22790.7"/>
    <n v="20258.400000000001"/>
    <n v="17726.099999999999"/>
    <s v="Negotiations needed with vendor. May not be posssible to purchase so will have to limit some research and publications as well as activities of Chemical Crystallography laboratory."/>
    <s v="Negotiations needed with vendor. May not be posssible to purchase so will have to limit some research and publications as well as activities of Chemical Crystallography laboratory."/>
    <s v="Negotiations needed with vendor. May not be posssible to purchase so will have to limit or restrict some research and publications as well as activities of Chemical crystallography laboratory."/>
    <m/>
    <n v="25323"/>
    <m/>
    <m/>
    <m/>
    <m/>
    <m/>
    <m/>
    <m/>
    <m/>
    <m/>
    <m/>
    <n v="25323"/>
    <n v="0"/>
    <s v="Increase publications in journals with high impact factor"/>
  </r>
  <r>
    <s v="IT"/>
    <s v="Director, Technology Development"/>
    <s v="College of Arts &amp; Science"/>
    <n v="847"/>
    <n v="8470415"/>
    <s v="KUST - Chemistry"/>
    <n v="1"/>
    <n v="426610"/>
    <s v="426610-Computer software licenses"/>
    <s v="000000"/>
    <s v="KUST - General"/>
    <n v="847001"/>
    <s v="FA179-Opex Expense"/>
    <n v="200179"/>
    <x v="354"/>
    <m/>
    <m/>
    <m/>
    <s v="426610.Computer software licenses-Software License Renewal-number of licenses-Number"/>
    <s v="Number"/>
    <n v="1"/>
    <n v="10827"/>
    <s v="Molpro molecular modelling .  New faculty joining need this for their work - can also be used in teaching. Cost US$2950 for 3 yr licence.  Quotation Chem 4"/>
    <n v="10827"/>
    <s v="KU Strategic New Initiative"/>
    <s v="Non-recurring"/>
    <n v="9744.3000000000011"/>
    <n v="8661.6"/>
    <n v="7578.9"/>
    <s v="Negotiations needed with vendor. May not be posssible to purchase so will have to limit some research and publications as well as activities of Chemical Crystallography laboratory."/>
    <s v="Negotiations needed with vendor. May not be posssible to purchase so will have to limit some research and publications as well as activities of Chemical Crystallography laboratory."/>
    <s v="Negotiations needed with vendor. May not be posssible to purchase so will have to limit or restrict some research and publications as well as activities of Chemical crystallography laboratory."/>
    <m/>
    <n v="10827"/>
    <m/>
    <m/>
    <m/>
    <m/>
    <m/>
    <m/>
    <m/>
    <m/>
    <m/>
    <m/>
    <n v="10827"/>
    <n v="0"/>
    <s v="Increase publications in journals with high impact factor"/>
  </r>
  <r>
    <s v="Communiction &amp; Marketing"/>
    <s v="Director, Marketing and Communication"/>
    <s v="College of Arts &amp; Science"/>
    <n v="847"/>
    <n v="8470415"/>
    <s v="KUST - Chemistry"/>
    <n v="1"/>
    <n v="428640"/>
    <s v="428640-Events - Awards, prizes &amp; gifts"/>
    <s v="000000"/>
    <s v="KUST - General"/>
    <n v="847001"/>
    <s v="FA179-Opex Expense"/>
    <n v="200179"/>
    <x v="355"/>
    <s v="-"/>
    <n v="15000"/>
    <n v="10000"/>
    <s v="428640.Events - Awards, prizes &amp; gifts-Number of awards-count"/>
    <s v="count"/>
    <n v="1"/>
    <n v="20000"/>
    <s v="Gifts etc. for outreach / open day work with prospective students. Based on 2018 (last year pre-covid) expenditure"/>
    <n v="20000"/>
    <s v="KU Regular operations"/>
    <s v="Recurring"/>
    <n v="18000"/>
    <n v="16000"/>
    <n v="14000"/>
    <s v="Fewer available - limit on publicity etc."/>
    <s v="Fewer available - limit on publicity etc."/>
    <s v="Fewer available - limit on publicity etc."/>
    <m/>
    <n v="2000"/>
    <m/>
    <n v="5000"/>
    <m/>
    <n v="5000"/>
    <m/>
    <m/>
    <n v="3000"/>
    <m/>
    <m/>
    <n v="5000"/>
    <n v="20000"/>
    <n v="0"/>
    <s v="Enhance the communication plan and outreach activities"/>
  </r>
  <r>
    <s v="Academic"/>
    <s v="No Applicable"/>
    <s v="College of Arts &amp; Science"/>
    <n v="847"/>
    <n v="8470415"/>
    <s v="KUST - Chemistry"/>
    <n v="1"/>
    <n v="432209"/>
    <s v="432209-Laboratory equipment"/>
    <s v="000000"/>
    <s v="KUST - General"/>
    <n v="847001"/>
    <s v="FA179-Opex Expense"/>
    <n v="200179"/>
    <x v="356"/>
    <n v="85887.1"/>
    <n v="301000"/>
    <n v="300000"/>
    <s v="432209.Laboratory equipment-Number of Students-Number"/>
    <s v="Number"/>
    <n v="1"/>
    <n v="435000"/>
    <s v="In 2022 chemistry ran 16 courses with laboratories. For 2023, five additional laboratory courses are running due to (a) introduction of more PhD courses, (b) new MSc courses and (c) introduction of two new tracks into the fourth year of the BSc. Undergrad. student numbers will increase from 11 in year 3 to 24.  This budget covers maintenance (only) of instruments, replacement of small items e.g. stirrers, hotplates, thermometers, pH meters). Also, cost inflation for lab. type apparatus is ruinning at around 10%.  So, 2022 budget +10% and multiplied by (16 + 5) /16 to account for new courses."/>
    <n v="435000"/>
    <s v="KU Regular operations"/>
    <s v="Recurring"/>
    <n v="391500"/>
    <n v="348000"/>
    <n v="304500"/>
    <s v="Broken instruments may not be replaced. Quality of student education will be compromised somewhat."/>
    <s v="Broken instruments may not be replaced. Quality of student education will be compromised."/>
    <s v="Broken instruments may not be replaced. Quality of student education will be seriously compromised."/>
    <m/>
    <m/>
    <n v="50000"/>
    <m/>
    <n v="150000"/>
    <m/>
    <m/>
    <n v="200000"/>
    <m/>
    <m/>
    <m/>
    <n v="35000"/>
    <n v="435000"/>
    <n v="0"/>
    <s v="Align academic programs with the local and global labor market needs"/>
  </r>
  <r>
    <s v="Academic"/>
    <s v="No Applicable"/>
    <s v="College of Arts &amp; Science"/>
    <n v="847"/>
    <n v="8470415"/>
    <s v="KUST - Chemistry"/>
    <n v="1"/>
    <n v="432209"/>
    <s v="432209-Laboratory equipment"/>
    <s v="000000"/>
    <s v="KUST - General"/>
    <n v="847001"/>
    <s v="FA179-Opex Expense"/>
    <n v="200179"/>
    <x v="356"/>
    <m/>
    <m/>
    <m/>
    <s v="432209.Laboratory equipment-Number of Faculty-Number"/>
    <s v="Number"/>
    <n v="6"/>
    <n v="75000"/>
    <s v="There are 6 new faculty members joining chemistry and some modest support will be needed to enable them to get research off the ground."/>
    <n v="450000"/>
    <s v="KU Strategic New Initiative"/>
    <s v="Non-recurring"/>
    <n v="405000"/>
    <n v="360000"/>
    <n v="315000"/>
    <s v="Progress and start-up will be slower."/>
    <s v="Progress and start-up will be slower."/>
    <s v="Progress and start-up will be slower."/>
    <m/>
    <m/>
    <n v="150000"/>
    <m/>
    <n v="150000"/>
    <m/>
    <m/>
    <n v="150000"/>
    <m/>
    <m/>
    <m/>
    <m/>
    <n v="450000"/>
    <n v="0"/>
    <s v="Recruit and retain high caliber faculty, researchers and staff"/>
  </r>
  <r>
    <s v="Academic"/>
    <s v="No Applicable"/>
    <s v="College of Arts &amp; Science"/>
    <n v="847"/>
    <n v="8470415"/>
    <s v="KUST - Chemistry"/>
    <n v="1"/>
    <n v="432209"/>
    <s v="432209-Laboratory equipment"/>
    <s v="000000"/>
    <s v="KUST - General"/>
    <n v="847001"/>
    <s v="FA179-Opex Expense"/>
    <n v="200179"/>
    <x v="356"/>
    <m/>
    <m/>
    <m/>
    <s v="432209.Laboratory equipment-Number of Faculty-Number"/>
    <s v="Number"/>
    <n v="1"/>
    <n v="95000"/>
    <s v="Chemistry department is responsible for managing the new Chemical Crystallography Laboratory in Arzanah. There are three high value instruments and a mantenance contract is needed to cover their repair etc in the case of breakdown."/>
    <n v="95000"/>
    <s v="KU Strategic New Initiative"/>
    <s v="Non-recurring"/>
    <n v="85500"/>
    <n v="76000"/>
    <n v="66500"/>
    <s v="May only be able to keep two instruments in operation"/>
    <s v="May only be able to keep two instruments in operation"/>
    <s v="May only be able to keep one or two instruments in operation"/>
    <m/>
    <n v="95000"/>
    <m/>
    <m/>
    <m/>
    <m/>
    <m/>
    <m/>
    <m/>
    <m/>
    <m/>
    <m/>
    <n v="95000"/>
    <n v="0"/>
    <s v="Increase publications in journals with high impact factor"/>
  </r>
  <r>
    <s v="Academic"/>
    <s v="No Applicable"/>
    <s v="College of Arts &amp; Science"/>
    <n v="847"/>
    <n v="8470415"/>
    <s v="KUST - Chemistry"/>
    <n v="1"/>
    <n v="435350"/>
    <s v="435350-Academic Publications"/>
    <s v="000000"/>
    <s v="KUST - General"/>
    <n v="847001"/>
    <s v="FA179-Opex Expense"/>
    <n v="200179"/>
    <x v="357"/>
    <n v="15797.82"/>
    <n v="70000"/>
    <n v="50000"/>
    <s v="435350.Academic Publications-Number of Publications-Number"/>
    <s v="Number"/>
    <n v="15"/>
    <n v="12000"/>
    <s v="Publication or open access charges for high quality (Q1, IF&gt;6, top 10%) journals. Average cost is $/€ 3-4000, we aim for 15 papers."/>
    <n v="180000"/>
    <s v="KU Regular operations"/>
    <s v="Recurring"/>
    <n v="162000"/>
    <n v="144000"/>
    <n v="125999.99999999999"/>
    <s v="Fewer high quality papers published or publication delayed/in lower ranked journals"/>
    <s v="Fewer high quality papers published or publication delayed/in lower ranked journals"/>
    <s v="Fewer high quality papers published or publication delayed/in lower ranked journals"/>
    <m/>
    <n v="36000"/>
    <m/>
    <n v="36000"/>
    <m/>
    <s v=" "/>
    <n v="36000"/>
    <s v=" "/>
    <n v="36000"/>
    <m/>
    <n v="36000"/>
    <m/>
    <n v="180000"/>
    <n v="0"/>
    <s v="Increase publications in journals with high impact factor"/>
  </r>
  <r>
    <s v="Academic"/>
    <s v="Director, Research Laboratories"/>
    <s v="College of Arts &amp; Science"/>
    <n v="847"/>
    <n v="8470415"/>
    <s v="KUST - Chemistry"/>
    <n v="1"/>
    <n v="435508"/>
    <s v="435508-Laboratory - Scientific"/>
    <s v="000000"/>
    <s v="KUST - General"/>
    <n v="847001"/>
    <s v="FA179-Opex Expense"/>
    <n v="200179"/>
    <x v="358"/>
    <n v="146217.29999999999"/>
    <n v="525000"/>
    <n v="500000"/>
    <s v="435508.Laboratory - Scientific-Number of Students-Number"/>
    <s v="Number"/>
    <n v="1"/>
    <n v="750000"/>
    <s v="In 2022 chemistry ran 16 courses with laboratories. For 2023, five additional laboratory courses are running due to (a) introduction of more PhD courses, (b) new MSc courses and (c) introduction of two new tracks into the fourth year of the BSc. Undergrad. student numbers will increase from 11 in year 2 and 3 to 24.  This budget covers consumable chemicals, classware, small items of laboratory use - bottles, sample tubes etc.  Also, cost inflation for lab. type apparatus is ruinning at around 10%.  So, 2022 budget +10% and multiplied by (16 + 5) /16 to account for new courses."/>
    <n v="750000"/>
    <s v="KU Regular operations"/>
    <s v="Recurring"/>
    <n v="675000"/>
    <n v="600000"/>
    <n v="525000"/>
    <s v="Quality of student education will be compromised somewhat."/>
    <s v="Quality of student education will be compromised."/>
    <s v=" Quality of student education will be seriously compromised."/>
    <m/>
    <n v="150000"/>
    <m/>
    <m/>
    <n v="200000"/>
    <m/>
    <m/>
    <n v="200000"/>
    <m/>
    <m/>
    <n v="200000"/>
    <m/>
    <n v="750000"/>
    <n v="0"/>
    <s v="Align academic programs with the local and global labor market needs"/>
  </r>
  <r>
    <s v="Academic"/>
    <s v="Director, Research Laboratories"/>
    <s v="College of Arts &amp; Science"/>
    <n v="847"/>
    <n v="8470415"/>
    <s v="KUST - Chemistry"/>
    <n v="1"/>
    <n v="435508"/>
    <s v="435508-Laboratory - Scientific"/>
    <s v="000000"/>
    <s v="KUST - General"/>
    <n v="847001"/>
    <s v="FA179-Opex Expense"/>
    <n v="200179"/>
    <x v="358"/>
    <m/>
    <m/>
    <m/>
    <s v="435508.Laboratory - Scientific-Number of Students-Number"/>
    <s v="Number"/>
    <n v="1"/>
    <n v="250000"/>
    <s v="We moved from the main campus (laboratory capacity 18) to SAN where labs have a higheer capacity - 36. Thus, to maintain the industry standard of education, we need to add workstations (glassware, small items) to accommodate these additional students. The number of freshman course sections is increasing from 10 - 15. Thus a one-off injection of funds to equip the laboratories is needed."/>
    <n v="250000"/>
    <s v="KU Strategic New Initiative"/>
    <s v="Non-recurring"/>
    <n v="225000"/>
    <n v="200000"/>
    <n v="175000"/>
    <s v="Some students will work in larger groups - not industry standard education."/>
    <s v="Students will work in larger groups - not industry standard education."/>
    <s v="Students will work in larger groups - not industry standard education."/>
    <m/>
    <n v="200000"/>
    <m/>
    <m/>
    <n v="50000"/>
    <m/>
    <m/>
    <m/>
    <m/>
    <m/>
    <m/>
    <m/>
    <n v="250000"/>
    <n v="0"/>
    <s v="Recruit and retain high caliber faculty, researchers and staff"/>
  </r>
  <r>
    <s v="Academic"/>
    <s v="Director, Research Laboratories"/>
    <s v="College of Arts &amp; Science"/>
    <n v="847"/>
    <n v="8470415"/>
    <s v="KUST - Chemistry"/>
    <n v="1"/>
    <n v="435508"/>
    <s v="435508-Laboratory - Scientific"/>
    <s v="000000"/>
    <s v="KUST - General"/>
    <n v="847001"/>
    <s v="FA179-Opex Expense"/>
    <n v="200179"/>
    <x v="358"/>
    <m/>
    <m/>
    <m/>
    <s v="435508.Laboratory - Scientific-Number of Faculty-Number"/>
    <s v="Number"/>
    <n v="6"/>
    <n v="25000"/>
    <s v="There are 6 new faculty members joining chemistry and some modest support will be needed to enable them to get research off the ground."/>
    <n v="150000"/>
    <s v="KU Strategic New Initiative"/>
    <s v="Non-recurring"/>
    <n v="135000"/>
    <n v="120000"/>
    <n v="105000"/>
    <s v="Progress and start-up will be slower."/>
    <s v="Progress and start-up will be slower."/>
    <s v="Progress and start-up will be slower."/>
    <m/>
    <s v=" "/>
    <n v="50000"/>
    <m/>
    <n v="50000"/>
    <m/>
    <m/>
    <n v="50000"/>
    <m/>
    <m/>
    <m/>
    <m/>
    <n v="150000"/>
    <n v="0"/>
    <s v="Align academic programs with the local and global labor market needs"/>
  </r>
  <r>
    <s v="Academic"/>
    <s v="Director, Research Laboratories"/>
    <s v="College of Arts &amp; Science"/>
    <n v="847"/>
    <n v="8470415"/>
    <s v="KUST - Chemistry"/>
    <n v="1"/>
    <n v="435508"/>
    <s v="435508-Laboratory - Scientific"/>
    <s v="000000"/>
    <s v="KUST - General"/>
    <n v="847001"/>
    <s v="FA179-Opex Expense"/>
    <n v="200179"/>
    <x v="358"/>
    <m/>
    <m/>
    <m/>
    <s v="435508.Laboratory - Scientific-Number of Faculty-Number"/>
    <s v="Number"/>
    <n v="1"/>
    <n v="50000"/>
    <s v="Chemistry department is responsible for managing the new Chemical Crystallography Laboratory in Arzanah. There is a need for small items of consumable glassware and chemicals to operate the laboratory."/>
    <n v="50000"/>
    <s v="KU Strategic New Initiative"/>
    <s v="Non-recurring"/>
    <n v="45000"/>
    <n v="40000"/>
    <n v="35000"/>
    <s v="Less will be available. May not be able to service all demands."/>
    <s v="Less will be available. May not be able to service all demands."/>
    <s v="May not be able to service all demands so customer service is threatened and the KPIs of CCL may not be delivered."/>
    <m/>
    <m/>
    <n v="20000"/>
    <m/>
    <m/>
    <m/>
    <n v="20000"/>
    <m/>
    <m/>
    <m/>
    <n v="10000"/>
    <m/>
    <n v="50000"/>
    <n v="0"/>
    <s v="Increase publications in journals with high impact factor"/>
  </r>
  <r>
    <s v="Facilities "/>
    <s v="Director, Research Laboratories"/>
    <s v="College of Arts &amp; Science"/>
    <n v="847"/>
    <n v="8470415"/>
    <s v="KUST - Chemistry"/>
    <n v="1"/>
    <n v="492316"/>
    <s v="492316-Laboratory equipment"/>
    <s v="000000"/>
    <s v="KUST - General"/>
    <n v="847001"/>
    <s v="FA180-Capex Expense"/>
    <n v="300180"/>
    <x v="359"/>
    <n v="751050"/>
    <n v="1891417"/>
    <n v="1891400"/>
    <s v="492316.Laboratory equipment-Number of Faculty-Number"/>
    <s v="Number"/>
    <n v="1"/>
    <n v="115395"/>
    <s v="Small microwave reactor. We are introducing a new course in medicinal chemistry and students need to be able to synthesise compounds. Because of short class times, an accelerated method is needed. These units are widely used for similar purposes in other universities and are also becomomg industrially accepted as good modern practice. Not funded in 2022. Quotation Chem6"/>
    <n v="115395"/>
    <s v="KU Strategic New Initiative"/>
    <s v="Non-recurring"/>
    <n v="103855.5"/>
    <n v="92316"/>
    <n v="80776.5"/>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m/>
    <n v="115395"/>
    <m/>
    <m/>
    <m/>
    <m/>
    <n v="115395"/>
    <n v="0"/>
    <s v="Align academic programs with the local and global labor market needs"/>
  </r>
  <r>
    <s v="Facilities "/>
    <s v="Director, Research Laboratories"/>
    <s v="College of Arts &amp; Science"/>
    <n v="847"/>
    <n v="8470415"/>
    <s v="KUST - Chemistry"/>
    <n v="1"/>
    <n v="492316"/>
    <s v="492316-Laboratory equipment"/>
    <s v="000000"/>
    <s v="KUST - General"/>
    <n v="847001"/>
    <s v="FA180-Capex Expense"/>
    <n v="300180"/>
    <x v="359"/>
    <m/>
    <m/>
    <m/>
    <s v="492316.Laboratory equipment-Number of Faculty-Number"/>
    <s v="Number"/>
    <n v="1"/>
    <n v="138600"/>
    <s v="Photocatalytic reactor set up. This is a major research effort of the department and will support research of several faculty, RAs and research students. It can also be used in teaching an undergraduate experiment and for senior projects.. This model is particularly suited to our needs. Quotation Chem7."/>
    <n v="138600"/>
    <s v="KU Strategic New Initiative"/>
    <s v="Non-recurring"/>
    <n v="124740"/>
    <n v="110880"/>
    <n v="97020"/>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m/>
    <n v="138600"/>
    <m/>
    <m/>
    <m/>
    <m/>
    <n v="138600"/>
    <n v="0"/>
    <s v="Increase publications in journals with high impact factor"/>
  </r>
  <r>
    <s v="Facilities "/>
    <s v="Director, Research Laboratories"/>
    <s v="College of Arts &amp; Science"/>
    <n v="847"/>
    <n v="8470415"/>
    <s v="KUST - Chemistry"/>
    <n v="1"/>
    <n v="492316"/>
    <s v="492316-Laboratory equipment"/>
    <s v="000000"/>
    <s v="KUST - General"/>
    <n v="847001"/>
    <s v="FA180-Capex Expense"/>
    <n v="300180"/>
    <x v="359"/>
    <m/>
    <m/>
    <m/>
    <s v="492316.Laboratory equipment-Number of Faculty-Number"/>
    <s v="Number"/>
    <n v="1"/>
    <n v="391000"/>
    <s v="Not funded in 2022. Multiport Physisorption/Micropore Analyzer. This is needed to support the work of 5-6 faculty as well as newly apointed faculty. Currently, samples have to be sent to other universities for analysis. Also, used in two undergraduate classes. Updated Quotation Chem8"/>
    <n v="391000"/>
    <s v="KU Strategic New Initiative"/>
    <s v="Non-recurring"/>
    <n v="351900"/>
    <n v="312800"/>
    <n v="273700"/>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m/>
    <n v="391000"/>
    <m/>
    <m/>
    <m/>
    <m/>
    <n v="391000"/>
    <n v="0"/>
    <s v="Increase publications in journals with high impact factor"/>
  </r>
  <r>
    <s v="Facilities "/>
    <s v="Director, Research Laboratories"/>
    <s v="College of Arts &amp; Science"/>
    <n v="847"/>
    <n v="8470415"/>
    <s v="KUST - Chemistry"/>
    <n v="1"/>
    <n v="492316"/>
    <s v="492316-Laboratory equipment"/>
    <s v="000000"/>
    <s v="KUST - General"/>
    <n v="847001"/>
    <s v="FA180-Capex Expense"/>
    <n v="300180"/>
    <x v="359"/>
    <m/>
    <m/>
    <m/>
    <s v="492316.Laboratory equipment-Number of Faculty-Number"/>
    <s v="Number"/>
    <n v="1"/>
    <n v="567000"/>
    <s v="Originally scheduled for 2024 but needs to be brought forward due to the state of the current instrument. Chromatography-mass spectrometry system. This is to replace a currently 20+ year old machine which the service engineers say is past its useful lifetime. The quotation is old but advances in technology mean the prices will be similar. Used in undergrad teaching as well as environmental research and projects. Quotation Chem9."/>
    <n v="567000"/>
    <s v="KU Strategic New Initiative"/>
    <s v="Non-recurring"/>
    <n v="510300"/>
    <n v="453600"/>
    <n v="396900"/>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m/>
    <n v="567000"/>
    <m/>
    <m/>
    <m/>
    <m/>
    <n v="567000"/>
    <n v="0"/>
    <s v="Align academic programs with the local and global labor market needs"/>
  </r>
  <r>
    <s v="Facilities "/>
    <s v="Director, Research Laboratories"/>
    <s v="College of Arts &amp; Science"/>
    <n v="847"/>
    <n v="8470415"/>
    <s v="KUST - Chemistry"/>
    <n v="1"/>
    <n v="492316"/>
    <s v="492316-Laboratory equipment"/>
    <s v="000000"/>
    <s v="KUST - General"/>
    <n v="847001"/>
    <s v="FA180-Capex Expense"/>
    <n v="300180"/>
    <x v="359"/>
    <m/>
    <m/>
    <m/>
    <s v="492316.Laboratory equipment-Number of Faculty-Number"/>
    <s v="Number"/>
    <n v="1"/>
    <n v="376771"/>
    <s v="Semi-preparative HPLC. Used for prepation and purification of biological samples - in research and senior projects. Existing instruments are unsuitable due to the pump requirements. Quotation Chem10"/>
    <n v="376771"/>
    <s v="KU Strategic New Initiative"/>
    <s v="Non-recurring"/>
    <n v="339093.9"/>
    <n v="301416.8"/>
    <n v="263739.7"/>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m/>
    <n v="376771"/>
    <m/>
    <m/>
    <m/>
    <m/>
    <n v="376771"/>
    <n v="0"/>
    <s v="Increase publications in journals with high impact factor"/>
  </r>
  <r>
    <s v="Facilities "/>
    <s v="Director, Research Laboratories"/>
    <s v="College of Arts &amp; Science"/>
    <n v="847"/>
    <n v="8470415"/>
    <s v="KUST - Chemistry"/>
    <n v="1"/>
    <n v="492316"/>
    <s v="492316-Laboratory equipment"/>
    <s v="000000"/>
    <s v="KUST - General"/>
    <n v="847001"/>
    <s v="FA180-Capex Expense"/>
    <n v="300180"/>
    <x v="359"/>
    <m/>
    <m/>
    <m/>
    <s v="492316.Laboratory equipment-Number of Faculty-Number"/>
    <s v="Number"/>
    <n v="1"/>
    <n v="27914"/>
    <s v="Triple block reactor system. Allows acceleration of synthesis by running in triplicate. For teaching and senior projects. Quotation Chem11"/>
    <n v="27914"/>
    <s v="KU Strategic New Initiative"/>
    <s v="Non-recurring"/>
    <n v="25122.600000000002"/>
    <n v="22331.200000000001"/>
    <n v="19539.8"/>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m/>
    <n v="27914"/>
    <m/>
    <m/>
    <m/>
    <m/>
    <n v="27914"/>
    <n v="0"/>
    <s v="Increase publications in journals with high impact factor"/>
  </r>
  <r>
    <s v="Facilities "/>
    <s v="Director, Research Laboratories"/>
    <s v="College of Arts &amp; Science"/>
    <n v="847"/>
    <n v="8470415"/>
    <s v="KUST - Chemistry"/>
    <n v="1"/>
    <n v="492316"/>
    <s v="492316-Laboratory equipment"/>
    <s v="000000"/>
    <s v="KUST - General"/>
    <n v="847001"/>
    <s v="FA180-Capex Expense"/>
    <n v="300180"/>
    <x v="359"/>
    <m/>
    <m/>
    <m/>
    <s v="492316.Laboratory equipment-Number of Faculty-Number"/>
    <s v="Number"/>
    <n v="1"/>
    <n v="139734"/>
    <s v="Benchtop NMR spectrometer.  The main instrument is in BuHasa but researchers need a small instrument to rapidly check their samples in the research building. This is an economical alternative to a second instrument. Quotation Chem12"/>
    <n v="139734"/>
    <s v="KU Strategic New Initiative"/>
    <s v="Non-recurring"/>
    <n v="125760.6"/>
    <n v="111787.20000000001"/>
    <n v="97813.799999999988"/>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m/>
    <n v="139734"/>
    <m/>
    <m/>
    <m/>
    <m/>
    <n v="139734"/>
    <n v="0"/>
    <s v="Increase publications in journals with high impact factor"/>
  </r>
  <r>
    <s v="Facilities "/>
    <s v="Director, Research Laboratories"/>
    <s v="College of Arts &amp; Science"/>
    <n v="847"/>
    <n v="8470415"/>
    <s v="KUST - Chemistry"/>
    <n v="1"/>
    <n v="492316"/>
    <s v="492316-Laboratory equipment"/>
    <s v="000000"/>
    <s v="KUST - General"/>
    <n v="847001"/>
    <s v="FA180-Capex Expense"/>
    <n v="300180"/>
    <x v="359"/>
    <m/>
    <m/>
    <m/>
    <s v="492316.Laboratory equipment-Number of Faculty-Number"/>
    <s v="Number"/>
    <n v="2"/>
    <n v="357704"/>
    <s v="Potentiostat system. Used to investigate electrochemical reactions. Needed for teaching, student projectrs and research - cannor easily be moved between buildiigs, hence the duplicate. Quotation Chem13"/>
    <n v="715408"/>
    <s v="KU Strategic New Initiative"/>
    <s v="Non-recurring"/>
    <n v="643867.20000000007"/>
    <n v="572326.40000000002"/>
    <n v="500785.6"/>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m/>
    <n v="715408"/>
    <m/>
    <m/>
    <m/>
    <m/>
    <n v="715408"/>
    <n v="0"/>
    <s v="Increase publications in journals with high impact factor"/>
  </r>
  <r>
    <s v="Facilities "/>
    <s v="Director, Research Laboratories"/>
    <s v="College of Arts &amp; Science"/>
    <n v="847"/>
    <n v="8470415"/>
    <s v="KUST - Chemistry"/>
    <n v="1"/>
    <n v="492316"/>
    <s v="492316-Laboratory equipment"/>
    <s v="000000"/>
    <s v="KUST - General"/>
    <n v="847001"/>
    <s v="FA180-Capex Expense"/>
    <n v="300180"/>
    <x v="359"/>
    <m/>
    <m/>
    <m/>
    <s v="492316.Laboratory equipment-Number of Faculty-Number"/>
    <s v="Number"/>
    <n v="1"/>
    <n v="41177"/>
    <s v="Electrochemistry workstation (US$11220). Will enhance undergraduate teaching (1 unit) but also support research of new faculty (1 unit) joining Aug. 2022. Quotations Chem14"/>
    <n v="41177"/>
    <s v="KU Strategic New Initiative"/>
    <s v="Non-recurring"/>
    <n v="37059.300000000003"/>
    <n v="32941.599999999999"/>
    <n v="28823.899999999998"/>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n v="41177"/>
    <m/>
    <m/>
    <m/>
    <m/>
    <m/>
    <n v="41177"/>
    <n v="0"/>
    <s v="Increase publications in journals with high impact factor"/>
  </r>
  <r>
    <s v="Facilities "/>
    <s v="Director, Research Laboratories"/>
    <s v="College of Arts &amp; Science"/>
    <n v="847"/>
    <n v="8470415"/>
    <s v="KUST - Chemistry"/>
    <n v="1"/>
    <n v="492316"/>
    <s v="492316-Laboratory equipment"/>
    <s v="000000"/>
    <s v="KUST - General"/>
    <n v="847001"/>
    <s v="FA180-Capex Expense"/>
    <n v="300180"/>
    <x v="359"/>
    <s v="-"/>
    <s v="-"/>
    <m/>
    <s v="492316.Laboratory equipment-Number of Faculty-Number"/>
    <s v="Number"/>
    <n v="1"/>
    <n v="85027"/>
    <s v="Conducting polymer testing set-up. Will support projects and rsearch of several members of faculty, including new faculty joining Aug. 2022. Quotation Chem15."/>
    <n v="85027"/>
    <s v="KU Strategic New Initiative"/>
    <s v="Non-recurring"/>
    <n v="76524.3"/>
    <n v="68021.600000000006"/>
    <n v="59518.899999999994"/>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n v="85027"/>
    <m/>
    <m/>
    <m/>
    <m/>
    <m/>
    <n v="85027"/>
    <n v="0"/>
    <s v="Increase publications in journals with high impact factor"/>
  </r>
  <r>
    <s v="Facilities "/>
    <s v="Director, Research Laboratories"/>
    <s v="College of Arts &amp; Science"/>
    <n v="847"/>
    <n v="8470415"/>
    <s v="KUST - Chemistry"/>
    <n v="1"/>
    <n v="492316"/>
    <s v="492316-Laboratory equipment"/>
    <s v="000000"/>
    <s v="KUST - General"/>
    <n v="847001"/>
    <s v="FA180-Capex Expense"/>
    <n v="300180"/>
    <x v="359"/>
    <m/>
    <m/>
    <m/>
    <s v="492316.Laboratory equipment-Number of Faculty-Number"/>
    <s v="Number"/>
    <n v="2"/>
    <n v="136371"/>
    <s v="Microscope for traininig students on Forensic science track.  Cost €34700. Quotation Chem16."/>
    <n v="272742"/>
    <s v="KU Strategic New Initiative"/>
    <s v="Non-recurring"/>
    <n v="245467.80000000002"/>
    <n v="218193.6"/>
    <n v="190919.4"/>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n v="272742"/>
    <m/>
    <m/>
    <m/>
    <m/>
    <m/>
    <n v="272742"/>
    <n v="0"/>
    <s v="Align academic programs with the local and global labor market needs"/>
  </r>
  <r>
    <s v="Facilities "/>
    <s v="Director, Research Laboratories"/>
    <s v="College of Arts &amp; Science"/>
    <n v="847"/>
    <n v="8470415"/>
    <s v="KUST - Chemistry"/>
    <n v="1"/>
    <n v="492316"/>
    <s v="492316-Laboratory equipment"/>
    <s v="000000"/>
    <s v="KUST - General"/>
    <n v="847001"/>
    <s v="FA180-Capex Expense"/>
    <n v="300180"/>
    <x v="359"/>
    <s v="-"/>
    <s v="-"/>
    <m/>
    <s v="492316.Laboratory equipment-Number of Faculty-Number"/>
    <s v="Number"/>
    <n v="1"/>
    <n v="142462"/>
    <s v="Fluorescence attachment to enhance capabilities of one microscope. Cost €36250. Quotation Chem17."/>
    <n v="142462"/>
    <s v="KU Strategic New Initiative"/>
    <s v="Non-recurring"/>
    <n v="128215.8"/>
    <n v="113969.60000000001"/>
    <n v="99723.4"/>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n v="142462"/>
    <m/>
    <m/>
    <m/>
    <m/>
    <m/>
    <n v="142462"/>
    <n v="0"/>
    <s v="Increase publications in journals with high impact factor"/>
  </r>
  <r>
    <s v="Facilities "/>
    <s v="Director, Research Laboratories"/>
    <s v="College of Arts &amp; Science"/>
    <n v="847"/>
    <n v="8470415"/>
    <s v="KUST - Chemistry"/>
    <n v="1"/>
    <n v="492316"/>
    <s v="492316-Laboratory equipment"/>
    <s v="000000"/>
    <s v="KUST - General"/>
    <n v="847001"/>
    <s v="FA180-Capex Expense"/>
    <n v="300180"/>
    <x v="359"/>
    <m/>
    <m/>
    <m/>
    <s v="492316.Laboratory equipment-Number of Faculty-Number"/>
    <s v="Number"/>
    <n v="1"/>
    <n v="36272"/>
    <s v="Apparatus: As a result of the move to Arzanah, some equipm,ent needs to be duplicated as it can't be used in a different building. Combined Quotation Chem18."/>
    <n v="36272"/>
    <s v="KU Strategic New Initiative"/>
    <s v="Non-recurring"/>
    <n v="32644.799999999999"/>
    <n v="29017.600000000002"/>
    <n v="25390.399999999998"/>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n v="36272"/>
    <m/>
    <m/>
    <m/>
    <m/>
    <m/>
    <n v="36272"/>
    <n v="0"/>
    <s v="Increase publications in journals with high impact factor"/>
  </r>
  <r>
    <s v="Facilities "/>
    <s v="Director, Research Laboratories"/>
    <s v="College of Arts &amp; Science"/>
    <n v="847"/>
    <n v="8470415"/>
    <s v="KUST - Chemistry"/>
    <n v="1"/>
    <n v="492316"/>
    <s v="492316-Laboratory equipment"/>
    <s v="000000"/>
    <s v="KUST - General"/>
    <n v="847001"/>
    <s v="FA180-Capex Expense"/>
    <n v="300180"/>
    <x v="359"/>
    <m/>
    <m/>
    <m/>
    <s v="492316.Laboratory equipment-Number of Faculty-Number"/>
    <s v="Number"/>
    <n v="1"/>
    <n v="32778"/>
    <s v="Photoelectric cell.  Will support research (several faculty) in univesity priority area of photcatalysis. Quotation Chem19."/>
    <n v="32778"/>
    <s v="KU Strategic New Initiative"/>
    <s v="Non-recurring"/>
    <n v="29500.2"/>
    <n v="26222.400000000001"/>
    <n v="22944.6"/>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n v="32778"/>
    <m/>
    <m/>
    <m/>
    <m/>
    <m/>
    <n v="32778"/>
    <n v="0"/>
    <s v="Increase publications in journals with high impact factor"/>
  </r>
  <r>
    <s v="Facilities "/>
    <s v="Director, Research Laboratories"/>
    <s v="College of Arts &amp; Science"/>
    <n v="847"/>
    <n v="8470415"/>
    <s v="KUST - Chemistry"/>
    <n v="1"/>
    <n v="492316"/>
    <s v="492316-Laboratory equipment"/>
    <s v="000000"/>
    <s v="KUST - General"/>
    <n v="847001"/>
    <s v="FA180-Capex Expense"/>
    <n v="300180"/>
    <x v="359"/>
    <m/>
    <m/>
    <m/>
    <s v="492316.Laboratory equipment-Number of Faculty-Number"/>
    <s v="Number"/>
    <n v="1"/>
    <n v="304500"/>
    <s v="Gas chromatograph.  Needed to interface to a research kit. Existing units cannor be used for this purpose as it needs to be set up permanently attached to irradiation systems. Quotation Chem20."/>
    <n v="304500"/>
    <s v="KU Strategic New Initiative"/>
    <s v="Non-recurring"/>
    <n v="274050"/>
    <n v="243600"/>
    <n v="213150"/>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n v="304500"/>
    <m/>
    <m/>
    <m/>
    <m/>
    <m/>
    <n v="304500"/>
    <n v="0"/>
    <s v="Increase publications in journals with high impact factor"/>
  </r>
  <r>
    <s v="Communiction &amp; Marketing"/>
    <s v="Director, Marketing and Communication"/>
    <s v="College of Arts &amp; Science"/>
    <n v="847"/>
    <n v="8470425"/>
    <s v="KUST - Physics"/>
    <n v="1"/>
    <n v="425510"/>
    <s v="425510-Conferences, seminars and exhibitions and other events: - Local Events"/>
    <s v="000000"/>
    <s v="KUST - General"/>
    <n v="847001"/>
    <s v="FA179-Opex Expense"/>
    <n v="200179"/>
    <x v="360"/>
    <n v="0"/>
    <n v="45000"/>
    <m/>
    <s v="425510.Conferences, seminars and exhibitions and other events: - Local Events-Number of attendees-count"/>
    <s v="count"/>
    <n v="9"/>
    <n v="5000"/>
    <s v="Faculty participation in local event"/>
    <n v="45000"/>
    <s v="KU Regular operations"/>
    <s v="Recurring"/>
    <n v="40500"/>
    <n v="36000"/>
    <n v="31499.999999999996"/>
    <s v="Impact Dept. run operation"/>
    <s v="Impact Dept. run operation"/>
    <s v="Impact Dept. run operation"/>
    <n v="5000"/>
    <m/>
    <n v="10000"/>
    <m/>
    <m/>
    <m/>
    <n v="10000"/>
    <m/>
    <m/>
    <m/>
    <n v="5000"/>
    <n v="15000"/>
    <n v="45000"/>
    <n v="0"/>
    <s v="Establish a mobility program for students, faculty, researchers and staff"/>
  </r>
  <r>
    <s v="Communiction &amp; Marketing"/>
    <s v="Director, Marketing and Communication"/>
    <s v="College of Arts &amp; Science"/>
    <n v="847"/>
    <n v="8470425"/>
    <s v="KUST - Physics"/>
    <n v="1"/>
    <n v="425510"/>
    <s v="425510-Conferences, seminars and exhibitions and other events: - Local Events"/>
    <s v="000000"/>
    <s v="KUST - General"/>
    <n v="847001"/>
    <s v="FA179-Opex Expense"/>
    <n v="200179"/>
    <x v="360"/>
    <m/>
    <m/>
    <m/>
    <s v="425510.Conferences, seminars and exhibitions and other events: - Local Events-Conferences-Number of Conferences"/>
    <s v="Number of Conferences"/>
    <n v="1"/>
    <n v="245000"/>
    <s v="bring an iternational workshop to our department"/>
    <n v="245000"/>
    <s v="KU Strategic New Initiative"/>
    <s v="Non-recurring"/>
    <n v="220500"/>
    <n v="196000"/>
    <n v="171500"/>
    <s v="Impact Dept. run operation"/>
    <s v="Impact Dept. run operation"/>
    <s v="Impact Dept. run operation"/>
    <m/>
    <m/>
    <n v="245000"/>
    <m/>
    <m/>
    <m/>
    <m/>
    <m/>
    <m/>
    <m/>
    <m/>
    <m/>
    <n v="245000"/>
    <n v="0"/>
    <s v="Attract and organize international conferences and summits"/>
  </r>
  <r>
    <s v="Communiction &amp; Marketing"/>
    <s v="No Applicable"/>
    <s v="College of Arts &amp; Science"/>
    <n v="847"/>
    <n v="8470425"/>
    <s v="KUST - Physics"/>
    <n v="1"/>
    <n v="425550"/>
    <s v="425550-Conferences, seminars and exhibitions and other events: - Overseas event"/>
    <s v="000000"/>
    <s v="KUST - General"/>
    <n v="847001"/>
    <s v="FA179-Opex Expense"/>
    <n v="200179"/>
    <x v="361"/>
    <s v="-"/>
    <n v="225000"/>
    <m/>
    <s v="425550.Conferences, seminars and exhibitions and other events: - Overseas event-Conferences-Number of Conferences"/>
    <s v="count"/>
    <n v="11"/>
    <n v="22500"/>
    <s v="International conference presentation by faculty"/>
    <n v="247500"/>
    <s v="KU Regular operations"/>
    <s v="Recurring"/>
    <n v="222750"/>
    <n v="198000"/>
    <n v="173250"/>
    <s v="Impact Dept. run operation"/>
    <s v="Impact Dept. run operation"/>
    <s v="Impact Dept. run operation"/>
    <n v="45000"/>
    <m/>
    <n v="45000"/>
    <m/>
    <m/>
    <m/>
    <n v="60000"/>
    <m/>
    <m/>
    <n v="30000"/>
    <m/>
    <n v="67500"/>
    <n v="247500"/>
    <n v="0"/>
    <s v="Establish a mobility program for students, faculty, researchers and staff"/>
  </r>
  <r>
    <s v="Academic"/>
    <s v="No Applicable"/>
    <s v="College of Arts &amp; Science"/>
    <n v="847"/>
    <n v="8470425"/>
    <s v="KUST - Physics"/>
    <n v="1"/>
    <n v="425770"/>
    <s v="425770-Academic Missions - Combined expenses"/>
    <s v="000000"/>
    <s v="KUST - General"/>
    <n v="847001"/>
    <s v="FA179-Opex Expense"/>
    <n v="200179"/>
    <x v="362"/>
    <n v="717"/>
    <n v="60000"/>
    <m/>
    <s v="425770.Academic Missions - Combined expenses-Number of Meeting-Number"/>
    <s v="Number"/>
    <n v="3"/>
    <n v="22500"/>
    <s v="Academic mission visit"/>
    <n v="67500"/>
    <s v="KU Regular operations"/>
    <s v="Recurring"/>
    <n v="60750"/>
    <n v="54000"/>
    <n v="47250"/>
    <s v="Impact Dept. run operation"/>
    <s v="Impact Dept. run operation"/>
    <s v="Impact Dept. run operation"/>
    <n v="22500"/>
    <m/>
    <m/>
    <m/>
    <m/>
    <m/>
    <n v="22500"/>
    <m/>
    <m/>
    <m/>
    <m/>
    <n v="22500"/>
    <n v="67500"/>
    <n v="0"/>
    <s v="Enhance the communication plan and outreach activities"/>
  </r>
  <r>
    <s v="Other support"/>
    <s v="Director, Human Resources"/>
    <s v="College of Arts &amp; Science"/>
    <n v="847"/>
    <n v="8470425"/>
    <s v="KUST - Physics"/>
    <n v="1"/>
    <n v="425900"/>
    <s v="425900-Entertainment and hospitality"/>
    <s v="000000"/>
    <s v="KUST - General"/>
    <n v="847001"/>
    <s v="FA179-Opex Expense"/>
    <n v="200179"/>
    <x v="363"/>
    <m/>
    <m/>
    <m/>
    <s v="425900.Entertainment and hospitality-1. No of events/workshops planned-count"/>
    <s v="count"/>
    <n v="5"/>
    <n v="25000"/>
    <s v="1 visit a year for a high profiles talk+ 4 regional talks "/>
    <n v="125000"/>
    <s v="KU Regular operations"/>
    <s v="Recurring"/>
    <n v="112500"/>
    <n v="100000"/>
    <n v="87500"/>
    <s v="Impact Dept. run operation"/>
    <s v="Impact Dept. run operation"/>
    <s v="Impact Dept. run operation"/>
    <m/>
    <n v="50000"/>
    <m/>
    <m/>
    <n v="25000"/>
    <m/>
    <m/>
    <m/>
    <n v="50000"/>
    <m/>
    <m/>
    <m/>
    <n v="125000"/>
    <n v="0"/>
    <s v="Enhance the communication plan and outreach activities"/>
  </r>
  <r>
    <s v="Other support"/>
    <s v="Director, Human Resources"/>
    <s v="College of Arts &amp; Science"/>
    <n v="847"/>
    <n v="8470425"/>
    <s v="KUST - Physics"/>
    <n v="1"/>
    <n v="425900"/>
    <s v="425900-Entertainment and hospitality"/>
    <s v="000000"/>
    <s v="KUST - General"/>
    <n v="847001"/>
    <s v="FA179-Opex Expense"/>
    <n v="200179"/>
    <x v="363"/>
    <s v="-"/>
    <n v="10116"/>
    <m/>
    <s v="425900.Entertainment and hospitality-1. No of events/workshops planned-count"/>
    <s v="count"/>
    <n v="2"/>
    <n v="10000"/>
    <s v="Department Retreat"/>
    <n v="20000"/>
    <s v="KU Regular operations"/>
    <s v="Recurring"/>
    <n v="18000"/>
    <n v="16000"/>
    <n v="14000"/>
    <s v="Impact Dept. run operation"/>
    <s v="Impact Dept. run operation"/>
    <s v="Impact Dept. run operation"/>
    <n v="10000"/>
    <m/>
    <m/>
    <m/>
    <m/>
    <m/>
    <m/>
    <n v="10000"/>
    <m/>
    <m/>
    <m/>
    <m/>
    <n v="20000"/>
    <n v="0"/>
    <s v="Design and implement professional development programs for researchers, faculty, and  staff to contribute to the university strategic plan"/>
  </r>
  <r>
    <s v="IT"/>
    <s v="Director, Technology Development"/>
    <s v="College of Arts &amp; Science"/>
    <n v="847"/>
    <n v="8470425"/>
    <s v="KUST - Physics"/>
    <n v="1"/>
    <n v="426610"/>
    <s v="426610-Computer software licenses"/>
    <s v="000000"/>
    <s v="KUST - General"/>
    <n v="847001"/>
    <s v="FA179-Opex Expense"/>
    <n v="200179"/>
    <x v="364"/>
    <n v="0"/>
    <n v="212000"/>
    <m/>
    <s v="426610.Computer software licenses-Software License Renewal-number of licenses-Number"/>
    <s v="Number"/>
    <n v="5"/>
    <n v="40000"/>
    <s v="Software for teaching MS/PhD optical physics and Advaced computational courses"/>
    <n v="200000"/>
    <s v="KU Regular operations"/>
    <s v="Recurring"/>
    <n v="180000"/>
    <n v="160000"/>
    <n v="140000"/>
    <s v="Impact Dept. run operation"/>
    <s v="Impact Dept. run operation"/>
    <s v="Impact Dept. run operation"/>
    <n v="50000"/>
    <m/>
    <m/>
    <n v="50000"/>
    <n v="50000"/>
    <m/>
    <n v="50000"/>
    <m/>
    <m/>
    <m/>
    <m/>
    <m/>
    <n v="200000"/>
    <n v="0"/>
    <s v="Increase number of postgraduate students"/>
  </r>
  <r>
    <s v="Academic "/>
    <s v="No Applicable"/>
    <s v="College of Arts &amp; Science"/>
    <n v="847"/>
    <n v="8470425"/>
    <s v="KUST - Physics"/>
    <n v="1"/>
    <n v="428090"/>
    <s v="428090-Business Travel - Combined expenses"/>
    <s v="000000"/>
    <s v="KUST - General"/>
    <n v="847001"/>
    <s v="FA179-Opex Expense"/>
    <n v="200179"/>
    <x v="365"/>
    <s v="-"/>
    <n v="128000"/>
    <m/>
    <s v="428090.Business Travel - Combined expenses-Number of Faculty-Number"/>
    <s v="Number"/>
    <n v="2"/>
    <n v="64000"/>
    <s v="Business travel "/>
    <n v="128000"/>
    <s v="KU Regular operations"/>
    <s v="Recurring"/>
    <n v="115200"/>
    <n v="102400"/>
    <n v="89600"/>
    <s v="Impact Dept. run operation"/>
    <s v="Impact Dept. run operation"/>
    <s v="Impact Dept. run operation"/>
    <n v="64000"/>
    <m/>
    <m/>
    <m/>
    <m/>
    <m/>
    <m/>
    <m/>
    <n v="64000"/>
    <m/>
    <m/>
    <m/>
    <n v="128000"/>
    <n v="0"/>
    <s v="Enhance the communication plan and outreach activities"/>
  </r>
  <r>
    <s v="Academic"/>
    <s v="No Applicable"/>
    <s v="College of Arts &amp; Science"/>
    <n v="847"/>
    <n v="8470425"/>
    <s v="KUST - Physics"/>
    <n v="1"/>
    <n v="435350"/>
    <s v="435350-Academic Publications"/>
    <s v="000000"/>
    <s v="KUST - General"/>
    <n v="847001"/>
    <s v="FA179-Opex Expense"/>
    <n v="200179"/>
    <x v="366"/>
    <n v="31871.4"/>
    <n v="120000"/>
    <m/>
    <s v="435350.Academic Publications-Number of Publications-Number"/>
    <s v="Number"/>
    <n v="15"/>
    <n v="10000"/>
    <s v="Research Publication"/>
    <n v="150000"/>
    <s v="KU Regular operations"/>
    <s v="Recurring"/>
    <n v="135000"/>
    <n v="120000"/>
    <n v="105000"/>
    <s v="Impact Dept. run operation"/>
    <s v="Impact Dept. run operation"/>
    <s v="Impact Dept. run operation"/>
    <n v="10000"/>
    <n v="10000"/>
    <n v="10000"/>
    <n v="10000"/>
    <n v="10000"/>
    <n v="10000"/>
    <n v="10000"/>
    <n v="20000"/>
    <n v="10000"/>
    <n v="20000"/>
    <n v="10000"/>
    <n v="20000"/>
    <n v="150000"/>
    <n v="0"/>
    <s v="Increase publications in journals with high impact factor"/>
  </r>
  <r>
    <s v="Academic"/>
    <s v="Director, Research Laboratories"/>
    <s v="College of Arts &amp; Science"/>
    <n v="847"/>
    <n v="8470425"/>
    <s v="KUST - Physics"/>
    <n v="1"/>
    <n v="435508"/>
    <s v="435508-Laboratory - Scientific"/>
    <s v="000000"/>
    <s v="KUST - General"/>
    <n v="847001"/>
    <s v="FA179-Opex Expense"/>
    <n v="200179"/>
    <x v="367"/>
    <m/>
    <m/>
    <m/>
    <s v="435508.Laboratory - Scientific-Number of Faculty-Number"/>
    <s v="Number"/>
    <n v="1"/>
    <n v="39000"/>
    <s v="spectroscopy technique for phys 703"/>
    <n v="39000"/>
    <s v="KU Regular operations"/>
    <s v="Recurring"/>
    <n v="35100"/>
    <n v="31200"/>
    <n v="27300"/>
    <s v="Impact Dept. run operation"/>
    <s v="Impact Dept. run operation"/>
    <s v="Impact Dept. run operation"/>
    <m/>
    <m/>
    <n v="39000"/>
    <m/>
    <m/>
    <m/>
    <m/>
    <m/>
    <m/>
    <m/>
    <m/>
    <m/>
    <n v="39000"/>
    <n v="0"/>
    <s v="Increase number of postgraduate students"/>
  </r>
  <r>
    <s v="Academic"/>
    <s v="Director, Research Laboratories"/>
    <s v="College of Arts &amp; Science"/>
    <n v="847"/>
    <n v="8470425"/>
    <s v="KUST - Physics"/>
    <n v="1"/>
    <n v="435508"/>
    <s v="435508-Laboratory - Scientific"/>
    <s v="000000"/>
    <s v="KUST - General"/>
    <n v="847001"/>
    <s v="FA179-Opex Expense"/>
    <n v="200179"/>
    <x v="367"/>
    <m/>
    <m/>
    <m/>
    <s v="435508.Laboratory - Scientific-Number of Faculty-Number"/>
    <s v="Number"/>
    <n v="1"/>
    <n v="5700"/>
    <s v="metal grids type 1 for teaching students phy 705"/>
    <n v="5700"/>
    <s v="KU Regular operations"/>
    <s v="Recurring"/>
    <n v="5130"/>
    <n v="4560"/>
    <n v="3989.9999999999995"/>
    <s v="Impact Dept. run operation"/>
    <s v="Impact Dept. run operation"/>
    <s v="Impact Dept. run operation"/>
    <m/>
    <m/>
    <m/>
    <m/>
    <n v="5700"/>
    <m/>
    <m/>
    <m/>
    <m/>
    <m/>
    <m/>
    <m/>
    <n v="5700"/>
    <n v="0"/>
    <s v="Increase number of postgraduate students"/>
  </r>
  <r>
    <s v="Academic"/>
    <s v="Director, Research Laboratories"/>
    <s v="College of Arts &amp; Science"/>
    <n v="847"/>
    <n v="8470425"/>
    <s v="KUST - Physics"/>
    <n v="1"/>
    <n v="435508"/>
    <s v="435508-Laboratory - Scientific"/>
    <s v="000000"/>
    <s v="KUST - General"/>
    <n v="847001"/>
    <s v="FA179-Opex Expense"/>
    <n v="200179"/>
    <x v="367"/>
    <m/>
    <m/>
    <m/>
    <s v="435508.Laboratory - Scientific-Number of Faculty-Number"/>
    <s v="Number"/>
    <n v="1"/>
    <n v="15000"/>
    <s v="metal grids type 1 and type 2 for teaching students phy 705"/>
    <n v="15000"/>
    <s v="KU Regular operations"/>
    <s v="Recurring"/>
    <n v="13500"/>
    <n v="12000"/>
    <n v="10500"/>
    <s v="Impact Dept. run operation"/>
    <s v="Impact Dept. run operation"/>
    <s v="Impact Dept. run operation"/>
    <m/>
    <m/>
    <m/>
    <n v="15000"/>
    <m/>
    <m/>
    <m/>
    <m/>
    <m/>
    <m/>
    <m/>
    <m/>
    <n v="15000"/>
    <n v="0"/>
    <s v="Increase number of postgraduate students"/>
  </r>
  <r>
    <s v="Academic"/>
    <s v="Director, Research Laboratories"/>
    <s v="College of Arts &amp; Science"/>
    <n v="847"/>
    <n v="8470425"/>
    <s v="KUST - Physics"/>
    <n v="1"/>
    <n v="435508"/>
    <s v="435508-Laboratory - Scientific"/>
    <s v="000000"/>
    <s v="KUST - General"/>
    <n v="847001"/>
    <s v="FA179-Opex Expense"/>
    <n v="200179"/>
    <x v="367"/>
    <m/>
    <m/>
    <m/>
    <s v="435508.Laboratory - Scientific-Number of Students-Number"/>
    <s v="Number"/>
    <n v="4"/>
    <n v="30000"/>
    <s v="ACR MRI Phantom, CTDI CTwater Phantom, and Water Equivalent slab phantom , and Ultrasound test phantom     Medical Physics Program"/>
    <n v="120000"/>
    <s v="KU Regular operations"/>
    <s v="Recurring"/>
    <n v="108000"/>
    <n v="96000"/>
    <n v="84000"/>
    <s v="Impact Dept. run operation"/>
    <s v="Impact Dept. run operation"/>
    <s v="Impact Dept. run operation"/>
    <m/>
    <m/>
    <n v="30000"/>
    <n v="60000"/>
    <m/>
    <n v="30000"/>
    <m/>
    <m/>
    <m/>
    <m/>
    <m/>
    <m/>
    <n v="120000"/>
    <n v="0"/>
    <s v="Increase number of postgraduate students"/>
  </r>
  <r>
    <s v="Academic"/>
    <s v="Director, Research Laboratories"/>
    <s v="College of Arts &amp; Science"/>
    <n v="847"/>
    <n v="8470425"/>
    <s v="KUST - Physics"/>
    <n v="1"/>
    <n v="435508"/>
    <s v="435508-Laboratory - Scientific"/>
    <s v="000000"/>
    <s v="KUST - General"/>
    <n v="847001"/>
    <s v="FA179-Opex Expense"/>
    <n v="200179"/>
    <x v="367"/>
    <m/>
    <m/>
    <m/>
    <s v="435508.Laboratory - Scientific-Number of Students-Number"/>
    <s v="Number"/>
    <n v="3"/>
    <n v="25000"/>
    <s v="Roos Chamber, 2 Semiflex two chambers, and Oley Double sided apron   for Medical Physics Program"/>
    <n v="75000"/>
    <s v="KU Regular operations"/>
    <s v="Recurring"/>
    <n v="67500"/>
    <n v="60000"/>
    <n v="52500"/>
    <s v="Impact Dept. run operation"/>
    <s v="Impact Dept. run operation"/>
    <s v="Impact Dept. run operation"/>
    <m/>
    <m/>
    <m/>
    <n v="50000"/>
    <n v="25000"/>
    <m/>
    <m/>
    <m/>
    <m/>
    <m/>
    <m/>
    <m/>
    <n v="75000"/>
    <n v="0"/>
    <s v="Increase number of postgraduate students"/>
  </r>
  <r>
    <s v="Academic"/>
    <s v="Director, Research Laboratories"/>
    <s v="College of Arts &amp; Science"/>
    <n v="847"/>
    <n v="8470425"/>
    <s v="KUST - Physics"/>
    <n v="1"/>
    <n v="435508"/>
    <s v="435508-Laboratory - Scientific"/>
    <s v="000000"/>
    <s v="KUST - General"/>
    <n v="847001"/>
    <s v="FA179-Opex Expense"/>
    <n v="200179"/>
    <x v="367"/>
    <n v="227.28"/>
    <n v="551566"/>
    <m/>
    <s v="435508.Laboratory - Scientific-Number of Faculty-Number"/>
    <s v="Number"/>
    <n v="12"/>
    <n v="50000"/>
    <s v="Equipment for Teaching lab"/>
    <n v="600000"/>
    <s v="KU Regular operations"/>
    <s v="Recurring"/>
    <n v="540000"/>
    <n v="480000"/>
    <n v="420000"/>
    <s v="Impact Dept. run operation"/>
    <s v="Impact Dept. run operation"/>
    <s v="Impact Dept. run operation"/>
    <m/>
    <n v="200000"/>
    <m/>
    <n v="200000"/>
    <m/>
    <n v="200000"/>
    <m/>
    <m/>
    <m/>
    <m/>
    <m/>
    <m/>
    <n v="600000"/>
    <n v="0"/>
    <s v="Increase number of postgraduate students"/>
  </r>
  <r>
    <s v="IT"/>
    <s v="Director, Technology Development"/>
    <s v="College of Arts &amp; Science"/>
    <n v="847"/>
    <n v="8470425"/>
    <s v="KUST - Physics"/>
    <n v="1"/>
    <n v="492310"/>
    <s v="492310-Hardware &amp; peripherals"/>
    <s v="000000"/>
    <s v="KUST - General"/>
    <n v="847001"/>
    <s v="FA180-Capex Expense"/>
    <n v="300180"/>
    <x v="368"/>
    <s v="-"/>
    <n v="151348"/>
    <m/>
    <s v="492310.Hardware &amp; peripherals-number of hardware devices-Month"/>
    <s v="Month"/>
    <n v="10"/>
    <n v="80000"/>
    <s v="Hardware and computer for teaching students Phys-701 Advanced Computational Physics Course"/>
    <n v="800000"/>
    <s v="KU Regular operations"/>
    <s v="Recurring"/>
    <n v="720000"/>
    <n v="640000"/>
    <n v="560000"/>
    <s v="Impact Dept. run operation"/>
    <s v="Impact Dept. run operation"/>
    <s v="Impact Dept. run operation"/>
    <m/>
    <n v="400000"/>
    <m/>
    <m/>
    <n v="400000"/>
    <m/>
    <m/>
    <m/>
    <m/>
    <m/>
    <m/>
    <m/>
    <n v="800000"/>
    <n v="0"/>
    <s v="Increase number of postgraduate students"/>
  </r>
  <r>
    <s v="Facilities "/>
    <s v="Director, Research Laboratories"/>
    <s v="College of Arts &amp; Science"/>
    <n v="847"/>
    <n v="8470425"/>
    <s v="KUST - Physics"/>
    <n v="1"/>
    <n v="492316"/>
    <s v="492316-Laboratory equipment"/>
    <s v="000000"/>
    <s v="KUST - General"/>
    <n v="847001"/>
    <s v="FA180-Capex Expense"/>
    <n v="300180"/>
    <x v="369"/>
    <n v="1788235.67"/>
    <n v="1551340"/>
    <m/>
    <s v="492316.Laboratory equipment-Number of Faculty-Number"/>
    <s v="Number"/>
    <n v="6"/>
    <n v="250000"/>
    <s v="Equipment for Teaching lab"/>
    <n v="1500000"/>
    <s v="KU Regular operations"/>
    <s v="Recurring"/>
    <n v="1350000"/>
    <n v="1200000"/>
    <n v="1050000"/>
    <s v="Impact Dept. run operation"/>
    <s v="Impact Dept. run operation"/>
    <s v="Impact Dept. run operation"/>
    <m/>
    <m/>
    <n v="250000"/>
    <n v="250000"/>
    <n v="500000"/>
    <n v="500000"/>
    <m/>
    <m/>
    <m/>
    <m/>
    <m/>
    <m/>
    <n v="1500000"/>
    <n v="0"/>
    <s v="Increase number of postgraduate students"/>
  </r>
  <r>
    <s v="Facilities "/>
    <s v="Director, Research Laboratories"/>
    <s v="College of Arts &amp; Science"/>
    <n v="847"/>
    <n v="8470425"/>
    <s v="KUST - Physics"/>
    <n v="1"/>
    <n v="492316"/>
    <s v="492316-Laboratory equipment"/>
    <s v="000000"/>
    <s v="KUST - General"/>
    <n v="847001"/>
    <s v="FA180-Capex Expense"/>
    <n v="300180"/>
    <x v="369"/>
    <s v="-"/>
    <s v="-"/>
    <m/>
    <s v="492316.Laboratory equipment-Number of Faculty-Number"/>
    <s v="count"/>
    <n v="1"/>
    <n v="250000"/>
    <s v="Pump-probe THz set up for MS/PhD optical physics courses"/>
    <n v="250000"/>
    <s v="KU Regular operations"/>
    <s v="Recurring"/>
    <n v="225000"/>
    <n v="200000"/>
    <n v="175000"/>
    <s v="Impact Dept. run operation"/>
    <s v="Impact Dept. run operation"/>
    <s v="Impact Dept. run operation"/>
    <m/>
    <m/>
    <m/>
    <n v="250000"/>
    <m/>
    <m/>
    <m/>
    <m/>
    <m/>
    <m/>
    <m/>
    <m/>
    <n v="250000"/>
    <n v="0"/>
    <s v="Increase number of postgraduate students"/>
  </r>
  <r>
    <s v="Facilities "/>
    <s v="Director, Research Laboratories"/>
    <s v="College of Arts &amp; Science"/>
    <n v="847"/>
    <n v="8470425"/>
    <s v="KUST - Physics"/>
    <n v="1"/>
    <n v="492316"/>
    <s v="492316-Laboratory equipment"/>
    <s v="000000"/>
    <s v="KUST - General"/>
    <n v="847001"/>
    <s v="FA180-Capex Expense"/>
    <n v="300180"/>
    <x v="369"/>
    <m/>
    <m/>
    <m/>
    <s v="492316.Laboratory equipment-Number of Faculty-Number"/>
    <s v="Number"/>
    <n v="1"/>
    <n v="135000"/>
    <s v="portable ultrasound   for Medical Physics Program"/>
    <n v="135000"/>
    <s v="KU Regular operations"/>
    <s v="Recurring"/>
    <n v="121500"/>
    <n v="108000"/>
    <n v="94500"/>
    <s v="Impact Dept. run operation"/>
    <s v="Impact Dept. run operation"/>
    <s v="Impact Dept. run operation"/>
    <m/>
    <m/>
    <m/>
    <m/>
    <n v="135000"/>
    <m/>
    <m/>
    <m/>
    <m/>
    <m/>
    <m/>
    <m/>
    <n v="135000"/>
    <n v="0"/>
    <s v="Increase number of postgraduate students"/>
  </r>
  <r>
    <s v="Facilities "/>
    <s v="Director, Research Laboratories"/>
    <s v="College of Arts &amp; Science"/>
    <n v="847"/>
    <n v="8470425"/>
    <s v="KUST - Physics"/>
    <n v="1"/>
    <n v="492316"/>
    <s v="492316-Laboratory equipment"/>
    <s v="000000"/>
    <s v="KUST - General"/>
    <n v="847001"/>
    <s v="FA180-Capex Expense"/>
    <n v="300180"/>
    <x v="369"/>
    <s v="-"/>
    <s v="-"/>
    <m/>
    <s v="492316.Laboratory equipment-Number of Faculty-Number"/>
    <s v="Number"/>
    <n v="1"/>
    <n v="250000"/>
    <s v="10-mJ class femtosecond pump laser and the THz setup with supply units (data acquisition and control devices, cryocoolers for THz sources and sample, vacuum pumps for teaching MS/PhD students optical physics courses"/>
    <n v="250000"/>
    <s v="KU Regular operations"/>
    <s v="Recurring"/>
    <n v="225000"/>
    <n v="200000"/>
    <n v="175000"/>
    <s v="Impact Dept. run operation"/>
    <s v="Impact Dept. run operation"/>
    <s v="Impact Dept. run operation"/>
    <m/>
    <m/>
    <m/>
    <n v="250000"/>
    <m/>
    <m/>
    <m/>
    <m/>
    <m/>
    <m/>
    <m/>
    <m/>
    <n v="250000"/>
    <n v="0"/>
    <s v="Increase number of postgraduate students"/>
  </r>
  <r>
    <s v="Facilities "/>
    <s v="Director, Research Laboratories"/>
    <s v="College of Arts &amp; Science"/>
    <n v="847"/>
    <n v="8470425"/>
    <s v="KUST - Physics"/>
    <n v="1"/>
    <n v="492316"/>
    <s v="492316-Laboratory equipment"/>
    <s v="000000"/>
    <s v="KUST - General"/>
    <n v="847001"/>
    <s v="FA180-Capex Expense"/>
    <n v="300180"/>
    <x v="369"/>
    <s v="-"/>
    <s v="-"/>
    <m/>
    <s v="492316.Laboratory equipment-Number of Faculty-Number"/>
    <s v="Number"/>
    <n v="1"/>
    <n v="100000"/>
    <s v="Radioisotopes Cabinet  for Medical Physics Program"/>
    <n v="100000"/>
    <s v="KU Regular operations"/>
    <s v="Recurring"/>
    <n v="90000"/>
    <n v="80000"/>
    <n v="70000"/>
    <s v="Impact Dept. run operation"/>
    <s v="Impact Dept. run operation"/>
    <s v="Impact Dept. run operation"/>
    <m/>
    <m/>
    <m/>
    <m/>
    <n v="100000"/>
    <m/>
    <m/>
    <m/>
    <m/>
    <m/>
    <m/>
    <m/>
    <n v="100000"/>
    <n v="0"/>
    <s v="Increase number of postgraduate students"/>
  </r>
  <r>
    <s v="Academic"/>
    <s v="No Applicable"/>
    <s v="College of Arts &amp; Science"/>
    <n v="847"/>
    <n v="8470430"/>
    <s v="KUST - Preparatory Program"/>
    <n v="1"/>
    <n v="425761"/>
    <s v="425761-Student Field trips"/>
    <s v="000000"/>
    <s v="KUST - General"/>
    <n v="847001"/>
    <s v="FA179-Opex Expense"/>
    <n v="200179"/>
    <x v="370"/>
    <s v="-"/>
    <n v="8500"/>
    <n v="8500"/>
    <s v="425761.Student Field trips-Number of Students UG-Month"/>
    <s v="Month"/>
    <n v="2"/>
    <n v="4250"/>
    <s v="Student Field Trips/historical calculations"/>
    <n v="8500"/>
    <s v="KU Regular operations"/>
    <s v="Recurring"/>
    <n v="7650"/>
    <n v="6800"/>
    <n v="5950"/>
    <s v="reduced quality of trip"/>
    <s v="Impact Dept. run operation"/>
    <s v="reduced quality of trip"/>
    <m/>
    <n v="4250"/>
    <m/>
    <m/>
    <m/>
    <m/>
    <m/>
    <m/>
    <m/>
    <n v="4250"/>
    <m/>
    <m/>
    <n v="8500"/>
    <n v="0"/>
    <s v="Widen access to students with outstanding academic potential"/>
  </r>
  <r>
    <s v="Academic"/>
    <s v="No Applicable"/>
    <s v="College of Arts &amp; Science"/>
    <n v="847"/>
    <n v="8470430"/>
    <s v="KUST - Preparatory Program"/>
    <n v="1"/>
    <n v="425770"/>
    <s v="425770-Academic Missions - Combined expenses"/>
    <s v="000000"/>
    <s v="KUST - General"/>
    <n v="847001"/>
    <s v="FA179-Opex Expense"/>
    <n v="200179"/>
    <x v="371"/>
    <n v="-3393"/>
    <n v="373425"/>
    <n v="150000"/>
    <s v="425770.Academic Missions - Combined expenses-Number of Conference-Number"/>
    <s v="Number"/>
    <n v="10"/>
    <n v="37342.5"/>
    <s v="Academic Mission/KU formula"/>
    <n v="373425"/>
    <s v="KU Regular operations"/>
    <s v="Recurring"/>
    <n v="336082.5"/>
    <n v="298740"/>
    <n v="261397.49999999997"/>
    <s v="fewer staff presenting at conferences"/>
    <s v="fewer staff presenting at conferences"/>
    <s v="fewer staff presenting at conferences"/>
    <n v="37342.5"/>
    <m/>
    <n v="37342.5"/>
    <n v="37342.5"/>
    <n v="37342.5"/>
    <n v="37342.5"/>
    <n v="37342.5"/>
    <m/>
    <n v="74685"/>
    <n v="74685"/>
    <m/>
    <m/>
    <n v="373425"/>
    <n v="0"/>
    <s v="Increase publications in journals with high impact factor"/>
  </r>
  <r>
    <s v="Other support"/>
    <s v="Director, Human Resources"/>
    <s v="College of Arts &amp; Science"/>
    <n v="847"/>
    <n v="8470430"/>
    <s v="KUST - Preparatory Program"/>
    <n v="1"/>
    <n v="425900"/>
    <s v="425900-Entertainment and hospitality"/>
    <s v="000000"/>
    <s v="KUST - General"/>
    <n v="847001"/>
    <s v="FA179-Opex Expense"/>
    <n v="200179"/>
    <x v="372"/>
    <s v="-"/>
    <n v="12000"/>
    <n v="12000"/>
    <s v="425900.Entertainment and hospitality-1. No of events/workshops planned-count"/>
    <s v="count"/>
    <n v="4"/>
    <n v="3000"/>
    <s v="estimate - 25 people - "/>
    <n v="12000"/>
    <s v="KU Regular operations"/>
    <s v="Recurring"/>
    <n v="10800"/>
    <n v="9600"/>
    <n v="8400"/>
    <s v="less food"/>
    <s v="less food"/>
    <s v="less food"/>
    <n v="3000"/>
    <m/>
    <m/>
    <m/>
    <n v="3000"/>
    <m/>
    <m/>
    <n v="3000"/>
    <m/>
    <m/>
    <m/>
    <n v="3000"/>
    <n v="12000"/>
    <n v="0"/>
    <s v="Ensure the university sustainability "/>
  </r>
  <r>
    <s v="IT"/>
    <s v="Director, Technology Development"/>
    <s v="College of Arts &amp; Science"/>
    <n v="847"/>
    <n v="8470430"/>
    <s v="KUST - Preparatory Program"/>
    <n v="1"/>
    <n v="426610"/>
    <s v="426610-Computer software licenses"/>
    <s v="000000"/>
    <s v="KUST - General"/>
    <n v="847001"/>
    <s v="FA179-Opex Expense"/>
    <n v="200179"/>
    <x v="373"/>
    <n v="21822.22"/>
    <n v="26152"/>
    <n v="26152"/>
    <s v="426610.Computer software licenses-Software License Renewal-number of licenses-Number"/>
    <s v="Number"/>
    <n v="3"/>
    <n v="8717.33"/>
    <s v="existing licenses"/>
    <n v="26152"/>
    <s v="KU Regular operations"/>
    <s v="Recurring"/>
    <n v="23536.799999999999"/>
    <n v="20921.600000000002"/>
    <n v="18306.399999999998"/>
    <s v="not able to support students adequately"/>
    <s v="not able to support students adequately"/>
    <s v="not able to support students adequately"/>
    <n v="13076"/>
    <m/>
    <m/>
    <m/>
    <m/>
    <m/>
    <m/>
    <n v="13076"/>
    <m/>
    <m/>
    <m/>
    <s v=" "/>
    <n v="26152"/>
    <n v="0"/>
    <s v="Ensure the university sustainability "/>
  </r>
  <r>
    <s v="Academic"/>
    <s v="No Applicable"/>
    <s v="College of Arts &amp; Science"/>
    <n v="847"/>
    <n v="8470430"/>
    <s v="KUST - Preparatory Program"/>
    <n v="1"/>
    <n v="432209"/>
    <s v="432209-Laboratory equipment"/>
    <s v="000000"/>
    <s v="KUST - General"/>
    <n v="847001"/>
    <s v="FA179-Opex Expense"/>
    <n v="200179"/>
    <x v="374"/>
    <s v="-"/>
    <n v="1575"/>
    <n v="1575"/>
    <s v="432209.Laboratory equipment-Number of Students-Number"/>
    <s v="Number"/>
    <n v="1"/>
    <n v="1575"/>
    <s v="expenses from 2022"/>
    <n v="1575"/>
    <s v="KU Regular operations"/>
    <s v="Recurring"/>
    <n v="1417.5"/>
    <n v="1260"/>
    <n v="1102.5"/>
    <s v="unable to maintain/install equipment"/>
    <s v="unable to maintain/install equipment"/>
    <s v="unable to maintain/install equipment"/>
    <m/>
    <m/>
    <m/>
    <m/>
    <m/>
    <m/>
    <m/>
    <n v="1575"/>
    <m/>
    <m/>
    <m/>
    <m/>
    <n v="1575"/>
    <n v="0"/>
    <s v="Utilize state-of-the-art technologies and facilities in an optimal and efficient manner"/>
  </r>
  <r>
    <s v="Academic"/>
    <s v="Director, Research Laboratories"/>
    <s v="College of Arts &amp; Science"/>
    <n v="847"/>
    <n v="8470430"/>
    <s v="KUST - Preparatory Program"/>
    <n v="1"/>
    <n v="435508"/>
    <s v="435508-Laboratory - Scientific"/>
    <s v="000000"/>
    <s v="KUST - General"/>
    <n v="847001"/>
    <s v="FA179-Opex Expense"/>
    <n v="200179"/>
    <x v="375"/>
    <n v="0"/>
    <n v="84600"/>
    <n v="42000"/>
    <s v="435508.Laboratory - Scientific-Number of Students-Number"/>
    <s v="Number"/>
    <n v="2"/>
    <n v="42300"/>
    <s v="Materials consumables/historical calculations"/>
    <n v="84600"/>
    <s v="KU Regular operations"/>
    <s v="Recurring"/>
    <n v="76140"/>
    <n v="67680"/>
    <n v="59219.999999999993"/>
    <s v="Less equipment support"/>
    <s v="Less equipment support"/>
    <s v="Less equipment support"/>
    <n v="42300"/>
    <m/>
    <m/>
    <m/>
    <m/>
    <m/>
    <m/>
    <n v="42300"/>
    <m/>
    <m/>
    <m/>
    <m/>
    <n v="84600"/>
    <n v="0"/>
    <s v="Ensure the university sustainability "/>
  </r>
  <r>
    <s v="Other support"/>
    <s v="Director, Human Resources"/>
    <s v="College of Arts &amp; Science"/>
    <n v="847"/>
    <n v="8470435"/>
    <s v="KUST - Department of English"/>
    <n v="1"/>
    <n v="425900"/>
    <s v="425900-Entertainment and hospitality"/>
    <s v="000000"/>
    <s v="KUST - General"/>
    <n v="847001"/>
    <s v="FA179-Opex Expense"/>
    <n v="200179"/>
    <x v="376"/>
    <m/>
    <m/>
    <m/>
    <s v="425900.Entertainment and hospitality-1. No of events/workshops planned-count"/>
    <s v="count"/>
    <n v="20"/>
    <n v="5000"/>
    <s v="estimate - 25 people - "/>
    <n v="100000"/>
    <s v="KU Regular operations"/>
    <s v="Recurring"/>
    <n v="90000"/>
    <n v="80000"/>
    <n v="70000"/>
    <s v="Impact Dept. run operation"/>
    <s v="Impact Dept. run operation"/>
    <s v="Impact Dept. run operation"/>
    <m/>
    <n v="50000"/>
    <m/>
    <m/>
    <m/>
    <m/>
    <m/>
    <n v="50000"/>
    <m/>
    <m/>
    <m/>
    <m/>
    <n v="100000"/>
    <n v="0"/>
    <s v="Align academic programs with the local and global labor market needs"/>
  </r>
  <r>
    <s v="IT"/>
    <s v="Director, Technology Development"/>
    <s v="College of Arts &amp; Science"/>
    <n v="847"/>
    <n v="8470435"/>
    <s v="KUST - Department of English"/>
    <n v="1"/>
    <n v="427710"/>
    <s v="427710-Subscriptions and membership fees: Trade organisations"/>
    <s v="000000"/>
    <s v="KUST - General"/>
    <n v="847001"/>
    <s v="FA179-Opex Expense"/>
    <n v="200179"/>
    <x v="377"/>
    <m/>
    <m/>
    <m/>
    <s v="427710.Subscriptions and membership fees: Trade organisations"/>
    <s v="Number"/>
    <n v="12"/>
    <n v="2500"/>
    <s v="existing licenses"/>
    <n v="30000"/>
    <s v="KU Regular operations"/>
    <s v="Recurring"/>
    <n v="27000"/>
    <n v="24000"/>
    <n v="21000"/>
    <s v="Impact Dept. run operation"/>
    <s v="Impact Dept. run operation"/>
    <s v="Impact Dept. run operation"/>
    <m/>
    <m/>
    <n v="15000"/>
    <m/>
    <m/>
    <m/>
    <m/>
    <n v="15000"/>
    <m/>
    <m/>
    <m/>
    <m/>
    <n v="30000"/>
    <n v="0"/>
    <s v="Align academic programs with the local and global labor market needs"/>
  </r>
  <r>
    <s v="Academic"/>
    <s v="No Applicable"/>
    <s v="College of Arts &amp; Science"/>
    <n v="847"/>
    <n v="8470435"/>
    <s v="KUST - Department of English"/>
    <n v="1"/>
    <n v="436600"/>
    <s v="436600-Training/Teaching Equipments and Other"/>
    <s v="000000"/>
    <s v="KUST - General"/>
    <n v="847001"/>
    <s v="FA179-Opex Expense"/>
    <n v="200179"/>
    <x v="378"/>
    <m/>
    <m/>
    <m/>
    <s v="436600.Training/Teaching Equipments and Other"/>
    <s v="Number"/>
    <n v="14"/>
    <n v="2500"/>
    <s v="expenses from 2022"/>
    <n v="35000"/>
    <s v="KU Regular operations"/>
    <s v="Recurring"/>
    <n v="31500"/>
    <n v="28000"/>
    <n v="24500"/>
    <s v="Impact Dept. run operation"/>
    <s v="Impact Dept. run operation"/>
    <s v="Impact Dept. run operation"/>
    <n v="5000"/>
    <m/>
    <n v="15000"/>
    <m/>
    <m/>
    <m/>
    <m/>
    <m/>
    <m/>
    <n v="15000"/>
    <m/>
    <m/>
    <n v="35000"/>
    <n v="0"/>
    <s v="Align academic programs with the local and global labor market needs"/>
  </r>
  <r>
    <s v="Academic"/>
    <s v="Director, Research Laboratories"/>
    <s v="College of Arts &amp; Science"/>
    <n v="847"/>
    <n v="8470435"/>
    <s v="KUST - Department of English"/>
    <n v="1"/>
    <n v="435508"/>
    <s v="435508-Laboratory - Scientific"/>
    <s v="000000"/>
    <s v="KUST - General"/>
    <n v="847001"/>
    <s v="FA179-Opex Expense"/>
    <n v="200179"/>
    <x v="379"/>
    <m/>
    <m/>
    <m/>
    <s v="435508.Laboratory - Scientific-Number of Students-Number"/>
    <s v="Number"/>
    <n v="12"/>
    <n v="2500"/>
    <s v="Materials consumables/historical calculations"/>
    <n v="30000"/>
    <s v="KU Regular operations"/>
    <s v="Recurring"/>
    <n v="27000"/>
    <n v="24000"/>
    <n v="21000"/>
    <s v="Impact Dept. run operation"/>
    <s v="Impact Dept. run operation"/>
    <s v="Impact Dept. run operation"/>
    <n v="5000"/>
    <m/>
    <m/>
    <n v="5000"/>
    <m/>
    <n v="5000"/>
    <m/>
    <n v="5000"/>
    <n v="5000"/>
    <m/>
    <n v="5000"/>
    <m/>
    <n v="30000"/>
    <n v="0"/>
    <s v="Align academic programs with the local and global labor market needs"/>
  </r>
  <r>
    <s v="Academic"/>
    <s v="No Applicable"/>
    <s v="College of Arts &amp; Science"/>
    <n v="847"/>
    <n v="8470440"/>
    <s v="KUST - Humanities &amp; Social Sciences"/>
    <n v="1"/>
    <n v="420550"/>
    <s v="420550-Academic Advisory Service"/>
    <s v="000000"/>
    <s v="KUST - General"/>
    <n v="847001"/>
    <s v="FA179-Opex Expense"/>
    <n v="200179"/>
    <x v="380"/>
    <s v="-"/>
    <n v="560000"/>
    <n v="560000"/>
    <s v="420550.Academic Advisory Service-Number of Services-Number"/>
    <m/>
    <n v="4"/>
    <n v="140000"/>
    <s v="Meeting of MSc Advisory Boards 2 per year.  Calculated at Standard Rate"/>
    <n v="560000"/>
    <s v="Regular operations"/>
    <s v="Recurring"/>
    <n v="504000"/>
    <n v="448000"/>
    <n v="392000"/>
    <s v="Result in reduced meetings"/>
    <s v="Result in reduced meetings"/>
    <s v="Negative Impact on program"/>
    <m/>
    <n v="140000"/>
    <n v="0"/>
    <m/>
    <n v="140000"/>
    <m/>
    <m/>
    <m/>
    <n v="140000"/>
    <m/>
    <m/>
    <n v="140000"/>
    <n v="560000"/>
    <n v="0"/>
    <s v="Align academic programs with the local and global labor market needs"/>
  </r>
  <r>
    <s v="Academic"/>
    <s v="No Applicable"/>
    <s v="College of Arts &amp; Science"/>
    <n v="847"/>
    <n v="8470440"/>
    <s v="KUST - Humanities &amp; Social Sciences"/>
    <n v="1"/>
    <n v="420570"/>
    <s v="420570-Academic Collaborative Partnership Services"/>
    <s v="000000"/>
    <s v="KUST - General"/>
    <n v="847001"/>
    <s v="FA179-Opex Expense"/>
    <n v="200179"/>
    <x v="381"/>
    <s v="-"/>
    <n v="150000"/>
    <n v="150000"/>
    <s v="420570.Academic. Collaborative Partnership Services-Partnership Agreement or Academic Collaboration -No of Partneship/collaboration Agreement"/>
    <m/>
    <n v="10"/>
    <n v="15000"/>
    <s v="Encourage faculty participation in major research organizations"/>
    <n v="150000"/>
    <s v="Regular operations"/>
    <s v="Recurring"/>
    <n v="135000"/>
    <n v="120000"/>
    <n v="105000"/>
    <s v="Reduced student opportunities"/>
    <s v="Reduced student opportunities"/>
    <s v="Reduced student opportunities"/>
    <n v="0"/>
    <n v="0"/>
    <n v="0"/>
    <n v="0"/>
    <n v="0"/>
    <n v="20000"/>
    <n v="20000"/>
    <n v="20000"/>
    <n v="25000"/>
    <n v="25000"/>
    <n v="15000"/>
    <n v="25000"/>
    <n v="150000"/>
    <n v="0"/>
    <s v="Align academic programs with the local and global labor market needs"/>
  </r>
  <r>
    <s v="Academic"/>
    <s v="Director, Institutional Research and Planning"/>
    <s v="College of Arts &amp; Science"/>
    <n v="847"/>
    <n v="8470440"/>
    <s v="KUST - Humanities &amp; Social Sciences"/>
    <n v="1"/>
    <n v="421700"/>
    <s v="421700-Standards certification (e.g. ISO)"/>
    <s v="000000"/>
    <s v="KUST - General"/>
    <n v="847001"/>
    <s v="FA179-Opex Expense"/>
    <n v="200179"/>
    <x v="382"/>
    <s v="-"/>
    <n v="280000"/>
    <n v="280000"/>
    <s v="421700.Standards Certification Services (e.g. ISO)-professional services scope/deliverables-Number"/>
    <m/>
    <n v="2"/>
    <n v="140000"/>
    <s v="CAA Accreditation Visit for MSc I&amp;E; MSc Computational Finance; 3 additional CoAS degree programs.  Calculated at Standard Rate."/>
    <n v="280000"/>
    <s v="Regular operations"/>
    <s v="Non-recurring"/>
    <n v="252000"/>
    <n v="224000"/>
    <n v="196000"/>
    <s v="Reduced CAA Accreditation visits"/>
    <s v="Reduced CAA Accreditation visits"/>
    <s v="Unaccredited programs"/>
    <n v="0"/>
    <m/>
    <m/>
    <n v="0"/>
    <m/>
    <m/>
    <m/>
    <m/>
    <n v="140000"/>
    <m/>
    <m/>
    <n v="140000"/>
    <n v="280000"/>
    <n v="0"/>
    <s v="Align academic programs with the local and global labor market needs"/>
  </r>
  <r>
    <s v="Communiction &amp; Marketing"/>
    <s v="Director, Marketing and Communication"/>
    <s v="College of Arts &amp; Science"/>
    <n v="847"/>
    <n v="8470440"/>
    <s v="KUST - Humanities &amp; Social Sciences"/>
    <n v="1"/>
    <n v="425100"/>
    <s v="425100-Advertising"/>
    <s v="000000"/>
    <s v="KUST - General"/>
    <n v="847001"/>
    <s v="FA179-Opex Expense"/>
    <n v="200179"/>
    <x v="383"/>
    <s v="-"/>
    <n v="10000"/>
    <n v="10000"/>
    <s v="425100.Advertising Services (General)-Advertising through newspapers and other print media-cm2 - Word"/>
    <m/>
    <n v="2"/>
    <n v="5000"/>
    <s v="Advertising to UAE and International community the business programs available at the university."/>
    <n v="10000"/>
    <s v="Regular operations"/>
    <s v="Recurring"/>
    <n v="9000"/>
    <n v="8000"/>
    <n v="7000"/>
    <s v="Less advertising"/>
    <s v="Less advertising"/>
    <s v="Reduced enrollment"/>
    <n v="5000"/>
    <m/>
    <m/>
    <m/>
    <m/>
    <m/>
    <n v="5000"/>
    <m/>
    <m/>
    <m/>
    <m/>
    <m/>
    <n v="10000"/>
    <n v="0"/>
    <s v="Align academic programs with the local and global labor market needs"/>
  </r>
  <r>
    <s v="Communiction &amp; Marketing"/>
    <s v="Director, Marketing and Communication"/>
    <s v="College of Arts &amp; Science"/>
    <n v="847"/>
    <n v="8470440"/>
    <s v="KUST - Humanities &amp; Social Sciences"/>
    <n v="1"/>
    <n v="425510"/>
    <s v="425510-Conferences, seminars and exhibitions and other events: - Local Events"/>
    <s v="000000"/>
    <s v="KUST - General"/>
    <n v="847001"/>
    <s v="FA179-Opex Expense"/>
    <n v="200179"/>
    <x v="384"/>
    <s v="-"/>
    <n v="225000"/>
    <n v="225000"/>
    <s v="425510.Conferences, seminars and exhibitions and other events: - Local Events-Number of Event-Number"/>
    <m/>
    <n v="15"/>
    <n v="15000"/>
    <s v="Represent university at various local conferences such as NAJAH; FINTECH; Host several local conferences to publicize university achievements and opportunities.  Calculated at standard rate."/>
    <n v="225000"/>
    <s v="Regular operations"/>
    <s v="Recurring"/>
    <n v="202500"/>
    <n v="180000"/>
    <n v="157500"/>
    <s v="losing impotant knowledge"/>
    <s v="losing impotant knowledge"/>
    <s v="Failed networking opportunities, community interaction, positive exposure from branding opportunities"/>
    <n v="18750"/>
    <n v="18750"/>
    <n v="18750"/>
    <n v="18750"/>
    <n v="18750"/>
    <n v="18750"/>
    <n v="18750"/>
    <n v="18750"/>
    <n v="18750"/>
    <n v="18750"/>
    <n v="18750"/>
    <n v="18750"/>
    <n v="225000"/>
    <n v="0"/>
    <s v="Align academic programs with the local and global labor market needs"/>
  </r>
  <r>
    <s v="Communiction &amp; Marketing"/>
    <s v="No Applicable"/>
    <s v="College of Arts &amp; Science"/>
    <n v="847"/>
    <n v="8470440"/>
    <s v="KUST - Humanities &amp; Social Sciences"/>
    <n v="1"/>
    <n v="425550"/>
    <s v="425550-Conferences, seminars and exhibitions and other events: - Overseas event"/>
    <s v="000000"/>
    <s v="KUST - General"/>
    <n v="847001"/>
    <s v="FA179-Opex Expense"/>
    <n v="200179"/>
    <x v="385"/>
    <s v="-"/>
    <n v="225000"/>
    <n v="225000"/>
    <s v="425550.Conferences, seminars and exhibitions and other events: - Overseas event-Seminars-Number of Seminars"/>
    <m/>
    <n v="15"/>
    <n v="15000"/>
    <s v="Represent university at various internationall conferences such as PRME; AACSB; Host several international conferences to publicize university achievements and opportunities.  Calculated at standard rate."/>
    <n v="225000"/>
    <s v="Regular operations"/>
    <s v="Recurring"/>
    <n v="202500"/>
    <n v="180000"/>
    <n v="157500"/>
    <s v="losing impotant knowledge"/>
    <s v="losing impotant knowledge"/>
    <s v="Failed networking opportunities and internatinal  interaction and recognition from branding opportunities"/>
    <n v="18750"/>
    <n v="18750"/>
    <n v="18750"/>
    <n v="18750"/>
    <n v="18750"/>
    <n v="18750"/>
    <n v="18750"/>
    <n v="18750"/>
    <n v="18750"/>
    <n v="18750"/>
    <n v="18750"/>
    <n v="18750"/>
    <n v="225000"/>
    <n v="0"/>
    <s v="Align academic programs with the local and global labor market needs"/>
  </r>
  <r>
    <s v="Academic"/>
    <s v="No Applicable"/>
    <s v="College of Arts &amp; Science"/>
    <n v="847"/>
    <n v="8470440"/>
    <s v="KUST - Humanities &amp; Social Sciences"/>
    <n v="1"/>
    <n v="425761"/>
    <s v="425761-Student Field trips"/>
    <s v="000000"/>
    <s v="KUST - General"/>
    <n v="847001"/>
    <s v="FA179-Opex Expense"/>
    <n v="200179"/>
    <x v="386"/>
    <n v="0"/>
    <n v="750000"/>
    <n v="750000"/>
    <s v="425761.Student Field trips-Number of Students UG-Month"/>
    <m/>
    <n v="300"/>
    <n v="2500"/>
    <s v="Trip to Bloomberg Facility in Dubai. Expand use of local sites as part of diversification of electives and innovations in teaching.  Calculated at standard rate."/>
    <n v="750000"/>
    <s v="Strategic New Initiative"/>
    <s v="Recurring"/>
    <n v="675000"/>
    <n v="600000"/>
    <n v="525000"/>
    <s v="Reduced student opportunities"/>
    <s v="Reduced student opportunities"/>
    <s v="Reduced student opportunities"/>
    <m/>
    <n v="75000"/>
    <n v="150000"/>
    <m/>
    <m/>
    <n v="150000"/>
    <m/>
    <m/>
    <n v="75000"/>
    <n v="150000"/>
    <m/>
    <n v="150000"/>
    <n v="750000"/>
    <n v="0"/>
    <s v="Align academic programs with the local and global labor market needs"/>
  </r>
  <r>
    <s v="Academic"/>
    <s v="No Applicable"/>
    <s v="College of Arts &amp; Science"/>
    <n v="847"/>
    <n v="8470440"/>
    <s v="KUST - Humanities &amp; Social Sciences"/>
    <n v="1"/>
    <n v="425770"/>
    <s v="425770-Academic Missions - Combined expenses"/>
    <s v="000000"/>
    <s v="KUST - General"/>
    <n v="847001"/>
    <s v="FA179-Opex Expense"/>
    <n v="200179"/>
    <x v="387"/>
    <n v="16120.02"/>
    <n v="300000"/>
    <n v="300000"/>
    <s v="425770.Academic Missions - Combined expenses-Number of Meeting-Number"/>
    <m/>
    <n v="15"/>
    <n v="20000"/>
    <s v="Encourage faculty participation in major research organizations."/>
    <n v="300000"/>
    <s v="Regular operations"/>
    <s v="Recurring"/>
    <n v="270000"/>
    <n v="240000"/>
    <n v="210000"/>
    <s v="losing impotant knowledge"/>
    <s v="Losing major knowledge"/>
    <s v="Reduced opportunities for university"/>
    <n v="10000"/>
    <n v="10000"/>
    <n v="10000"/>
    <n v="10000"/>
    <n v="10000"/>
    <n v="30000"/>
    <n v="30000"/>
    <n v="30000"/>
    <n v="40000"/>
    <n v="40000"/>
    <n v="40000"/>
    <n v="40000"/>
    <n v="300000"/>
    <n v="0"/>
    <s v="Align academic programs with the local and global labor market needs"/>
  </r>
  <r>
    <s v="Other support"/>
    <s v="Director, Human Resources"/>
    <s v="College of Arts &amp; Science"/>
    <n v="847"/>
    <n v="8470440"/>
    <s v="KUST - Humanities &amp; Social Sciences"/>
    <n v="1"/>
    <n v="425900"/>
    <s v="425900-Entertainment and hospitality"/>
    <s v="000000"/>
    <s v="KUST - General"/>
    <n v="847001"/>
    <s v="FA179-Opex Expense"/>
    <n v="200179"/>
    <x v="388"/>
    <s v="-"/>
    <n v="24000"/>
    <n v="24000"/>
    <s v="425900.Entertainment and hospitality-1. No of events/workshops planned-count"/>
    <m/>
    <n v="4"/>
    <n v="6000"/>
    <s v="Staff and faculty recognition"/>
    <n v="24000"/>
    <s v="Regular operations"/>
    <s v="Recurring"/>
    <n v="21600"/>
    <n v="19200"/>
    <n v="16800"/>
    <s v="Less interaction and display of appreciation."/>
    <s v="Less interaction and display of appreciation."/>
    <s v="Less interaction and display of appreciation."/>
    <n v="0"/>
    <n v="6000"/>
    <m/>
    <m/>
    <m/>
    <n v="6000"/>
    <m/>
    <m/>
    <n v="6000"/>
    <m/>
    <m/>
    <n v="6000"/>
    <n v="24000"/>
    <n v="0"/>
    <s v="Align academic programs with the local and global labor market needs"/>
  </r>
  <r>
    <s v="IT"/>
    <s v="Director, Technology Development"/>
    <s v="College of Arts &amp; Science"/>
    <n v="847"/>
    <n v="8470440"/>
    <s v="KUST - Humanities &amp; Social Sciences"/>
    <n v="1"/>
    <n v="426610"/>
    <s v="426610-Computer software licenses"/>
    <s v="000000"/>
    <s v="KUST - General"/>
    <n v="847001"/>
    <s v="FA179-Opex Expense"/>
    <n v="200179"/>
    <x v="389"/>
    <n v="6398.78"/>
    <n v="120000"/>
    <n v="120000"/>
    <s v="426610.Computer software licenses-Software License Renewal-number of licenses-Number"/>
    <m/>
    <n v="4"/>
    <n v="30000"/>
    <s v="IBM SPSS Statistical /Modeler Software License"/>
    <n v="120000"/>
    <s v="Regular operations"/>
    <s v="Recurring"/>
    <n v="108000"/>
    <n v="96000"/>
    <n v="84000"/>
    <s v="Less ability to perform statistical analysis and modeling"/>
    <s v="Less ability to perform statistical analysis and modeling"/>
    <s v="Less publications due to longer timeframe to provide needed statistical analysis and modeling."/>
    <n v="5000"/>
    <n v="5000"/>
    <n v="5000"/>
    <n v="5000"/>
    <n v="5000"/>
    <n v="10000"/>
    <n v="10000"/>
    <n v="15000"/>
    <n v="15000"/>
    <n v="15000"/>
    <n v="15000"/>
    <n v="15000"/>
    <n v="120000"/>
    <n v="0"/>
    <s v="Align academic programs with the local and global labor market needs"/>
  </r>
  <r>
    <s v="Academic"/>
    <s v="No Applicable"/>
    <s v="College of Arts &amp; Science"/>
    <n v="847"/>
    <n v="8470440"/>
    <s v="KUST - Humanities &amp; Social Sciences"/>
    <n v="1"/>
    <n v="427710"/>
    <s v="427710-Subscriptions and membership fees: Trade organisations"/>
    <s v="000000"/>
    <s v="KUST - General"/>
    <n v="847001"/>
    <s v="FA179-Opex Expense"/>
    <n v="200179"/>
    <x v="390"/>
    <s v="-"/>
    <n v="15000"/>
    <n v="15000"/>
    <s v="427710.Subscriptions and membership fees: Trade organisations-Number  of Memberships-Number"/>
    <m/>
    <n v="15"/>
    <n v="1000"/>
    <s v="Membership subscriptions in professional organizations such as Academy of Management; AACSB; PRME; and others"/>
    <n v="15000"/>
    <s v="Regular operations"/>
    <s v="Recurring"/>
    <n v="13500"/>
    <n v="12000"/>
    <n v="10500"/>
    <s v="Impact Dept. run operation"/>
    <s v="Impact Dept. run operation"/>
    <s v="Impact Dept. run operation"/>
    <n v="5000"/>
    <m/>
    <m/>
    <m/>
    <n v="2500"/>
    <m/>
    <m/>
    <m/>
    <n v="2500"/>
    <m/>
    <m/>
    <n v="5000"/>
    <n v="15000"/>
    <n v="0"/>
    <s v="Align academic programs with the local and global labor market needs"/>
  </r>
  <r>
    <s v="Academic "/>
    <s v="No Applicable"/>
    <s v="College of Arts &amp; Science"/>
    <n v="847"/>
    <n v="8470440"/>
    <s v="KUST - Humanities &amp; Social Sciences"/>
    <n v="1"/>
    <n v="428090"/>
    <s v="428090-Business Travel - Combined expenses"/>
    <s v="000000"/>
    <s v="KUST - General"/>
    <n v="847001"/>
    <s v="FA179-Opex Expense"/>
    <n v="200179"/>
    <x v="391"/>
    <s v="-"/>
    <n v="225000"/>
    <n v="225000"/>
    <s v="428090.Business Travel - Combined expenses-Number of Faculty-Number"/>
    <m/>
    <n v="15"/>
    <n v="15000"/>
    <s v="Travel to international institutions to conduct university busienss such as recruitment, collaborations, professional exchange programs.  Calculated at standard rate"/>
    <n v="225000"/>
    <s v="Regular operations"/>
    <s v="Recurring"/>
    <n v="202500"/>
    <n v="180000"/>
    <n v="157500"/>
    <s v="Less networking and opportunities for faculty and staff."/>
    <s v="Less networking and opportunities for faculty and staff."/>
    <s v="Diminished opportunties for exchange of ideas and recruiting top performers"/>
    <n v="25000"/>
    <m/>
    <m/>
    <n v="25000"/>
    <m/>
    <n v="25000"/>
    <n v="25000"/>
    <m/>
    <n v="25000"/>
    <n v="50000"/>
    <n v="25000"/>
    <n v="25000"/>
    <n v="225000"/>
    <n v="0"/>
    <s v="Align academic programs with the local and global labor market needs"/>
  </r>
  <r>
    <s v="Communiction &amp; Marketing"/>
    <s v="Director, Marketing and Communication"/>
    <s v="College of Arts &amp; Science"/>
    <n v="847"/>
    <n v="8470440"/>
    <s v="KUST - Humanities &amp; Social Sciences"/>
    <n v="1"/>
    <n v="428640"/>
    <s v="428640-Events - Awards, prizes &amp; gifts"/>
    <s v="000000"/>
    <s v="KUST - General"/>
    <n v="847001"/>
    <s v="FA179-Opex Expense"/>
    <n v="200179"/>
    <x v="392"/>
    <s v="-"/>
    <n v="100000"/>
    <n v="100000"/>
    <s v="428640.Events - Awards, prizes &amp; gifts-Number of awards-count"/>
    <m/>
    <n v="20"/>
    <n v="5000"/>
    <s v="Support student and faculty excellence.  Provide team building and improve productivity and trust."/>
    <n v="100000"/>
    <s v="Regular operations"/>
    <s v="Recurring"/>
    <n v="90000"/>
    <n v="80000"/>
    <n v="70000"/>
    <s v="Diminished Moral"/>
    <s v="Diminished Moral"/>
    <s v="Less interaction and team building among staff."/>
    <n v="25000"/>
    <m/>
    <m/>
    <n v="25000"/>
    <m/>
    <m/>
    <m/>
    <n v="25000"/>
    <m/>
    <m/>
    <m/>
    <n v="25000"/>
    <n v="100000"/>
    <n v="0"/>
    <s v="Align academic programs with the local and global labor market needs"/>
  </r>
  <r>
    <s v="Academic"/>
    <s v="No Applicable"/>
    <s v="College of Arts &amp; Science"/>
    <n v="847"/>
    <n v="8470440"/>
    <s v="KUST - Humanities &amp; Social Sciences"/>
    <n v="1"/>
    <n v="435340"/>
    <s v="435340-Text books and library books"/>
    <s v="000000"/>
    <s v="KUST - General"/>
    <n v="847001"/>
    <s v="FA179-Opex Expense"/>
    <n v="200179"/>
    <x v="393"/>
    <n v="0"/>
    <n v="120000"/>
    <n v="120000"/>
    <s v="435340.Text books and library books-Faculty-Number oF Faculty"/>
    <m/>
    <n v="4"/>
    <n v="30000"/>
    <s v="Support faculty and staff"/>
    <n v="120000"/>
    <s v="Regular operations"/>
    <s v="Recurring"/>
    <n v="108000"/>
    <n v="96000"/>
    <n v="84000"/>
    <s v="Less Resources"/>
    <s v="Less Resources"/>
    <s v="Less Resources"/>
    <n v="10000"/>
    <n v="10000"/>
    <n v="10000"/>
    <n v="10000"/>
    <n v="10000"/>
    <n v="10000"/>
    <n v="10000"/>
    <n v="10000"/>
    <n v="10000"/>
    <n v="10000"/>
    <n v="10000"/>
    <n v="10000"/>
    <n v="120000"/>
    <n v="0"/>
    <s v="Align academic programs with the local and global labor market needs"/>
  </r>
  <r>
    <s v="Academic"/>
    <s v="No Applicable"/>
    <s v="College of Arts &amp; Science"/>
    <n v="847"/>
    <n v="8470440"/>
    <s v="KUST - Humanities &amp; Social Sciences"/>
    <n v="1"/>
    <n v="435350"/>
    <s v="435350-Academic Publications"/>
    <s v="000000"/>
    <s v="KUST - General"/>
    <n v="847001"/>
    <s v="FA179-Opex Expense"/>
    <n v="200179"/>
    <x v="394"/>
    <n v="11000.64"/>
    <n v="40000"/>
    <n v="40000"/>
    <s v="435350.Academic Publications-Number of Publications-Number"/>
    <m/>
    <n v="20"/>
    <n v="2000"/>
    <s v="Academic Publications such as The Economist; Journal OF Finance; Journal of Leadership"/>
    <n v="40000"/>
    <s v="Regular operations"/>
    <s v="Recurring"/>
    <n v="36000"/>
    <n v="32000"/>
    <n v="28000"/>
    <s v="Less Resources"/>
    <s v="Less Resources"/>
    <s v="Less Resources"/>
    <n v="3000"/>
    <n v="3000"/>
    <n v="3000"/>
    <n v="3000"/>
    <n v="3000"/>
    <n v="3000"/>
    <n v="3000"/>
    <n v="3000"/>
    <n v="5000"/>
    <n v="5000"/>
    <n v="3000"/>
    <n v="3000"/>
    <n v="40000"/>
    <n v="0"/>
    <s v="Align academic programs with the local and global labor market needs"/>
  </r>
  <r>
    <s v="Academic"/>
    <s v="No Applicable"/>
    <s v="College of Arts &amp; Science"/>
    <n v="847"/>
    <n v="8470440"/>
    <s v="KUST - Humanities &amp; Social Sciences"/>
    <n v="1"/>
    <n v="436600"/>
    <s v="436600-Training/Teaching equipment and other educational aid"/>
    <s v="000000"/>
    <s v="KUST - General"/>
    <n v="847001"/>
    <s v="FA179-Opex Expense"/>
    <n v="200179"/>
    <x v="395"/>
    <n v="0"/>
    <n v="22500"/>
    <n v="22500"/>
    <s v="436600.Training/Teaching equipment and other educational aid-Number of Faculty-Number"/>
    <m/>
    <n v="15"/>
    <n v="1500"/>
    <s v="Provide training and development to faculty to improve skills.  With such courses as Evelyn Wood Reading Dynamics; Microsoft Office Skills; Computer User Skills."/>
    <n v="22500"/>
    <s v="Regular operations"/>
    <s v="Recurring"/>
    <n v="20250"/>
    <n v="18000"/>
    <n v="15749.999999999998"/>
    <s v="Less Resources"/>
    <s v="Less Resources"/>
    <s v="Less Resources"/>
    <n v="5000"/>
    <m/>
    <m/>
    <n v="5000"/>
    <m/>
    <m/>
    <m/>
    <m/>
    <n v="5000"/>
    <m/>
    <m/>
    <n v="7500"/>
    <n v="22500"/>
    <n v="0"/>
    <s v="Align academic programs with the local and global labor market needs"/>
  </r>
  <r>
    <s v="Communiction &amp; Marketing"/>
    <s v="Director, Marketing and Communication"/>
    <s v="College of Arts &amp; Science"/>
    <n v="847"/>
    <n v="8470445"/>
    <s v="KUST - Mathematics"/>
    <n v="1"/>
    <n v="425100"/>
    <s v="425100-Advertising"/>
    <s v="000000"/>
    <s v="KUST - General"/>
    <n v="847001"/>
    <s v="FA179-Opex Expense"/>
    <n v="200179"/>
    <x v="396"/>
    <s v="-"/>
    <n v="150000"/>
    <n v="150000"/>
    <s v="425100.Advertising Services (General)-International Publicity-count"/>
    <s v="count"/>
    <n v="1"/>
    <n v="100000"/>
    <s v="Advertising Services/Multiplication"/>
    <n v="100000"/>
    <s v="KU Strategic New Initiative"/>
    <s v="Recurring"/>
    <n v="90000"/>
    <n v="80000"/>
    <n v="70000"/>
    <s v="10% less impact"/>
    <s v="20% less impact "/>
    <s v="30% less impact"/>
    <m/>
    <m/>
    <m/>
    <n v="100000"/>
    <m/>
    <m/>
    <m/>
    <m/>
    <m/>
    <m/>
    <m/>
    <m/>
    <n v="100000"/>
    <n v="0"/>
    <s v="Recruit and retain high caliber faculty, researchers and staff"/>
  </r>
  <r>
    <s v="Student"/>
    <s v="No Applicable"/>
    <s v="College of Arts &amp; Science"/>
    <n v="847"/>
    <n v="8470445"/>
    <s v="KUST - Mathematics"/>
    <n v="1"/>
    <n v="425720"/>
    <s v="425720-Education-Outsourced training service"/>
    <s v="000000"/>
    <s v="KUST - General"/>
    <n v="847001"/>
    <s v="FA179-Opex Expense"/>
    <n v="200179"/>
    <x v="397"/>
    <s v="-"/>
    <n v="18350"/>
    <n v="18350"/>
    <s v="425720.Education-Outsourced training service-Activities-No of Activities"/>
    <s v="No of Activities"/>
    <n v="1"/>
    <n v="36730"/>
    <s v="Education outsource/Multiplication"/>
    <n v="36730"/>
    <s v="KU Strategic New Initiative"/>
    <s v="Recurring"/>
    <n v="33057"/>
    <n v="29384"/>
    <n v="25711"/>
    <s v="Not possible, will take this out from other items"/>
    <s v="Not possible, will take this out from other items"/>
    <s v="Not possible, will take this out from other items"/>
    <m/>
    <m/>
    <n v="36730"/>
    <m/>
    <m/>
    <m/>
    <m/>
    <m/>
    <m/>
    <m/>
    <m/>
    <m/>
    <n v="36730"/>
    <n v="0"/>
    <s v="Utilize state-of-the-art technologies and facilities in an optimal and efficient manner"/>
  </r>
  <r>
    <s v="Student"/>
    <s v="Director, Student Services"/>
    <s v="College of Arts &amp; Science"/>
    <n v="847"/>
    <n v="8470445"/>
    <s v="KUST - Mathematics"/>
    <n v="1"/>
    <n v="425760"/>
    <s v="425760-Student activities &amp; field trip expenses"/>
    <s v="000000"/>
    <s v="KUST - General"/>
    <n v="847001"/>
    <s v="FA179-Opex Expense"/>
    <n v="200179"/>
    <x v="398"/>
    <s v="-"/>
    <n v="36630"/>
    <n v="15000"/>
    <s v="425760.Student activities &amp; field trip expenses-Events-No of Events"/>
    <s v="No of Events"/>
    <n v="1"/>
    <n v="106850"/>
    <s v="Student Activity/Multiplication"/>
    <n v="106850"/>
    <s v="KU Strategic New Initiative"/>
    <s v="Recurring"/>
    <n v="96165"/>
    <n v="85480"/>
    <n v="74795"/>
    <s v="impact dept. Running Operation"/>
    <s v="impact dept. Running Operation"/>
    <s v="impact dept. Running Operation"/>
    <m/>
    <n v="1850"/>
    <m/>
    <m/>
    <n v="100000"/>
    <m/>
    <m/>
    <m/>
    <n v="5000"/>
    <m/>
    <m/>
    <m/>
    <n v="106850"/>
    <n v="0"/>
    <s v="Widen access to students with outstanding academic potential"/>
  </r>
  <r>
    <s v="Student"/>
    <s v="No Applicable"/>
    <s v="College of Arts &amp; Science"/>
    <n v="847"/>
    <n v="8470445"/>
    <s v="KUST - Mathematics"/>
    <n v="1"/>
    <n v="425763"/>
    <s v="425763-Student Project Expenses"/>
    <s v="000000"/>
    <s v="KUST - General"/>
    <n v="847001"/>
    <s v="FA179-Opex Expense"/>
    <n v="200179"/>
    <x v="399"/>
    <s v="-"/>
    <n v="7590"/>
    <n v="5000"/>
    <s v="425763.Student Project Expenses-Number of Students UG-Month"/>
    <s v="Month"/>
    <n v="20"/>
    <n v="500"/>
    <s v="Student Projects/Multiplication"/>
    <n v="10000"/>
    <s v="KU Regular operations"/>
    <s v="Recurring"/>
    <n v="9000"/>
    <n v="8000"/>
    <n v="7000"/>
    <s v="impact dept. Running Operation"/>
    <s v="impact dept. Running Operation"/>
    <s v="impact dept. Running Operation"/>
    <s v=" "/>
    <s v=" "/>
    <n v="2000"/>
    <n v="2000"/>
    <n v="2000"/>
    <n v="2000"/>
    <n v="2000"/>
    <m/>
    <m/>
    <m/>
    <m/>
    <m/>
    <n v="10000"/>
    <n v="0"/>
    <s v="Widen access to students with outstanding academic potential"/>
  </r>
  <r>
    <s v="Academic"/>
    <s v="No Applicable"/>
    <s v="College of Arts &amp; Science"/>
    <n v="847"/>
    <n v="8470445"/>
    <s v="KUST - Mathematics"/>
    <n v="1"/>
    <n v="425770"/>
    <s v="425770-Academic Missions - Combined expenses"/>
    <s v="000000"/>
    <s v="KUST - General"/>
    <n v="847001"/>
    <s v="FA179-Opex Expense"/>
    <n v="200179"/>
    <x v="400"/>
    <n v="6600.06"/>
    <n v="570000"/>
    <n v="400000"/>
    <s v="425770.Academic Missions - Combined expenses-Number of Conference-Number"/>
    <s v="Number"/>
    <n v="40"/>
    <n v="15000"/>
    <s v="Multiplication of number of academic missions by the estimated average"/>
    <n v="600000"/>
    <s v="KU Regular operations"/>
    <s v="Recurring"/>
    <n v="540000"/>
    <n v="480000"/>
    <n v="420000"/>
    <s v="10% Less academic missions"/>
    <s v="20% less  academic missions"/>
    <s v="30% less academic missions"/>
    <m/>
    <n v="25000"/>
    <n v="25000"/>
    <n v="50000"/>
    <n v="100000"/>
    <n v="100000"/>
    <n v="100000"/>
    <n v="50000"/>
    <n v="50000"/>
    <n v="25000"/>
    <n v="25000"/>
    <n v="50000"/>
    <n v="600000"/>
    <n v="0"/>
    <s v="Recruit and retain high caliber faculty, researchers and staff"/>
  </r>
  <r>
    <s v="IT"/>
    <s v="Director, Technology Development"/>
    <s v="College of Arts &amp; Science"/>
    <n v="847"/>
    <n v="8470445"/>
    <s v="KUST - Mathematics"/>
    <n v="1"/>
    <n v="426610"/>
    <s v="426610-Computer software licenses"/>
    <s v="000000"/>
    <s v="KUST - General"/>
    <n v="847001"/>
    <s v="FA179-Opex Expense"/>
    <n v="200179"/>
    <x v="401"/>
    <n v="53832"/>
    <n v="37650"/>
    <n v="53832"/>
    <s v="426610.Computer software licenses-Software License Renewal-number of licenses-Number"/>
    <s v="Number"/>
    <n v="1"/>
    <n v="25000"/>
    <s v="Department License of Mathematica"/>
    <n v="25000"/>
    <s v="KU Regular operations"/>
    <s v="Recurring"/>
    <n v="22500"/>
    <n v="20000"/>
    <n v="17500"/>
    <s v="Reduction of licenses"/>
    <s v="Reduction of licenses"/>
    <s v="Reduction of licenses"/>
    <m/>
    <n v="25000"/>
    <m/>
    <m/>
    <m/>
    <m/>
    <m/>
    <m/>
    <m/>
    <m/>
    <m/>
    <m/>
    <n v="25000"/>
    <n v="0"/>
    <s v="Align academic programs with the local and global labor market needs"/>
  </r>
  <r>
    <s v="Academic"/>
    <s v="No Applicable"/>
    <s v="College of Arts &amp; Science"/>
    <n v="847"/>
    <n v="8470445"/>
    <s v="KUST - Mathematics"/>
    <n v="1"/>
    <n v="435350"/>
    <s v="435350-Academic Publications"/>
    <s v="000000"/>
    <s v="KUST - General"/>
    <n v="847001"/>
    <s v="FA179-Opex Expense"/>
    <n v="200179"/>
    <x v="402"/>
    <s v="-"/>
    <n v="600000"/>
    <n v="500000"/>
    <s v="435350.Academic Publications-Number of Publications-Number"/>
    <s v="Number"/>
    <n v="45"/>
    <n v="15000"/>
    <s v="expected number of Q1 departmental publications times unit rate of 15000 AED"/>
    <n v="675000"/>
    <s v="KU Regular operations"/>
    <s v="Recurring"/>
    <n v="607500"/>
    <n v="540000"/>
    <n v="472499.99999999994"/>
    <s v="Reduction of open access"/>
    <s v="Reduction of open access"/>
    <s v="Reduction of open access"/>
    <n v="50000"/>
    <n v="50000"/>
    <n v="50000"/>
    <n v="50000"/>
    <n v="60000"/>
    <n v="65000"/>
    <n v="60000"/>
    <n v="60000"/>
    <n v="50000"/>
    <n v="60000"/>
    <n v="60000"/>
    <n v="60000"/>
    <n v="675000"/>
    <n v="0"/>
    <s v="Recruit and retain high caliber faculty, researchers and staff"/>
  </r>
  <r>
    <s v="Academic"/>
    <s v="No Applicable"/>
    <s v="College of Arts &amp; Science"/>
    <n v="847"/>
    <n v="8470445"/>
    <s v="KUST - Mathematics"/>
    <n v="1"/>
    <n v="427710"/>
    <s v="427710-Subscriptions and membership fees: Trade organisations"/>
    <s v="000000"/>
    <s v="KUST - General"/>
    <n v="847001"/>
    <s v="FA179-Opex Expense"/>
    <n v="200179"/>
    <x v="403"/>
    <s v="-"/>
    <s v="-"/>
    <m/>
    <s v="427710.Subscriptions and membership fees: Trade organisations-Number  of Memberships-Number"/>
    <s v="Number"/>
    <n v="1"/>
    <n v="12576"/>
    <s v="Membership/SubscriptionsFixed part plus a rate for each deparrment faculty 1282 + 42*51 = 3424 USD (for 2023)"/>
    <n v="12576"/>
    <s v="KU Regular operations"/>
    <s v="Recurring"/>
    <n v="11318.4"/>
    <n v="10060.800000000001"/>
    <n v="8803.1999999999989"/>
    <s v="less subscriptions"/>
    <s v="less subscriptions"/>
    <s v="less subscriptions"/>
    <m/>
    <n v="12576"/>
    <m/>
    <m/>
    <m/>
    <m/>
    <m/>
    <m/>
    <m/>
    <m/>
    <m/>
    <m/>
    <n v="12576"/>
    <n v="0"/>
    <s v="Build partnerships with local and international universities"/>
  </r>
  <r>
    <s v="Other support"/>
    <s v="Director, Human Resources"/>
    <s v="College of Arts &amp; Science"/>
    <n v="847"/>
    <n v="8470445"/>
    <s v="KUST - Mathematics"/>
    <n v="1"/>
    <n v="425900"/>
    <s v="425900-Entertainment and hospitality"/>
    <s v="000000"/>
    <s v="KUST - General"/>
    <n v="847001"/>
    <s v="FA179-Opex Expense"/>
    <n v="200179"/>
    <x v="404"/>
    <s v="-"/>
    <s v="-"/>
    <m/>
    <s v="425900.Entertainment and hospitality-1. No of events/workshops planned-count"/>
    <s v="count"/>
    <n v="12"/>
    <n v="10000"/>
    <s v="Monthly seminar and guest"/>
    <n v="120000"/>
    <s v="KU Regular operations"/>
    <s v="Recurring"/>
    <n v="108000"/>
    <n v="96000"/>
    <n v="84000"/>
    <s v="less attendance or events"/>
    <s v="less attendance or events"/>
    <s v="less attendance or events"/>
    <m/>
    <m/>
    <m/>
    <m/>
    <n v="120000"/>
    <m/>
    <m/>
    <m/>
    <m/>
    <m/>
    <m/>
    <m/>
    <n v="120000"/>
    <n v="0"/>
    <s v="Attract and organize international conferences and summits"/>
  </r>
  <r>
    <s v="Academic"/>
    <s v="No Applicable"/>
    <s v="College of Arts &amp; Science"/>
    <n v="847"/>
    <n v="8470445"/>
    <s v="KUST - Mathematics"/>
    <n v="1"/>
    <n v="420550"/>
    <s v="420550-Academic Advisory Service"/>
    <s v="000000"/>
    <s v="KUST - General"/>
    <n v="847001"/>
    <s v="FA179-Opex Expense"/>
    <n v="200179"/>
    <x v="405"/>
    <m/>
    <s v="-"/>
    <m/>
    <s v="420550.Academic Advisory Service-Number of Services-Number"/>
    <s v="Number"/>
    <n v="1"/>
    <n v="200000"/>
    <s v=" return trips and local expenses for each of the advisory board members (40000AED each)"/>
    <n v="200000"/>
    <s v="KU Strategic New Initiative"/>
    <s v="Recurring"/>
    <n v="180000"/>
    <n v="160000"/>
    <n v="140000"/>
    <s v="reduction of visit time"/>
    <s v="reduction of visit time"/>
    <s v="reduction of visit time"/>
    <m/>
    <n v="200000"/>
    <m/>
    <m/>
    <m/>
    <m/>
    <m/>
    <m/>
    <m/>
    <m/>
    <m/>
    <m/>
    <n v="200000"/>
    <n v="0"/>
    <s v="Align the postgraduates programs with the research strategy"/>
  </r>
  <r>
    <s v="Communiction &amp; Marketing"/>
    <s v="Director, Marketing and Communication"/>
    <s v="College of Arts &amp; Science"/>
    <n v="847"/>
    <n v="8470445"/>
    <s v="KUST - Mathematics"/>
    <n v="1"/>
    <n v="425510"/>
    <s v="425510-Conferences, seminars and exhibitions and other events: - Local Events"/>
    <s v="000000"/>
    <s v="KUST - General"/>
    <n v="847001"/>
    <s v="FA179-Opex Expense"/>
    <n v="200179"/>
    <x v="406"/>
    <s v="-"/>
    <s v="-"/>
    <m/>
    <s v="425510.Conferences, seminars and exhibitions and other events: - Local Events-Events-Number of Events"/>
    <s v="Number of Events"/>
    <n v="2"/>
    <n v="150000"/>
    <s v="150000 AED are estimated per event, covering organization costs per unit participant of about 15000AED"/>
    <n v="300000"/>
    <s v="KU Strategic New Initiative"/>
    <s v="Recurring"/>
    <n v="270000"/>
    <n v="240000"/>
    <n v="210000"/>
    <s v="reduction of participants"/>
    <s v="reduction of participants"/>
    <s v="reduction of participants"/>
    <m/>
    <n v="20000"/>
    <n v="20000"/>
    <n v="20000"/>
    <n v="40000"/>
    <n v="50000"/>
    <m/>
    <n v="20000"/>
    <n v="20000"/>
    <n v="20000"/>
    <n v="40000"/>
    <n v="50000"/>
    <n v="300000"/>
    <n v="0"/>
    <s v="Attract and organize international conferences and summits"/>
  </r>
  <r>
    <s v="Academic"/>
    <s v="Director, Research Laboratories"/>
    <s v="College of Arts &amp; Science"/>
    <n v="847"/>
    <n v="8470445"/>
    <s v="KUST - Mathematics"/>
    <n v="1"/>
    <n v="492354"/>
    <s v="492354-Hardware &amp; peripherals-Peripherals &amp; Infrastructure  Components "/>
    <s v="000000"/>
    <s v="KUST - General"/>
    <n v="847001"/>
    <s v="FA180-Capex Expense"/>
    <n v="300180"/>
    <x v="407"/>
    <n v="0"/>
    <n v="0"/>
    <m/>
    <s v="492354.Hardware &amp; peripherals-Peripherals &amp; Infrastructure Components-TBD-TBD"/>
    <s v="TBD"/>
    <n v="15"/>
    <n v="60000"/>
    <s v="Hardware &amp; peripherals-Peripherals &amp; Infrastructure Components"/>
    <n v="900000"/>
    <s v="KU Strategic New Initiative"/>
    <s v="Non-recurring"/>
    <n v="810000"/>
    <n v="720000"/>
    <n v="630000"/>
    <s v="PhD 1, or 2 students will not have workstations"/>
    <s v="PhD 2, or 3 students will not have workstations"/>
    <s v="PhD 3 or 4 students will not have workstations"/>
    <m/>
    <m/>
    <n v="900000"/>
    <m/>
    <m/>
    <m/>
    <m/>
    <m/>
    <m/>
    <m/>
    <m/>
    <m/>
    <n v="900000"/>
    <n v="0"/>
    <s v="Align academic programs with the local and global labor market needs"/>
  </r>
  <r>
    <s v="Academic"/>
    <s v="Director, Research Laboratories"/>
    <s v="College of Arts &amp; Science"/>
    <n v="847"/>
    <n v="8470445"/>
    <s v="KUST - Mathematics"/>
    <n v="1"/>
    <n v="492354"/>
    <s v="492354-Hardware &amp; peripherals-Peripherals &amp; Infrastructure  Components "/>
    <s v="000000"/>
    <s v="KUST - General"/>
    <n v="847001"/>
    <s v="FA180-Capex Expense"/>
    <n v="300180"/>
    <x v="407"/>
    <s v="-"/>
    <s v="-"/>
    <m/>
    <s v="492354.Hardware &amp; peripherals-Peripherals &amp; Infrastructure Components-TBD-TBD"/>
    <s v="TBD"/>
    <n v="4"/>
    <n v="60000"/>
    <s v="Hardware &amp; peripherals-Peripherals &amp; Infrastructure Components"/>
    <n v="240000"/>
    <s v="KU Strategic New Initiative"/>
    <s v="Non-recurring"/>
    <n v="216000"/>
    <n v="192000"/>
    <n v="168000"/>
    <s v="1 faculty will not be able to have a workstation, or Lower specs that affects the research productivity and teaching homogeneity between workstation"/>
    <s v="1 faculty will not be able to have a workstation, or Lower specs that affects the research productivity and teaching homogeneity between workstation"/>
    <s v="1 faculty will not be able to have a workstation, or Lower specs that affects the research productivity and teaching homogeneity between workstation"/>
    <m/>
    <m/>
    <n v="240000"/>
    <m/>
    <m/>
    <m/>
    <m/>
    <m/>
    <m/>
    <m/>
    <m/>
    <m/>
    <n v="240000"/>
    <n v="0"/>
    <s v="Align the postgraduates programs with the research strategy"/>
  </r>
  <r>
    <s v="Academic"/>
    <s v="No Applicable"/>
    <s v="College of Arts &amp; Science"/>
    <n v="847"/>
    <n v="8470450"/>
    <s v="KUST - Earth Science"/>
    <n v="1"/>
    <n v="425761"/>
    <s v="425761-Student Field trips"/>
    <s v="000000"/>
    <s v="KUST - General"/>
    <n v="847001"/>
    <s v="FA179-Opex Expense"/>
    <n v="200179"/>
    <x v="408"/>
    <n v="40740"/>
    <n v="500000"/>
    <m/>
    <s v="425761.Student Field trips-Number of Students UG-Month"/>
    <s v="Month"/>
    <n v="1"/>
    <n v="500000"/>
    <s v="Variable according to the nature of the field trip. Local overnigth (2500 AED per student); international (25000 per student); daily (1000 AED for transportation). Calculated taking into account the number of UG, MS, and PhD students."/>
    <n v="500000"/>
    <s v="KU Regular operations"/>
    <s v="Recurring"/>
    <n v="450000"/>
    <n v="400000"/>
    <n v="350000"/>
    <s v="Local and international field trips can be affected with impact on eduactional objectives of courses and requirements for accreditation."/>
    <s v="Local and international field trips can be affected with impact on eduactional objectives of courses and requirements for accreditation."/>
    <s v="Local and international field trips can be affected with impact on eduactional objectives of courses and requirements for accreditation."/>
    <n v="50000"/>
    <n v="50000"/>
    <n v="50000"/>
    <n v="50000"/>
    <n v="200000"/>
    <m/>
    <m/>
    <m/>
    <m/>
    <n v="100000"/>
    <m/>
    <m/>
    <n v="500000"/>
    <n v="0"/>
    <s v="Increase number of postgraduate students"/>
  </r>
  <r>
    <s v="Academic"/>
    <s v="No Applicable"/>
    <s v="College of Arts &amp; Science"/>
    <n v="847"/>
    <n v="8470450"/>
    <s v="KUST - Earth Science"/>
    <n v="1"/>
    <n v="425770"/>
    <s v="425770-Academic Missions - Combined expenses"/>
    <s v="000000"/>
    <s v="KUST - General"/>
    <n v="847001"/>
    <s v="FA179-Opex Expense"/>
    <n v="200179"/>
    <x v="409"/>
    <n v="0"/>
    <n v="180000"/>
    <m/>
    <s v="425770.Academic Missions - Combined expenses-Number of Meeting-Number"/>
    <s v="Number"/>
    <n v="14"/>
    <n v="15000"/>
    <s v="Based on projected number of faculty in 2023; one conference per faculty at 15000 AED"/>
    <n v="210000"/>
    <s v="KU Regular operations"/>
    <s v="Recurring"/>
    <n v="189000"/>
    <n v="168000"/>
    <n v="147000"/>
    <s v="Impact on faculty scholarship and KU visibility and reputation"/>
    <s v="Impact on faculty scholarship and KU visibility and reputation"/>
    <s v="Impact on faculty scholarship and KU visibility and reputation"/>
    <n v="105000"/>
    <n v="105000"/>
    <m/>
    <m/>
    <m/>
    <m/>
    <m/>
    <m/>
    <m/>
    <m/>
    <m/>
    <m/>
    <n v="210000"/>
    <n v="0"/>
    <s v="Recruit and retain high caliber faculty, researchers and staff"/>
  </r>
  <r>
    <s v="IT"/>
    <s v="Director, Technology Development"/>
    <s v="College of Arts &amp; Science"/>
    <n v="847"/>
    <n v="8470450"/>
    <s v="KUST - Earth Science"/>
    <n v="1"/>
    <n v="426610"/>
    <s v="426610-Computer software licenses"/>
    <s v="000000"/>
    <s v="KUST - General"/>
    <n v="847001"/>
    <s v="FA179-Opex Expense"/>
    <n v="200179"/>
    <x v="410"/>
    <s v="-"/>
    <n v="313605"/>
    <m/>
    <s v="426610.Computer software licenses-Software License Renewal-number of licenses-Number"/>
    <s v="Number"/>
    <n v="1"/>
    <n v="89500"/>
    <s v="Total cost of licences renewal for various software"/>
    <n v="89500"/>
    <s v="KU Regular operations"/>
    <s v="Recurring"/>
    <n v="80550"/>
    <n v="71600"/>
    <n v="62649.999999999993"/>
    <s v="Impact on student teaching"/>
    <s v="Impact on student teaching"/>
    <s v="Impact on student teaching"/>
    <n v="89500"/>
    <m/>
    <m/>
    <m/>
    <m/>
    <m/>
    <m/>
    <m/>
    <m/>
    <m/>
    <m/>
    <m/>
    <n v="89500"/>
    <n v="0"/>
    <s v="Align academic programs with the local and global labor market needs"/>
  </r>
  <r>
    <s v="Academic "/>
    <s v="No Applicable"/>
    <s v="College of Arts &amp; Science"/>
    <n v="847"/>
    <n v="8470450"/>
    <s v="KUST - Earth Science"/>
    <n v="1"/>
    <n v="428090"/>
    <s v="428090-Business Travel - Combined expenses"/>
    <s v="000000"/>
    <s v="KUST - General"/>
    <n v="847001"/>
    <s v="FA179-Opex Expense"/>
    <n v="200179"/>
    <x v="411"/>
    <s v="-"/>
    <n v="30000"/>
    <m/>
    <m/>
    <s v="-_"/>
    <m/>
    <m/>
    <m/>
    <n v="0"/>
    <m/>
    <m/>
    <n v="0"/>
    <n v="0"/>
    <n v="0"/>
    <m/>
    <m/>
    <m/>
    <m/>
    <m/>
    <m/>
    <m/>
    <m/>
    <m/>
    <m/>
    <m/>
    <m/>
    <m/>
    <m/>
    <m/>
    <n v="0"/>
    <n v="0"/>
    <m/>
  </r>
  <r>
    <s v="Academic"/>
    <s v="No Applicable"/>
    <s v="College of Arts &amp; Science"/>
    <n v="847"/>
    <n v="8470450"/>
    <s v="KUST - Earth Science"/>
    <n v="1"/>
    <n v="432209"/>
    <s v="432209-Laboratory equipment"/>
    <s v="000000"/>
    <s v="KUST - General"/>
    <n v="847001"/>
    <s v="FA179-Opex Expense"/>
    <n v="200179"/>
    <x v="412"/>
    <n v="-35634.410000000003"/>
    <n v="118157"/>
    <m/>
    <s v="432209.Laboratory equipment-Number of Faculty-Number"/>
    <s v="Number"/>
    <m/>
    <m/>
    <m/>
    <n v="0"/>
    <m/>
    <m/>
    <n v="0"/>
    <n v="0"/>
    <n v="0"/>
    <m/>
    <m/>
    <m/>
    <m/>
    <m/>
    <m/>
    <m/>
    <m/>
    <m/>
    <m/>
    <m/>
    <m/>
    <m/>
    <m/>
    <m/>
    <n v="0"/>
    <n v="0"/>
    <m/>
  </r>
  <r>
    <s v="Academic"/>
    <s v="No Applicable"/>
    <s v="College of Arts &amp; Science"/>
    <n v="847"/>
    <n v="8470450"/>
    <s v="KUST - Earth Science"/>
    <n v="1"/>
    <n v="435350"/>
    <s v="435350-Academic Publications"/>
    <s v="000000"/>
    <s v="KUST - General"/>
    <n v="847001"/>
    <s v="FA179-Opex Expense"/>
    <n v="200179"/>
    <x v="413"/>
    <n v="0"/>
    <n v="40000"/>
    <m/>
    <s v="435350.Academic Publications-Number of Publications-Number"/>
    <s v="Number"/>
    <n v="1"/>
    <n v="120000"/>
    <s v="Cost of publication in Q1 journals (c. 10000 per faculty)"/>
    <n v="120000"/>
    <s v="KU Regular operations"/>
    <s v="Recurring"/>
    <n v="108000"/>
    <n v="96000"/>
    <n v="84000"/>
    <s v="Impact on faculty scholarship and KU visibility and reputation"/>
    <s v="Impact on faculty scholarship and KU visibility and reputation"/>
    <s v="Impact on faculty scholarship and KU visibility and reputation"/>
    <m/>
    <m/>
    <n v="40000"/>
    <m/>
    <m/>
    <n v="40000"/>
    <m/>
    <m/>
    <n v="40000"/>
    <m/>
    <m/>
    <m/>
    <n v="120000"/>
    <n v="0"/>
    <s v="Increase publications in journals with high impact factor"/>
  </r>
  <r>
    <s v="Academic"/>
    <s v="Director, Research Laboratories"/>
    <s v="College of Arts &amp; Science"/>
    <n v="847"/>
    <n v="8470450"/>
    <s v="KUST - Earth Science"/>
    <n v="1"/>
    <n v="435508"/>
    <s v="435508-Laboratory - Scientific"/>
    <s v="000000"/>
    <s v="KUST - General"/>
    <n v="847001"/>
    <s v="FA179-Opex Expense"/>
    <n v="200179"/>
    <x v="414"/>
    <n v="4089.74"/>
    <n v="6500"/>
    <m/>
    <s v="435508.Laboratory - Scientific-Number of Students-Number"/>
    <s v="Number"/>
    <n v="1"/>
    <n v="220000"/>
    <s v="Maintenance and Consumables for department equipment and teaching labs needed for UG and PG courses, and undergraduate research "/>
    <n v="220000"/>
    <s v="KU Regular operations"/>
    <s v="Recurring"/>
    <n v="198000"/>
    <n v="176000"/>
    <n v="154000"/>
    <s v="Impact on laboratory functioning"/>
    <s v="Impact on laboratory functioning"/>
    <s v="Impact on laboratory functioning"/>
    <n v="100000"/>
    <n v="100000"/>
    <n v="20000"/>
    <m/>
    <m/>
    <m/>
    <m/>
    <m/>
    <m/>
    <m/>
    <m/>
    <m/>
    <n v="220000"/>
    <n v="0"/>
    <s v="Utilize state-of-the-art technologies and facilities in an optimal and efficient manner"/>
  </r>
  <r>
    <s v="IT"/>
    <s v="Director, Technology Development"/>
    <s v="College of Arts &amp; Science"/>
    <n v="847"/>
    <n v="8470450"/>
    <s v="KUST - Earth Science"/>
    <n v="1"/>
    <n v="492310"/>
    <s v="492310-Hardware &amp; peripherals"/>
    <s v="000000"/>
    <s v="KUST - General"/>
    <n v="847001"/>
    <s v="FA180-Capex Expense"/>
    <n v="300180"/>
    <x v="415"/>
    <s v="-"/>
    <n v="126346"/>
    <m/>
    <s v="492310.Hardware &amp; peripherals-number of hardware devices-Month"/>
    <s v="Month"/>
    <n v="5"/>
    <n v="20000"/>
    <s v="New Computers for Earth Sciences lab"/>
    <n v="100000"/>
    <s v="KU Regular operations"/>
    <s v="Non-recurring"/>
    <n v="90000"/>
    <n v="80000"/>
    <n v="70000"/>
    <s v="Impact on student teaching"/>
    <s v="Impact on student teaching"/>
    <s v="Impact on student teaching"/>
    <m/>
    <n v="100000"/>
    <m/>
    <m/>
    <m/>
    <m/>
    <m/>
    <m/>
    <m/>
    <m/>
    <m/>
    <m/>
    <n v="100000"/>
    <n v="0"/>
    <s v="Utilize state-of-the-art technologies and facilities in an optimal and efficient manner"/>
  </r>
  <r>
    <s v="Facilities "/>
    <s v="Director, Research Laboratories"/>
    <s v="College of Arts &amp; Science"/>
    <n v="847"/>
    <n v="8470450"/>
    <s v="KUST - Earth Science"/>
    <n v="1"/>
    <n v="492316"/>
    <s v="492316-Laboratory equipment"/>
    <s v="000000"/>
    <s v="KUST - General"/>
    <n v="847001"/>
    <s v="FA180-Capex Expense"/>
    <n v="300180"/>
    <x v="416"/>
    <s v="-"/>
    <s v="-"/>
    <m/>
    <s v="492316.Laboratory equipment-Number of Research-Number"/>
    <s v="Number"/>
    <n v="1"/>
    <n v="60000"/>
    <s v="Fumehood to replace old fumehood in 3236 (back corner) - over ten years old, is not actually suitable for any of the chemical work it is used for - acid prep for courses, sample staining etc "/>
    <n v="60000"/>
    <s v="KU Regular operations"/>
    <s v="Non-recurring"/>
    <n v="54000"/>
    <n v="48000"/>
    <n v="42000"/>
    <s v="Impact on laboratory functioning and teachng activity"/>
    <s v="Impact on laboratory functioning and teachng activity"/>
    <s v="Impact on laboratory functioning and teachng activity"/>
    <n v="60000"/>
    <m/>
    <m/>
    <m/>
    <m/>
    <m/>
    <m/>
    <m/>
    <m/>
    <m/>
    <m/>
    <m/>
    <n v="60000"/>
    <n v="0"/>
    <s v="Utilize state-of-the-art technologies and facilities in an optimal and efficient manner"/>
  </r>
  <r>
    <s v="Facilities "/>
    <s v="Director, Research Laboratories"/>
    <s v="College of Arts &amp; Science"/>
    <n v="847"/>
    <n v="8470450"/>
    <s v="KUST - Earth Science"/>
    <n v="1"/>
    <n v="492316"/>
    <s v="492316-Laboratory equipment"/>
    <s v="000000"/>
    <s v="KUST - General"/>
    <n v="847001"/>
    <s v="FA180-Capex Expense"/>
    <n v="300180"/>
    <x v="416"/>
    <s v="-"/>
    <s v="-"/>
    <m/>
    <s v="492316.Laboratory equipment-Number of Research-Number"/>
    <s v="Number"/>
    <n v="1"/>
    <n v="1200000"/>
    <s v="Isoprime IRMS + acessories and maintenance "/>
    <n v="1200000"/>
    <s v="KU Regular operations"/>
    <s v="Non-recurring"/>
    <n v="1080000"/>
    <n v="960000"/>
    <n v="840000"/>
    <s v="Impact on faculty research"/>
    <s v="Impact on faculty research"/>
    <s v="Impact on faculty research"/>
    <m/>
    <n v="1200000"/>
    <m/>
    <m/>
    <m/>
    <m/>
    <m/>
    <m/>
    <m/>
    <m/>
    <m/>
    <m/>
    <n v="1200000"/>
    <n v="0"/>
    <s v="Recruit and retain high caliber faculty, researchers and staff"/>
  </r>
  <r>
    <s v="Facilities "/>
    <s v="Director, Research Laboratories"/>
    <s v="College of Arts &amp; Science"/>
    <n v="847"/>
    <n v="8470450"/>
    <s v="KUST - Earth Science"/>
    <n v="1"/>
    <n v="492316"/>
    <s v="492316-Laboratory equipment"/>
    <s v="000000"/>
    <s v="KUST - General"/>
    <n v="847001"/>
    <s v="FA180-Capex Expense"/>
    <n v="300180"/>
    <x v="416"/>
    <s v="-"/>
    <s v="-"/>
    <m/>
    <s v="492316.Laboratory equipment-Number of Research-Number"/>
    <s v="Number"/>
    <n v="1"/>
    <n v="250000"/>
    <s v="Elemental Analyser"/>
    <n v="250000"/>
    <s v="KU Regular operations"/>
    <s v="Non-recurring"/>
    <n v="225000"/>
    <n v="200000"/>
    <n v="175000"/>
    <s v="Impact on faculty research"/>
    <s v="Impact on faculty research"/>
    <s v="Impact on faculty research"/>
    <n v="250000"/>
    <m/>
    <m/>
    <m/>
    <m/>
    <m/>
    <m/>
    <m/>
    <m/>
    <m/>
    <m/>
    <m/>
    <n v="250000"/>
    <n v="0"/>
    <s v="Recruit and retain high caliber faculty, researchers and staff"/>
  </r>
  <r>
    <s v="Facilities "/>
    <s v="Director, Research Laboratories"/>
    <s v="College of Arts &amp; Science"/>
    <n v="847"/>
    <n v="8470450"/>
    <s v="KUST - Earth Science"/>
    <n v="1"/>
    <n v="492316"/>
    <s v="492316-Laboratory equipment"/>
    <s v="000000"/>
    <s v="KUST - General"/>
    <n v="847001"/>
    <s v="FA180-Capex Expense"/>
    <n v="300180"/>
    <x v="416"/>
    <s v="-"/>
    <s v="-"/>
    <m/>
    <s v="492316.Laboratory equipment-Number of Research-Number"/>
    <s v="Number"/>
    <n v="1"/>
    <n v="185000"/>
    <s v="Thin section equipments"/>
    <n v="185000"/>
    <s v="KU Regular operations"/>
    <s v="Non-recurring"/>
    <n v="166500"/>
    <n v="148000"/>
    <n v="129499.99999999999"/>
    <s v="Impact on faculty research and students teaching"/>
    <s v="Impact on faculty research and students teaching"/>
    <s v="Impact on faculty research and students teaching"/>
    <n v="185000"/>
    <m/>
    <m/>
    <m/>
    <m/>
    <m/>
    <m/>
    <m/>
    <m/>
    <m/>
    <m/>
    <m/>
    <n v="185000"/>
    <n v="0"/>
    <s v="Utilize state-of-the-art technologies and facilities in an optimal and efficient manner"/>
  </r>
  <r>
    <s v="Facilities "/>
    <s v="Director, Research Laboratories"/>
    <s v="College of Arts &amp; Science"/>
    <n v="847"/>
    <n v="8470450"/>
    <s v="KUST - Earth Science"/>
    <n v="1"/>
    <n v="492316"/>
    <s v="492316-Laboratory equipment"/>
    <s v="000000"/>
    <s v="KUST - General"/>
    <n v="847001"/>
    <s v="FA180-Capex Expense"/>
    <n v="300180"/>
    <x v="416"/>
    <s v="-"/>
    <s v="-"/>
    <m/>
    <s v="492316.Laboratory equipment-Number of Research-Number"/>
    <s v="Number"/>
    <n v="1"/>
    <n v="320000"/>
    <s v="Terrain Scanner - Leica"/>
    <n v="320000"/>
    <s v="KU Regular operations"/>
    <s v="Non-recurring"/>
    <n v="288000"/>
    <n v="256000"/>
    <n v="224000"/>
    <s v="Impact on faculty research and students teaching"/>
    <s v="Impact on faculty research and students teaching"/>
    <s v="Impact on faculty research and students teaching"/>
    <n v="320000"/>
    <m/>
    <m/>
    <m/>
    <m/>
    <m/>
    <m/>
    <m/>
    <m/>
    <m/>
    <m/>
    <m/>
    <n v="320000"/>
    <n v="0"/>
    <s v="Utilize state-of-the-art technologies and facilities in an optimal and efficient manner"/>
  </r>
  <r>
    <s v="Facilities "/>
    <s v="Director, Research Laboratories"/>
    <s v="College of Arts &amp; Science"/>
    <n v="847"/>
    <n v="8470450"/>
    <s v="KUST - Earth Science"/>
    <n v="1"/>
    <n v="492316"/>
    <s v="492316-Laboratory equipment"/>
    <s v="000000"/>
    <s v="KUST - General"/>
    <n v="847001"/>
    <s v="FA180-Capex Expense"/>
    <n v="300180"/>
    <x v="416"/>
    <m/>
    <m/>
    <m/>
    <s v="492316.Laboratory equipment-Number of Research-Number"/>
    <s v="Number"/>
    <n v="1"/>
    <n v="50000"/>
    <s v="Centrifuge"/>
    <n v="50000"/>
    <s v="KU Regular operations"/>
    <s v="Non-recurring"/>
    <n v="45000"/>
    <n v="40000"/>
    <n v="35000"/>
    <s v="Impact on faculty research and students teaching"/>
    <s v="Impact on faculty research and students teaching"/>
    <s v="Impact on faculty research and students teaching"/>
    <m/>
    <n v="50000"/>
    <m/>
    <m/>
    <m/>
    <m/>
    <m/>
    <m/>
    <m/>
    <m/>
    <m/>
    <m/>
    <n v="50000"/>
    <n v="0"/>
    <s v="Utilize state-of-the-art technologies and facilities in an optimal and efficient manner"/>
  </r>
  <r>
    <s v="Facilities "/>
    <s v="Director, Research Laboratories"/>
    <s v="College of Arts &amp; Science"/>
    <n v="847"/>
    <n v="8470450"/>
    <s v="KUST - Earth Science"/>
    <n v="1"/>
    <n v="492316"/>
    <s v="492316-Laboratory equipment"/>
    <s v="000000"/>
    <s v="KUST - General"/>
    <n v="847001"/>
    <s v="FA180-Capex Expense"/>
    <n v="300180"/>
    <x v="416"/>
    <s v="-"/>
    <s v="-"/>
    <m/>
    <s v="492316.Laboratory equipment-Number of Research-Number"/>
    <s v="Number"/>
    <n v="1"/>
    <n v="400000"/>
    <s v="Replacement for loss of any minor equipments i.e. balance, microbalance, gold coater, heating plates, pH meter, temperture probe etc "/>
    <n v="400000"/>
    <s v="KU Regular operations"/>
    <s v="Non-recurring"/>
    <n v="360000"/>
    <n v="320000"/>
    <n v="280000"/>
    <s v="Impact on faculty research, departmental operation, and students teaching"/>
    <s v="Impact on faculty research, departmental operation, and students teaching"/>
    <s v="Impact on faculty research, departmental operation, and students teaching"/>
    <n v="200000"/>
    <n v="200000"/>
    <m/>
    <m/>
    <m/>
    <m/>
    <m/>
    <m/>
    <m/>
    <m/>
    <m/>
    <m/>
    <n v="400000"/>
    <n v="0"/>
    <s v="Utilize state-of-the-art technologies and facilities in an optimal and efficient manner"/>
  </r>
  <r>
    <s v="Facilities "/>
    <s v="Director, Research Laboratories"/>
    <s v="College of Arts &amp; Science"/>
    <n v="847"/>
    <n v="8470450"/>
    <s v="KUST - Earth Science"/>
    <n v="1"/>
    <n v="492316"/>
    <s v="492316-Laboratory equipment"/>
    <s v="000000"/>
    <s v="KUST - General"/>
    <n v="847001"/>
    <s v="FA180-Capex Expense"/>
    <n v="300180"/>
    <x v="416"/>
    <s v="-"/>
    <s v="-"/>
    <m/>
    <s v="492316.Laboratory equipment-Number of Research-Number"/>
    <s v="Number"/>
    <n v="1"/>
    <n v="4000"/>
    <s v="Deionized water system (Millipore)"/>
    <n v="4000"/>
    <m/>
    <m/>
    <n v="3600"/>
    <n v="3200"/>
    <n v="2800"/>
    <s v="Impact on faculty research, departmental operation, and students teaching"/>
    <s v="Impact on faculty research, departmental operation, and students teaching"/>
    <s v="Impact on faculty research, departmental operation, and students teaching"/>
    <m/>
    <n v="4000"/>
    <m/>
    <m/>
    <m/>
    <m/>
    <m/>
    <m/>
    <m/>
    <m/>
    <m/>
    <m/>
    <n v="4000"/>
    <n v="0"/>
    <s v="Utilize state-of-the-art technologies and facilities in an optimal and efficient manner"/>
  </r>
  <r>
    <s v="Student"/>
    <s v="Director, Student Services"/>
    <s v="College of Arts &amp; Science"/>
    <n v="847"/>
    <n v="8470455"/>
    <s v="KUST – Biology"/>
    <n v="1"/>
    <n v="425760"/>
    <s v="425760-Student activities &amp; field trip expenses"/>
    <s v="000000"/>
    <s v="KUST - General"/>
    <n v="847001"/>
    <s v="FA179-Opex Expense"/>
    <n v="200179"/>
    <x v="417"/>
    <s v="-"/>
    <n v="10000"/>
    <n v="1000"/>
    <s v="425760.Student activities &amp; field trip expenses-Students-No of Students"/>
    <s v="No of Students"/>
    <n v="70"/>
    <n v="150"/>
    <s v="Student activities &amp; field trip expenses/cost per student"/>
    <n v="10500"/>
    <s v="KU Regular operations"/>
    <s v="Recurring"/>
    <n v="9450"/>
    <n v="8400"/>
    <n v="7349.9999999999991"/>
    <s v="Slightly fewer student activities"/>
    <s v="Moderately fewer student activities"/>
    <s v="Significantly fewer student activities"/>
    <m/>
    <m/>
    <n v="5000"/>
    <m/>
    <m/>
    <m/>
    <m/>
    <m/>
    <m/>
    <n v="5500"/>
    <m/>
    <m/>
    <n v="10500"/>
    <n v="0"/>
    <s v="Develop the university innovation and entrepreneurship system"/>
  </r>
  <r>
    <s v="Academic"/>
    <s v="No Applicable"/>
    <s v="College of Arts &amp; Science"/>
    <n v="847"/>
    <n v="8470455"/>
    <s v="KUST – Biology"/>
    <n v="1"/>
    <n v="425770"/>
    <s v="425770-Academic Missions - Combined expenses"/>
    <s v="000000"/>
    <s v="KUST - General"/>
    <n v="847001"/>
    <s v="FA179-Opex Expense"/>
    <n v="200179"/>
    <x v="418"/>
    <s v="-"/>
    <n v="80000"/>
    <n v="70000"/>
    <s v="425770.Academic Missions - Combined expenses-Number of Conference-Number"/>
    <s v="Number"/>
    <n v="7"/>
    <n v="16000"/>
    <s v="Conference Participation/Cost per faculty"/>
    <n v="112000"/>
    <s v="KU Regular operations"/>
    <s v="Recurring"/>
    <n v="100800"/>
    <n v="89600"/>
    <n v="78400"/>
    <s v="Slightly fewer conference attendance by faculty members"/>
    <s v="Moderately fewer conference attendance by faculty members"/>
    <s v="Significantly fewer conference attendance by faculty members"/>
    <m/>
    <m/>
    <n v="30000"/>
    <m/>
    <m/>
    <m/>
    <n v="50000"/>
    <m/>
    <m/>
    <n v="32000"/>
    <m/>
    <m/>
    <n v="112000"/>
    <n v="0"/>
    <s v="Recruit and retain high caliber faculty, researchers and staff"/>
  </r>
  <r>
    <s v="Other support"/>
    <s v="Director, Human Resources"/>
    <s v="College of Arts &amp; Science"/>
    <n v="847"/>
    <n v="8470455"/>
    <s v="KUST – Biology"/>
    <n v="1"/>
    <n v="425900"/>
    <s v="425900-Entertainment and hospitality"/>
    <s v="000000"/>
    <s v="KUST - General"/>
    <n v="847001"/>
    <s v="FA179-Opex Expense"/>
    <n v="200179"/>
    <x v="419"/>
    <s v="-"/>
    <n v="15000"/>
    <n v="10000"/>
    <s v="425900.Entertainment and hospitality-1. No of events/workshops planned-count"/>
    <s v="count"/>
    <n v="2"/>
    <n v="15000"/>
    <s v="Departmental &amp; Advisory Board meetings"/>
    <n v="30000"/>
    <s v="KU Strategic New Initiative"/>
    <s v="Recurring"/>
    <n v="27000"/>
    <n v="24000"/>
    <n v="21000"/>
    <s v="The quality of the board meetings will be slightly affected"/>
    <s v="The quality of the board meetings will be signficantly affected"/>
    <s v="It will be very difficult to hold the board meeting"/>
    <m/>
    <m/>
    <m/>
    <n v="15000"/>
    <m/>
    <m/>
    <m/>
    <m/>
    <m/>
    <m/>
    <n v="15000"/>
    <m/>
    <n v="30000"/>
    <n v="0"/>
    <s v="Align academic programs with the local and global labor market needs"/>
  </r>
  <r>
    <s v="IT"/>
    <s v="Director, Technology Development"/>
    <s v="College of Arts &amp; Science"/>
    <n v="847"/>
    <n v="8470455"/>
    <s v="KUST – Biology"/>
    <n v="1"/>
    <n v="426610"/>
    <s v="426610-Computer software licenses"/>
    <s v="000000"/>
    <s v="KUST - General"/>
    <n v="847001"/>
    <s v="FA179-Opex Expense"/>
    <n v="200179"/>
    <x v="420"/>
    <s v="-"/>
    <n v="50000"/>
    <n v="40000"/>
    <s v="426610.Computer software licenses-Software License Renewal-duration of license maintenance/support period-Month"/>
    <s v="Month"/>
    <n v="7"/>
    <n v="5000"/>
    <s v="ChemDraw &amp; Prism GraphPad"/>
    <n v="35000"/>
    <s v="KU Regular operations"/>
    <s v="Recurring"/>
    <n v="31500"/>
    <n v="28000"/>
    <n v="24500"/>
    <s v="Minor difficulty in drawing graphs for publications"/>
    <s v="Significant difficulty in drawing graphs for publications"/>
    <s v="Major difficulty in drawing graphs for publications"/>
    <m/>
    <n v="35000"/>
    <m/>
    <m/>
    <m/>
    <m/>
    <m/>
    <m/>
    <m/>
    <m/>
    <m/>
    <m/>
    <n v="35000"/>
    <n v="0"/>
    <s v="Increase publications in journals with high impact factor"/>
  </r>
  <r>
    <s v="Academic "/>
    <s v="No Applicable"/>
    <s v="College of Arts &amp; Science"/>
    <n v="847"/>
    <n v="8470455"/>
    <s v="KUST – Biology"/>
    <n v="1"/>
    <n v="428090"/>
    <s v="428090-Business Travel - Combined expenses"/>
    <s v="000000"/>
    <s v="KUST - General"/>
    <n v="847001"/>
    <s v="FA179-Opex Expense"/>
    <n v="200179"/>
    <x v="421"/>
    <s v="-"/>
    <n v="50000"/>
    <n v="40000"/>
    <s v="428090.Business Travel - Combined expenses-Number of Staff-Number"/>
    <s v="Number"/>
    <n v="2"/>
    <n v="25000"/>
    <s v="Advisory Board meetings"/>
    <n v="50000"/>
    <s v="KU Strategic New Initiative"/>
    <s v="Recurring"/>
    <n v="45000"/>
    <n v="40000"/>
    <n v="35000"/>
    <s v="The quality of the board meetings will be slightly affected"/>
    <s v="The quality of the board meetings will be signficantly affected"/>
    <s v="It will be very difficult to hold the board meeting"/>
    <m/>
    <m/>
    <m/>
    <n v="25000"/>
    <m/>
    <m/>
    <m/>
    <m/>
    <m/>
    <m/>
    <n v="25000"/>
    <m/>
    <n v="50000"/>
    <n v="0"/>
    <s v="Align academic programs with the local and global labor market needs"/>
  </r>
  <r>
    <s v="Communiction &amp; Marketing"/>
    <s v="Director, Marketing and Communication"/>
    <s v="College of Arts &amp; Science"/>
    <n v="847"/>
    <n v="8470455"/>
    <s v="KUST – Biology"/>
    <n v="1"/>
    <n v="428640"/>
    <s v="428640-Events - Awards, prizes &amp; gifts"/>
    <s v="000000"/>
    <s v="KUST - General"/>
    <n v="847001"/>
    <s v="FA179-Opex Expense"/>
    <n v="200179"/>
    <x v="422"/>
    <s v="-"/>
    <n v="5000"/>
    <n v="5000"/>
    <s v="428640.Events - Awards, prizes &amp; gifts-Number of Prizes-count"/>
    <s v="count"/>
    <n v="5"/>
    <n v="2500"/>
    <s v="Student Competitions"/>
    <n v="12500"/>
    <s v="KU Strategic New Initiative"/>
    <s v="Recurring"/>
    <n v="11250"/>
    <n v="10000"/>
    <n v="8750"/>
    <s v="Slightly fewer student activities"/>
    <s v="Moderately fewer student activities"/>
    <s v="Significantly fewer student activities"/>
    <m/>
    <m/>
    <m/>
    <m/>
    <n v="6250"/>
    <m/>
    <m/>
    <m/>
    <m/>
    <m/>
    <n v="6250"/>
    <m/>
    <n v="12500"/>
    <n v="0"/>
    <s v="Widen access to students with outstanding academic potential"/>
  </r>
  <r>
    <s v="Academic"/>
    <s v="No Applicable"/>
    <s v="College of Arts &amp; Science"/>
    <n v="847"/>
    <n v="8470455"/>
    <s v="KUST – Biology"/>
    <n v="1"/>
    <n v="432209"/>
    <s v="432209-Laboratory equipment"/>
    <s v="000000"/>
    <s v="KUST - General"/>
    <n v="847001"/>
    <s v="FA179-Opex Expense"/>
    <n v="200179"/>
    <x v="423"/>
    <s v="-"/>
    <n v="300000"/>
    <n v="300000"/>
    <s v="432209.Laboratory equipment-Number of Students-Number"/>
    <s v="Number"/>
    <n v="1"/>
    <n v="300000"/>
    <s v="Operational, maintenance &amp; spare parts for LCMSMS &amp; Oxford Nanopore sequencers"/>
    <n v="300000"/>
    <s v="KU Regular operations"/>
    <s v="Recurring"/>
    <n v="270000"/>
    <n v="240000"/>
    <n v="210000"/>
    <s v="Minor difficulties in maintaining LCMSMS instrument"/>
    <s v="Significant difficulties in maintaining LCMSMS instrument"/>
    <s v="Not possible to maintain the running of the LCMSMS instrument"/>
    <m/>
    <n v="150000"/>
    <m/>
    <m/>
    <m/>
    <m/>
    <n v="150000"/>
    <m/>
    <m/>
    <m/>
    <m/>
    <m/>
    <n v="300000"/>
    <n v="0"/>
    <s v="Develop the university innovation and entrepreneurship system"/>
  </r>
  <r>
    <s v="Academic"/>
    <s v="No Applicable"/>
    <s v="College of Arts &amp; Science"/>
    <n v="847"/>
    <n v="8470455"/>
    <s v="KUST – Biology"/>
    <n v="1"/>
    <n v="435350"/>
    <s v="435350-Academic Publications"/>
    <s v="000000"/>
    <s v="KUST - General"/>
    <n v="847001"/>
    <s v="FA179-Opex Expense"/>
    <n v="200179"/>
    <x v="424"/>
    <s v="-"/>
    <n v="80000"/>
    <n v="70000"/>
    <s v="435350.Academic Publications-Number of Publications-Number"/>
    <s v="Number"/>
    <n v="14"/>
    <n v="10000"/>
    <s v="Open Access Publication/Cost per publication"/>
    <n v="140000"/>
    <s v="KU Regular operations"/>
    <s v="Recurring"/>
    <n v="126000"/>
    <n v="112000"/>
    <n v="98000"/>
    <s v="10% reduction in Q1 open access publications"/>
    <s v="20% reduction in Q1 open access publications"/>
    <s v="Very significant (30%) reduction in Q1 open access publications"/>
    <m/>
    <n v="35000"/>
    <m/>
    <m/>
    <n v="35000"/>
    <m/>
    <m/>
    <n v="35000"/>
    <m/>
    <m/>
    <n v="35000"/>
    <m/>
    <n v="140000"/>
    <n v="0"/>
    <s v="Increase publications in journals with high impact factor"/>
  </r>
  <r>
    <s v="Academic"/>
    <s v="Director, Research Laboratories"/>
    <s v="College of Arts &amp; Science"/>
    <n v="847"/>
    <n v="8470455"/>
    <s v="KUST – Biology"/>
    <n v="1"/>
    <n v="435508"/>
    <s v="435508-Laboratory - Scientific"/>
    <s v="000000"/>
    <s v="KUST - General"/>
    <n v="847001"/>
    <s v="FA179-Opex Expense"/>
    <n v="200179"/>
    <x v="425"/>
    <s v="-"/>
    <n v="675000"/>
    <n v="675000"/>
    <s v="435508.Laboratory - Scientific-Number of Students-Number"/>
    <s v="Number"/>
    <n v="71"/>
    <n v="11000"/>
    <s v="Chemicals and consumables for teaching lab"/>
    <n v="781000"/>
    <s v="KU Regular operations"/>
    <s v="Recurring"/>
    <n v="702900"/>
    <n v="624800"/>
    <n v="546700"/>
    <s v="Some loss in teaching lab skills to students"/>
    <s v="Significant loss in teaching lab skills to students"/>
    <s v="Impossible to deliver appropriate teaching to students"/>
    <n v="250000"/>
    <m/>
    <m/>
    <m/>
    <n v="500000"/>
    <m/>
    <m/>
    <n v="31000"/>
    <m/>
    <m/>
    <m/>
    <m/>
    <n v="781000"/>
    <n v="0"/>
    <s v="Align academic programs with the local and global labor market needs"/>
  </r>
  <r>
    <s v="Other support"/>
    <s v="No Applicable"/>
    <s v="College of Arts &amp; Science"/>
    <n v="847"/>
    <n v="8470455"/>
    <s v="KUST – Biology"/>
    <n v="1"/>
    <n v="436110"/>
    <s v="436110-Printing supplies"/>
    <s v="000000"/>
    <s v="KUST - General"/>
    <n v="847001"/>
    <s v="FA179-Opex Expense"/>
    <n v="200179"/>
    <x v="426"/>
    <s v="-"/>
    <n v="5000"/>
    <n v="500"/>
    <s v="436110.Printing supplies-Number of Faculty-Number"/>
    <s v="Number"/>
    <n v="7"/>
    <n v="1000"/>
    <s v="Printers and printer cartridges"/>
    <n v="7000"/>
    <s v="KU Regular operations"/>
    <s v="Recurring"/>
    <n v="6300"/>
    <n v="5600"/>
    <n v="4900"/>
    <s v="Minor inconvenience for printing"/>
    <s v="Moderate inconvenience in printing"/>
    <s v="Very significant difficulty for printing"/>
    <n v="2500"/>
    <m/>
    <m/>
    <m/>
    <n v="2500"/>
    <m/>
    <m/>
    <m/>
    <n v="2000"/>
    <m/>
    <m/>
    <m/>
    <n v="7000"/>
    <n v="0"/>
    <s v="Increase publications in journals with high impact factor"/>
  </r>
  <r>
    <s v="Facilities "/>
    <s v="Director, Research Laboratories"/>
    <s v="College of Arts &amp; Science"/>
    <n v="847"/>
    <n v="8470455"/>
    <s v="KUST – Biology"/>
    <n v="1"/>
    <n v="492316"/>
    <s v="492316-Laboratory equipment"/>
    <s v="000000"/>
    <s v="KUST - General"/>
    <n v="847001"/>
    <s v="FA180-Capex Expense"/>
    <n v="300180"/>
    <x v="427"/>
    <s v="-"/>
    <n v="1754263"/>
    <n v="1754263"/>
    <s v="492316.Laboratory equipment-Number of Faculty-Number"/>
    <s v="Number"/>
    <n v="7"/>
    <n v="287803.14285714284"/>
    <s v="Capital instruments for teaching and research"/>
    <n v="2014622"/>
    <s v="KU Regular operations"/>
    <s v="Non-recurring"/>
    <n v="1813159.8"/>
    <n v="1611697.6"/>
    <n v="1410235.4"/>
    <s v="Some loss in teaching lab skills to students"/>
    <s v="Significant loss in teaching lab skills to students and research output"/>
    <s v="Impossible to deliver appropriate teaching to students and major reduction in resarch output"/>
    <n v="2014622"/>
    <m/>
    <m/>
    <m/>
    <m/>
    <m/>
    <m/>
    <m/>
    <m/>
    <m/>
    <m/>
    <m/>
    <n v="2014622"/>
    <n v="0"/>
    <s v="Develop the university innovation and entrepreneurship system"/>
  </r>
  <r>
    <s v="HR"/>
    <s v="Manager, Business Development"/>
    <s v="Executive Vice President Office"/>
    <n v="847"/>
    <n v="8470130"/>
    <s v="KUST - Institutional Research &amp; Planning"/>
    <n v="1"/>
    <n v="421000"/>
    <s v="421000-Management consultancy"/>
    <s v="000000"/>
    <s v="KUST - General"/>
    <n v="847001"/>
    <s v="FA179-Opex Expense"/>
    <n v="200179"/>
    <x v="428"/>
    <n v="690716"/>
    <n v="720000"/>
    <m/>
    <s v="421000.Management consultancy-Number of contracted consultations -count"/>
    <s v="count"/>
    <n v="1"/>
    <n v="540000"/>
    <s v="3 Consultant @AED2000 for 3 months engagement"/>
    <n v="540000"/>
    <s v="KU Strategic New Initiative"/>
    <s v="Non-recurring"/>
    <n v="486000"/>
    <n v="432000"/>
    <n v="378000"/>
    <s v="The impact will be minor on the publications rates and citations"/>
    <s v="The impact will be major on the publications rates and citations"/>
    <s v="The impact will be major on the publications rates and citations"/>
    <n v="0"/>
    <n v="0"/>
    <n v="0"/>
    <n v="180000"/>
    <n v="180000"/>
    <n v="180000"/>
    <n v="0"/>
    <n v="0"/>
    <n v="0"/>
    <n v="0"/>
    <n v="0"/>
    <n v="0"/>
    <n v="540000"/>
    <m/>
    <m/>
  </r>
  <r>
    <s v="IT"/>
    <s v="Director, Technology Development"/>
    <s v="Executive Vice President Office"/>
    <n v="847"/>
    <n v="8470130"/>
    <s v="KUST - Institutional Research &amp; Planning"/>
    <n v="1"/>
    <n v="426610"/>
    <s v="426610-Computer software licenses"/>
    <s v="000000"/>
    <s v="KUST - General"/>
    <n v="847001"/>
    <s v="FA179-Opex Expense"/>
    <n v="200179"/>
    <x v="429"/>
    <s v="-"/>
    <n v="735000"/>
    <m/>
    <s v="426610.Computer software licenses-Software License Renewal-number of licenses-Number"/>
    <s v="Number"/>
    <n v="8"/>
    <n v="22500"/>
    <s v="Academic Quality Assurance Software Product @$150k"/>
    <n v="180000"/>
    <s v="KU Regular operations"/>
    <s v="Recurring"/>
    <n v="162000"/>
    <n v="144000"/>
    <n v="125999.99999999999"/>
    <s v="The impact will be minor"/>
    <s v="It will moderately affect the university networking with the ranking bodies, KU reputation and ranking."/>
    <s v="It will have major effect on the university networking with the ranking bodies, KU reputation and ranking."/>
    <n v="45000"/>
    <n v="0"/>
    <n v="45000"/>
    <n v="0"/>
    <n v="45000"/>
    <n v="0"/>
    <n v="0"/>
    <n v="0"/>
    <n v="45000"/>
    <n v="0"/>
    <n v="0"/>
    <n v="0"/>
    <n v="180000"/>
    <s v="Increase publications in journals with high impact factor"/>
    <m/>
  </r>
  <r>
    <s v="Academic "/>
    <s v="No Applicable"/>
    <s v="Executive Vice President Office"/>
    <n v="847"/>
    <n v="8470130"/>
    <s v="KUST - Institutional Research &amp; Planning"/>
    <n v="1"/>
    <n v="428090"/>
    <s v="428090-Business Travel - Combined expenses"/>
    <s v="000000"/>
    <s v="KUST - General"/>
    <n v="847001"/>
    <s v="FA179-Opex Expense"/>
    <n v="200179"/>
    <x v="430"/>
    <n v="1100"/>
    <n v="180000"/>
    <m/>
    <s v="428090.Business Travel - Combined expenses-Number of Staff-Number"/>
    <s v="Number"/>
    <n v="1"/>
    <n v="551250"/>
    <s v=" Attending 8 summits/conferences for the staff @AED1500 for 8 days + tickets@AED15,000 "/>
    <n v="551250"/>
    <s v="KU Strategic New Initiative"/>
    <s v="Recurring"/>
    <n v="496125"/>
    <n v="441000"/>
    <n v="385875"/>
    <s v="The impact will be minor on the Program quality Assurance and the program accreditation"/>
    <s v="The impact will be moderate on the Program quality Assurance and the  program accreditation"/>
    <s v="The impact will be major on the Program quality Assurance and the program accreditation"/>
    <m/>
    <n v="0"/>
    <n v="275625"/>
    <n v="0"/>
    <n v="0"/>
    <n v="0"/>
    <n v="0"/>
    <n v="0"/>
    <n v="0"/>
    <n v="0"/>
    <n v="0"/>
    <n v="275625"/>
    <n v="551250"/>
    <s v="Build partnerships with local and international universities"/>
    <m/>
  </r>
  <r>
    <s v="Communiction &amp; Marketing"/>
    <s v="Director, Marketing and Communication"/>
    <s v="Executive Vice President Office"/>
    <n v="847"/>
    <n v="8470140"/>
    <s v="KUST - Communication"/>
    <n v="1"/>
    <n v="425100"/>
    <s v="425100-Advertising"/>
    <s v="000000"/>
    <s v="KUST - General"/>
    <n v="847001"/>
    <s v="FA179-Opex Expense"/>
    <n v="200179"/>
    <x v="431"/>
    <n v="1900037.97"/>
    <n v="4578464"/>
    <n v="4578464"/>
    <s v="425100.Advertising Services (General)-Digital Marketing Campaigns-count"/>
    <s v="count"/>
    <n v="4"/>
    <n v="500000"/>
    <s v="The total spends of this account is U6:U14ona monthly basisi operations which is varies from  (general DM campaign, news content preperation, magazine content development, proffesional photography a dn videography for the uni, daily web content updates including video, photos, infographic)."/>
    <n v="2000000"/>
    <s v="KU Regular operations"/>
    <s v="Recurring"/>
    <n v="1800000"/>
    <n v="1600000"/>
    <n v="1400000"/>
    <s v="Minimal impact"/>
    <s v="Moderate - high  impact"/>
    <s v="high impact and will affect local/global visibility"/>
    <n v="166666.66665999999"/>
    <n v="166666.66665999999"/>
    <n v="166666.66665999999"/>
    <n v="166666.66665999999"/>
    <n v="166666.66665999999"/>
    <n v="166666.66665999999"/>
    <n v="166666.66665999999"/>
    <n v="166666.66665999999"/>
    <n v="166666.66665999999"/>
    <n v="166666.66665999999"/>
    <n v="166666.66665999999"/>
    <n v="166666.66665999999"/>
    <n v="1999999.9999200003"/>
    <s v="Enhance the communication plan and outreach activities"/>
    <m/>
  </r>
  <r>
    <s v="Communiction &amp; Marketing"/>
    <s v="Director, Marketing and Communication"/>
    <s v="Executive Vice President Office"/>
    <n v="847"/>
    <n v="8470140"/>
    <s v="KUST - Communication"/>
    <n v="1"/>
    <n v="425100"/>
    <s v="425100-Advertising"/>
    <s v="000000"/>
    <s v="KUST - General"/>
    <s v="847001"/>
    <s v="FA179-Opex Expense"/>
    <n v="200179"/>
    <x v="431"/>
    <m/>
    <m/>
    <m/>
    <s v="425100.Advertising Services (General)-Website Maintenance -count"/>
    <s v="count"/>
    <n v="2"/>
    <n v="500000"/>
    <s v="This includes updating content in the website, creating pages, creating websits and new system."/>
    <n v="1000000"/>
    <s v="KU Regular operations"/>
    <s v="Recurring"/>
    <n v="900000"/>
    <n v="800000"/>
    <n v="700000"/>
    <s v="Minimal impact"/>
    <s v="Moderate - high  impact"/>
    <s v="high impact and will affect local/global visibility"/>
    <n v="83333.333329999994"/>
    <n v="83333.333329999994"/>
    <n v="83333.333329999994"/>
    <n v="83333.333329999994"/>
    <n v="83333.333329999994"/>
    <n v="83333.333329999994"/>
    <n v="83333.333329999994"/>
    <n v="83333.333329999994"/>
    <n v="83333.333329999994"/>
    <n v="83333.333329999994"/>
    <n v="83333.333329999994"/>
    <n v="83333.333329999994"/>
    <n v="999999.99996000016"/>
    <s v="Enhance the communication plan and outreach activities"/>
    <m/>
  </r>
  <r>
    <s v="Communiction &amp; Marketing"/>
    <s v="Director, Marketing and Communication"/>
    <s v="Executive Vice President Office"/>
    <n v="847"/>
    <n v="8470140"/>
    <s v="KUST - Communication"/>
    <n v="1"/>
    <n v="425100"/>
    <s v="425100-Advertising"/>
    <s v="000000"/>
    <s v="KUST - General"/>
    <s v="847001"/>
    <s v="FA179-Opex Expense"/>
    <n v="200179"/>
    <x v="431"/>
    <m/>
    <m/>
    <m/>
    <s v="425100.Advertising Services (General)-Animation Videos -count"/>
    <s v="count"/>
    <n v="8"/>
    <n v="100000"/>
    <s v="This includes Storyboard, Style frame, Music, Editing "/>
    <n v="800000"/>
    <s v="KU Regular operations"/>
    <s v="Recurring"/>
    <n v="720000"/>
    <n v="640000"/>
    <n v="560000"/>
    <s v="Minimal impact"/>
    <s v="Moderate - high  impact"/>
    <s v="high impact and will affect local/global visibility"/>
    <n v="66666.666660000003"/>
    <n v="66666.666660000003"/>
    <n v="66666.666660000003"/>
    <n v="66666.666660000003"/>
    <n v="66666.666660000003"/>
    <n v="66666.666660000003"/>
    <n v="66666.666660000003"/>
    <n v="66666.666660000003"/>
    <n v="66666.666660000003"/>
    <n v="66666.666660000003"/>
    <n v="66666.666660000003"/>
    <n v="66666.666660000003"/>
    <n v="799999.99991999997"/>
    <s v="Enhance the communication plan and outreach activities"/>
    <m/>
  </r>
  <r>
    <s v="Communiction &amp; Marketing"/>
    <s v="Director, Marketing and Communication"/>
    <s v="Executive Vice President Office"/>
    <n v="847"/>
    <n v="8470140"/>
    <s v="KUST - Communication"/>
    <n v="1"/>
    <n v="425100"/>
    <s v="425100-Advertising"/>
    <s v="000000"/>
    <s v="KUST - General"/>
    <s v="847001"/>
    <s v="FA179-Opex Expense"/>
    <n v="200179"/>
    <x v="431"/>
    <m/>
    <m/>
    <m/>
    <s v="425100.Advertising Services (General)-Search Engine Optimization (SEO)-count"/>
    <s v="count"/>
    <n v="2"/>
    <n v="550000"/>
    <s v="This is to improve the search of rhe university ranking on the google search engen"/>
    <n v="1100000"/>
    <s v="KU Regular operations"/>
    <s v="Recurring"/>
    <n v="990000"/>
    <n v="880000"/>
    <n v="770000"/>
    <s v="Minimal impact"/>
    <s v="Moderate - high  impact"/>
    <s v="high impact and will affect local/global visibility"/>
    <n v="91666.666660000003"/>
    <n v="91666.666660000003"/>
    <n v="91666.666660000003"/>
    <n v="91666.666660000003"/>
    <n v="91666.666660000003"/>
    <n v="91666.666660000003"/>
    <n v="91666.666660000003"/>
    <n v="91666.666660000003"/>
    <n v="91666.666660000003"/>
    <n v="91666.666660000003"/>
    <n v="91666.666660000003"/>
    <n v="91666.666660000003"/>
    <n v="1099999.9999200001"/>
    <s v="Enhance the communication plan and outreach activities"/>
    <m/>
  </r>
  <r>
    <s v="Communiction &amp; Marketing"/>
    <s v="Director, Marketing and Communication"/>
    <s v="Executive Vice President Office"/>
    <n v="847"/>
    <n v="8470140"/>
    <s v="KUST - Communication"/>
    <n v="1"/>
    <n v="425100"/>
    <s v="425100-Advertising"/>
    <s v="000000"/>
    <s v="KUST - General"/>
    <s v="847001"/>
    <s v="FA179-Opex Expense"/>
    <n v="200179"/>
    <x v="431"/>
    <m/>
    <m/>
    <m/>
    <s v="425100.Advertising Services (General)-Video production-second "/>
    <s v="second "/>
    <n v="6"/>
    <n v="100500"/>
    <s v="Creative concept, pre production, 3-4 days shoot, filming crew &amp; equipment, "/>
    <n v="603000"/>
    <s v="KU Regular operations"/>
    <s v="Recurring"/>
    <n v="542700"/>
    <n v="482400"/>
    <n v="422100"/>
    <s v="Minimal impact"/>
    <s v="Moderate - high  impact"/>
    <s v="high impact and will affect local/global visibility"/>
    <n v="50250"/>
    <n v="50250"/>
    <n v="50250"/>
    <n v="50250"/>
    <n v="50250"/>
    <n v="50250"/>
    <n v="50250"/>
    <n v="50250"/>
    <n v="50250"/>
    <n v="50250"/>
    <n v="50250"/>
    <n v="50250"/>
    <n v="603000"/>
    <s v="Enhance the communication plan and outreach activities"/>
    <m/>
  </r>
  <r>
    <s v="Communiction &amp; Marketing"/>
    <s v="Director, Marketing and Communication"/>
    <s v="Executive Vice President Office"/>
    <n v="847"/>
    <n v="8470140"/>
    <s v="KUST - Communication"/>
    <n v="1"/>
    <n v="425100"/>
    <s v="425100-Advertising"/>
    <s v="000000"/>
    <s v="KUST - General"/>
    <s v="847001"/>
    <s v="FA179-Opex Expense"/>
    <n v="200179"/>
    <x v="431"/>
    <m/>
    <m/>
    <m/>
    <s v="425100.Advertising Services (General)-Corporate Photoshoot-count"/>
    <s v="count"/>
    <n v="4"/>
    <n v="420000"/>
    <s v="This includes Photoshooting secions for Facultty &amp; Staff"/>
    <n v="1680000"/>
    <s v="KU Regular operations"/>
    <s v="Recurring"/>
    <n v="1512000"/>
    <n v="1344000"/>
    <n v="1176000"/>
    <s v="Minimal impact"/>
    <s v="Moderate - high  impact"/>
    <s v="high impact and will affect local/global visibility"/>
    <n v="140000"/>
    <n v="140000"/>
    <n v="140000"/>
    <n v="140000"/>
    <n v="140000"/>
    <n v="140000"/>
    <n v="140000"/>
    <n v="140000"/>
    <n v="140000"/>
    <n v="140000"/>
    <n v="140000"/>
    <n v="140000"/>
    <n v="1680000"/>
    <s v="Enhance the communication plan and outreach activities"/>
    <m/>
  </r>
  <r>
    <s v="Communiction &amp; Marketing"/>
    <s v="Director, Marketing and Communication"/>
    <s v="Executive Vice President Office"/>
    <n v="847"/>
    <n v="8470140"/>
    <s v="KUST - Communication"/>
    <n v="1"/>
    <n v="425100"/>
    <s v="425100-Advertising"/>
    <s v="000000"/>
    <s v="KUST - General"/>
    <s v="847001"/>
    <s v="FA179-Opex Expense"/>
    <n v="200179"/>
    <x v="431"/>
    <m/>
    <m/>
    <m/>
    <s v="425100.Advertising Services (General)-International Publicity-count"/>
    <s v="count"/>
    <n v="4"/>
    <n v="600000"/>
    <s v="This includes branding for the university rank"/>
    <n v="2400000"/>
    <s v="KU Regular operations"/>
    <s v="Recurring"/>
    <n v="2160000"/>
    <n v="1920000"/>
    <n v="1680000"/>
    <s v="We have contracts with QS and THE World University Ranking and any cut in the budget will affect our publicity "/>
    <s v="High  impact"/>
    <s v="high impact and will affect local/global visibility"/>
    <n v="200000"/>
    <n v="200000"/>
    <n v="200000"/>
    <n v="200000"/>
    <n v="200000"/>
    <n v="200000"/>
    <n v="200000"/>
    <n v="200000"/>
    <n v="200000"/>
    <n v="200000"/>
    <n v="200000"/>
    <n v="200000"/>
    <n v="2400000"/>
    <s v="Enhance the communication plan and outreach activities"/>
    <m/>
  </r>
  <r>
    <s v="Communiction &amp; Marketing"/>
    <s v="Director, Marketing and Communication"/>
    <s v="Executive Vice President Office"/>
    <n v="847"/>
    <n v="8470140"/>
    <s v="KUST - Communication"/>
    <n v="1"/>
    <n v="425100"/>
    <s v="425100-Advertising"/>
    <s v="000000"/>
    <s v="KUST - General"/>
    <s v="847001"/>
    <s v="FA179-Opex Expense"/>
    <n v="200179"/>
    <x v="431"/>
    <m/>
    <m/>
    <m/>
    <s v="425100.Advertising Services (General)-Branding -count"/>
    <s v="count"/>
    <n v="8"/>
    <n v="500000"/>
    <s v="This includes monthly basisi operations which is varies from (TV commersials, radio, Social Media)"/>
    <n v="4000000"/>
    <s v="KU Regular operations"/>
    <s v="Recurring"/>
    <n v="3600000"/>
    <n v="3200000"/>
    <n v="2800000"/>
    <s v="Minimal impact"/>
    <s v="Moderate - high  impact"/>
    <s v="high impact and will affect local/global visibility"/>
    <n v="333333.33332999999"/>
    <n v="333333.33332999999"/>
    <n v="333333.33332999999"/>
    <n v="333333.33332999999"/>
    <n v="333333.33332999999"/>
    <n v="333333.33332999999"/>
    <n v="333333.33332999999"/>
    <n v="333333.33332999999"/>
    <n v="333333.33332999999"/>
    <n v="333333.33332999999"/>
    <n v="333333.33332999999"/>
    <n v="333333.33332999999"/>
    <n v="3999999.9999599992"/>
    <s v="Enhance the communication plan and outreach activities"/>
    <m/>
  </r>
  <r>
    <s v="Communiction &amp; Marketing"/>
    <s v="Director, Marketing and Communication"/>
    <s v="Executive Vice President Office"/>
    <n v="847"/>
    <n v="8470140"/>
    <s v="KUST - Communication"/>
    <n v="1"/>
    <n v="425100"/>
    <s v="425100-Advertising"/>
    <s v="000000"/>
    <s v="KUST - General"/>
    <s v="847001"/>
    <s v="FA179-Opex Expense"/>
    <n v="200179"/>
    <x v="431"/>
    <m/>
    <m/>
    <m/>
    <s v="425100.Advertising Services (General)-Digital advertizing (Radio, TV, Social Media)  -count"/>
    <s v="count"/>
    <n v="14"/>
    <n v="100000"/>
    <s v="This includes monthly basisi operations which is varies from (TV commersials, radio, Social Media)"/>
    <n v="1400000"/>
    <s v="KU Regular operations"/>
    <s v="Recurring"/>
    <n v="1260000"/>
    <n v="1120000"/>
    <n v="979999.99999999988"/>
    <s v="Minimal impact"/>
    <s v="Moderate - high  impact"/>
    <s v="high impact and will affect local/global visibility"/>
    <n v="116666.66666"/>
    <n v="116666.66666"/>
    <n v="116666.66666"/>
    <n v="116666.66666"/>
    <n v="116666.66666"/>
    <n v="116666.66666"/>
    <n v="116666.66666"/>
    <n v="116666.66666"/>
    <n v="116666.66666"/>
    <n v="116666.66666"/>
    <n v="116666.66666"/>
    <n v="116666.66666"/>
    <n v="1399999.9999200003"/>
    <s v="Enhance the communication plan and outreach activities"/>
    <m/>
  </r>
  <r>
    <s v="Communiction &amp; Marketing"/>
    <s v="Director, Marketing and Communication"/>
    <s v="Executive Vice President Office"/>
    <n v="847"/>
    <n v="8470140"/>
    <s v="KUST - Communication"/>
    <n v="1"/>
    <n v="425510"/>
    <s v="425510-Conferences, seminars and exhibitions and other events: - Local Events"/>
    <s v="000000"/>
    <s v="KUST - General"/>
    <n v="847001"/>
    <s v="FA179-Opex Expense"/>
    <n v="200179"/>
    <x v="432"/>
    <n v="3922844.33"/>
    <n v="5025358"/>
    <n v="5025358"/>
    <s v="425510.Conferences, seminars and exhibitions and other events: - Local Events-Conferences-Number of Conferences"/>
    <s v="Number of Conferences"/>
    <n v="1"/>
    <n v="200000"/>
    <s v="This includes the major conferences partisipation such as (WFES, AQDAR,)"/>
    <n v="200000"/>
    <s v="KU Regular operations"/>
    <s v="Recurring"/>
    <n v="180000"/>
    <n v="160000"/>
    <n v="140000"/>
    <s v="Minimal impact"/>
    <s v="Moderate - high  impact"/>
    <s v="high impact and will affect local/global visibility"/>
    <m/>
    <m/>
    <m/>
    <m/>
    <m/>
    <m/>
    <m/>
    <m/>
    <n v="200000"/>
    <m/>
    <m/>
    <m/>
    <n v="200000"/>
    <s v="Enhance the communication plan and outreach activities"/>
    <m/>
  </r>
  <r>
    <s v="Communiction &amp; Marketing"/>
    <s v="Director, Marketing and Communication"/>
    <s v="Executive Vice President Office"/>
    <n v="847"/>
    <n v="8470140"/>
    <s v="KUST - Communication"/>
    <n v="1"/>
    <n v="425510"/>
    <s v="425510-Conferences, seminars and exhibitions and other events: - Local Events"/>
    <s v="000000"/>
    <s v="KUST - General"/>
    <n v="847001"/>
    <s v="FA179-Opex Expense"/>
    <n v="200179"/>
    <x v="432"/>
    <m/>
    <m/>
    <m/>
    <s v="425510.Conferences, seminars and exhibitions and other events: - Local Events-Exhibitions-Number of Exhibitions"/>
    <s v="Number of Exhibitions"/>
    <n v="10"/>
    <n v="125000"/>
    <s v="This includes the major exhibitions partisipation such as (ADIPEC, IDEX, NAJAH, AD Book Fair)"/>
    <n v="1250000"/>
    <s v="KU Regular operations"/>
    <s v="Recurring"/>
    <n v="1125000"/>
    <n v="1000000"/>
    <n v="875000"/>
    <s v="Minimal impact"/>
    <s v="Moderate - high  impact"/>
    <s v="high impact and will affect local/global visibility"/>
    <m/>
    <n v="600000"/>
    <n v="350000"/>
    <m/>
    <n v="200000"/>
    <m/>
    <m/>
    <m/>
    <m/>
    <n v="100000"/>
    <m/>
    <m/>
    <n v="1250000"/>
    <s v="Enhance the communication plan and outreach activities"/>
    <m/>
  </r>
  <r>
    <s v="Communiction &amp; Marketing"/>
    <s v="Director, Marketing and Communication"/>
    <s v="Executive Vice President Office"/>
    <n v="847"/>
    <n v="8470140"/>
    <s v="KUST - Communication"/>
    <n v="1"/>
    <n v="425510"/>
    <s v="425510-Conferences, seminars and exhibitions and other events: - Local Events"/>
    <s v="000000"/>
    <s v="KUST - General"/>
    <n v="847001"/>
    <s v="FA179-Opex Expense"/>
    <n v="200179"/>
    <x v="432"/>
    <m/>
    <m/>
    <m/>
    <s v="425510.Conferences, seminars and exhibitions and other events: - Local Events-Events-Number of Events"/>
    <s v="Number of Events"/>
    <n v="6"/>
    <n v="855900"/>
    <s v="This includes the major Events hosted such as (Graduation,  National Day,KU Century Challenge  )"/>
    <n v="5135400"/>
    <s v="KU Regular operations"/>
    <s v="Recurring"/>
    <n v="4621860"/>
    <n v="4108320"/>
    <n v="3594780"/>
    <s v="Minimal impact"/>
    <s v="Moderate - high  impact"/>
    <s v="high impact and will affect local/global visibility"/>
    <m/>
    <n v="200000"/>
    <n v="400000"/>
    <m/>
    <n v="2500000"/>
    <m/>
    <n v="235000"/>
    <n v="350000"/>
    <n v="450000"/>
    <n v="700000"/>
    <n v="300400"/>
    <m/>
    <n v="5135400"/>
    <s v="Enhance the communication plan and outreach activities"/>
    <m/>
  </r>
  <r>
    <s v="Communiction &amp; Marketing"/>
    <s v="No Applicable"/>
    <s v="Executive Vice President Office"/>
    <n v="847"/>
    <n v="8470140"/>
    <s v="KUST - Communication"/>
    <n v="1"/>
    <n v="425550"/>
    <s v="425550-Conferences, seminars and exhibitions and other events: - Overseas event"/>
    <s v="000000"/>
    <s v="KUST - General"/>
    <n v="847001"/>
    <s v="FA179-Opex Expense"/>
    <n v="200179"/>
    <x v="433"/>
    <n v="0"/>
    <n v="791955"/>
    <n v="791955"/>
    <s v="425550.Conferences, seminars and exhibitions and other events: - Overseas event-Conferences-Number of Conferences"/>
    <s v="Number of Conferences"/>
    <n v="6"/>
    <n v="358388"/>
    <s v="This includes the major Global conferences partisipation such as (ICRA, IROS, IMSH, AMEE,Ottawa Conferences,AAMC Annual conferences,LCI)"/>
    <n v="2150328"/>
    <s v="KU Regular operations"/>
    <s v="Recurring"/>
    <n v="1935295.2"/>
    <n v="1720262.4000000001"/>
    <n v="1505229.5999999999"/>
    <s v="Minimal impact"/>
    <s v="Moderate - high  impact"/>
    <s v="high impact and will affect local/global visibility"/>
    <m/>
    <m/>
    <m/>
    <m/>
    <m/>
    <n v="537582"/>
    <m/>
    <n v="537582"/>
    <m/>
    <n v="537582"/>
    <n v="537582"/>
    <m/>
    <n v="2150328"/>
    <s v="Enhance the communication plan and outreach activities"/>
    <m/>
  </r>
  <r>
    <s v="Student"/>
    <s v="No Applicable"/>
    <s v="Executive Vice President Office"/>
    <n v="847"/>
    <n v="8470140"/>
    <s v="KUST - Communication"/>
    <n v="1"/>
    <n v="425763"/>
    <s v="425763-Student Project Expenses"/>
    <s v="000000"/>
    <s v="KUST - CSR Activities"/>
    <n v="847050"/>
    <s v="FA179-Opex Expense"/>
    <n v="200179"/>
    <x v="434"/>
    <s v="-"/>
    <n v="400000"/>
    <n v="400000"/>
    <s v="425763.Student Project Expenses-Number of Students UG-Month"/>
    <s v="Month"/>
    <n v="1"/>
    <n v="400000"/>
    <s v="Use for CSR projects "/>
    <n v="400000"/>
    <s v="KU Regular operations"/>
    <s v="Recurring"/>
    <n v="360000"/>
    <n v="320000"/>
    <n v="280000"/>
    <s v="Minimal impact"/>
    <s v="Moderate - high  impact"/>
    <s v="high impact and will affect local/global visibility"/>
    <n v="400000"/>
    <m/>
    <m/>
    <m/>
    <m/>
    <m/>
    <m/>
    <m/>
    <m/>
    <m/>
    <m/>
    <m/>
    <n v="400000"/>
    <s v="Enhance the communication plan and outreach activities"/>
    <m/>
  </r>
  <r>
    <s v="Communiction &amp; Marketing"/>
    <s v="Director, Marketing and Communication"/>
    <s v="Executive Vice President Office"/>
    <n v="847"/>
    <n v="8470140"/>
    <s v="KUST - Communication"/>
    <n v="1"/>
    <n v="427100"/>
    <s v="427100-Public relations"/>
    <s v="000000"/>
    <s v="KUST - General"/>
    <n v="847001"/>
    <s v="FA179-Opex Expense"/>
    <n v="200179"/>
    <x v="435"/>
    <n v="-820"/>
    <n v="1157850"/>
    <n v="1157850"/>
    <s v="427100.Public relations-Media Monitoring -count"/>
    <s v="count"/>
    <n v="1"/>
    <n v="100000"/>
    <s v="We have a media monitoring subscription, and media management for local and international press distribution and management."/>
    <n v="100000"/>
    <s v="KU Regular operations"/>
    <s v="Recurring"/>
    <n v="90000"/>
    <n v="80000"/>
    <n v="70000"/>
    <s v="Minimal impact"/>
    <s v="Moderate - high  impact"/>
    <s v="high impact and will affect local/global visibility"/>
    <n v="100000"/>
    <m/>
    <m/>
    <m/>
    <m/>
    <m/>
    <m/>
    <m/>
    <m/>
    <m/>
    <m/>
    <m/>
    <n v="100000"/>
    <s v="Enhance the communication plan and outreach activities"/>
    <m/>
  </r>
  <r>
    <s v="Communiction &amp; Marketing"/>
    <s v="Director, Marketing and Communication"/>
    <s v="Executive Vice President Office"/>
    <n v="847"/>
    <n v="8470140"/>
    <s v="KUST - Communication"/>
    <n v="1"/>
    <n v="427100"/>
    <s v="427100-Public relations"/>
    <s v="000000"/>
    <s v="KUST - General"/>
    <n v="847001"/>
    <s v="FA179-Opex Expense"/>
    <n v="200179"/>
    <x v="435"/>
    <m/>
    <m/>
    <m/>
    <s v="427100.Public relations-Media services -count"/>
    <s v="count"/>
    <n v="1"/>
    <n v="2400000"/>
    <s v="This includes engagemement with exernal local and international media outlets"/>
    <n v="2400000"/>
    <s v="KU Regular operations"/>
    <s v="Recurring"/>
    <n v="2160000"/>
    <n v="1920000"/>
    <n v="1680000"/>
    <s v="We have contarts with Carma and any cut in the budget will affect our agreement"/>
    <s v="Moderate - high  impact"/>
    <s v="high impact and will affect local/global visibility"/>
    <n v="200000"/>
    <n v="200000"/>
    <n v="200000"/>
    <n v="200000"/>
    <n v="200000"/>
    <n v="200000"/>
    <n v="200000"/>
    <n v="200000"/>
    <n v="200000"/>
    <n v="200000"/>
    <n v="200000"/>
    <n v="200000"/>
    <n v="2400000"/>
    <s v="Enhance the communication plan and outreach activities"/>
    <m/>
  </r>
  <r>
    <s v="Communiction &amp; Marketing"/>
    <s v="No Applicable"/>
    <s v="Executive Vice President Office"/>
    <n v="847"/>
    <n v="8470140"/>
    <s v="KUST - Communication"/>
    <n v="1"/>
    <n v="427200"/>
    <s v="427200-Printing and publishing"/>
    <s v="000000"/>
    <s v="KUST - General"/>
    <n v="847001"/>
    <s v="FA179-Opex Expense"/>
    <n v="200179"/>
    <x v="436"/>
    <n v="-7379"/>
    <n v="750000"/>
    <n v="750000"/>
    <s v="427200.Printing and publishing-The cost of design for the entity's publications to reflect the entity's identity-count"/>
    <s v="count"/>
    <n v="40"/>
    <n v="3375"/>
    <s v="This includes our printing of all marketing collatorals for conferences, exhibitions, gift items, invitations, marketing documents, KU's general publication, stationar, and items for inperson events"/>
    <n v="135000"/>
    <s v="KU Regular operations"/>
    <s v="Recurring"/>
    <n v="121500"/>
    <n v="108000"/>
    <n v="94500"/>
    <s v="We have contarts with Edelman comapny and any cut in the budget will affect our agreement"/>
    <s v="Moderate  impact"/>
    <s v="high impact and will affect local/global visibility"/>
    <n v="11250"/>
    <n v="11250"/>
    <n v="11250"/>
    <n v="11250"/>
    <n v="11250"/>
    <n v="11250"/>
    <n v="11250"/>
    <n v="11250"/>
    <n v="11250"/>
    <n v="11250"/>
    <n v="11250"/>
    <n v="11250"/>
    <n v="135000"/>
    <s v="Enhance the communication plan and outreach activities"/>
    <m/>
  </r>
  <r>
    <s v="Communiction &amp; Marketing"/>
    <s v="No Applicable"/>
    <s v="Executive Vice President Office"/>
    <n v="847"/>
    <n v="8470140"/>
    <s v="KUST - Communication"/>
    <n v="1"/>
    <n v="427200"/>
    <s v="427200-Printing and publishing"/>
    <s v="000000"/>
    <s v="KUST - General"/>
    <n v="847001"/>
    <s v="FA179-Opex Expense"/>
    <n v="200179"/>
    <x v="436"/>
    <m/>
    <m/>
    <m/>
    <s v="427200.Printing and publishing-Design cost of the entity's forms-count"/>
    <s v="count"/>
    <n v="30"/>
    <n v="2667"/>
    <s v="Company profile, Window branding stickers, Designing brochures,Magazain "/>
    <n v="80010"/>
    <s v="KU Regular operations"/>
    <s v="Recurring"/>
    <n v="72009"/>
    <n v="64008"/>
    <n v="56007"/>
    <s v="Minimal impact"/>
    <s v="Moderate  impact"/>
    <s v="high impact and will affect local/global visibility"/>
    <n v="6667.5"/>
    <n v="6667.5"/>
    <n v="6667.5"/>
    <n v="6667.5"/>
    <n v="6667.5"/>
    <n v="6667.5"/>
    <n v="6667.5"/>
    <n v="6667.5"/>
    <n v="6667.5"/>
    <n v="6667.5"/>
    <n v="6667.5"/>
    <n v="6667.5"/>
    <n v="80010"/>
    <s v="Enhance the communication plan and outreach activities"/>
    <m/>
  </r>
  <r>
    <s v="Communiction &amp; Marketing"/>
    <s v="No Applicable"/>
    <s v="Executive Vice President Office"/>
    <n v="847"/>
    <n v="8470140"/>
    <s v="KUST - Communication"/>
    <n v="1"/>
    <n v="427200"/>
    <s v="427200-Printing and publishing"/>
    <s v="000000"/>
    <s v="KUST - General"/>
    <n v="847001"/>
    <s v="FA179-Opex Expense"/>
    <n v="200179"/>
    <x v="436"/>
    <m/>
    <m/>
    <m/>
    <s v="427200.Printing and publishing-Design cost of educational publications-count"/>
    <s v="count"/>
    <n v="15"/>
    <n v="2333"/>
    <s v="Rollups, Brochures, certificates,"/>
    <n v="34995"/>
    <s v="KU Regular operations"/>
    <s v="Recurring"/>
    <n v="31495.5"/>
    <n v="27996"/>
    <n v="24496.5"/>
    <s v="Minimal impact"/>
    <s v="Moderate  impact"/>
    <s v="high impact and will affect local/global visibility"/>
    <n v="2916.25"/>
    <n v="2916.25"/>
    <n v="2916.25"/>
    <n v="2916.25"/>
    <n v="2916.25"/>
    <n v="2916.25"/>
    <n v="2916.25"/>
    <n v="2916.25"/>
    <n v="2916.25"/>
    <n v="2916.25"/>
    <n v="2916.25"/>
    <n v="2916.25"/>
    <n v="34995"/>
    <s v="Enhance the communication plan and outreach activities"/>
    <m/>
  </r>
  <r>
    <s v="Communiction &amp; Marketing"/>
    <s v="No Applicable"/>
    <s v="Executive Vice President Office"/>
    <n v="847"/>
    <n v="8470140"/>
    <s v="KUST - Communication"/>
    <n v="1"/>
    <n v="427200"/>
    <s v="427200-Printing and publishing"/>
    <s v="000000"/>
    <s v="KUST - General"/>
    <n v="847001"/>
    <s v="FA179-Opex Expense"/>
    <n v="200179"/>
    <x v="436"/>
    <m/>
    <m/>
    <m/>
    <s v="427200.Printing and publishing-The printing cost of the department's publications-count"/>
    <s v="count"/>
    <n v="2000"/>
    <n v="100"/>
    <s v="Posters, Flyers,  leaf let &amp; Agenda, Envelpoes, Cards (Z-card, graduation card, Business cards.) "/>
    <n v="200000"/>
    <s v="KU Regular operations"/>
    <s v="Recurring"/>
    <n v="180000"/>
    <n v="160000"/>
    <n v="140000"/>
    <s v="Minimal impact"/>
    <s v="Moderate  impact"/>
    <s v="high impact and will affect local/global visibility"/>
    <n v="16666.666659999999"/>
    <n v="16666.666659999999"/>
    <n v="16666.666659999999"/>
    <n v="16666.666659999999"/>
    <n v="16666.666659999999"/>
    <n v="16666.666659999999"/>
    <n v="16666.666659999999"/>
    <n v="16666.666659999999"/>
    <n v="16666.666659999999"/>
    <n v="16666.666659999999"/>
    <n v="16666.666659999999"/>
    <n v="16666.666659999999"/>
    <n v="199999.99991999994"/>
    <s v="Enhance the communication plan and outreach activities"/>
    <m/>
  </r>
  <r>
    <s v="Communiction &amp; Marketing"/>
    <s v="No Applicable"/>
    <s v="Executive Vice President Office"/>
    <n v="847"/>
    <n v="8470140"/>
    <s v="KUST - Communication"/>
    <n v="1"/>
    <n v="427200"/>
    <s v="427200-Printing and publishing"/>
    <s v="000000"/>
    <s v="KUST - General"/>
    <n v="847001"/>
    <s v="FA179-Opex Expense"/>
    <n v="200179"/>
    <x v="436"/>
    <m/>
    <m/>
    <m/>
    <s v="427200.Printing and publishing-Cost of printing the entity's paper forms-count"/>
    <m/>
    <n v="3000"/>
    <n v="100"/>
    <s v="KU Times Magazain, Shopping bags, Notebook (A6, A5,A4), pens"/>
    <n v="300000"/>
    <s v="KU Regular operations"/>
    <s v="Recurring"/>
    <n v="270000"/>
    <n v="240000"/>
    <n v="210000"/>
    <s v="Minimal impact"/>
    <s v="Moderate  impact"/>
    <s v="high impact and will affect local/global visibility"/>
    <n v="25000"/>
    <n v="25000"/>
    <n v="25000"/>
    <n v="25000"/>
    <n v="25000"/>
    <n v="25000"/>
    <n v="25000"/>
    <n v="25000"/>
    <n v="25000"/>
    <n v="25000"/>
    <n v="25000"/>
    <n v="25000"/>
    <n v="300000"/>
    <s v="Enhance the communication plan and outreach activities"/>
    <m/>
  </r>
  <r>
    <s v="Communiction &amp; Marketing"/>
    <s v="Director, Marketing and Communication"/>
    <s v="Executive Vice President Office"/>
    <n v="847"/>
    <n v="8470140"/>
    <s v="KUST - Communication"/>
    <n v="1"/>
    <n v="428640"/>
    <s v="428640-Events - Awards, prizes &amp; gifts"/>
    <s v="000000"/>
    <s v="KUST - General"/>
    <n v="847001"/>
    <s v="FA179-Opex Expense"/>
    <n v="200179"/>
    <x v="437"/>
    <s v="-"/>
    <n v="998000"/>
    <n v="998000"/>
    <s v="428640.Events - Awards, prizes &amp; gifts-Number of Events-count"/>
    <s v="count"/>
    <n v="100"/>
    <n v="1100"/>
    <s v="This includes gifts for out VIP and non VIP events and visits"/>
    <n v="110000"/>
    <s v="KU Regular operations"/>
    <s v="Recurring"/>
    <n v="99000"/>
    <n v="88000"/>
    <n v="77000"/>
    <s v="Minimal impact"/>
    <s v="Moderate  impact"/>
    <s v="high impact and will affect local/global visibility"/>
    <n v="9166.6666600000008"/>
    <n v="9166.6666600000008"/>
    <n v="9166.6666600000008"/>
    <n v="9166.6666600000008"/>
    <n v="9166.6666600000008"/>
    <n v="9166.6666600000008"/>
    <n v="9166.6666600000008"/>
    <n v="9166.6666600000008"/>
    <n v="9166.6666600000008"/>
    <n v="9166.6666600000008"/>
    <n v="9166.6666600000008"/>
    <n v="9166.6666600000008"/>
    <n v="109999.99992000002"/>
    <s v="Enhance the communication plan and outreach activities"/>
    <m/>
  </r>
  <r>
    <s v="Communiction &amp; Marketing"/>
    <s v="Director, Marketing and Communication"/>
    <s v="Executive Vice President Office"/>
    <n v="847"/>
    <n v="8470140"/>
    <s v="KUST - Communication"/>
    <n v="1"/>
    <n v="428640"/>
    <s v="428640-Events - Awards, prizes &amp; gifts"/>
    <s v="000000"/>
    <s v="KUST - General"/>
    <n v="847001"/>
    <s v="FA179-Opex Expense"/>
    <n v="200179"/>
    <x v="437"/>
    <m/>
    <m/>
    <m/>
    <s v="428640.Events - Awards, prizes &amp; gifts-Number of awards-count"/>
    <s v="count"/>
    <n v="100"/>
    <n v="3600"/>
    <s v=" Includes the KU's commersial merchandise to be distributed during events and conferences"/>
    <n v="360000"/>
    <s v="KU Regular operations"/>
    <s v="Recurring"/>
    <n v="324000"/>
    <n v="288000"/>
    <n v="251999.99999999997"/>
    <s v="Minimal impact"/>
    <s v="Moderate  impact"/>
    <s v="high impact and will affect local/global visibility"/>
    <n v="30000"/>
    <n v="30000"/>
    <n v="30000"/>
    <n v="30000"/>
    <n v="30000"/>
    <n v="30000"/>
    <n v="30000"/>
    <n v="30000"/>
    <n v="30000"/>
    <n v="30000"/>
    <n v="30000"/>
    <n v="30000"/>
    <n v="360000"/>
    <s v="Enhance the communication plan and outreach activities"/>
    <m/>
  </r>
  <r>
    <s v="Communiction &amp; Marketing"/>
    <s v="Director, Marketing and Communication"/>
    <s v="Executive Vice President Office"/>
    <n v="847"/>
    <n v="8470140"/>
    <s v="KUST - Communication"/>
    <n v="1"/>
    <n v="428640"/>
    <s v="428640-Events - Awards, prizes &amp; gifts"/>
    <s v="000000"/>
    <s v="KUST - General"/>
    <n v="847001"/>
    <s v="FA179-Opex Expense"/>
    <n v="200179"/>
    <x v="437"/>
    <m/>
    <m/>
    <m/>
    <s v="428640.Events - Awards, prizes &amp; gifts-Number of prizes-count"/>
    <s v="count"/>
    <n v="3000"/>
    <n v="50"/>
    <s v="Includes prizes use in Challenges &amp; Competions (medals, tophies, backpack,)"/>
    <n v="150000"/>
    <s v="KU Regular operations"/>
    <s v="Recurring"/>
    <n v="135000"/>
    <n v="120000"/>
    <n v="105000"/>
    <s v="Minimal impact"/>
    <s v="Moderate  impact"/>
    <s v="high impact and will affect local/global visibility"/>
    <n v="12500"/>
    <n v="12500"/>
    <n v="12500"/>
    <n v="12500"/>
    <n v="12500"/>
    <n v="12500"/>
    <n v="12500"/>
    <n v="12500"/>
    <n v="12500"/>
    <n v="12500"/>
    <n v="12500"/>
    <n v="12500"/>
    <n v="150000"/>
    <s v="Enhance the communication plan and outreach activities"/>
    <m/>
  </r>
  <r>
    <s v="Communiction &amp; Marketing"/>
    <s v="Director, Marketing and Communication"/>
    <s v="Executive Vice President Office"/>
    <n v="847"/>
    <n v="8470140"/>
    <s v="KUST - Communication"/>
    <n v="1"/>
    <n v="428640"/>
    <s v="428640-Events - Awards, prizes &amp; gifts"/>
    <s v="000000"/>
    <s v="KUST - General"/>
    <n v="847001"/>
    <s v="FA179-Opex Expense"/>
    <n v="200179"/>
    <x v="437"/>
    <m/>
    <m/>
    <m/>
    <s v="428640.Events - Awards, prizes &amp; gifts-Number of gifts-count"/>
    <s v="count"/>
    <n v="3000"/>
    <n v="126"/>
    <s v="Gifts for Ramdan,National day, Eids (Coffee Mugs, Adapter, USB) "/>
    <n v="378000"/>
    <s v="KU Regular operations"/>
    <s v="Recurring"/>
    <n v="340200"/>
    <n v="302400"/>
    <n v="264600"/>
    <s v="Minimal impact"/>
    <s v="Moderate  impact"/>
    <s v="high impact and will affect local/global visibility"/>
    <n v="31500"/>
    <n v="31500"/>
    <n v="31500"/>
    <n v="31500"/>
    <n v="31500"/>
    <n v="31500"/>
    <n v="31500"/>
    <n v="31500"/>
    <n v="31500"/>
    <n v="31500"/>
    <n v="31500"/>
    <n v="31500"/>
    <n v="378000"/>
    <s v="Enhance the communication plan and outreach activities"/>
    <m/>
  </r>
  <r>
    <s v="Other support"/>
    <s v="No Applicable"/>
    <s v="Executive Vice President Office"/>
    <n v="847"/>
    <n v="8470140"/>
    <s v="KUST - Communication"/>
    <n v="1"/>
    <n v="435310"/>
    <s v="435310-Newspapers, magazines, journals, etc"/>
    <s v="000000"/>
    <s v="KUST - General"/>
    <n v="847001"/>
    <s v="FA179-Opex Expense"/>
    <n v="200179"/>
    <x v="438"/>
    <n v="0"/>
    <n v="10000"/>
    <n v="10000"/>
    <s v="435310.Newspapers, magazines, journals, etc-Number of Staff-Number"/>
    <s v="Number"/>
    <n v="2"/>
    <n v="5000"/>
    <s v="Our yearly news subscription (magazines, newspapers) locally and globally"/>
    <n v="10000"/>
    <s v="KU Regular operations"/>
    <s v="Recurring"/>
    <n v="9000"/>
    <n v="8000"/>
    <n v="7000"/>
    <s v="Minimal impact"/>
    <s v="Moderate  impact"/>
    <s v="high impact and will affect local/global visibility"/>
    <m/>
    <m/>
    <m/>
    <m/>
    <m/>
    <m/>
    <m/>
    <m/>
    <m/>
    <m/>
    <m/>
    <n v="10000"/>
    <n v="10000"/>
    <s v="Enhance the communication plan and outreach activities"/>
    <m/>
  </r>
  <r>
    <s v="Communiction &amp; Marketing"/>
    <s v="Director, Marketing and Communication"/>
    <s v="Executive Vice President Office"/>
    <n v="847"/>
    <n v="8470140"/>
    <s v="KUST - Communication"/>
    <n v="1"/>
    <n v="435519"/>
    <s v="435519-Photography - Consumable materials /Tools"/>
    <s v="000000"/>
    <s v="KUST - General"/>
    <n v="847001"/>
    <s v="FA179-Opex Expense"/>
    <n v="200179"/>
    <x v="439"/>
    <n v="0"/>
    <n v="135000"/>
    <n v="135000"/>
    <s v="435519.Photography - Consumable materials /Tools-Number of Staff-Number"/>
    <s v="Number"/>
    <n v="1"/>
    <n v="135000"/>
    <s v="Items for the omedia office use such us softwares and hardwears like cameras, lenses, lights, tripods, microphones. "/>
    <n v="135000"/>
    <s v="KU Regular operations"/>
    <s v="Recurring"/>
    <n v="121500"/>
    <n v="108000"/>
    <n v="94500"/>
    <s v="Minimal impact"/>
    <s v="Moderate  impact"/>
    <s v="high impact and will affect local/global visibility"/>
    <m/>
    <m/>
    <m/>
    <m/>
    <m/>
    <m/>
    <m/>
    <m/>
    <m/>
    <m/>
    <m/>
    <n v="135000"/>
    <n v="135000"/>
    <s v="Enhance the communication plan and outreach activities"/>
    <m/>
  </r>
  <r>
    <s v="IT"/>
    <s v="Director, Technology Development"/>
    <s v="Executive Vice President Office"/>
    <n v="847"/>
    <n v="8470140"/>
    <s v="KUST - Communication"/>
    <n v="1"/>
    <n v="492310"/>
    <s v="492310-Hardware &amp; peripherals"/>
    <s v="000000"/>
    <s v="KUST - General"/>
    <n v="847001"/>
    <s v="FA180-Capex Expense"/>
    <n v="300180"/>
    <x v="440"/>
    <n v="248690"/>
    <n v="137589"/>
    <n v="137589"/>
    <s v="492310.Hardware &amp; peripherals-number of hardware devices-Month"/>
    <s v="Month"/>
    <n v="2"/>
    <n v="100000"/>
    <s v="To purchace MAC supported harwears and application to help the department in development of the ongoing inhouse projects "/>
    <n v="200000"/>
    <s v="KU Regular operations"/>
    <s v="Non-recurring"/>
    <n v="180000"/>
    <n v="160000"/>
    <n v="140000"/>
    <s v="Minimal impact"/>
    <s v="Moderate  impact"/>
    <s v="high impact and will affect local/global visibility"/>
    <n v="200000"/>
    <m/>
    <m/>
    <m/>
    <m/>
    <m/>
    <m/>
    <m/>
    <m/>
    <m/>
    <m/>
    <m/>
    <n v="200000"/>
    <s v="Enhance the communication plan and outreach activities"/>
    <m/>
  </r>
  <r>
    <s v="Academic"/>
    <s v="No Applicable"/>
    <s v="Executive Vice President Office"/>
    <n v="847"/>
    <n v="8470910"/>
    <s v="KUST - Executive Vice President Office"/>
    <n v="1"/>
    <n v="425900"/>
    <s v="425900-Entertainment and hospitality"/>
    <s v="000000"/>
    <s v="KUST - General"/>
    <n v="847001"/>
    <s v="FA179-Opex Expense"/>
    <n v="200179"/>
    <x v="441"/>
    <m/>
    <m/>
    <m/>
    <s v="425900.Entertainment and hospitality-1. No of events/workshops planned-count"/>
    <s v="count"/>
    <n v="10"/>
    <n v="5000"/>
    <s v="Caterings requests/Meetings/Retreet/Workshop"/>
    <n v="50000"/>
    <s v="KU Regular operations"/>
    <s v="Recurring"/>
    <n v="45000"/>
    <n v="40000"/>
    <n v="35000"/>
    <s v="Impact run operation of the department "/>
    <s v="Impact run operation of the department "/>
    <s v="Impact run operation of the department "/>
    <m/>
    <n v="10000"/>
    <n v="5000"/>
    <n v="10000"/>
    <m/>
    <n v="5000"/>
    <n v="10000"/>
    <m/>
    <n v="10000"/>
    <n v="0"/>
    <m/>
    <n v="0"/>
    <n v="50000"/>
    <s v="Build partnerships with local and international universities"/>
    <m/>
  </r>
  <r>
    <s v="Academic "/>
    <s v="No Applicable"/>
    <s v="Executive Vice President Office"/>
    <n v="847"/>
    <n v="8470910"/>
    <s v="KUST - Executive Vice President Office"/>
    <n v="1"/>
    <n v="428090"/>
    <s v="428090-Business Travel - Combined expenses"/>
    <s v="000000"/>
    <s v="KUST - General"/>
    <n v="847001"/>
    <s v="FA179-Opex Expense"/>
    <n v="200179"/>
    <x v="442"/>
    <m/>
    <m/>
    <m/>
    <s v="428090.Business Travel - Combined expenses-Number of Faculty-Number"/>
    <s v="Number"/>
    <n v="10"/>
    <n v="100000"/>
    <s v="For costs connected to Senior Management business trips within and outside UAE, including travel costs, per diem and registrations"/>
    <n v="1000000"/>
    <s v="KU Strategic New Initiative"/>
    <s v="Recurring"/>
    <n v="900000"/>
    <n v="800000"/>
    <n v="700000"/>
    <s v="Impact run operation of the department "/>
    <s v="Impact run operation of the department "/>
    <s v="Impact run operation of the department "/>
    <m/>
    <n v="100000"/>
    <m/>
    <n v="300000"/>
    <m/>
    <n v="200000"/>
    <m/>
    <m/>
    <n v="100000"/>
    <n v="100000"/>
    <n v="100000"/>
    <n v="100000"/>
    <n v="1000000"/>
    <s v="Build partnerships with local and international universities"/>
    <m/>
  </r>
  <r>
    <s v="Other support"/>
    <s v="No Applicable"/>
    <s v="Executive Vice President Office"/>
    <n v="847"/>
    <n v="8470910"/>
    <s v="KUST - Executive Vice President Office"/>
    <n v="1"/>
    <n v="429900"/>
    <s v="429900-Other services, not specifically mentioned elsewhere"/>
    <s v="000000"/>
    <s v="KUST - General"/>
    <n v="847001"/>
    <s v="FA179-Opex Expense"/>
    <n v="200179"/>
    <x v="443"/>
    <m/>
    <m/>
    <m/>
    <s v="429900.Other services, not specifically mentioned elsewhere-TBD-Number of TBD"/>
    <s v="Number of TBD"/>
    <n v="3"/>
    <n v="1000000"/>
    <s v="Special Projects( Projects that gets assigned by the chairman and the board) Like Khalifa COVID FACE MASK and Satellites."/>
    <n v="3000000"/>
    <s v="KU Strategic New Initiative"/>
    <s v="Recurring"/>
    <n v="2700000"/>
    <n v="2400000"/>
    <n v="2100000"/>
    <s v="Impact run operation of the department "/>
    <s v="Impact run operation of the department "/>
    <s v="Impact run operation of the department "/>
    <n v="1000000"/>
    <n v="300000"/>
    <n v="300000"/>
    <m/>
    <m/>
    <n v="500000"/>
    <n v="300000"/>
    <m/>
    <m/>
    <n v="100000"/>
    <m/>
    <n v="500000"/>
    <n v="3000000"/>
    <s v="Build partnerships with local and international universities"/>
    <m/>
  </r>
  <r>
    <s v="Academic"/>
    <s v="No Applicable"/>
    <s v="Executive Vice President Office"/>
    <n v="847"/>
    <n v="8470910"/>
    <s v="KUST - Executive Vice President Office"/>
    <n v="1"/>
    <n v="420570"/>
    <s v="420570-Academic Collaborative Partnership Services"/>
    <s v="000000"/>
    <s v="KUST - General"/>
    <n v="847001"/>
    <s v="FA179-Opex Expense"/>
    <n v="200179"/>
    <x v="444"/>
    <m/>
    <m/>
    <m/>
    <s v="420570.Academic Collaborative Partnership Services-Partnership Agreement or Academic Collaboration -No of Partneship/collaboration Agreement"/>
    <s v="No of Partneship/collaboration Agreement"/>
    <n v="10"/>
    <n v="1500000"/>
    <s v="For payments made to collaborating institutions, as part of partnership agreements. This would include a potential affilation partnership for the greaduate school of busineess 15M."/>
    <n v="15000000"/>
    <s v="KU Strategic New Initiative"/>
    <s v="Recurring"/>
    <n v="13500000"/>
    <n v="12000000"/>
    <n v="10500000"/>
    <s v="Impact run operation of the department "/>
    <s v="Impact run operation of the department "/>
    <s v="Impact run operation of the department "/>
    <n v="3000000"/>
    <n v="500000"/>
    <n v="500000"/>
    <n v="500000"/>
    <n v="500000"/>
    <n v="3000000"/>
    <n v="500000"/>
    <n v="500000"/>
    <n v="4000000"/>
    <n v="500000"/>
    <n v="500000"/>
    <n v="1000000"/>
    <n v="15000000"/>
    <s v="Build partnerships with local and international universities"/>
    <m/>
  </r>
  <r>
    <s v="Communiction &amp; Marketing"/>
    <s v="Director, Marketing and Communication"/>
    <s v="SVP/ Support Services Office"/>
    <n v="847"/>
    <n v="8470510"/>
    <s v="KUST - VP/ Administration, Facilities &amp; EHS Office"/>
    <n v="1"/>
    <n v="425550"/>
    <s v="425550-Conferences, seminars and exhibitions and other events: - Overseas event"/>
    <s v="000000"/>
    <s v="KUST - General"/>
    <n v="847001"/>
    <s v="FA179-Opex Expense"/>
    <n v="200179"/>
    <x v="445"/>
    <m/>
    <m/>
    <m/>
    <s v="425500.Conferences, seminars and exhibitions and other events:-Number of events &amp; attendees-Number of Number of events &amp; attendees"/>
    <s v="Number of Number of events &amp; attendees"/>
    <n v="1"/>
    <n v="30000"/>
    <s v="Conferences, seminars and exhibitions and other events: - Local Events"/>
    <n v="30000"/>
    <s v="KU Regular operations"/>
    <s v="Recurring"/>
    <n v="27000"/>
    <n v="24000"/>
    <n v="21000"/>
    <s v="No impact "/>
    <s v="No impact "/>
    <s v="No impact "/>
    <n v="10000"/>
    <m/>
    <m/>
    <m/>
    <n v="10000"/>
    <m/>
    <m/>
    <m/>
    <n v="10000"/>
    <n v="0"/>
    <m/>
    <n v="0"/>
    <n v="30000"/>
    <s v="Realize a sustainable , healthy and safe campus environment for all community members"/>
    <m/>
  </r>
  <r>
    <s v="Other support"/>
    <s v="Director, Human Resources"/>
    <s v="SVP/ Support Services Office"/>
    <n v="847"/>
    <n v="8470510"/>
    <s v="KUST - VP/ Administration, Facilities &amp; EHS Office"/>
    <n v="1"/>
    <n v="425900"/>
    <s v="425900-Entertainment and hospitality"/>
    <s v="000000"/>
    <s v="KUST - General"/>
    <n v="847001"/>
    <s v="FA179-Opex Expense"/>
    <n v="200179"/>
    <x v="446"/>
    <m/>
    <m/>
    <m/>
    <s v="425900.Entertainment and hospitality-1. No of events/workshops planned-count"/>
    <s v="count"/>
    <n v="1"/>
    <n v="40000"/>
    <s v="Entertainment and hospitality"/>
    <n v="40000"/>
    <s v="KU Regular operations"/>
    <s v="Recurring"/>
    <n v="36000"/>
    <n v="32000"/>
    <n v="28000"/>
    <s v="No impact "/>
    <s v="No impact "/>
    <s v="No impact "/>
    <n v="10000"/>
    <m/>
    <m/>
    <m/>
    <n v="10000"/>
    <m/>
    <m/>
    <n v="10000"/>
    <m/>
    <n v="10000"/>
    <m/>
    <m/>
    <n v="40000"/>
    <s v="Realize a sustainable , healthy and safe campus environment for all community members"/>
    <m/>
  </r>
  <r>
    <s v="Academic "/>
    <s v="No Applicable"/>
    <s v="SVP/ Support Services Office"/>
    <n v="847"/>
    <n v="8470510"/>
    <s v="KUST - VP/ Administration, Facilities &amp; EHS Office"/>
    <n v="1"/>
    <n v="428090"/>
    <s v="428090-Business Travel - Combined expenses"/>
    <s v="000000"/>
    <s v="KUST - General"/>
    <n v="847001"/>
    <s v="FA179-Opex Expense"/>
    <n v="200179"/>
    <x v="447"/>
    <m/>
    <m/>
    <m/>
    <s v="428090.Business Travel - Combined expenses-Number of Staff-Number"/>
    <s v="Number"/>
    <n v="1"/>
    <n v="100000"/>
    <s v="Business Travel - Combined expenses"/>
    <n v="100000"/>
    <s v="KU Regular operations"/>
    <s v="Recurring"/>
    <n v="90000"/>
    <n v="80000"/>
    <n v="70000"/>
    <s v="No impact "/>
    <s v="No impact "/>
    <s v="No impact "/>
    <n v="25000"/>
    <m/>
    <n v="25000"/>
    <m/>
    <m/>
    <m/>
    <n v="25000"/>
    <m/>
    <n v="25000"/>
    <m/>
    <m/>
    <m/>
    <n v="100000"/>
    <s v="Realize a sustainable , healthy and safe campus environment for all community members"/>
    <m/>
  </r>
  <r>
    <s v="Communiction &amp; Marketing"/>
    <s v="Director, Marketing and Communication"/>
    <s v="SVP/ Support Services Office"/>
    <n v="847"/>
    <n v="8470520"/>
    <s v="KUST - Environment, Health &amp; Safety"/>
    <n v="1"/>
    <n v="425510"/>
    <s v="425510-Conferences, seminars and exhibitions and other events: - Local Events"/>
    <s v="000000"/>
    <s v="KUST - General"/>
    <n v="847001"/>
    <s v="FA179-Opex Expense"/>
    <n v="200179"/>
    <x v="448"/>
    <n v="11357.12"/>
    <n v="29519"/>
    <n v="29519"/>
    <s v="425510.Conferences, seminars and exhibitions and other events: - Local Events-Events-Number of Events"/>
    <s v="Number of Events"/>
    <n v="1"/>
    <n v="29500"/>
    <s v="HSE Day and other small events"/>
    <n v="29500"/>
    <s v="KU Regular operations"/>
    <s v="Recurring"/>
    <n v="26550"/>
    <n v="23600"/>
    <n v="20650"/>
    <s v="Ineffective comminication and Information and awareness"/>
    <s v="Ineffective comminication and Information and awareness"/>
    <s v="Ineffective comminication and Information and awareness"/>
    <m/>
    <m/>
    <m/>
    <m/>
    <m/>
    <m/>
    <m/>
    <m/>
    <m/>
    <n v="29500"/>
    <m/>
    <m/>
    <n v="29500"/>
    <s v="Realize a sustainable , healthy and safe campus environment for all community members"/>
    <m/>
  </r>
  <r>
    <s v="Facilities "/>
    <s v="No Applicable"/>
    <s v="SVP/ Support Services Office"/>
    <n v="847"/>
    <n v="8470520"/>
    <s v="KUST - Environment, Health &amp; Safety"/>
    <n v="1"/>
    <n v="426100"/>
    <s v="426100-Freight and shipping costs, not included elsewhere under purchase costs"/>
    <s v="000000"/>
    <s v="KUST - General"/>
    <n v="847001"/>
    <s v="FA179-Opex Expense"/>
    <n v="200179"/>
    <x v="449"/>
    <n v="0"/>
    <n v="20000"/>
    <n v="20000"/>
    <s v="426100.Freight and shipping costs, Numbert included elsewhere under purchase costs-Number of items-Number"/>
    <s v="Number"/>
    <n v="1"/>
    <n v="20000"/>
    <s v="Purchase Requirement"/>
    <n v="20000"/>
    <s v="KU Regular operations"/>
    <s v="Recurring"/>
    <n v="18000"/>
    <n v="16000"/>
    <n v="14000"/>
    <s v="Purchasing Process"/>
    <s v="Purchasing Process"/>
    <s v="Purchasing Process"/>
    <m/>
    <m/>
    <m/>
    <m/>
    <m/>
    <m/>
    <m/>
    <m/>
    <m/>
    <n v="20000"/>
    <m/>
    <m/>
    <n v="20000"/>
    <s v="Realize a sustainable , healthy and safe campus environment for all community members"/>
    <m/>
  </r>
  <r>
    <s v="Academic"/>
    <s v="No Applicable"/>
    <s v="SVP/ Support Services Office"/>
    <n v="847"/>
    <n v="8470520"/>
    <s v="KUST - Environment, Health &amp; Safety"/>
    <n v="1"/>
    <n v="427710"/>
    <s v="427710-Subscriptions and membership fees: Trade organisations"/>
    <s v="000000"/>
    <s v="KUST - General"/>
    <n v="847001"/>
    <s v="FA179-Opex Expense"/>
    <n v="200179"/>
    <x v="450"/>
    <n v="7654.06"/>
    <n v="42000"/>
    <n v="42000"/>
    <s v="427710.Subscriptions and membership fees: Trade organisations-Number  of Memberships-Number"/>
    <s v="Number"/>
    <n v="1"/>
    <m/>
    <s v="Subscriptions and membership"/>
    <n v="0"/>
    <m/>
    <m/>
    <n v="0"/>
    <n v="0"/>
    <n v="0"/>
    <s v="Subscriptions and membership"/>
    <s v="Subscriptions and membership"/>
    <s v="Subscriptions and membership"/>
    <m/>
    <m/>
    <m/>
    <m/>
    <m/>
    <m/>
    <m/>
    <m/>
    <m/>
    <m/>
    <m/>
    <m/>
    <n v="0"/>
    <m/>
    <m/>
  </r>
  <r>
    <s v="Academic"/>
    <s v="No Applicable"/>
    <s v="SVP/ Support Services Office"/>
    <n v="847"/>
    <n v="8470520"/>
    <s v="KUST - Environment, Health &amp; Safety"/>
    <n v="1"/>
    <n v="427710"/>
    <s v="427710-Subscriptions and membership fees: Trade organisations"/>
    <s v="000000"/>
    <s v="KUST - General"/>
    <n v="847001"/>
    <s v="FA179-Opex Expense"/>
    <n v="200179"/>
    <x v="450"/>
    <m/>
    <m/>
    <m/>
    <s v="427710.Subscriptions and membership fees: Trade organisations-Number  of Memberships-Number"/>
    <s v="Number"/>
    <n v="1"/>
    <n v="20000"/>
    <s v="OSHAD Requirement"/>
    <n v="20000"/>
    <s v="KU Regular operations"/>
    <s v="Recurring"/>
    <n v="18000"/>
    <n v="16000"/>
    <n v="14000"/>
    <s v="Non-Conformance ISO Surveillance"/>
    <s v="Non-Conformance ISO Surveillance"/>
    <s v="Non-Conformance ISO Surveillance"/>
    <m/>
    <m/>
    <n v="10000"/>
    <m/>
    <m/>
    <m/>
    <m/>
    <n v="10000"/>
    <m/>
    <m/>
    <m/>
    <m/>
    <n v="20000"/>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51"/>
    <n v="345735.14"/>
    <n v="616900"/>
    <n v="616900"/>
    <s v="428200.Health,safety&amp;environment awareness-Number of Buildings-Number"/>
    <s v="Number"/>
    <m/>
    <m/>
    <m/>
    <n v="0"/>
    <m/>
    <m/>
    <n v="0"/>
    <n v="0"/>
    <n v="0"/>
    <m/>
    <m/>
    <m/>
    <m/>
    <m/>
    <m/>
    <m/>
    <m/>
    <m/>
    <m/>
    <m/>
    <m/>
    <m/>
    <m/>
    <m/>
    <n v="0"/>
    <m/>
    <m/>
  </r>
  <r>
    <s v="Facilities "/>
    <s v="No Applicable"/>
    <s v="SVP/ Support Services Office"/>
    <n v="847"/>
    <n v="8470520"/>
    <s v="KUST - Environment, Health &amp; Safety"/>
    <n v="1"/>
    <n v="428200"/>
    <s v="428200-Health,safety&amp;environment awareness"/>
    <s v="000000"/>
    <s v="KUST - General"/>
    <n v="847001"/>
    <s v="FA179-Opex Expense"/>
    <n v="200179"/>
    <x v="451"/>
    <m/>
    <m/>
    <m/>
    <s v="428200.Health,safety&amp;environment awareness-Number of Buildings-Number"/>
    <s v="Number"/>
    <n v="1"/>
    <n v="70000"/>
    <s v="Surveillance Audit of ISO Standards &amp; OSHAD Audit"/>
    <n v="70000"/>
    <s v="KU Regular operations"/>
    <s v="Recurring"/>
    <n v="63000"/>
    <n v="56000"/>
    <n v="49000"/>
    <s v="Withdrawal of ISO Certification and OSHAD Accreditation"/>
    <s v="Withdrawal of ISO Certification and OSHAD Accreditation"/>
    <s v="Withdrawal of ISO Certification and OSHAD Accreditation"/>
    <m/>
    <m/>
    <m/>
    <m/>
    <m/>
    <m/>
    <m/>
    <m/>
    <n v="70000"/>
    <m/>
    <m/>
    <m/>
    <n v="70000"/>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51"/>
    <m/>
    <m/>
    <m/>
    <s v="428200.Health,safety&amp;environment awareness-Number of Buildings-Number"/>
    <s v="Number"/>
    <n v="1"/>
    <n v="115000"/>
    <s v="IAQ"/>
    <n v="115000"/>
    <s v="KU Regular operations"/>
    <s v="Recurring"/>
    <n v="103500"/>
    <n v="92000"/>
    <n v="80500"/>
    <s v="Withdrawal of ISO Certification and OSHAD Accreditation"/>
    <s v="Withdrawal of ISO Certification and OSHAD Accreditation"/>
    <s v="Withdrawal of ISO Certification and OSHAD Accreditation"/>
    <m/>
    <m/>
    <n v="115000"/>
    <m/>
    <m/>
    <m/>
    <m/>
    <m/>
    <m/>
    <m/>
    <m/>
    <m/>
    <n v="115000"/>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51"/>
    <m/>
    <m/>
    <m/>
    <s v="428200.Health,safety&amp;environment awareness-Number of Buildings-Number"/>
    <s v="Number"/>
    <n v="1"/>
    <n v="60000"/>
    <s v="Blanket Contract for Clinic Supplies"/>
    <n v="60000"/>
    <s v="KU Regular operations"/>
    <s v="Recurring"/>
    <n v="54000"/>
    <n v="48000"/>
    <n v="42000"/>
    <s v="Limited operation of First Aid Clinic"/>
    <s v="Limited operation of First Aid Clinic"/>
    <s v="Limited operation of First Aid Clinic"/>
    <m/>
    <n v="30000"/>
    <m/>
    <m/>
    <m/>
    <m/>
    <n v="30000"/>
    <m/>
    <m/>
    <m/>
    <m/>
    <m/>
    <n v="60000"/>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51"/>
    <m/>
    <m/>
    <m/>
    <s v="428200.Health,safety&amp;environment awareness-Number of Buildings-Number"/>
    <s v="Number"/>
    <n v="1"/>
    <n v="35000"/>
    <s v="Blanket Contract for Environment Monitoring"/>
    <n v="35000"/>
    <s v="KU Regular operations"/>
    <s v="Recurring"/>
    <n v="31500"/>
    <n v="28000"/>
    <n v="24500"/>
    <s v="Non-Conformance, OSHAD Regulation, Recertification of ISO Standards"/>
    <s v="Non-Conformance, OSHAD Regulation, Recertification of ISO Standards"/>
    <s v="Non-Conformance, OSHAD Regulation, Recertification of ISO Standards"/>
    <m/>
    <m/>
    <m/>
    <m/>
    <m/>
    <m/>
    <m/>
    <m/>
    <n v="35000"/>
    <m/>
    <m/>
    <m/>
    <n v="35000"/>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51"/>
    <m/>
    <m/>
    <m/>
    <s v="428200.Health,safety&amp;environment awareness-Number of Buildings-Number"/>
    <s v="Number"/>
    <n v="1"/>
    <n v="30000"/>
    <s v="Capacity Buiding (Center- IOSH, Safety Courses &amp; NEBOSH)"/>
    <n v="30000"/>
    <s v="KU Regular operations"/>
    <s v="Recurring"/>
    <n v="27000"/>
    <n v="24000"/>
    <n v="21000"/>
    <s v="Capacity Building as Training Matrix"/>
    <s v="Capacity Building as Training Matrix"/>
    <s v="Capacity Building as Training Matrix"/>
    <m/>
    <m/>
    <n v="15000"/>
    <m/>
    <m/>
    <m/>
    <n v="15000"/>
    <m/>
    <m/>
    <m/>
    <m/>
    <m/>
    <n v="30000"/>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51"/>
    <m/>
    <m/>
    <m/>
    <s v="428200.Health,safety&amp;environment awareness-Number of Buildings-Number"/>
    <s v="Number"/>
    <n v="1"/>
    <n v="50000"/>
    <s v="Calibration of EHS &amp; Clinic Instrument"/>
    <n v="50000"/>
    <s v="KU Regular operations"/>
    <s v="Recurring"/>
    <n v="45000"/>
    <n v="40000"/>
    <n v="35000"/>
    <s v="DoH Regulation; ISO Certification  "/>
    <s v="DoH Regulation; ISO Certification  "/>
    <s v="DoH Regulation; ISO Certification  "/>
    <m/>
    <n v="25000"/>
    <m/>
    <m/>
    <m/>
    <n v="25000"/>
    <m/>
    <m/>
    <m/>
    <m/>
    <m/>
    <m/>
    <n v="50000"/>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51"/>
    <m/>
    <m/>
    <m/>
    <s v="428200.Health,safety&amp;environment awareness-Number of Buildings-Number"/>
    <s v="Number"/>
    <n v="1"/>
    <n v="80000"/>
    <s v="Blanket Contract for First Aid Kit Supplies"/>
    <n v="80000"/>
    <s v="KU Regular operations"/>
    <s v="Recurring"/>
    <n v="72000"/>
    <n v="64000"/>
    <n v="56000"/>
    <s v="Non-compliance to Legal Requirement "/>
    <s v="Non-compliance to Legal Requirement "/>
    <s v="Non-compliance to Legal Requirement "/>
    <n v="20000"/>
    <m/>
    <m/>
    <n v="20000"/>
    <m/>
    <m/>
    <n v="20000"/>
    <m/>
    <m/>
    <n v="20000"/>
    <m/>
    <m/>
    <n v="80000"/>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51"/>
    <m/>
    <m/>
    <m/>
    <s v="428200.Health,safety&amp;environment awareness-Number of Buildings-Number"/>
    <s v="Number"/>
    <n v="1"/>
    <n v="25000"/>
    <s v="Dosimeter Services"/>
    <n v="25000"/>
    <s v="KU Regular operations"/>
    <s v="Recurring"/>
    <n v="22500"/>
    <n v="20000"/>
    <n v="17500"/>
    <s v="Non-complaince to FNAR Regulation"/>
    <s v="Non-complaince to FNAR Regulation"/>
    <s v="Non-complaince to FNAR Regulation"/>
    <n v="25000"/>
    <m/>
    <m/>
    <m/>
    <m/>
    <m/>
    <m/>
    <m/>
    <m/>
    <m/>
    <m/>
    <m/>
    <n v="25000"/>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51"/>
    <m/>
    <m/>
    <m/>
    <s v="428200.Health,safety&amp;environment awareness-Number of Buildings-Number"/>
    <s v="Number"/>
    <n v="1"/>
    <n v="40000"/>
    <s v="Blanket  Contract for EHS Signage"/>
    <n v="40000"/>
    <s v="KU Regular operations"/>
    <s v="Recurring"/>
    <n v="36000"/>
    <n v="32000"/>
    <n v="28000"/>
    <s v="Non-conformance, OSHAD Regulation"/>
    <s v="Non-conformance, OSHAD Regulation"/>
    <s v="Non-conformance, OSHAD Regulation"/>
    <m/>
    <m/>
    <n v="20000"/>
    <m/>
    <m/>
    <m/>
    <m/>
    <n v="20000"/>
    <m/>
    <m/>
    <m/>
    <m/>
    <n v="40000"/>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51"/>
    <m/>
    <m/>
    <m/>
    <s v="428200.Health,safety&amp;environment awareness-Number of Buildings-Number"/>
    <s v="Number"/>
    <n v="1"/>
    <n v="50000"/>
    <s v="3D Evacuation Map"/>
    <n v="50000"/>
    <s v="KU Regular operations"/>
    <s v="Recurring"/>
    <n v="45000"/>
    <n v="40000"/>
    <n v="35000"/>
    <s v="Non-conformance, Civil Defense Regulation"/>
    <s v="Non-conformance, Civil Defense Regulation"/>
    <s v="Non-conformance, Civil Defense Regulation"/>
    <m/>
    <m/>
    <m/>
    <m/>
    <n v="50000"/>
    <m/>
    <m/>
    <m/>
    <m/>
    <m/>
    <m/>
    <m/>
    <n v="50000"/>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51"/>
    <m/>
    <m/>
    <m/>
    <s v="428200.Health,safety&amp;environment awareness-Number of Buildings-Number"/>
    <s v="Number"/>
    <n v="1"/>
    <n v="15000"/>
    <s v="Eniscope Software"/>
    <n v="15000"/>
    <s v="KU Regular operations"/>
    <s v="Recurring"/>
    <n v="13500"/>
    <n v="12000"/>
    <n v="10500"/>
    <s v="Non-Conformance ISO Surveillance"/>
    <s v="Non-Conformance ISO Surveillance"/>
    <s v="Non-Conformance ISO Surveillance"/>
    <m/>
    <m/>
    <n v="15000"/>
    <m/>
    <m/>
    <m/>
    <m/>
    <m/>
    <m/>
    <m/>
    <m/>
    <m/>
    <n v="15000"/>
    <s v="Ensure the university sustainability "/>
    <m/>
  </r>
  <r>
    <s v="Facilities "/>
    <s v="No Applicable"/>
    <s v="SVP/ Support Services Office"/>
    <n v="847"/>
    <n v="8470520"/>
    <s v="KUST - Environment, Health &amp; Safety"/>
    <n v="1"/>
    <n v="428200"/>
    <s v="428200-Health,safety&amp;environment awareness"/>
    <s v="000000"/>
    <s v="KUST - General"/>
    <n v="847001"/>
    <s v="FA179-Opex Expense"/>
    <n v="200179"/>
    <x v="451"/>
    <m/>
    <m/>
    <m/>
    <s v="428200.Health,safety&amp;environment awareness-Number of Buildings-Number"/>
    <s v="Number"/>
    <n v="1"/>
    <n v="50000"/>
    <s v="Emergency Notification System"/>
    <n v="50000"/>
    <s v="KU Regular operations"/>
    <s v="Recurring"/>
    <n v="45000"/>
    <n v="40000"/>
    <n v="35000"/>
    <s v="Emergency Respond Effectiveness"/>
    <s v="Emergency Respond Effectiveness"/>
    <s v="Emergency Respond Effectiveness"/>
    <m/>
    <m/>
    <m/>
    <m/>
    <n v="50000"/>
    <m/>
    <m/>
    <m/>
    <m/>
    <m/>
    <m/>
    <m/>
    <n v="50000"/>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51"/>
    <m/>
    <m/>
    <m/>
    <s v="428200.Health,safety&amp;environment awareness-Number of Buildings-Number"/>
    <s v="Number"/>
    <n v="1"/>
    <n v="50000"/>
    <s v="EHS Components"/>
    <n v="50000"/>
    <s v="KU Regular operations"/>
    <s v="Recurring"/>
    <n v="45000"/>
    <n v="40000"/>
    <n v="35000"/>
    <s v="Lab &amp; Building Safety"/>
    <s v="Lab &amp; Building Safety"/>
    <s v="Lab &amp; Building Safety"/>
    <m/>
    <m/>
    <m/>
    <m/>
    <m/>
    <m/>
    <m/>
    <n v="50000"/>
    <m/>
    <m/>
    <m/>
    <m/>
    <n v="50000"/>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KUST - General"/>
    <n v="847001"/>
    <s v="FA179-Opex Expense"/>
    <n v="200179"/>
    <x v="451"/>
    <m/>
    <m/>
    <m/>
    <s v="428200.Health,safety&amp;environment awareness-Number of Buildings-Number"/>
    <s v="Number"/>
    <n v="1"/>
    <n v="20000"/>
    <s v="First Aiders Competency Requirement"/>
    <n v="20000"/>
    <s v="KU Regular operations"/>
    <s v="Recurring"/>
    <n v="18000"/>
    <n v="16000"/>
    <n v="14000"/>
    <s v="Emergency Responder OSHAD Requirement"/>
    <s v="Emergency Responder OSHAD Requirement"/>
    <s v="Emergency Responder OSHAD Requirement"/>
    <m/>
    <m/>
    <n v="10000"/>
    <m/>
    <m/>
    <m/>
    <m/>
    <n v="10000"/>
    <m/>
    <m/>
    <m/>
    <m/>
    <n v="20000"/>
    <s v="Realize a sustainable , healthy and safe campus environment for all community members"/>
    <m/>
  </r>
  <r>
    <s v="Facilities "/>
    <s v="No Applicable"/>
    <s v="SVP/ Support Services Office"/>
    <n v="847"/>
    <n v="8470520"/>
    <s v="KUST - Environment, Health &amp; Safety"/>
    <n v="1"/>
    <n v="428200"/>
    <s v="428200-Health,safety&amp;environment awareness"/>
    <s v="000000"/>
    <s v="COVID-19 Pandemic"/>
    <n v="847951"/>
    <s v="FA179-Opex Expense"/>
    <n v="200179"/>
    <x v="452"/>
    <n v="276208.98"/>
    <n v="23100"/>
    <m/>
    <m/>
    <s v="-_"/>
    <m/>
    <m/>
    <m/>
    <n v="0"/>
    <m/>
    <m/>
    <n v="0"/>
    <n v="0"/>
    <n v="0"/>
    <m/>
    <m/>
    <m/>
    <m/>
    <m/>
    <m/>
    <m/>
    <m/>
    <m/>
    <m/>
    <m/>
    <m/>
    <m/>
    <m/>
    <m/>
    <n v="0"/>
    <m/>
    <m/>
  </r>
  <r>
    <s v="Facilities "/>
    <s v="Director, Research Laboratories"/>
    <s v="SVP/ Support Services Office"/>
    <n v="847"/>
    <n v="8470520"/>
    <s v="KUST - Environment, Health &amp; Safety"/>
    <n v="1"/>
    <n v="492316"/>
    <s v="492316-Laboratory equipment"/>
    <s v="000000"/>
    <s v="KUST - General"/>
    <n v="847001"/>
    <s v="FA180-Capex Expense"/>
    <n v="300180"/>
    <x v="453"/>
    <s v="-"/>
    <n v="171987"/>
    <m/>
    <m/>
    <s v="-_"/>
    <m/>
    <m/>
    <m/>
    <n v="0"/>
    <m/>
    <m/>
    <n v="0"/>
    <n v="0"/>
    <n v="0"/>
    <m/>
    <m/>
    <m/>
    <m/>
    <m/>
    <m/>
    <m/>
    <m/>
    <m/>
    <m/>
    <m/>
    <m/>
    <m/>
    <m/>
    <m/>
    <n v="0"/>
    <m/>
    <m/>
  </r>
  <r>
    <s v="Facilities "/>
    <s v="No Applicable"/>
    <s v="SVP/ Support Services Office"/>
    <n v="847"/>
    <n v="8470520"/>
    <s v="KUST - Environment, Health &amp; Safety"/>
    <n v="1"/>
    <n v="421600"/>
    <s v="421600-Security service"/>
    <s v="000000"/>
    <s v="KUST- Masdar city campus"/>
    <n v="847030"/>
    <s v="FA179-Opex Expense"/>
    <n v="200179"/>
    <x v="454"/>
    <n v="74260"/>
    <s v="-"/>
    <m/>
    <m/>
    <s v="-_"/>
    <m/>
    <m/>
    <m/>
    <n v="0"/>
    <m/>
    <m/>
    <n v="0"/>
    <n v="0"/>
    <n v="0"/>
    <m/>
    <m/>
    <m/>
    <m/>
    <m/>
    <m/>
    <m/>
    <m/>
    <m/>
    <m/>
    <m/>
    <m/>
    <m/>
    <m/>
    <m/>
    <n v="0"/>
    <m/>
    <m/>
  </r>
  <r>
    <s v="Communiction &amp; Marketing"/>
    <s v="Director, Marketing and Communication"/>
    <s v="SVP/ Support Services Office"/>
    <n v="847"/>
    <n v="8470520"/>
    <s v="KUST - Environment, Health &amp; Safety"/>
    <n v="1"/>
    <n v="425510"/>
    <s v="425510-Conferences, seminars and exhibitions and other events: - Local Events"/>
    <s v="000000"/>
    <s v="COVID-19 Pandemic"/>
    <n v="847951"/>
    <s v="FA179-Opex Expense"/>
    <n v="200179"/>
    <x v="455"/>
    <n v="4998"/>
    <s v="-"/>
    <m/>
    <m/>
    <s v="-_"/>
    <m/>
    <m/>
    <m/>
    <n v="0"/>
    <m/>
    <m/>
    <n v="0"/>
    <n v="0"/>
    <n v="0"/>
    <m/>
    <m/>
    <m/>
    <m/>
    <m/>
    <m/>
    <m/>
    <m/>
    <m/>
    <m/>
    <m/>
    <m/>
    <m/>
    <m/>
    <m/>
    <n v="0"/>
    <m/>
    <m/>
  </r>
  <r>
    <s v="Facilities "/>
    <s v="No Applicable"/>
    <s v="SVP/ Support Services Office"/>
    <n v="847"/>
    <n v="8470530"/>
    <s v="KUST - Facilities Management"/>
    <n v="1"/>
    <n v="420310"/>
    <s v="420310-Cleaning: Business premises"/>
    <s v="000000"/>
    <s v="KUST - Main Campus"/>
    <n v="847010"/>
    <s v="FA179-Opex Expense"/>
    <n v="200179"/>
    <x v="456"/>
    <n v="3935286.72"/>
    <n v="4056439"/>
    <n v="4056439"/>
    <s v="420310.Cleaning Services: Business premises-1. Size of Premises (Area)-2m"/>
    <s v="2m"/>
    <n v="1"/>
    <n v="4056438.64"/>
    <s v="Soft Service Payment to West Coast against Contract C303."/>
    <n v="4056438.64"/>
    <s v="KU Regular operations"/>
    <s v="Recurring"/>
    <n v="3650794.7760000001"/>
    <n v="3245150.9120000005"/>
    <n v="2839507.048"/>
    <s v="Service quality and performance "/>
    <s v="Service quality and performance "/>
    <s v="Service quality and performance "/>
    <n v="338036.55330000003"/>
    <n v="338036.55330000003"/>
    <n v="338036.55330000003"/>
    <n v="338036.55330000003"/>
    <n v="338036.55330000003"/>
    <n v="338036.55330000003"/>
    <n v="338036.55330000003"/>
    <n v="338036.55330000003"/>
    <n v="338036.55330000003"/>
    <n v="338036.55330000003"/>
    <n v="338036.55330000003"/>
    <n v="338036.55330000003"/>
    <n v="4056438.64"/>
    <s v="Realize a sustainable , healthy and safe campus environment for all community members"/>
    <m/>
  </r>
  <r>
    <s v="Facilities "/>
    <s v="No Applicable"/>
    <s v="SVP/ Support Services Office"/>
    <n v="847"/>
    <n v="8470530"/>
    <s v="KUST - Facilities Management"/>
    <n v="1"/>
    <n v="420310"/>
    <s v="420310-Cleaning: Business premises"/>
    <s v="000000"/>
    <s v="Student Related Costs"/>
    <n v="847015"/>
    <s v="FA179-Opex Expense"/>
    <n v="200179"/>
    <x v="457"/>
    <n v="0"/>
    <n v="747242"/>
    <n v="747242"/>
    <s v="420310.Cleaning Services: Business premises-1. Size of Premises (Area)-2m"/>
    <s v="2m"/>
    <n v="1"/>
    <n v="747242"/>
    <s v="Soft Service Payment to West Coast against Contract C 303"/>
    <n v="747242"/>
    <s v="KU Regular operations"/>
    <s v="Recurring"/>
    <n v="672517.8"/>
    <n v="597793.6"/>
    <n v="523069.39999999997"/>
    <s v="Service quality and performance "/>
    <s v="Service quality and performance "/>
    <s v="Service quality and performance "/>
    <n v="62270.166700000002"/>
    <n v="62270.166700000002"/>
    <n v="62270.166700000002"/>
    <n v="62270.166700000002"/>
    <n v="62270.166700000002"/>
    <n v="62270.166700000002"/>
    <n v="62270.166700000002"/>
    <n v="62270.166700000002"/>
    <n v="62270.166700000002"/>
    <n v="62270.166700000002"/>
    <n v="62270.166700000002"/>
    <n v="62270.166700000002"/>
    <n v="747242"/>
    <s v="Realize a sustainable , healthy and safe campus environment for all community members"/>
    <m/>
  </r>
  <r>
    <s v="Facilities "/>
    <s v="No Applicable"/>
    <s v="SVP/ Support Services Office"/>
    <n v="847"/>
    <n v="8470530"/>
    <s v="KUST - Facilities Management"/>
    <n v="1"/>
    <n v="420310"/>
    <s v="420310-Cleaning: Business premises"/>
    <s v="000000"/>
    <s v="KUST- Sas Al Nakhl Campus"/>
    <n v="847020"/>
    <s v="FA179-Opex Expense"/>
    <n v="200179"/>
    <x v="458"/>
    <n v="4940773.51"/>
    <n v="4118107"/>
    <n v="4118107"/>
    <s v="420310.Cleaning Services: Business premises-1. Size of Premises (Area)-2m"/>
    <s v="2m"/>
    <n v="1"/>
    <n v="4118107"/>
    <s v="Soft Service Payment to West Coast against Contract C303"/>
    <n v="4118107"/>
    <s v="KU Regular operations"/>
    <s v="Recurring"/>
    <n v="3706296.3000000003"/>
    <n v="3294485.6"/>
    <n v="2882674.9"/>
    <s v="Service quality and performance "/>
    <s v="Service quality and performance "/>
    <s v="Service quality and performance "/>
    <n v="343175.5833"/>
    <n v="343175.5833"/>
    <n v="343175.5833"/>
    <n v="343175.5833"/>
    <n v="343175.5833"/>
    <n v="343175.5833"/>
    <n v="343175.5833"/>
    <n v="343175.5833"/>
    <n v="343175.5833"/>
    <n v="343175.5833"/>
    <n v="343175.5833"/>
    <n v="343175.5833"/>
    <n v="4118107"/>
    <s v="Realize a sustainable , healthy and safe campus environment for all community members"/>
    <m/>
  </r>
  <r>
    <s v="Other support"/>
    <s v="No Applicable"/>
    <s v="SVP/ Support Services Office"/>
    <n v="847"/>
    <n v="8470530"/>
    <s v="KUST - Facilities Management"/>
    <n v="1"/>
    <n v="429900"/>
    <s v="429900-Other services, not specifically mentioned elsewhere"/>
    <s v="000000"/>
    <s v="KUST - Main Campus"/>
    <s v="847010"/>
    <s v="FA179-Opex Expense"/>
    <n v="200179"/>
    <x v="459"/>
    <m/>
    <m/>
    <m/>
    <s v="429900.Other services, not specifically mentioned elsewhere-TBD-Number of TBD"/>
    <s v="Number of TBD"/>
    <n v="1"/>
    <n v="220000"/>
    <s v="movement request"/>
    <n v="220000"/>
    <s v="KU Regular operations"/>
    <s v="Recurring"/>
    <n v="198000"/>
    <n v="176000"/>
    <n v="154000"/>
    <s v="Service quality and performance "/>
    <s v="Service quality and performance "/>
    <s v="Service quality and performance "/>
    <n v="20000"/>
    <n v="20000"/>
    <n v="20000"/>
    <n v="20000"/>
    <n v="20000"/>
    <n v="20000"/>
    <n v="20000"/>
    <n v="20000"/>
    <n v="20000"/>
    <n v="20000"/>
    <n v="20000"/>
    <m/>
    <n v="220000"/>
    <s v="Realize a sustainable , healthy and safe campus environment for all community members"/>
    <m/>
  </r>
  <r>
    <s v="HR"/>
    <s v="Manager, Business Development"/>
    <s v="SVP/ Support Services Office"/>
    <n v="847"/>
    <n v="8470530"/>
    <s v="KUST - Facilities Management"/>
    <n v="1"/>
    <n v="421000"/>
    <s v="421000-Management consultancy"/>
    <s v="000000"/>
    <s v="KUST - Main Campus"/>
    <s v="847010"/>
    <s v="FA179-Opex Expense"/>
    <n v="200179"/>
    <x v="460"/>
    <m/>
    <m/>
    <m/>
    <s v="430120.Rental - Buildings, other than staff residences-Area-2m"/>
    <s v="2m"/>
    <n v="1"/>
    <n v="5000000"/>
    <s v="Qruin AlAish Masterplan "/>
    <n v="5000000"/>
    <s v="KU Strategic New Initiative"/>
    <s v="Non-recurring"/>
    <n v="4500000"/>
    <n v="4000000"/>
    <n v="3500000"/>
    <s v="Service quality and performance "/>
    <s v="Service quality and performance "/>
    <s v="Service quality and performance "/>
    <m/>
    <m/>
    <n v="5000000"/>
    <m/>
    <m/>
    <m/>
    <m/>
    <m/>
    <m/>
    <m/>
    <m/>
    <m/>
    <n v="5000000"/>
    <s v="Realize a sustainable , healthy and safe campus environment for all community members"/>
    <m/>
  </r>
  <r>
    <s v="HR"/>
    <s v="Manager, Business Development"/>
    <s v="SVP/ Support Services Office"/>
    <n v="847"/>
    <n v="8470530"/>
    <s v="KUST - Facilities Management"/>
    <n v="1"/>
    <n v="421000"/>
    <s v="421000-Management consultancy"/>
    <s v="000000"/>
    <s v="KUST - Main Campus"/>
    <s v="847010"/>
    <s v="FA179-Opex Expense"/>
    <n v="200179"/>
    <x v="460"/>
    <m/>
    <m/>
    <m/>
    <s v="421000.Management consultancy-Number of contracted studies-count"/>
    <s v="count"/>
    <n v="1"/>
    <n v="2000000"/>
    <s v="PMO"/>
    <n v="2000000"/>
    <s v="KU Strategic New Initiative"/>
    <s v="Non-recurring"/>
    <n v="1800000"/>
    <n v="1600000"/>
    <n v="1400000"/>
    <s v="Service quality and performance "/>
    <s v="Service quality and performance "/>
    <s v="Service quality and performance "/>
    <m/>
    <m/>
    <n v="2000000"/>
    <m/>
    <m/>
    <m/>
    <m/>
    <m/>
    <m/>
    <m/>
    <m/>
    <m/>
    <n v="2000000"/>
    <s v="Realize a sustainable , healthy and safe campus environment for all community members"/>
    <m/>
  </r>
  <r>
    <s v="HR"/>
    <s v="Manager, Business Development"/>
    <s v="SVP/ Support Services Office"/>
    <n v="847"/>
    <n v="8470530"/>
    <s v="KUST - Facilities Management"/>
    <n v="1"/>
    <n v="421000"/>
    <s v="421000-Management consultancy"/>
    <s v="000000"/>
    <s v="KUST- Sas Al Nakhl Campus"/>
    <s v="847020"/>
    <s v="FA179-Opex Expense"/>
    <n v="200179"/>
    <x v="461"/>
    <m/>
    <m/>
    <m/>
    <s v="430120.Rental - Buildings, other than staff residences-Area-2m"/>
    <s v="2m"/>
    <m/>
    <m/>
    <s v="PMO SAN Accommodation (ADIO)"/>
    <m/>
    <m/>
    <m/>
    <n v="0"/>
    <n v="0"/>
    <n v="0"/>
    <m/>
    <m/>
    <m/>
    <m/>
    <m/>
    <m/>
    <m/>
    <m/>
    <m/>
    <m/>
    <m/>
    <m/>
    <m/>
    <m/>
    <m/>
    <m/>
    <m/>
    <m/>
  </r>
  <r>
    <s v="-"/>
    <s v="-"/>
    <s v="SVP/ Support Services Office"/>
    <n v="847"/>
    <n v="8470530"/>
    <s v="KUST - Facilities Management"/>
    <n v="1"/>
    <n v="430110"/>
    <s v="430110-Rental - Land"/>
    <s v="000000"/>
    <s v="KUST - Main Campus"/>
    <s v="847010"/>
    <s v="FA179-Opex Expense"/>
    <n v="200179"/>
    <x v="462"/>
    <m/>
    <m/>
    <m/>
    <s v="430110.Rental- Land-2m-"/>
    <m/>
    <n v="1"/>
    <n v="233000"/>
    <s v="SAN Campus-rent temporary land as temporary parking"/>
    <n v="233000"/>
    <s v="KU Strategic New Initiative"/>
    <s v="Non-recurring"/>
    <n v="209700"/>
    <n v="186400"/>
    <n v="163100"/>
    <s v="Service quality and performance "/>
    <s v="Service quality and performance "/>
    <s v="Service quality and performance "/>
    <m/>
    <m/>
    <m/>
    <m/>
    <m/>
    <m/>
    <m/>
    <m/>
    <m/>
    <m/>
    <m/>
    <n v="233000"/>
    <n v="233000"/>
    <s v="Realize a sustainable , healthy and safe campus environment for all community members"/>
    <m/>
  </r>
  <r>
    <s v="Facilities"/>
    <s v="No Applicable"/>
    <s v="SVP/ Support Services Office"/>
    <n v="847"/>
    <n v="8470530"/>
    <s v="KUST - Facilities Management"/>
    <n v="1"/>
    <n v="430120"/>
    <s v="430120-Rental - Buildings, other than staff residences"/>
    <s v="000000"/>
    <s v="KUST- Masdar city campus"/>
    <s v="847030"/>
    <s v="FA179-Opex Expense"/>
    <n v="200179"/>
    <x v="463"/>
    <m/>
    <m/>
    <m/>
    <s v="430120.Rental - Buildings, other than staff residences-Area-2m"/>
    <s v="2m"/>
    <n v="1"/>
    <n v="4587000"/>
    <s v="MASDER complex 2022 rental "/>
    <n v="4587000"/>
    <s v="KU Regular operations"/>
    <s v="Recurring"/>
    <n v="4128300"/>
    <n v="3669600"/>
    <n v="3210900"/>
    <s v="Service quality and performance "/>
    <s v="Service quality and performance "/>
    <s v="Service quality and performance "/>
    <m/>
    <m/>
    <n v="4587000"/>
    <m/>
    <m/>
    <m/>
    <m/>
    <m/>
    <m/>
    <m/>
    <m/>
    <m/>
    <n v="4587000"/>
    <s v="Realize a sustainable , healthy and safe campus environment for all community members"/>
    <m/>
  </r>
  <r>
    <s v="Facilities"/>
    <s v="No Applicable"/>
    <s v="SVP/ Support Services Office"/>
    <n v="847"/>
    <n v="8470530"/>
    <s v="KUST - Facilities Management"/>
    <n v="1"/>
    <n v="430120"/>
    <s v="430120-Rental - Buildings, other than staff residences"/>
    <s v="000000"/>
    <s v="KUST- Masdar city campus"/>
    <s v="847030"/>
    <s v="FA179-Opex Expense"/>
    <n v="200179"/>
    <x v="463"/>
    <m/>
    <m/>
    <m/>
    <s v="430120.Rental - Buildings, other than staff residences-Area-2m"/>
    <s v="2m"/>
    <n v="1"/>
    <n v="4632870"/>
    <s v="MASDER complex 2023 rental "/>
    <n v="4632870"/>
    <s v="KU Regular operations"/>
    <s v="Recurring"/>
    <n v="4169583"/>
    <n v="3706296"/>
    <n v="3243009"/>
    <s v="Service quality and performance "/>
    <s v="Service quality and performance "/>
    <s v="Service quality and performance "/>
    <m/>
    <m/>
    <m/>
    <m/>
    <m/>
    <m/>
    <m/>
    <m/>
    <m/>
    <m/>
    <m/>
    <n v="4632870"/>
    <n v="4632870"/>
    <s v="Realize a sustainable , healthy and safe campus environment for all community members"/>
    <m/>
  </r>
  <r>
    <s v="Facilities"/>
    <s v="No Applicable"/>
    <s v="SVP/ Support Services Office"/>
    <n v="847"/>
    <n v="8470530"/>
    <s v="KUST - Facilities Management"/>
    <n v="1"/>
    <n v="430120"/>
    <s v="430120-Rental - Buildings, other than staff residences"/>
    <s v="000000"/>
    <s v="KUST- Masdar city campus"/>
    <n v="847030"/>
    <s v="FA179-Opex Expense"/>
    <n v="200179"/>
    <x v="463"/>
    <m/>
    <m/>
    <m/>
    <s v="430120.Rental - Buildings, other than staff residences-Area-2m"/>
    <s v="2m"/>
    <n v="1"/>
    <n v="5000000"/>
    <s v="MASDER complex 2023 rental shortage for 275 students - new requirment from student services FY22/23"/>
    <n v="5000000"/>
    <m/>
    <m/>
    <n v="4500000"/>
    <n v="4000000"/>
    <n v="3500000"/>
    <s v="Service quality and performance "/>
    <s v="Service quality and performance "/>
    <s v="Service quality and performance "/>
    <m/>
    <m/>
    <n v="5000000"/>
    <m/>
    <m/>
    <m/>
    <m/>
    <m/>
    <m/>
    <m/>
    <m/>
    <m/>
    <n v="5000000"/>
    <s v="Realize a sustainable , healthy and safe campus environment for all community members"/>
    <m/>
  </r>
  <r>
    <s v="Facilities"/>
    <s v="No Applicable"/>
    <s v="SVP/ Support Services Office"/>
    <n v="847"/>
    <n v="8470530"/>
    <s v="KUST - Facilities Management"/>
    <n v="1"/>
    <n v="430120"/>
    <s v="430120-Rental - Buildings, other than staff residences"/>
    <s v="000000"/>
    <s v="KUST- Sas Al Nakhl Campus"/>
    <n v="847020"/>
    <s v="FA179-Opex Expense"/>
    <n v="200179"/>
    <x v="464"/>
    <m/>
    <m/>
    <m/>
    <s v="430120.Rental - Buildings, other than staff residences-Area-2m"/>
    <s v="2m"/>
    <n v="1"/>
    <n v="8000000"/>
    <s v="SAN Student Rentail Accommodation 4 month for total of 700 students FY23 (Sep-23 to Dec-23)"/>
    <n v="8000000"/>
    <s v="KU Regular operations"/>
    <s v="Recurring"/>
    <n v="7200000"/>
    <n v="6400000"/>
    <n v="5600000"/>
    <s v="Service quality and performance "/>
    <s v="Service quality and performance "/>
    <s v="Service quality and performance "/>
    <m/>
    <m/>
    <n v="8000000"/>
    <m/>
    <m/>
    <m/>
    <m/>
    <m/>
    <m/>
    <m/>
    <m/>
    <m/>
    <n v="8000000"/>
    <s v="Realize a sustainable , healthy and safe campus environment for all community members"/>
    <m/>
  </r>
  <r>
    <s v="Facilities "/>
    <s v="No Applicable"/>
    <s v="SVP/ Support Services Office"/>
    <n v="847"/>
    <n v="8470530"/>
    <s v="KUST - Facilities Management"/>
    <n v="1"/>
    <n v="421600"/>
    <s v="421600-Security service"/>
    <s v="000000"/>
    <s v="KUST - Main Campus"/>
    <n v="847010"/>
    <s v="FA179-Opex Expense"/>
    <n v="200179"/>
    <x v="465"/>
    <n v="3976041.33"/>
    <n v="3768261"/>
    <n v="3768261"/>
    <s v="421600.Security service-Number of guard workers-count"/>
    <s v="count"/>
    <n v="1"/>
    <n v="3986400"/>
    <s v="Security Services Main Campus "/>
    <n v="3986400"/>
    <s v="KU Regular operations"/>
    <s v="Recurring"/>
    <n v="3587760"/>
    <n v="3189120"/>
    <n v="2790480"/>
    <s v="Service quality and performance "/>
    <s v="Service quality and performance "/>
    <s v="Service quality and performance "/>
    <n v="332200"/>
    <n v="332200"/>
    <n v="332200"/>
    <n v="332200"/>
    <n v="332200"/>
    <n v="332200"/>
    <n v="332200"/>
    <n v="332200"/>
    <n v="332200"/>
    <n v="332200"/>
    <n v="332200"/>
    <n v="332200"/>
    <n v="3986400"/>
    <s v="Realize a sustainable , healthy and safe campus environment for all community members"/>
    <m/>
  </r>
  <r>
    <s v="Facilities "/>
    <s v="No Applicable"/>
    <s v="SVP/ Support Services Office"/>
    <n v="847"/>
    <n v="8470530"/>
    <s v="KUST - Facilities Management"/>
    <n v="1"/>
    <n v="421600"/>
    <s v="421600-Security service"/>
    <s v="000000"/>
    <s v="Student Related Costs"/>
    <n v="847015"/>
    <s v="FA179-Opex Expense"/>
    <n v="200179"/>
    <x v="466"/>
    <n v="1516765.97"/>
    <n v="2649480"/>
    <n v="2649480"/>
    <s v="421600.Security service-Number of guard workers-count"/>
    <s v="count"/>
    <n v="1"/>
    <n v="2451960"/>
    <s v="Security Services SAN Campus Hostels "/>
    <n v="2451960"/>
    <s v="KU Regular operations"/>
    <s v="Recurring"/>
    <n v="2206764"/>
    <n v="1961568"/>
    <n v="1716372"/>
    <s v="Service quality and performance "/>
    <s v="Service quality and performance "/>
    <s v="Service quality and performance "/>
    <n v="204330"/>
    <n v="204330"/>
    <n v="204330"/>
    <n v="204330"/>
    <n v="204330"/>
    <n v="204330"/>
    <n v="204330"/>
    <n v="204330"/>
    <n v="204330"/>
    <n v="204330"/>
    <n v="204330"/>
    <n v="204330"/>
    <n v="2451960"/>
    <s v="Realize a sustainable , healthy and safe campus environment for all community members"/>
    <m/>
  </r>
  <r>
    <s v="Facilities "/>
    <s v="No Applicable"/>
    <s v="SVP/ Support Services Office"/>
    <n v="847"/>
    <n v="8470530"/>
    <s v="KUST - Facilities Management"/>
    <n v="1"/>
    <n v="421600"/>
    <s v="421600-Security service"/>
    <s v="000000"/>
    <s v="KUST- Sas Al Nakhl Campus"/>
    <n v="847020"/>
    <s v="FA179-Opex Expense"/>
    <n v="200179"/>
    <x v="467"/>
    <n v="3499526.5"/>
    <n v="2601720"/>
    <n v="2601720"/>
    <s v="421600.Security service-Number of guard workers-count"/>
    <s v="count"/>
    <n v="1"/>
    <n v="2078580"/>
    <s v="Security Services SAN Campus "/>
    <n v="2078580"/>
    <s v="KU Regular operations"/>
    <s v="Recurring"/>
    <n v="1870722"/>
    <n v="1662864"/>
    <n v="1455006"/>
    <s v="Service quality and performance "/>
    <s v="Service quality and performance "/>
    <s v="Service quality and performance "/>
    <n v="173215"/>
    <n v="173215"/>
    <n v="173215"/>
    <n v="173215"/>
    <n v="173215"/>
    <n v="173215"/>
    <n v="173215"/>
    <n v="173215"/>
    <n v="173215"/>
    <n v="173215"/>
    <n v="173215"/>
    <n v="173215"/>
    <n v="2078580"/>
    <s v="Realize a sustainable , healthy and safe campus environment for all community members"/>
    <m/>
  </r>
  <r>
    <s v="Facilities "/>
    <s v="No Applicable"/>
    <s v="SVP/ Support Services Office"/>
    <n v="847"/>
    <n v="8470530"/>
    <s v="KUST - Facilities Management"/>
    <n v="1"/>
    <n v="421600"/>
    <s v="421600-Security service"/>
    <s v="000000"/>
    <s v="KUST- Masdar city campus"/>
    <n v="847030"/>
    <s v="FA179-Opex Expense"/>
    <n v="200179"/>
    <x v="468"/>
    <n v="843396.09"/>
    <n v="369219"/>
    <n v="369219"/>
    <s v="421600.Security service-Number of guard workers-count"/>
    <s v="count"/>
    <n v="1"/>
    <n v="398190"/>
    <s v="Security Services MASDAR Leased Hostels "/>
    <n v="398190"/>
    <s v="KU Regular operations"/>
    <s v="Recurring"/>
    <n v="358371"/>
    <n v="318552"/>
    <n v="278733"/>
    <s v="Service quality and performance "/>
    <s v="Service quality and performance "/>
    <s v="Service quality and performance "/>
    <n v="33182.5"/>
    <n v="33182.5"/>
    <n v="33182.5"/>
    <n v="33182.5"/>
    <n v="33182.5"/>
    <n v="33182.5"/>
    <n v="33182.5"/>
    <n v="33182.5"/>
    <n v="33182.5"/>
    <n v="33182.5"/>
    <n v="33182.5"/>
    <n v="33182.5"/>
    <n v="398190"/>
    <s v="Realize a sustainable , healthy and safe campus environment for all community members"/>
    <m/>
  </r>
  <r>
    <s v="Academic"/>
    <s v="Director, Institutional Research and Planning"/>
    <s v="SVP/ Support Services Office"/>
    <n v="847"/>
    <n v="8470530"/>
    <s v="KUST - Facilities Management"/>
    <n v="1"/>
    <n v="421700"/>
    <s v="421700-Standards Certification Services (e.g. ISO)"/>
    <s v="000000"/>
    <s v="KUST - Main Campus"/>
    <n v="847010"/>
    <s v="FA179-Opex Expense"/>
    <n v="200179"/>
    <x v="469"/>
    <m/>
    <m/>
    <m/>
    <s v="421700.Standards Certification Services (e.g. ISO)-professional services scope/deliverables-Number"/>
    <s v="Number"/>
    <n v="1"/>
    <n v="250000"/>
    <s v="ISO - Space planning "/>
    <n v="250000"/>
    <s v="KU Regular operations"/>
    <s v="Recurring"/>
    <n v="225000"/>
    <n v="200000"/>
    <n v="175000"/>
    <s v="Service quality and performance "/>
    <s v="Service quality and performance "/>
    <s v="Service quality and performance "/>
    <m/>
    <m/>
    <m/>
    <m/>
    <m/>
    <m/>
    <m/>
    <m/>
    <m/>
    <m/>
    <m/>
    <n v="250000"/>
    <n v="250000"/>
    <s v="Realize a sustainable , healthy and safe campus environment for all community members"/>
    <m/>
  </r>
  <r>
    <s v="Communiction &amp; Marketing"/>
    <s v="Director, Marketing and Communication"/>
    <s v="SVP/ Support Services Office"/>
    <n v="847"/>
    <n v="8470530"/>
    <s v="KUST - Facilities Management"/>
    <n v="1"/>
    <n v="425510"/>
    <s v="425510-Conferences, seminars and exhibitions and other events: - Local Events"/>
    <s v="000000"/>
    <s v="KUST - Main Campus"/>
    <n v="847010"/>
    <s v="FA179-Opex Expense"/>
    <n v="200179"/>
    <x v="470"/>
    <n v="0"/>
    <n v="20000"/>
    <n v="20000"/>
    <s v="425510.Conferences, seminars and exhibitions and other events: - Local Events-Conferences-Number of Conferences"/>
    <s v="Number of Conferences"/>
    <n v="1"/>
    <n v="50000"/>
    <s v="Conferences, seminars and exhibitions and other events: - Local Events"/>
    <n v="50000"/>
    <s v="KU Regular operations"/>
    <s v="Recurring"/>
    <n v="45000"/>
    <n v="40000"/>
    <n v="35000"/>
    <s v="Service quality and performance "/>
    <s v="Service quality and performance "/>
    <s v="Service quality and performance "/>
    <m/>
    <m/>
    <n v="25000"/>
    <m/>
    <m/>
    <m/>
    <m/>
    <m/>
    <m/>
    <m/>
    <n v="25000"/>
    <m/>
    <n v="50000"/>
    <s v="Realize a sustainable , healthy and safe campus environment for all community members"/>
    <m/>
  </r>
  <r>
    <s v="Other support"/>
    <s v="Director, Human Resources"/>
    <s v="SVP/ Support Services Office"/>
    <n v="847"/>
    <n v="8470530"/>
    <s v="KUST - Facilities Management"/>
    <n v="1"/>
    <n v="425900"/>
    <s v="425900-Entertainment and hospitality"/>
    <s v="000000"/>
    <s v="KUST - Main Campus"/>
    <n v="847010"/>
    <s v="FA179-Opex Expense"/>
    <n v="200179"/>
    <x v="471"/>
    <s v="-"/>
    <n v="30000"/>
    <n v="30000"/>
    <s v="425900.Entertainment and hospitality-1. No of events/workshops planned-count"/>
    <s v="count"/>
    <n v="1"/>
    <n v="40000"/>
    <s v="Entertainment and hospitality"/>
    <n v="40000"/>
    <s v="KU Regular operations"/>
    <s v="Recurring"/>
    <n v="36000"/>
    <n v="32000"/>
    <n v="28000"/>
    <s v="Service quality and performance "/>
    <s v="Service quality and performance "/>
    <s v="Service quality and performance "/>
    <m/>
    <m/>
    <m/>
    <m/>
    <n v="20000"/>
    <m/>
    <m/>
    <m/>
    <m/>
    <m/>
    <n v="20000"/>
    <m/>
    <n v="40000"/>
    <s v="Realize a sustainable , healthy and safe campus environment for all community members"/>
    <m/>
  </r>
  <r>
    <s v="Facilities "/>
    <s v="No Applicable"/>
    <s v="SVP/ Support Services Office"/>
    <n v="847"/>
    <n v="8470530"/>
    <s v="KUST - Facilities Management"/>
    <n v="1"/>
    <n v="426220"/>
    <s v="426220-Insurance - Fire and allied perils"/>
    <s v="000000"/>
    <s v="KUST - Main Campus"/>
    <n v="847010"/>
    <s v="FA179-Opex Expense"/>
    <n v="200179"/>
    <x v="472"/>
    <n v="960436.74"/>
    <n v="960437"/>
    <n v="960437"/>
    <s v="426220.Insurance - Fire and allied perils-Number of Buildings-Number"/>
    <s v="Number"/>
    <n v="1"/>
    <n v="960437"/>
    <s v="Insurance - Finance"/>
    <n v="960437"/>
    <s v="KU Regular operations"/>
    <s v="Recurring"/>
    <n v="864393.3"/>
    <n v="768349.60000000009"/>
    <n v="672305.89999999991"/>
    <s v="Service quality and performance "/>
    <s v="Service quality and performance "/>
    <s v="Service quality and performance "/>
    <m/>
    <m/>
    <m/>
    <m/>
    <m/>
    <m/>
    <m/>
    <m/>
    <m/>
    <m/>
    <n v="960437"/>
    <m/>
    <n v="960437"/>
    <s v="Realize a sustainable , healthy and safe campus environment for all community members"/>
    <m/>
  </r>
  <r>
    <s v="Facilities "/>
    <s v="No Applicable"/>
    <s v="SVP/ Support Services Office"/>
    <n v="847"/>
    <n v="8470530"/>
    <s v="KUST - Facilities Management"/>
    <n v="1"/>
    <n v="426220"/>
    <s v="426220-Insurance - Fire and allied perils"/>
    <s v="000000"/>
    <s v="KUST- Masdar city campus"/>
    <n v="847030"/>
    <s v="FA179-Opex Expense"/>
    <n v="200179"/>
    <x v="473"/>
    <n v="23713.63"/>
    <n v="23714"/>
    <n v="23714"/>
    <s v="426220.Insurance - Fire and allied perils-Number of Buildings-Number"/>
    <s v="Number"/>
    <n v="1"/>
    <n v="23714"/>
    <s v="Insurance - Finance"/>
    <n v="23714"/>
    <s v="KU Regular operations"/>
    <s v="Recurring"/>
    <n v="21342.600000000002"/>
    <n v="18971.2"/>
    <n v="16599.8"/>
    <s v="Service quality and performance "/>
    <s v="Service quality and performance "/>
    <s v="Service quality and performance "/>
    <m/>
    <m/>
    <m/>
    <m/>
    <m/>
    <m/>
    <m/>
    <m/>
    <m/>
    <m/>
    <n v="23714"/>
    <m/>
    <n v="23714"/>
    <s v="Realize a sustainable , healthy and safe campus environment for all community members"/>
    <m/>
  </r>
  <r>
    <s v="Facilities "/>
    <s v="No Applicable"/>
    <s v="SVP/ Support Services Office"/>
    <n v="847"/>
    <n v="8470530"/>
    <s v="KUST - Facilities Management"/>
    <n v="1"/>
    <n v="426250"/>
    <s v="426250-Insurance - Motor vehicles"/>
    <s v="000000"/>
    <s v="KUST - Main Campus"/>
    <n v="847010"/>
    <s v="FA179-Opex Expense"/>
    <n v="200179"/>
    <x v="474"/>
    <n v="4650.8100000000004"/>
    <n v="50000"/>
    <m/>
    <m/>
    <s v="-_"/>
    <m/>
    <m/>
    <m/>
    <n v="0"/>
    <m/>
    <m/>
    <n v="0"/>
    <n v="0"/>
    <n v="0"/>
    <s v="Service quality and performance "/>
    <s v="Service quality and performance "/>
    <s v="Service quality and performance "/>
    <m/>
    <m/>
    <m/>
    <m/>
    <m/>
    <m/>
    <m/>
    <m/>
    <m/>
    <m/>
    <m/>
    <m/>
    <n v="0"/>
    <s v="Realize a sustainable , healthy and safe campus environment for all community members"/>
    <m/>
  </r>
  <r>
    <s v="Academic "/>
    <s v="No Applicable"/>
    <s v="SVP/ Support Services Office"/>
    <n v="847"/>
    <n v="8470530"/>
    <s v="KUST - Facilities Management"/>
    <n v="1"/>
    <n v="428090"/>
    <s v="428090-Business Travel - Combined expenses"/>
    <s v="000000"/>
    <s v="KUST - General"/>
    <n v="847001"/>
    <s v="FA179-Opex Expense"/>
    <n v="200179"/>
    <x v="475"/>
    <s v="-"/>
    <n v="50000"/>
    <n v="50000"/>
    <s v="428090.Business Travel - Combined expenses-Number of Staff-Number"/>
    <s v="Number"/>
    <n v="1"/>
    <n v="200000"/>
    <s v="Business Travel"/>
    <n v="200000"/>
    <s v="KU Regular operations"/>
    <s v="Recurring"/>
    <n v="180000"/>
    <n v="160000"/>
    <n v="140000"/>
    <s v="Service quality and performance "/>
    <s v="Service quality and performance "/>
    <s v="Service quality and performance "/>
    <n v="50000"/>
    <m/>
    <n v="50000"/>
    <m/>
    <n v="50000"/>
    <m/>
    <n v="50000"/>
    <m/>
    <m/>
    <m/>
    <m/>
    <m/>
    <n v="200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 Main Campus"/>
    <n v="847010"/>
    <s v="FA179-Opex Expense"/>
    <n v="200179"/>
    <x v="476"/>
    <m/>
    <m/>
    <m/>
    <s v="432120.Bldg maintenance-Business premises-The area of minor maintenance (contract) Main Campus-2m"/>
    <s v="2m"/>
    <n v="1"/>
    <n v="13077621"/>
    <s v="FM Hard Services Contract Agreement "/>
    <n v="13077621"/>
    <s v="KU Regular operations"/>
    <s v="Recurring"/>
    <n v="11769858.9"/>
    <n v="10462096.800000001"/>
    <n v="9154334.6999999993"/>
    <s v="Service quality and performance "/>
    <s v="Service quality and performance "/>
    <s v="Service quality and performance "/>
    <n v="1089801.75"/>
    <n v="1089801.75"/>
    <n v="1089801.75"/>
    <n v="1089801.75"/>
    <n v="1089801.75"/>
    <n v="1089801.75"/>
    <n v="1089801.75"/>
    <n v="1089801.75"/>
    <n v="1089801.75"/>
    <n v="1089801.75"/>
    <n v="1089801.75"/>
    <n v="1089801.75"/>
    <n v="13077621"/>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 Main Campus"/>
    <n v="847010"/>
    <s v="FA179-Opex Expense"/>
    <n v="200179"/>
    <x v="476"/>
    <m/>
    <m/>
    <m/>
    <s v="432120.Bldg maintenance-Business premises-The area of minor maintenance (contract) Main Campus-2m"/>
    <s v="2m"/>
    <n v="1"/>
    <n v="1000000"/>
    <s v="Spares  for FM hard services above Threshold of AED 2500.00"/>
    <n v="1000000"/>
    <s v="KU Regular operations"/>
    <s v="Recurring"/>
    <n v="900000"/>
    <n v="800000"/>
    <n v="700000"/>
    <s v="Service quality and performance "/>
    <s v="Service quality and performance "/>
    <s v="Service quality and performance "/>
    <n v="83333.333400000003"/>
    <n v="83333.333400000003"/>
    <n v="83333.333400000003"/>
    <n v="83333.333400000003"/>
    <n v="83333.333400000003"/>
    <n v="83333.333400000003"/>
    <n v="83333.333400000003"/>
    <n v="83333.333400000003"/>
    <n v="83333.333400000003"/>
    <n v="83333.333400000003"/>
    <n v="83333.333400000003"/>
    <n v="83333.333400000003"/>
    <n v="1000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 Main Campus"/>
    <n v="847010"/>
    <s v="FA179-Opex Expense"/>
    <n v="200179"/>
    <x v="476"/>
    <m/>
    <m/>
    <m/>
    <s v="432120.Bldg maintenance-Business premises-The area of minor maintenance (contract) Main Campus-2m"/>
    <s v="2m"/>
    <n v="1"/>
    <n v="43500"/>
    <s v="Hassantuk annual renewal fee"/>
    <n v="43500"/>
    <s v="KU Regular operations"/>
    <s v="Recurring"/>
    <n v="39150"/>
    <n v="34800"/>
    <n v="30449.999999999996"/>
    <s v="Service quality and performance "/>
    <s v="Service quality and performance "/>
    <s v="Service quality and performance "/>
    <m/>
    <m/>
    <n v="43500"/>
    <m/>
    <m/>
    <m/>
    <m/>
    <m/>
    <m/>
    <m/>
    <m/>
    <m/>
    <n v="435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 Main Campus"/>
    <n v="847010"/>
    <s v="FA179-Opex Expense"/>
    <n v="200179"/>
    <x v="476"/>
    <m/>
    <m/>
    <m/>
    <s v="432120.Bldg maintenance-Business premises-The area of major maintenance HQ-2m"/>
    <s v="2m"/>
    <n v="1"/>
    <n v="60000"/>
    <s v="installtion of Safe access doors for AHU / FCU etc. in student hub / Engg. Building.New building  :HVAC: "/>
    <n v="60000"/>
    <s v="KU Regular operations"/>
    <s v="Recurring"/>
    <n v="54000"/>
    <n v="48000"/>
    <n v="42000"/>
    <s v="Service quality and performance "/>
    <s v="Service quality and performance "/>
    <s v="Service quality and performance "/>
    <m/>
    <m/>
    <n v="60000"/>
    <m/>
    <m/>
    <m/>
    <m/>
    <m/>
    <m/>
    <m/>
    <m/>
    <m/>
    <n v="60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 Main Campus"/>
    <n v="847010"/>
    <s v="FA179-Opex Expense"/>
    <n v="200179"/>
    <x v="476"/>
    <n v="424725.24"/>
    <n v="11446037"/>
    <n v="11446037"/>
    <s v="432120.Bldg maintenance-Business premises-The area of minor maintenance (contract) Main Campus-2m"/>
    <s v="2m"/>
    <n v="1"/>
    <n v="20000"/>
    <s v="Upgrade Elevator e-link emergency call phone in  New Building "/>
    <n v="20000"/>
    <s v="KU Regular operations"/>
    <s v="Recurring"/>
    <n v="18000"/>
    <n v="16000"/>
    <n v="14000"/>
    <s v="Service quality and performance "/>
    <s v="Service quality and performance "/>
    <s v="Service quality and performance "/>
    <m/>
    <m/>
    <n v="20000"/>
    <m/>
    <m/>
    <m/>
    <m/>
    <m/>
    <m/>
    <m/>
    <m/>
    <m/>
    <n v="20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 Main Campus"/>
    <n v="847010"/>
    <s v="FA179-Opex Expense"/>
    <n v="200179"/>
    <x v="476"/>
    <m/>
    <m/>
    <m/>
    <s v="432120.Bldg maintenance-Business premises-The area of minor maintenance (contract) Main Campus-2m"/>
    <s v="2m"/>
    <n v="1"/>
    <n v="121000"/>
    <s v="Repainting of classroom in old buildings-."/>
    <n v="121000"/>
    <s v="KU Regular operations"/>
    <s v="Recurring"/>
    <n v="108900"/>
    <n v="96800"/>
    <n v="84700"/>
    <s v="Service quality and performance "/>
    <s v="Service quality and performance "/>
    <s v="Service quality and performance "/>
    <m/>
    <m/>
    <n v="121000"/>
    <m/>
    <m/>
    <m/>
    <m/>
    <m/>
    <m/>
    <m/>
    <m/>
    <m/>
    <n v="121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 Main Campus"/>
    <n v="847010"/>
    <s v="FA179-Opex Expense"/>
    <n v="200179"/>
    <x v="476"/>
    <m/>
    <m/>
    <m/>
    <s v="432120.Bldg maintenance-Business premises-The area of minor maintenance (contract) Main Campus-2m"/>
    <s v="2m"/>
    <n v="1"/>
    <n v="80000"/>
    <s v="Refurbishment of fountain - old buildings "/>
    <n v="80000"/>
    <s v="KU Regular operations"/>
    <s v="Recurring"/>
    <n v="72000"/>
    <n v="64000"/>
    <n v="56000"/>
    <s v="Service quality and performance "/>
    <s v="Service quality and performance "/>
    <s v="Service quality and performance "/>
    <m/>
    <m/>
    <n v="80000"/>
    <m/>
    <m/>
    <m/>
    <m/>
    <m/>
    <m/>
    <m/>
    <m/>
    <m/>
    <n v="80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 Main Campus"/>
    <n v="847010"/>
    <s v="FA179-Opex Expense"/>
    <n v="200179"/>
    <x v="476"/>
    <m/>
    <m/>
    <m/>
    <s v="432120.Bldg maintenance-Business premises-The area of minor maintenance (contract) Main Campus-2m"/>
    <s v="2m"/>
    <n v="1"/>
    <n v="120000"/>
    <s v="Interconnection water supply line from New extension (water tanks)  to old buildings for emergency outage "/>
    <n v="120000"/>
    <s v="KU Regular operations"/>
    <s v="Recurring"/>
    <n v="108000"/>
    <n v="96000"/>
    <n v="84000"/>
    <s v="Service quality and performance "/>
    <s v="Service quality and performance "/>
    <s v="Service quality and performance "/>
    <m/>
    <m/>
    <n v="120000"/>
    <m/>
    <m/>
    <m/>
    <m/>
    <m/>
    <m/>
    <m/>
    <m/>
    <m/>
    <n v="120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 Main Campus"/>
    <n v="847010"/>
    <s v="FA179-Opex Expense"/>
    <n v="200179"/>
    <x v="476"/>
    <m/>
    <m/>
    <m/>
    <s v="432120.Bldg maintenance-Business premises-The area of minor maintenance (contract) Main Campus-2m"/>
    <s v="2m"/>
    <n v="1"/>
    <n v="130000"/>
    <s v="Existing building : Roof shade louvers  painting works -All existing buildings "/>
    <n v="130000"/>
    <s v="KU Regular operations"/>
    <s v="Recurring"/>
    <n v="117000"/>
    <n v="104000"/>
    <n v="91000"/>
    <s v="Service quality and performance "/>
    <s v="Service quality and performance "/>
    <s v="Service quality and performance "/>
    <m/>
    <m/>
    <n v="130000"/>
    <m/>
    <m/>
    <m/>
    <m/>
    <m/>
    <m/>
    <m/>
    <m/>
    <m/>
    <n v="130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Student Related Costs"/>
    <n v="847015"/>
    <s v="FA179-Opex Expense"/>
    <n v="200179"/>
    <x v="477"/>
    <n v="5040562.12"/>
    <n v="5071140"/>
    <n v="5071140"/>
    <s v="432120.Bldg maintenance-Business premises-The area of minor maintenance (contract) Main Campus-2m"/>
    <s v="2m"/>
    <n v="1"/>
    <n v="8438550"/>
    <s v="FM Hard Services Contract Agreement "/>
    <n v="8438550"/>
    <s v="KU Regular operations"/>
    <s v="Recurring"/>
    <n v="7594695"/>
    <n v="6750840"/>
    <n v="5906985"/>
    <s v="Service quality and performance "/>
    <s v="Service quality and performance "/>
    <s v="Service quality and performance "/>
    <n v="703212.5"/>
    <n v="703212.5"/>
    <n v="703212.5"/>
    <n v="703212.5"/>
    <n v="703212.5"/>
    <n v="703212.5"/>
    <n v="703212.5"/>
    <n v="703212.5"/>
    <n v="703212.5"/>
    <n v="703212.5"/>
    <n v="703212.5"/>
    <n v="703212.5"/>
    <n v="8438550"/>
    <s v="Realize a sustainable , healthy and safe campus environment for all community members"/>
    <m/>
  </r>
  <r>
    <s v="Facilities "/>
    <s v="No Applicable"/>
    <s v="SVP/ Support Services Office"/>
    <n v="847"/>
    <n v="8470530"/>
    <s v="KUST - Facilities Management"/>
    <n v="1"/>
    <n v="432120"/>
    <s v="432120-Bldg maintenance-Business premises"/>
    <s v="000000"/>
    <s v="Student Related Costs"/>
    <n v="847015"/>
    <s v="FA179-Opex Expense"/>
    <n v="200179"/>
    <x v="477"/>
    <m/>
    <m/>
    <m/>
    <s v="432120.Bldg maintenance-Business premises-The area of major maintenance HQ-2m"/>
    <s v="2m"/>
    <n v="1"/>
    <n v="98000"/>
    <s v="Hassantuk annual renewal fee"/>
    <n v="98000"/>
    <s v="KU Regular operations"/>
    <s v="Recurring"/>
    <n v="88200"/>
    <n v="78400"/>
    <n v="68600"/>
    <s v="Service quality and performance "/>
    <s v="Service quality and performance "/>
    <s v="Service quality and performance "/>
    <m/>
    <m/>
    <n v="98000"/>
    <m/>
    <m/>
    <m/>
    <m/>
    <m/>
    <m/>
    <m/>
    <m/>
    <m/>
    <n v="98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Student Related Costs"/>
    <n v="847015"/>
    <s v="FA179-Opex Expense"/>
    <n v="200179"/>
    <x v="477"/>
    <m/>
    <m/>
    <m/>
    <s v="432120.Bldg maintenance-Business premises-The area of minor maintenance (contract) Main Campus-2m"/>
    <s v="2m"/>
    <n v="1"/>
    <n v="500000"/>
    <s v="Spares  for FM hard services above Threshold of AED 2500.00"/>
    <n v="500000"/>
    <s v="KU Regular operations"/>
    <s v="Recurring"/>
    <n v="450000"/>
    <n v="400000"/>
    <n v="350000"/>
    <s v="Service quality and performance "/>
    <s v="Service quality and performance "/>
    <s v="Service quality and performance "/>
    <n v="41666.666700000002"/>
    <n v="41666.666700000002"/>
    <n v="41666.666700000002"/>
    <n v="41666.666700000002"/>
    <n v="41666.666700000002"/>
    <n v="41666.666700000002"/>
    <n v="41666.666700000002"/>
    <n v="41666.666700000002"/>
    <n v="41666.666700000002"/>
    <n v="41666.666700000002"/>
    <n v="41666.666700000002"/>
    <n v="41666.666700000002"/>
    <n v="500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Sas Al Nakhl Campus"/>
    <n v="847020"/>
    <s v="FA179-Opex Expense"/>
    <n v="200179"/>
    <x v="478"/>
    <m/>
    <m/>
    <m/>
    <s v="432120.Bldg maintenance-Business premises-The area of major maintenance HQ-2m"/>
    <s v="2m"/>
    <n v="1"/>
    <n v="6954646"/>
    <s v="FM Hard Services Contract Agreement "/>
    <n v="6954646"/>
    <s v="KU Regular operations"/>
    <s v="Recurring"/>
    <n v="6259181.4000000004"/>
    <n v="5563716.8000000007"/>
    <n v="4868252.1999999993"/>
    <s v="Service quality and performance "/>
    <s v="Service quality and performance "/>
    <s v="Service quality and performance "/>
    <n v="579553.83330000006"/>
    <n v="579553.83330000006"/>
    <n v="579553.83330000006"/>
    <n v="579553.83330000006"/>
    <n v="579553.83330000006"/>
    <n v="579553.83330000006"/>
    <n v="579553.83330000006"/>
    <n v="579553.83330000006"/>
    <n v="579553.83330000006"/>
    <n v="579553.83330000006"/>
    <n v="579553.83330000006"/>
    <n v="579553.83330000006"/>
    <n v="6954646"/>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Sas Al Nakhl Campus"/>
    <n v="847020"/>
    <s v="FA179-Opex Expense"/>
    <n v="200179"/>
    <x v="478"/>
    <m/>
    <m/>
    <m/>
    <s v="432120.Bldg maintenance-Business premises-The area of major maintenance HQ-2m"/>
    <s v="2m"/>
    <n v="1"/>
    <n v="500000"/>
    <s v="Spares  for FM hard services above Threshold of AED 2500.00"/>
    <n v="500000"/>
    <s v="KU Regular operations"/>
    <s v="Recurring"/>
    <n v="450000"/>
    <n v="400000"/>
    <n v="350000"/>
    <s v="Service quality and performance "/>
    <s v="Service quality and performance "/>
    <s v="Service quality and performance "/>
    <n v="41666.666700000002"/>
    <n v="41666.666700000002"/>
    <n v="41666.666700000002"/>
    <n v="41666.666700000002"/>
    <n v="41666.666700000002"/>
    <n v="41666.666700000002"/>
    <n v="41666.666700000002"/>
    <n v="41666.666700000002"/>
    <n v="41666.666700000002"/>
    <n v="41666.666700000002"/>
    <n v="41666.666700000002"/>
    <n v="41666.666700000002"/>
    <n v="500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Sas Al Nakhl Campus"/>
    <n v="847020"/>
    <s v="FA179-Opex Expense"/>
    <n v="200179"/>
    <x v="478"/>
    <m/>
    <m/>
    <m/>
    <s v="432120.Bldg maintenance-Business premises-The area of major maintenance HQ-2m"/>
    <s v="2m"/>
    <n v="1"/>
    <n v="29000"/>
    <s v="Hassantuk annual renewal fee"/>
    <n v="29000"/>
    <s v="KU Regular operations"/>
    <s v="Recurring"/>
    <n v="26100"/>
    <n v="23200"/>
    <n v="20300"/>
    <s v="Service quality and performance "/>
    <s v="Service quality and performance "/>
    <s v="Service quality and performance "/>
    <m/>
    <m/>
    <n v="29000"/>
    <m/>
    <m/>
    <m/>
    <m/>
    <m/>
    <m/>
    <m/>
    <m/>
    <m/>
    <n v="29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Sas Al Nakhl Campus"/>
    <n v="847020"/>
    <s v="FA179-Opex Expense"/>
    <n v="200179"/>
    <x v="478"/>
    <n v="493435.92"/>
    <n v="5446416"/>
    <n v="5446416"/>
    <s v="432120.Bldg maintenance-Business premises-The area of major maintenance HQ-2m"/>
    <s v="2m"/>
    <n v="1"/>
    <n v="14000"/>
    <s v="LCP upgradation in Satah"/>
    <n v="14000"/>
    <s v="KU Regular operations"/>
    <s v="Recurring"/>
    <n v="12600"/>
    <n v="11200"/>
    <n v="9800"/>
    <s v="Service quality and performance "/>
    <s v="Service quality and performance "/>
    <s v="Service quality and performance "/>
    <m/>
    <m/>
    <n v="14000"/>
    <m/>
    <m/>
    <m/>
    <m/>
    <m/>
    <m/>
    <m/>
    <m/>
    <m/>
    <n v="14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Sas Al Nakhl Campus"/>
    <n v="847020"/>
    <s v="FA179-Opex Expense"/>
    <n v="200179"/>
    <x v="478"/>
    <m/>
    <m/>
    <m/>
    <s v="432120.Bldg maintenance-Business premises-The area of major maintenance HQ-2m"/>
    <s v="2m"/>
    <n v="1"/>
    <n v="14000"/>
    <s v="LCP upgradation in Ummshaif "/>
    <n v="14000"/>
    <s v="KU Regular operations"/>
    <s v="Recurring"/>
    <n v="12600"/>
    <n v="11200"/>
    <n v="9800"/>
    <s v="Service quality and performance "/>
    <s v="Service quality and performance "/>
    <s v="Service quality and performance "/>
    <m/>
    <m/>
    <n v="14000"/>
    <m/>
    <m/>
    <m/>
    <m/>
    <m/>
    <m/>
    <m/>
    <m/>
    <m/>
    <n v="14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Sas Al Nakhl Campus"/>
    <n v="847020"/>
    <s v="FA179-Opex Expense"/>
    <n v="200179"/>
    <x v="478"/>
    <m/>
    <m/>
    <m/>
    <s v="432120.Bldg maintenance-Business premises-The area of major maintenance HQ-2m"/>
    <s v="2m"/>
    <n v="1"/>
    <n v="350000"/>
    <s v="Repainting of flats for female Accommodation"/>
    <n v="350000"/>
    <s v="KU Regular operations"/>
    <s v="Recurring"/>
    <n v="315000"/>
    <n v="280000"/>
    <n v="244999.99999999997"/>
    <s v="Service quality and performance "/>
    <s v="Service quality and performance "/>
    <s v="Service quality and performance "/>
    <m/>
    <m/>
    <n v="350000"/>
    <m/>
    <m/>
    <m/>
    <m/>
    <m/>
    <m/>
    <m/>
    <m/>
    <m/>
    <n v="350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Sas Al Nakhl Campus"/>
    <n v="847020"/>
    <s v="FA179-Opex Expense"/>
    <n v="200179"/>
    <x v="478"/>
    <m/>
    <m/>
    <m/>
    <s v="432120.Bldg maintenance-Business premises-The area of major maintenance HQ-2m"/>
    <s v="2m"/>
    <n v="1"/>
    <n v="460000"/>
    <s v="Repainting of flats for Male dorms"/>
    <n v="460000"/>
    <s v="KU Regular operations"/>
    <s v="Recurring"/>
    <n v="414000"/>
    <n v="368000"/>
    <n v="322000"/>
    <s v="Service quality and performance "/>
    <s v="Service quality and performance "/>
    <s v="Service quality and performance "/>
    <m/>
    <m/>
    <n v="460000"/>
    <m/>
    <m/>
    <m/>
    <m/>
    <m/>
    <m/>
    <m/>
    <m/>
    <m/>
    <n v="460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Sas Al Nakhl Campus"/>
    <n v="847020"/>
    <s v="FA179-Opex Expense"/>
    <n v="200179"/>
    <x v="478"/>
    <m/>
    <m/>
    <m/>
    <s v="432120.Bldg maintenance-Business premises-The area of major maintenance HQ-2m"/>
    <s v="2m"/>
    <n v="1"/>
    <n v="230000"/>
    <s v="Repainting of offices "/>
    <n v="230000"/>
    <s v="KU Regular operations"/>
    <s v="Recurring"/>
    <n v="207000"/>
    <n v="184000"/>
    <n v="161000"/>
    <s v="Service quality and performance "/>
    <s v="Service quality and performance "/>
    <s v="Service quality and performance "/>
    <m/>
    <m/>
    <n v="230000"/>
    <m/>
    <m/>
    <m/>
    <m/>
    <m/>
    <m/>
    <m/>
    <m/>
    <m/>
    <n v="230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Sas Al Nakhl Campus"/>
    <n v="847020"/>
    <s v="FA179-Opex Expense"/>
    <n v="200179"/>
    <x v="478"/>
    <m/>
    <m/>
    <m/>
    <s v="432120.Bldg maintenance-Business premises-The area of major maintenance HQ-2m"/>
    <s v="2m"/>
    <n v="1"/>
    <n v="100000"/>
    <s v="Repainting of umm lulu carpark shade structure"/>
    <n v="100000"/>
    <s v="KU Regular operations"/>
    <s v="Recurring"/>
    <n v="90000"/>
    <n v="80000"/>
    <n v="70000"/>
    <s v="Service quality and performance "/>
    <s v="Service quality and performance "/>
    <s v="Service quality and performance "/>
    <m/>
    <m/>
    <n v="100000"/>
    <m/>
    <m/>
    <m/>
    <m/>
    <m/>
    <m/>
    <m/>
    <m/>
    <m/>
    <n v="100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Sas Al Nakhl Campus"/>
    <n v="847020"/>
    <s v="FA179-Opex Expense"/>
    <n v="200179"/>
    <x v="478"/>
    <m/>
    <m/>
    <m/>
    <s v="432120.Bldg maintenance-Business premises-The area of major maintenance HQ-2m"/>
    <s v="2m"/>
    <n v="1"/>
    <n v="150000"/>
    <s v="Repainting of wooden pergolas in Zarkuh and Arzanah"/>
    <n v="150000"/>
    <s v="KU Regular operations"/>
    <s v="Recurring"/>
    <n v="135000"/>
    <n v="120000"/>
    <n v="105000"/>
    <s v="Service quality and performance "/>
    <s v="Service quality and performance "/>
    <s v="Service quality and performance "/>
    <m/>
    <m/>
    <n v="150000"/>
    <m/>
    <m/>
    <m/>
    <m/>
    <m/>
    <m/>
    <m/>
    <m/>
    <m/>
    <n v="150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Masdar city campus"/>
    <n v="847030"/>
    <s v="FA179-Opex Expense"/>
    <n v="200179"/>
    <x v="479"/>
    <m/>
    <m/>
    <m/>
    <s v="432120.Bldg maintenance-Business premises-The area of major maintenance HQ-2m"/>
    <s v="2m"/>
    <n v="1"/>
    <n v="600000"/>
    <s v="Masdar for 12 months Payment -2023 (Cofely) "/>
    <n v="600000"/>
    <s v="KU Regular operations"/>
    <s v="Recurring"/>
    <n v="540000"/>
    <n v="480000"/>
    <n v="420000"/>
    <s v="Service quality and performance "/>
    <s v="Service quality and performance "/>
    <s v="Service quality and performance "/>
    <n v="50000"/>
    <n v="50000"/>
    <n v="50000"/>
    <n v="50000"/>
    <n v="50000"/>
    <n v="50000"/>
    <n v="50000"/>
    <n v="50000"/>
    <n v="50000"/>
    <n v="50000"/>
    <n v="50000"/>
    <n v="50000"/>
    <n v="600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Masdar city campus"/>
    <n v="847030"/>
    <s v="FA179-Opex Expense"/>
    <n v="200179"/>
    <x v="479"/>
    <m/>
    <m/>
    <m/>
    <s v="432120.Bldg maintenance-Business premises-The area of major maintenance HQ-2m"/>
    <s v="2m"/>
    <n v="1"/>
    <n v="315252"/>
    <s v="Service charge for MASDER "/>
    <n v="315252"/>
    <s v="KU Regular operations"/>
    <s v="Recurring"/>
    <n v="283726.8"/>
    <n v="252201.60000000001"/>
    <n v="220676.4"/>
    <s v="Service quality and performance "/>
    <s v="Service quality and performance "/>
    <s v="Service quality and performance "/>
    <m/>
    <m/>
    <m/>
    <m/>
    <n v="315252"/>
    <m/>
    <m/>
    <m/>
    <m/>
    <m/>
    <m/>
    <m/>
    <n v="315252"/>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Masdar city campus"/>
    <n v="847030"/>
    <s v="FA179-Opex Expense"/>
    <n v="200179"/>
    <x v="479"/>
    <m/>
    <m/>
    <m/>
    <s v="432120.Bldg maintenance-Business premises-The area of major maintenance HQ-2m"/>
    <s v="2m"/>
    <n v="1"/>
    <n v="100000"/>
    <s v="Spares part"/>
    <n v="100000"/>
    <s v="KU Regular operations"/>
    <s v="Recurring"/>
    <n v="90000"/>
    <n v="80000"/>
    <n v="70000"/>
    <s v="Service quality and performance "/>
    <s v="Service quality and performance "/>
    <s v="Service quality and performance "/>
    <n v="25000"/>
    <m/>
    <n v="25000"/>
    <m/>
    <n v="25000"/>
    <m/>
    <m/>
    <n v="25000"/>
    <m/>
    <m/>
    <m/>
    <m/>
    <n v="100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Masdar city campus"/>
    <n v="847030"/>
    <s v="FA179-Opex Expense"/>
    <n v="200179"/>
    <x v="479"/>
    <m/>
    <m/>
    <m/>
    <s v="432120.Bldg maintenance-Business premises-The area of major maintenance HQ-2m"/>
    <s v="2m"/>
    <n v="1"/>
    <n v="240000"/>
    <s v="B04 A1 - Cooling charges"/>
    <n v="240000"/>
    <s v="KU Regular operations"/>
    <s v="Recurring"/>
    <n v="216000"/>
    <n v="192000"/>
    <n v="168000"/>
    <s v="Service quality and performance "/>
    <s v="Service quality and performance "/>
    <s v="Service quality and performance "/>
    <n v="20000"/>
    <n v="20000"/>
    <n v="2000"/>
    <n v="20000"/>
    <n v="20000"/>
    <n v="20000"/>
    <n v="20000"/>
    <n v="20000"/>
    <n v="20000"/>
    <n v="20000"/>
    <n v="20000"/>
    <n v="20000"/>
    <n v="240000"/>
    <s v="Realize a sustainable , healthy and safe campus environment for all community members"/>
    <m/>
  </r>
  <r>
    <s v="Facilities "/>
    <s v="No Applicable"/>
    <s v="SVP/ Support Services Office"/>
    <n v="847"/>
    <n v="8470530"/>
    <s v="KUST - Facilities Management"/>
    <n v="1"/>
    <n v="432120"/>
    <s v="432120-Bldg maintenance-Business premises"/>
    <s v="000000"/>
    <s v="KUST- Masdar city campus"/>
    <n v="847030"/>
    <s v="FA179-Opex Expense"/>
    <n v="200179"/>
    <x v="479"/>
    <n v="2914112.1"/>
    <n v="1207678"/>
    <n v="1207678"/>
    <s v="432120.Bldg maintenance-Business premises-The area of major maintenance HQ-2m"/>
    <s v="2m"/>
    <n v="1"/>
    <n v="480000"/>
    <s v="B04 B  - Cooling charges"/>
    <n v="480000"/>
    <s v="KU Regular operations"/>
    <s v="Recurring"/>
    <n v="432000"/>
    <n v="384000"/>
    <n v="336000"/>
    <s v="Service quality and performance "/>
    <s v="Service quality and performance "/>
    <s v="Service quality and performance "/>
    <m/>
    <m/>
    <m/>
    <n v="40000"/>
    <n v="40000"/>
    <n v="40000"/>
    <n v="40000"/>
    <n v="40000"/>
    <n v="40000"/>
    <n v="40000"/>
    <n v="40000"/>
    <n v="40000"/>
    <n v="480000"/>
    <s v="Realize a sustainable , healthy and safe campus environment for all community members"/>
    <m/>
  </r>
  <r>
    <s v="Facilities"/>
    <s v="No Applicable"/>
    <s v="SVP/ Support Services Office"/>
    <n v="847"/>
    <n v="8470530"/>
    <s v="KUST - Facilities Management"/>
    <n v="1"/>
    <n v="432170"/>
    <s v="432170-Bldg decoration &amp; minor improvements"/>
    <s v="000000"/>
    <s v="KUST - Main Campus"/>
    <n v="847010"/>
    <s v="FA179-Opex Expense"/>
    <n v="200179"/>
    <x v="480"/>
    <n v="27198"/>
    <n v="30000"/>
    <n v="20000"/>
    <s v="432170.Bldg decoration &amp; miNumberr improvements-Number of Buildings-Number"/>
    <s v="Number"/>
    <n v="1"/>
    <n v="30000"/>
    <s v="Bldg decoration &amp; minor improvements (ECM)"/>
    <n v="30000"/>
    <s v="KU Regular operations"/>
    <s v="Recurring"/>
    <n v="27000"/>
    <n v="24000"/>
    <n v="21000"/>
    <s v="Service quality and performance "/>
    <s v="Service quality and performance "/>
    <s v="Service quality and performance "/>
    <m/>
    <n v="5000"/>
    <m/>
    <n v="5000"/>
    <m/>
    <n v="5000"/>
    <m/>
    <n v="5000"/>
    <m/>
    <n v="5000"/>
    <m/>
    <n v="5000"/>
    <n v="30000"/>
    <s v="Realize a sustainable , healthy and safe campus environment for all community members"/>
    <m/>
  </r>
  <r>
    <s v="Facilities "/>
    <s v="No Applicable"/>
    <s v="SVP/ Support Services Office"/>
    <n v="847"/>
    <n v="8470530"/>
    <s v="KUST - Facilities Management"/>
    <n v="1"/>
    <n v="432320"/>
    <s v="432320-Residential Furniture and fixtures"/>
    <s v="000000"/>
    <s v="KUST - Main Campus"/>
    <n v="847010"/>
    <s v="FA179-Opex Expense"/>
    <n v="200179"/>
    <x v="481"/>
    <n v="-1570.38"/>
    <n v="26000"/>
    <n v="26000"/>
    <s v="432320.Residential Furniture and fixtures-Number of Building-Number"/>
    <s v="Number"/>
    <n v="1"/>
    <n v="25000"/>
    <s v="Residential furniture and fixtures ( petty cash )"/>
    <n v="25000"/>
    <s v="KU Regular operations"/>
    <s v="Recurring"/>
    <n v="22500"/>
    <n v="20000"/>
    <n v="17500"/>
    <s v="Service quality and performance "/>
    <s v="Service quality and performance "/>
    <s v="Service quality and performance "/>
    <m/>
    <m/>
    <n v="5000"/>
    <m/>
    <m/>
    <n v="5000"/>
    <m/>
    <n v="5000"/>
    <m/>
    <n v="5000"/>
    <m/>
    <n v="5000"/>
    <n v="25000"/>
    <s v="Realize a sustainable , healthy and safe campus environment for all community members"/>
    <m/>
  </r>
  <r>
    <s v="Facilities "/>
    <s v="No Applicable"/>
    <s v="SVP/ Support Services Office"/>
    <n v="847"/>
    <n v="8470530"/>
    <s v="KUST - Facilities Management"/>
    <n v="1"/>
    <n v="432320"/>
    <s v="432320-Residential Furniture and fixtures"/>
    <s v="000000"/>
    <s v="KUST- Sas Al Nakhl Campus"/>
    <n v="847020"/>
    <s v="FA179-Opex Expense"/>
    <n v="200179"/>
    <x v="482"/>
    <m/>
    <m/>
    <m/>
    <s v="432320.Residential Furniture and fixtures-Number of Building-Number"/>
    <s v="2m"/>
    <n v="1"/>
    <n v="30000"/>
    <s v="mattresses"/>
    <n v="30000"/>
    <s v="KU Regular operations"/>
    <s v="Recurring"/>
    <n v="27000"/>
    <n v="24000"/>
    <n v="21000"/>
    <s v="Service quality and performance "/>
    <s v="Service quality and performance "/>
    <s v="Service quality and performance "/>
    <m/>
    <m/>
    <n v="30000"/>
    <m/>
    <m/>
    <m/>
    <m/>
    <m/>
    <m/>
    <m/>
    <m/>
    <m/>
    <n v="30000"/>
    <s v="Realize a sustainable , healthy and safe campus environment for all community members"/>
    <m/>
  </r>
  <r>
    <s v="-"/>
    <s v="-"/>
    <s v="SVP/ Support Services Office"/>
    <n v="847"/>
    <n v="8470530"/>
    <s v="KUST - Facilities Management"/>
    <n v="1"/>
    <n v="429900"/>
    <s v="429900-Other services, not specifically mentioned elsewhere"/>
    <s v="000000"/>
    <s v="KUST - General"/>
    <n v="847001"/>
    <s v="FA179-Opex Expense"/>
    <n v="200179"/>
    <x v="483"/>
    <m/>
    <m/>
    <m/>
    <s v="429900.Other services, not specifically mentioned elsewhere-TBD-Number of TBD"/>
    <s v="Number"/>
    <n v="1"/>
    <n v="20000"/>
    <s v="Sports and other recreational supplies: Students"/>
    <n v="20000"/>
    <s v="KU Regular operations"/>
    <s v="Recurring"/>
    <n v="18000"/>
    <n v="16000"/>
    <n v="14000"/>
    <s v="Service quality and performance "/>
    <s v="Service quality and performance "/>
    <s v="Service quality and performance "/>
    <n v="5000"/>
    <m/>
    <m/>
    <m/>
    <m/>
    <n v="5000"/>
    <m/>
    <m/>
    <m/>
    <n v="5000"/>
    <m/>
    <n v="5000"/>
    <n v="2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2000000"/>
    <s v="Command Centre Main campus"/>
    <n v="2000000"/>
    <s v="KU Strategic New Initiative"/>
    <s v="Non-recurring"/>
    <n v="1800000"/>
    <n v="1600000"/>
    <n v="1400000"/>
    <s v="Service quality and performance "/>
    <s v="Service quality and performance "/>
    <s v="Service quality and performance "/>
    <m/>
    <m/>
    <n v="2000000"/>
    <m/>
    <m/>
    <m/>
    <m/>
    <m/>
    <m/>
    <m/>
    <m/>
    <m/>
    <n v="20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n v="0"/>
    <n v="2910350"/>
    <n v="2910350"/>
    <s v="492200.Capital expense - Buildings-Fitout cost-2m"/>
    <s v="2m"/>
    <n v="1"/>
    <n v="500000"/>
    <s v="Outdoor retail praperation, Food Truck, seating area, hoarding"/>
    <n v="500000"/>
    <s v="KU Strategic New Initiative"/>
    <s v="Non-recurring"/>
    <n v="450000"/>
    <n v="400000"/>
    <n v="350000"/>
    <s v="Service quality and performance "/>
    <s v="Service quality and performance "/>
    <s v="Service quality and performance "/>
    <m/>
    <m/>
    <n v="500000"/>
    <m/>
    <m/>
    <m/>
    <m/>
    <m/>
    <m/>
    <m/>
    <m/>
    <m/>
    <n v="5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n v="25040687.859999999"/>
    <n v="18425319"/>
    <n v="18425319"/>
    <s v="492200.Capital expense - Buildings-Fitout cost-2m"/>
    <s v="2m"/>
    <n v="1"/>
    <n v="11000000"/>
    <s v="Khalifa University Space Technology and Innovation Center (KUSTIC) phase 2"/>
    <n v="11000000"/>
    <s v="KU Strategic New Initiative"/>
    <s v="Non-recurring"/>
    <n v="9900000"/>
    <n v="8800000"/>
    <n v="7699999.9999999991"/>
    <s v="Service quality and performance "/>
    <s v="Service quality and performance "/>
    <s v="Service quality and performance "/>
    <m/>
    <m/>
    <n v="11000000"/>
    <m/>
    <m/>
    <m/>
    <m/>
    <m/>
    <m/>
    <m/>
    <m/>
    <m/>
    <n v="110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1650000"/>
    <s v="HR Office Layout redesign and implementation"/>
    <n v="1650000"/>
    <s v="KU Strategic New Initiative"/>
    <s v="Non-recurring"/>
    <n v="1485000"/>
    <n v="1320000"/>
    <n v="1155000"/>
    <s v="Service quality and performance "/>
    <s v="Service quality and performance "/>
    <s v="Service quality and performance "/>
    <m/>
    <m/>
    <n v="1650000"/>
    <m/>
    <m/>
    <m/>
    <m/>
    <m/>
    <m/>
    <m/>
    <m/>
    <m/>
    <n v="165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2000000"/>
    <s v="Main Campus Markeitng &amp; IPR shared Offices, Building E Level 2"/>
    <n v="2000000"/>
    <s v="KU Strategic New Initiative"/>
    <s v="Non-recurring"/>
    <n v="1800000"/>
    <n v="1600000"/>
    <n v="1400000"/>
    <s v="Service quality and performance "/>
    <s v="Service quality and performance "/>
    <s v="Service quality and performance "/>
    <m/>
    <m/>
    <n v="2000000"/>
    <m/>
    <m/>
    <m/>
    <m/>
    <m/>
    <m/>
    <m/>
    <m/>
    <m/>
    <n v="20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1500000"/>
    <s v="Main Campus SPV Office Creation , Building E, Level 4"/>
    <n v="1500000"/>
    <s v="KU Strategic New Initiative"/>
    <s v="Non-recurring"/>
    <n v="1350000"/>
    <n v="1200000"/>
    <n v="1050000"/>
    <s v="Service quality and performance "/>
    <s v="Service quality and performance "/>
    <s v="Service quality and performance "/>
    <m/>
    <m/>
    <n v="1500000"/>
    <m/>
    <m/>
    <m/>
    <m/>
    <m/>
    <m/>
    <m/>
    <m/>
    <m/>
    <n v="15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1500000"/>
    <s v="Main Campus Associate Provost Office Creation, Builiding C, Level 3  "/>
    <n v="1500000"/>
    <s v="KU Strategic New Initiative"/>
    <s v="Non-recurring"/>
    <n v="1350000"/>
    <n v="1200000"/>
    <n v="1050000"/>
    <s v="Service quality and performance "/>
    <s v="Service quality and performance "/>
    <s v="Service quality and performance "/>
    <m/>
    <m/>
    <n v="1500000"/>
    <m/>
    <m/>
    <m/>
    <m/>
    <m/>
    <m/>
    <m/>
    <m/>
    <m/>
    <n v="15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3000000"/>
    <s v="Data Center chiller operational issue  : Long time solution and upgradation works ( Additional DC units )"/>
    <n v="3000000"/>
    <s v="KU Strategic New Initiative"/>
    <s v="Non-recurring"/>
    <n v="2700000"/>
    <n v="2400000"/>
    <n v="2100000"/>
    <s v="Service quality and performance "/>
    <s v="Service quality and performance "/>
    <s v="Service quality and performance "/>
    <m/>
    <m/>
    <n v="3000000"/>
    <m/>
    <m/>
    <m/>
    <m/>
    <m/>
    <m/>
    <m/>
    <m/>
    <m/>
    <n v="30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110000"/>
    <s v="Modify multipurpose sports hall light with LED lights ( Current CFL light are obsolete )"/>
    <n v="110000"/>
    <s v="KU Strategic New Initiative"/>
    <s v="Non-recurring"/>
    <n v="99000"/>
    <n v="88000"/>
    <n v="77000"/>
    <s v="Service quality and performance "/>
    <s v="Service quality and performance "/>
    <s v="Service quality and performance "/>
    <m/>
    <m/>
    <n v="110000"/>
    <m/>
    <m/>
    <m/>
    <m/>
    <m/>
    <m/>
    <m/>
    <m/>
    <m/>
    <n v="11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2100000"/>
    <s v="Supply and installation of Package units (15 no's ) "/>
    <n v="2100000"/>
    <s v="KU Strategic New Initiative"/>
    <s v="Non-recurring"/>
    <n v="1890000"/>
    <n v="1680000"/>
    <n v="1470000"/>
    <s v="Service quality and performance "/>
    <s v="Service quality and performance "/>
    <s v="Service quality and performance "/>
    <m/>
    <m/>
    <n v="2100000"/>
    <m/>
    <m/>
    <m/>
    <m/>
    <m/>
    <m/>
    <m/>
    <m/>
    <m/>
    <n v="21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60000"/>
    <s v="Replacement of existing exhaust fan - 4 sets "/>
    <n v="60000"/>
    <s v="KU Strategic New Initiative"/>
    <s v="Non-recurring"/>
    <n v="54000"/>
    <n v="48000"/>
    <n v="42000"/>
    <s v="Service quality and performance "/>
    <s v="Service quality and performance "/>
    <s v="Service quality and performance "/>
    <m/>
    <m/>
    <n v="60000"/>
    <m/>
    <m/>
    <m/>
    <m/>
    <m/>
    <m/>
    <m/>
    <m/>
    <m/>
    <n v="6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300000"/>
    <s v="Supply and installation of GRP water tank - old buildings "/>
    <n v="300000"/>
    <s v="KU Strategic New Initiative"/>
    <s v="Non-recurring"/>
    <n v="270000"/>
    <n v="240000"/>
    <n v="210000"/>
    <s v="Service quality and performance "/>
    <s v="Service quality and performance "/>
    <s v="Service quality and performance "/>
    <m/>
    <m/>
    <n v="300000"/>
    <m/>
    <m/>
    <m/>
    <m/>
    <m/>
    <m/>
    <m/>
    <m/>
    <m/>
    <n v="3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100000"/>
    <s v="Supply and replacement of Manual Pull station ( 45 no's) -old buildings "/>
    <n v="100000"/>
    <s v="KU Strategic New Initiative"/>
    <s v="Non-recurring"/>
    <n v="90000"/>
    <n v="80000"/>
    <n v="70000"/>
    <s v="Service quality and performance "/>
    <s v="Service quality and performance "/>
    <s v="Service quality and performance "/>
    <m/>
    <m/>
    <n v="100000"/>
    <m/>
    <m/>
    <m/>
    <m/>
    <m/>
    <m/>
    <m/>
    <m/>
    <m/>
    <n v="1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300000"/>
    <s v="Supply and replacement of smoke and heat detectors with base ( 160 no's) -old buildings "/>
    <n v="300000"/>
    <s v="KU Strategic New Initiative"/>
    <s v="Non-recurring"/>
    <n v="270000"/>
    <n v="240000"/>
    <n v="210000"/>
    <s v="Service quality and performance "/>
    <s v="Service quality and performance "/>
    <s v="Service quality and performance "/>
    <m/>
    <m/>
    <n v="300000"/>
    <m/>
    <m/>
    <m/>
    <m/>
    <m/>
    <m/>
    <m/>
    <m/>
    <m/>
    <n v="3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100000"/>
    <s v="Upgradation of capacitor bank - old buildings "/>
    <n v="100000"/>
    <s v="KU Strategic New Initiative"/>
    <s v="Non-recurring"/>
    <n v="90000"/>
    <n v="80000"/>
    <n v="70000"/>
    <s v="Service quality and performance "/>
    <s v="Service quality and performance "/>
    <s v="Service quality and performance "/>
    <m/>
    <m/>
    <n v="100000"/>
    <m/>
    <m/>
    <m/>
    <m/>
    <m/>
    <m/>
    <m/>
    <m/>
    <m/>
    <n v="1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60000"/>
    <s v="Replaement of Emergency light and exit light in old buildings "/>
    <n v="60000"/>
    <s v="KU Strategic New Initiative"/>
    <s v="Non-recurring"/>
    <n v="54000"/>
    <n v="48000"/>
    <n v="42000"/>
    <s v="Service quality and performance "/>
    <s v="Service quality and performance "/>
    <s v="Service quality and performance "/>
    <m/>
    <m/>
    <n v="60000"/>
    <m/>
    <m/>
    <m/>
    <m/>
    <m/>
    <m/>
    <m/>
    <m/>
    <m/>
    <n v="6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750000"/>
    <s v="Replaement or Fume hoods replacement( Ductless fume hood )"/>
    <n v="750000"/>
    <s v="KU Strategic New Initiative"/>
    <s v="Non-recurring"/>
    <n v="675000"/>
    <n v="600000"/>
    <n v="525000"/>
    <s v="Service quality and performance "/>
    <s v="Service quality and performance "/>
    <s v="Service quality and performance "/>
    <m/>
    <m/>
    <n v="750000"/>
    <m/>
    <m/>
    <m/>
    <m/>
    <m/>
    <m/>
    <m/>
    <m/>
    <m/>
    <n v="75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1000000"/>
    <s v="BMS for  existing buildings (Connect existing building HVAC system to AZBIL BMS ) and upgrading new builiding sysgtem to cloud base system"/>
    <n v="1000000"/>
    <s v="KU Strategic New Initiative"/>
    <s v="Non-recurring"/>
    <n v="900000"/>
    <n v="800000"/>
    <n v="700000"/>
    <s v="Service quality and performance "/>
    <s v="Service quality and performance "/>
    <s v="Service quality and performance "/>
    <m/>
    <m/>
    <n v="1000000"/>
    <m/>
    <m/>
    <m/>
    <m/>
    <m/>
    <m/>
    <m/>
    <m/>
    <m/>
    <n v="10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s v=" "/>
    <m/>
    <s v="492200.Capital expense - Buildings-Fitout cost-2m"/>
    <s v="2m"/>
    <n v="1"/>
    <n v="610000"/>
    <s v="Upgrading of Centralized UPS sysem  for L , R &amp; G  Building  (Existing building)"/>
    <n v="610000"/>
    <s v="KU Strategic New Initiative"/>
    <s v="Non-recurring"/>
    <n v="549000"/>
    <n v="488000"/>
    <n v="427000"/>
    <s v="Service quality and performance "/>
    <s v="Service quality and performance "/>
    <s v="Service quality and performance "/>
    <m/>
    <m/>
    <n v="610000"/>
    <m/>
    <m/>
    <m/>
    <m/>
    <m/>
    <m/>
    <m/>
    <m/>
    <m/>
    <n v="61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60000"/>
    <s v="Replacement fo 4 feet light fittings with LED light  in  Existing building G"/>
    <n v="60000"/>
    <s v="KU Strategic New Initiative"/>
    <s v="Non-recurring"/>
    <n v="54000"/>
    <n v="48000"/>
    <n v="42000"/>
    <s v="Service quality and performance "/>
    <s v="Service quality and performance "/>
    <s v="Service quality and performance "/>
    <m/>
    <m/>
    <n v="60000"/>
    <m/>
    <m/>
    <m/>
    <m/>
    <m/>
    <m/>
    <m/>
    <m/>
    <m/>
    <n v="6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350000"/>
    <s v="Modify the existing street lights with solar LED lights  ( 14 no's ) "/>
    <n v="350000"/>
    <s v="KU Strategic New Initiative"/>
    <s v="Non-recurring"/>
    <n v="315000"/>
    <n v="280000"/>
    <n v="244999.99999999997"/>
    <s v="Service quality and performance "/>
    <s v="Service quality and performance "/>
    <s v="Service quality and performance "/>
    <m/>
    <m/>
    <n v="350000"/>
    <m/>
    <m/>
    <m/>
    <m/>
    <m/>
    <m/>
    <m/>
    <m/>
    <m/>
    <n v="35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50000"/>
    <s v="Supply and installation of split AC units (10 no's )"/>
    <n v="50000"/>
    <s v="KU Strategic New Initiative"/>
    <s v="Non-recurring"/>
    <n v="45000"/>
    <n v="40000"/>
    <n v="35000"/>
    <s v="Service quality and performance "/>
    <s v="Service quality and performance "/>
    <s v="Service quality and performance "/>
    <m/>
    <m/>
    <n v="50000"/>
    <m/>
    <m/>
    <m/>
    <m/>
    <m/>
    <m/>
    <m/>
    <m/>
    <m/>
    <n v="5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160000"/>
    <s v="Installation of master clock - old buildings "/>
    <n v="160000"/>
    <s v="KU Strategic New Initiative"/>
    <s v="Non-recurring"/>
    <n v="144000"/>
    <n v="128000"/>
    <n v="112000"/>
    <s v="Service quality and performance "/>
    <s v="Service quality and performance "/>
    <s v="Service quality and performance "/>
    <m/>
    <m/>
    <n v="160000"/>
    <m/>
    <m/>
    <m/>
    <m/>
    <m/>
    <m/>
    <m/>
    <m/>
    <m/>
    <n v="16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300000"/>
    <s v="  External  Security Cabin   for  security station ,  at main campus"/>
    <n v="300000"/>
    <s v="KU Strategic New Initiative"/>
    <s v="Non-recurring"/>
    <n v="270000"/>
    <n v="240000"/>
    <n v="210000"/>
    <s v="Service quality and performance "/>
    <s v="Service quality and performance "/>
    <s v="Service quality and performance "/>
    <m/>
    <m/>
    <n v="300000"/>
    <m/>
    <m/>
    <m/>
    <m/>
    <m/>
    <m/>
    <m/>
    <m/>
    <m/>
    <n v="3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300000"/>
    <s v="Modificaiton of flush system and exhasut system in the existing builidng "/>
    <n v="300000"/>
    <s v="KU Strategic New Initiative"/>
    <s v="Non-recurring"/>
    <n v="270000"/>
    <n v="240000"/>
    <n v="210000"/>
    <s v="Service quality and performance "/>
    <s v="Service quality and performance "/>
    <s v="Service quality and performance "/>
    <m/>
    <m/>
    <n v="300000"/>
    <m/>
    <m/>
    <m/>
    <m/>
    <m/>
    <m/>
    <m/>
    <m/>
    <m/>
    <n v="3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120000"/>
    <s v="Supply and installation glass panel with LOGO – G &amp; L Building at Main campus"/>
    <n v="120000"/>
    <s v="KU Strategic New Initiative"/>
    <s v="Non-recurring"/>
    <n v="108000"/>
    <n v="96000"/>
    <n v="84000"/>
    <s v="Service quality and performance "/>
    <s v="Service quality and performance "/>
    <s v="Service quality and performance "/>
    <m/>
    <m/>
    <n v="120000"/>
    <m/>
    <m/>
    <m/>
    <m/>
    <m/>
    <m/>
    <m/>
    <m/>
    <m/>
    <n v="12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270440"/>
    <s v="MEP &amp; CIVIL Configure room A03031 for Academic Affairs collaborative teaching and learning advancement (CMHS)"/>
    <n v="270440"/>
    <s v="KU Strategic New Initiative"/>
    <s v="Non-recurring"/>
    <n v="243396"/>
    <n v="216352"/>
    <n v="189308"/>
    <s v="Service quality and performance "/>
    <s v="Service quality and performance "/>
    <s v="Service quality and performance "/>
    <m/>
    <m/>
    <n v="270440"/>
    <m/>
    <m/>
    <m/>
    <m/>
    <m/>
    <m/>
    <m/>
    <m/>
    <m/>
    <n v="27044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50000"/>
    <s v="MEP &amp; CIVIL Construction supply and installation of self contained colld store for 8 bodies (CMHS)"/>
    <n v="50000"/>
    <s v="KU Strategic New Initiative"/>
    <s v="Non-recurring"/>
    <n v="45000"/>
    <n v="40000"/>
    <n v="35000"/>
    <s v="Service quality and performance "/>
    <s v="Service quality and performance "/>
    <s v="Service quality and performance "/>
    <m/>
    <m/>
    <n v="50000"/>
    <m/>
    <m/>
    <m/>
    <m/>
    <m/>
    <m/>
    <m/>
    <m/>
    <m/>
    <n v="5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672120"/>
    <s v="MEP &amp; CIVIL Classroom Fit Out (6 no.) (CMHS)"/>
    <n v="672120"/>
    <s v="KU Strategic New Initiative"/>
    <s v="Non-recurring"/>
    <n v="604908"/>
    <n v="537696"/>
    <n v="470483.99999999994"/>
    <s v="Service quality and performance "/>
    <s v="Service quality and performance "/>
    <s v="Service quality and performance "/>
    <m/>
    <m/>
    <n v="672120"/>
    <m/>
    <m/>
    <m/>
    <m/>
    <m/>
    <m/>
    <m/>
    <m/>
    <m/>
    <n v="67212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78000"/>
    <s v="MEP &amp; CIVIL Supply and installation of Perimeter benhes and under counter cabinets and drawers - 5 x rooms, 4th flr bldg A (CHMS)"/>
    <n v="78000"/>
    <s v="KU Strategic New Initiative"/>
    <s v="Non-recurring"/>
    <n v="70200"/>
    <n v="62400"/>
    <n v="54600"/>
    <s v="Service quality and performance "/>
    <s v="Service quality and performance "/>
    <s v="Service quality and performance "/>
    <m/>
    <m/>
    <n v="78000"/>
    <m/>
    <m/>
    <m/>
    <m/>
    <m/>
    <m/>
    <m/>
    <m/>
    <m/>
    <n v="78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2500000"/>
    <s v="MEB &amp; CIVIL Staging room &amp; Support spaces - CAVE (CMHS)"/>
    <n v="2500000"/>
    <s v="KU Strategic New Initiative"/>
    <s v="Non-recurring"/>
    <n v="2250000"/>
    <n v="2000000"/>
    <n v="1750000"/>
    <s v="Service quality and performance "/>
    <s v="Service quality and performance "/>
    <s v="Service quality and performance "/>
    <m/>
    <m/>
    <n v="2500000"/>
    <m/>
    <m/>
    <m/>
    <m/>
    <m/>
    <m/>
    <m/>
    <m/>
    <m/>
    <n v="25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s v="492200.Capital expense - Buildings-Fitout cost-2m"/>
    <s v="2m"/>
    <n v="1"/>
    <n v="1750000"/>
    <s v="LECTURE HALL Design, supply and installation - Modification and Functional Upgrade (CMHS)"/>
    <n v="1750000"/>
    <s v="KU Strategic New Initiative"/>
    <s v="Non-recurring"/>
    <n v="1575000"/>
    <n v="1400000"/>
    <n v="1225000"/>
    <s v="Service quality and performance "/>
    <s v="Service quality and performance "/>
    <s v="Service quality and performance "/>
    <m/>
    <m/>
    <n v="1750000"/>
    <m/>
    <m/>
    <m/>
    <m/>
    <m/>
    <m/>
    <m/>
    <m/>
    <m/>
    <n v="175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 Main Campus"/>
    <n v="847010"/>
    <s v="FA180-Capex Expense"/>
    <n v="300180"/>
    <x v="484"/>
    <m/>
    <m/>
    <m/>
    <n v="0"/>
    <s v="-_"/>
    <n v="1"/>
    <m/>
    <m/>
    <n v="0"/>
    <m/>
    <m/>
    <n v="0"/>
    <n v="0"/>
    <n v="0"/>
    <m/>
    <m/>
    <m/>
    <m/>
    <m/>
    <m/>
    <m/>
    <m/>
    <m/>
    <m/>
    <m/>
    <m/>
    <m/>
    <m/>
    <m/>
    <n v="0"/>
    <m/>
    <m/>
  </r>
  <r>
    <s v="Facilities "/>
    <s v="Director, Administration and Facilities"/>
    <s v="SVP/ Support Services Office"/>
    <n v="847"/>
    <n v="8470530"/>
    <s v="KUST - Facilities Management"/>
    <n v="1"/>
    <n v="492200"/>
    <s v="492200-Capital expense - Buildings"/>
    <s v="000000"/>
    <s v="Student Related Costs"/>
    <n v="847015"/>
    <s v="FA180-Capex Expense"/>
    <n v="300180"/>
    <x v="485"/>
    <n v="1343400"/>
    <n v="0"/>
    <m/>
    <s v="492200.Capital expense - Buildings-Fitout cost-2m"/>
    <s v="2m"/>
    <n v="1"/>
    <n v="200000"/>
    <s v="Modification works adding new turnstile gates in Gate no :1 &amp; 2 ,Main campus"/>
    <n v="200000"/>
    <s v="KU Strategic New Initiative"/>
    <s v="Non-recurring"/>
    <n v="180000"/>
    <n v="160000"/>
    <n v="140000"/>
    <s v="Service quality and performance "/>
    <s v="Service quality and performance "/>
    <s v="Service quality and performance "/>
    <m/>
    <m/>
    <n v="200000"/>
    <m/>
    <m/>
    <m/>
    <m/>
    <m/>
    <m/>
    <m/>
    <m/>
    <m/>
    <n v="2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36800000"/>
    <s v="Habshan Building Renovation"/>
    <n v="36800000"/>
    <s v="KU Strategic New Initiative"/>
    <s v="Non-recurring"/>
    <n v="33120000"/>
    <n v="29440000"/>
    <n v="25760000"/>
    <s v="Service quality and performance "/>
    <s v="Service quality and performance "/>
    <s v="Service quality and performance "/>
    <m/>
    <m/>
    <n v="36800000"/>
    <m/>
    <m/>
    <m/>
    <m/>
    <m/>
    <m/>
    <m/>
    <m/>
    <m/>
    <n v="368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3000000"/>
    <s v="Command Centre SAN campus"/>
    <n v="3000000"/>
    <s v="KU Strategic New Initiative"/>
    <s v="Non-recurring"/>
    <n v="2700000"/>
    <n v="2400000"/>
    <n v="2100000"/>
    <s v="Service quality and performance "/>
    <s v="Service quality and performance "/>
    <s v="Service quality and performance "/>
    <m/>
    <m/>
    <n v="3000000"/>
    <m/>
    <m/>
    <m/>
    <m/>
    <m/>
    <m/>
    <m/>
    <m/>
    <m/>
    <n v="30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n v="2319769"/>
    <n v="23038949"/>
    <n v="23038949"/>
    <s v="492200.Capital expense - Buildings-Fitout cost-2m"/>
    <s v="2m"/>
    <n v="1"/>
    <n v="2000000"/>
    <s v="HVDM lab construction fit-out"/>
    <n v="2000000"/>
    <s v="KU Strategic New Initiative"/>
    <s v="Non-recurring"/>
    <n v="1800000"/>
    <n v="1600000"/>
    <n v="1400000"/>
    <s v="Service quality and performance "/>
    <s v="Service quality and performance "/>
    <s v="Service quality and performance "/>
    <m/>
    <m/>
    <n v="2000000"/>
    <m/>
    <m/>
    <m/>
    <m/>
    <m/>
    <m/>
    <m/>
    <m/>
    <m/>
    <n v="20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1600000"/>
    <s v="Arzanah convertion to GSO"/>
    <n v="1600000"/>
    <s v="KU Strategic New Initiative"/>
    <s v="Non-recurring"/>
    <n v="1440000"/>
    <n v="1280000"/>
    <n v="1120000"/>
    <s v="Service quality and performance "/>
    <s v="Service quality and performance "/>
    <s v="Service quality and performance "/>
    <m/>
    <m/>
    <n v="1600000"/>
    <m/>
    <m/>
    <m/>
    <m/>
    <m/>
    <m/>
    <m/>
    <m/>
    <m/>
    <n v="16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2000000"/>
    <s v="Facilities Upgrade, Tolits Proejct (Bu Hassa, Um Sheif, AlRwuis, Arzanh)"/>
    <n v="2000000"/>
    <s v="KU Strategic New Initiative"/>
    <s v="Non-recurring"/>
    <n v="1800000"/>
    <n v="1600000"/>
    <n v="1400000"/>
    <s v="Service quality and performance "/>
    <s v="Service quality and performance "/>
    <s v="Service quality and performance "/>
    <m/>
    <m/>
    <n v="2000000"/>
    <m/>
    <m/>
    <m/>
    <m/>
    <m/>
    <m/>
    <m/>
    <m/>
    <m/>
    <n v="20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5000000"/>
    <s v="Road connection SAN to Arzanah"/>
    <n v="5000000"/>
    <s v="KU Strategic New Initiative"/>
    <s v="Non-recurring"/>
    <n v="4500000"/>
    <n v="4000000"/>
    <n v="3500000"/>
    <s v="Service quality and performance "/>
    <s v="Service quality and performance "/>
    <s v="Service quality and performance "/>
    <m/>
    <m/>
    <n v="5000000"/>
    <m/>
    <m/>
    <m/>
    <m/>
    <m/>
    <m/>
    <m/>
    <m/>
    <m/>
    <n v="50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700000"/>
    <s v="Arzanah Cove light &amp; spot light replacement"/>
    <n v="700000"/>
    <s v="KU Strategic New Initiative"/>
    <s v="Non-recurring"/>
    <n v="630000"/>
    <n v="560000"/>
    <n v="489999.99999999994"/>
    <s v="Service quality and performance "/>
    <s v="Service quality and performance "/>
    <s v="Service quality and performance "/>
    <m/>
    <m/>
    <n v="700000"/>
    <m/>
    <m/>
    <m/>
    <m/>
    <m/>
    <m/>
    <m/>
    <m/>
    <m/>
    <n v="7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520000"/>
    <s v="Supply and installation of chin link fence in KU plot area (unfenced area only)"/>
    <n v="520000"/>
    <s v="KU Strategic New Initiative"/>
    <s v="Non-recurring"/>
    <n v="468000"/>
    <n v="416000"/>
    <n v="364000"/>
    <s v="Service quality and performance "/>
    <s v="Service quality and performance "/>
    <s v="Service quality and performance "/>
    <m/>
    <m/>
    <n v="520000"/>
    <m/>
    <m/>
    <m/>
    <m/>
    <m/>
    <m/>
    <m/>
    <m/>
    <m/>
    <n v="52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500000"/>
    <s v="Implementation of LCP in  Buhasa"/>
    <n v="500000"/>
    <s v="KU Strategic New Initiative"/>
    <s v="Non-recurring"/>
    <n v="450000"/>
    <n v="400000"/>
    <n v="350000"/>
    <s v="Service quality and performance "/>
    <s v="Service quality and performance "/>
    <s v="Service quality and performance "/>
    <m/>
    <m/>
    <n v="500000"/>
    <m/>
    <m/>
    <m/>
    <m/>
    <m/>
    <m/>
    <m/>
    <m/>
    <m/>
    <n v="5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80000"/>
    <s v="Providing master clock system in  Bu Hasa"/>
    <n v="80000"/>
    <s v="KU Strategic New Initiative"/>
    <s v="Non-recurring"/>
    <n v="72000"/>
    <n v="64000"/>
    <n v="56000"/>
    <s v="Service quality and performance "/>
    <s v="Service quality and performance "/>
    <s v="Service quality and performance "/>
    <m/>
    <m/>
    <n v="80000"/>
    <m/>
    <m/>
    <m/>
    <m/>
    <m/>
    <m/>
    <m/>
    <m/>
    <m/>
    <n v="8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100000"/>
    <s v="Providing master clock system in Umm Shaif"/>
    <n v="100000"/>
    <s v="KU Strategic New Initiative"/>
    <s v="Non-recurring"/>
    <n v="90000"/>
    <n v="80000"/>
    <n v="70000"/>
    <s v="Service quality and performance "/>
    <s v="Service quality and performance "/>
    <s v="Service quality and performance "/>
    <m/>
    <m/>
    <n v="100000"/>
    <m/>
    <m/>
    <m/>
    <m/>
    <m/>
    <m/>
    <m/>
    <m/>
    <m/>
    <n v="1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70000"/>
    <s v="Supply and Installation of VFD in Ruwais, Schneider 11Kw/17 Units"/>
    <n v="70000"/>
    <s v="KU Strategic New Initiative"/>
    <s v="Non-recurring"/>
    <n v="63000"/>
    <n v="56000"/>
    <n v="49000"/>
    <s v="Service quality and performance "/>
    <s v="Service quality and performance "/>
    <s v="Service quality and performance "/>
    <m/>
    <m/>
    <n v="70000"/>
    <m/>
    <m/>
    <m/>
    <m/>
    <m/>
    <m/>
    <m/>
    <m/>
    <m/>
    <n v="7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500000"/>
    <s v="Repalcement of FAHU at Buhasa Building (2 Units)"/>
    <n v="500000"/>
    <s v="KU Strategic New Initiative"/>
    <s v="Non-recurring"/>
    <n v="450000"/>
    <n v="400000"/>
    <n v="350000"/>
    <s v="Service quality and performance "/>
    <s v="Service quality and performance "/>
    <s v="Service quality and performance "/>
    <m/>
    <m/>
    <n v="500000"/>
    <m/>
    <m/>
    <m/>
    <m/>
    <m/>
    <m/>
    <m/>
    <m/>
    <m/>
    <n v="5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2500000"/>
    <s v="Supply and installation of Access card system for remaining lab and offices"/>
    <n v="2500000"/>
    <s v="KU Strategic New Initiative"/>
    <s v="Non-recurring"/>
    <n v="2250000"/>
    <n v="2000000"/>
    <n v="1750000"/>
    <s v="Service quality and performance "/>
    <s v="Service quality and performance "/>
    <s v="Service quality and performance "/>
    <m/>
    <m/>
    <n v="2500000"/>
    <m/>
    <m/>
    <m/>
    <m/>
    <m/>
    <m/>
    <m/>
    <m/>
    <m/>
    <n v="25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1200000"/>
    <s v="Interlocking tile replacement for female hostels including road marking"/>
    <n v="1200000"/>
    <s v="KU Strategic New Initiative"/>
    <s v="Non-recurring"/>
    <n v="1080000"/>
    <n v="960000"/>
    <n v="840000"/>
    <s v="Service quality and performance "/>
    <s v="Service quality and performance "/>
    <s v="Service quality and performance "/>
    <m/>
    <m/>
    <n v="1200000"/>
    <m/>
    <m/>
    <m/>
    <m/>
    <m/>
    <m/>
    <m/>
    <m/>
    <m/>
    <n v="12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1200000"/>
    <s v=" LCS &amp; LED lights installation at Ruwais building"/>
    <n v="1200000"/>
    <s v="KU Strategic New Initiative"/>
    <s v="Non-recurring"/>
    <n v="1080000"/>
    <n v="960000"/>
    <n v="840000"/>
    <s v="Service quality and performance "/>
    <s v="Service quality and performance "/>
    <s v="Service quality and performance "/>
    <m/>
    <m/>
    <n v="1200000"/>
    <m/>
    <m/>
    <m/>
    <m/>
    <m/>
    <m/>
    <m/>
    <m/>
    <m/>
    <n v="12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60000"/>
    <s v=" Pole  lights fittings replacement works with LED at Foot ball field"/>
    <n v="60000"/>
    <s v="KU Strategic New Initiative"/>
    <s v="Non-recurring"/>
    <n v="54000"/>
    <n v="48000"/>
    <n v="42000"/>
    <s v="Service quality and performance "/>
    <s v="Service quality and performance "/>
    <s v="Service quality and performance "/>
    <m/>
    <m/>
    <n v="60000"/>
    <m/>
    <m/>
    <m/>
    <m/>
    <m/>
    <m/>
    <m/>
    <m/>
    <m/>
    <n v="6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22000"/>
    <s v=" Pole  lights fittings replacement works with LED at Basket ball field"/>
    <n v="22000"/>
    <s v="KU Strategic New Initiative"/>
    <s v="Non-recurring"/>
    <n v="19800"/>
    <n v="17600"/>
    <n v="15399.999999999998"/>
    <s v="Service quality and performance "/>
    <s v="Service quality and performance "/>
    <s v="Service quality and performance "/>
    <m/>
    <m/>
    <n v="22000"/>
    <m/>
    <m/>
    <m/>
    <m/>
    <m/>
    <m/>
    <m/>
    <m/>
    <m/>
    <n v="22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100000"/>
    <s v="Replacement of lights with LED in Work shops and ware house"/>
    <n v="100000"/>
    <s v="KU Strategic New Initiative"/>
    <s v="Non-recurring"/>
    <n v="90000"/>
    <n v="80000"/>
    <n v="70000"/>
    <s v="Service quality and performance "/>
    <s v="Service quality and performance "/>
    <s v="Service quality and performance "/>
    <m/>
    <m/>
    <n v="100000"/>
    <m/>
    <m/>
    <m/>
    <m/>
    <m/>
    <m/>
    <m/>
    <m/>
    <m/>
    <n v="1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1200000"/>
    <s v=" LCS &amp; LED lights installation at Bu Hasa building"/>
    <n v="1200000"/>
    <s v="KU Strategic New Initiative"/>
    <s v="Non-recurring"/>
    <n v="1080000"/>
    <n v="960000"/>
    <n v="840000"/>
    <s v="Service quality and performance "/>
    <s v="Service quality and performance "/>
    <s v="Service quality and performance "/>
    <m/>
    <m/>
    <n v="1200000"/>
    <m/>
    <m/>
    <m/>
    <m/>
    <m/>
    <m/>
    <m/>
    <m/>
    <m/>
    <n v="12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350000"/>
    <s v="Fase ceiling replacement at Bu Hasa building"/>
    <n v="350000"/>
    <s v="KU Strategic New Initiative"/>
    <s v="Non-recurring"/>
    <n v="315000"/>
    <n v="280000"/>
    <n v="244999.99999999997"/>
    <s v="Service quality and performance "/>
    <s v="Service quality and performance "/>
    <s v="Service quality and performance "/>
    <m/>
    <m/>
    <n v="350000"/>
    <m/>
    <m/>
    <m/>
    <m/>
    <m/>
    <m/>
    <m/>
    <m/>
    <m/>
    <n v="35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600000"/>
    <s v="Replacement of wash basin mixers with sensor mixers"/>
    <n v="600000"/>
    <s v="KU Strategic New Initiative"/>
    <s v="Non-recurring"/>
    <n v="540000"/>
    <n v="480000"/>
    <n v="420000"/>
    <s v="Service quality and performance "/>
    <s v="Service quality and performance "/>
    <s v="Service quality and performance "/>
    <m/>
    <m/>
    <n v="600000"/>
    <m/>
    <m/>
    <m/>
    <m/>
    <m/>
    <m/>
    <m/>
    <m/>
    <m/>
    <n v="6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6000000"/>
    <s v="Central Gas network for arzanah  lab (Phase 2/1)"/>
    <n v="6000000"/>
    <s v="KU Strategic New Initiative"/>
    <s v="Non-recurring"/>
    <n v="5400000"/>
    <n v="4800000"/>
    <n v="4200000"/>
    <s v="Service quality and performance "/>
    <s v="Service quality and performance "/>
    <s v="Service quality and performance "/>
    <m/>
    <m/>
    <n v="6000000"/>
    <m/>
    <m/>
    <m/>
    <m/>
    <m/>
    <m/>
    <m/>
    <m/>
    <m/>
    <n v="60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1000000"/>
    <s v="Mosque renovation with temprary mosque facilities"/>
    <n v="1000000"/>
    <s v="KU Strategic New Initiative"/>
    <s v="Non-recurring"/>
    <n v="900000"/>
    <n v="800000"/>
    <n v="700000"/>
    <s v="Service quality and performance "/>
    <s v="Service quality and performance "/>
    <s v="Service quality and performance "/>
    <m/>
    <m/>
    <n v="1000000"/>
    <m/>
    <m/>
    <m/>
    <m/>
    <m/>
    <m/>
    <m/>
    <m/>
    <m/>
    <n v="10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n v="1"/>
    <n v="150000"/>
    <s v="Upgradition of chiller control cables form flat to round type"/>
    <n v="150000"/>
    <s v="KU Strategic New Initiative"/>
    <s v="Non-recurring"/>
    <n v="135000"/>
    <n v="120000"/>
    <n v="105000"/>
    <s v="Service quality and performance "/>
    <s v="Service quality and performance "/>
    <s v="Service quality and performance "/>
    <m/>
    <m/>
    <n v="150000"/>
    <m/>
    <m/>
    <m/>
    <m/>
    <m/>
    <m/>
    <m/>
    <m/>
    <m/>
    <n v="15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m/>
    <n v="400000"/>
    <s v="Replacement of Car park fabric  shade and repainting in Arzanah phase 2"/>
    <n v="400000"/>
    <s v="KU Strategic New Initiative"/>
    <s v="Non-recurring"/>
    <n v="360000"/>
    <n v="320000"/>
    <n v="280000"/>
    <s v="Service quality and performance "/>
    <s v="Service quality and performance "/>
    <s v="Service quality and performance "/>
    <m/>
    <m/>
    <n v="400000"/>
    <m/>
    <m/>
    <m/>
    <m/>
    <m/>
    <m/>
    <m/>
    <m/>
    <m/>
    <n v="400000"/>
    <s v="Realize a sustainable , healthy and safe campus environment for all community members"/>
    <m/>
  </r>
  <r>
    <s v="Facilities "/>
    <s v="Director, Administration and Facilities"/>
    <s v="SVP/ Support Services Office"/>
    <n v="847"/>
    <n v="8470530"/>
    <s v="KUST - Facilities Management"/>
    <n v="1"/>
    <n v="492200"/>
    <s v="492200-Capital expense - Buildings"/>
    <s v="000000"/>
    <s v="KUST- Sas Al Nakhl Campus"/>
    <n v="847020"/>
    <s v="FA180-Capex Expense"/>
    <n v="300180"/>
    <x v="486"/>
    <m/>
    <m/>
    <m/>
    <s v="492200.Capital expense - Buildings-Fitout cost-2m"/>
    <s v="2m"/>
    <m/>
    <n v="500000"/>
    <s v="Replacement of Car park fabric  shade and repainting in Takreer parking"/>
    <n v="500000"/>
    <s v="KU Strategic New Initiative"/>
    <s v="Non-recurring"/>
    <n v="450000"/>
    <n v="400000"/>
    <n v="350000"/>
    <s v="Service quality and performance "/>
    <s v="Service quality and performance "/>
    <s v="Service quality and performance "/>
    <m/>
    <m/>
    <n v="500000"/>
    <m/>
    <m/>
    <m/>
    <m/>
    <m/>
    <m/>
    <m/>
    <m/>
    <m/>
    <n v="500000"/>
    <s v="Realize a sustainable , healthy and safe campus environment for all community members"/>
    <m/>
  </r>
  <r>
    <s v="Facilities "/>
    <s v="Director, Administration and Facilities"/>
    <s v="SVP/ Support Services Office"/>
    <n v="847"/>
    <n v="8470530"/>
    <s v="KUST - Facilities Management"/>
    <n v="1"/>
    <n v="492610"/>
    <s v="492610-Furniture &amp; Fixtures - Offices"/>
    <s v="000000"/>
    <s v="KUST - Main Campus"/>
    <n v="847010"/>
    <s v="FA180-Capex Expense"/>
    <n v="300180"/>
    <x v="487"/>
    <n v="1623493.7"/>
    <n v="2271162"/>
    <n v="2271162"/>
    <s v="492610.Furniture &amp; Fixtures - Offices-Area of the rehabilitated building-2m"/>
    <s v="2m"/>
    <n v="1"/>
    <n v="1700000"/>
    <s v="Furnishing (Cubical,Chairs,Tables,Lab"/>
    <n v="1700000"/>
    <s v="KU Strategic New Initiative"/>
    <s v="Non-recurring"/>
    <n v="1530000"/>
    <n v="1360000"/>
    <n v="1190000"/>
    <s v="Service quality and performance "/>
    <s v="Service quality and performance "/>
    <s v="Service quality and performance "/>
    <m/>
    <m/>
    <n v="1700000"/>
    <m/>
    <m/>
    <m/>
    <m/>
    <m/>
    <m/>
    <m/>
    <m/>
    <m/>
    <n v="1700000"/>
    <s v="Realize a sustainable , healthy and safe campus environment for all community members"/>
    <m/>
  </r>
  <r>
    <s v="Facilities "/>
    <s v="Director, Administration and Facilities"/>
    <s v="SVP/ Support Services Office"/>
    <n v="847"/>
    <n v="8470530"/>
    <s v="KUST - Facilities Management"/>
    <n v="1"/>
    <n v="492610"/>
    <s v="492610-Furniture &amp; Fixtures - Offices"/>
    <s v="000000"/>
    <s v="Student Related Costs"/>
    <n v="847015"/>
    <s v="FA180-Capex Expense"/>
    <n v="300180"/>
    <x v="488"/>
    <n v="142490"/>
    <n v="32800"/>
    <n v="32800"/>
    <m/>
    <s v="-_"/>
    <m/>
    <m/>
    <m/>
    <n v="0"/>
    <s v="KU Strategic New Initiative"/>
    <s v="Non-recurring"/>
    <n v="0"/>
    <n v="0"/>
    <n v="0"/>
    <s v="Service quality and performance "/>
    <s v="Service quality and performance "/>
    <s v="Service quality and performance "/>
    <m/>
    <m/>
    <m/>
    <m/>
    <m/>
    <m/>
    <m/>
    <m/>
    <m/>
    <m/>
    <m/>
    <m/>
    <m/>
    <m/>
    <m/>
  </r>
  <r>
    <s v="Facilities "/>
    <s v="Director, Administration and Facilities"/>
    <s v="SVP/ Support Services Office"/>
    <n v="847"/>
    <n v="8470530"/>
    <s v="KUST - Facilities Management"/>
    <n v="1"/>
    <n v="492610"/>
    <s v="492610-Furniture &amp; Fixtures - Offices"/>
    <s v="000000"/>
    <s v="KUST - Main Campus"/>
    <n v="847010"/>
    <s v="FA180-Capex Expense"/>
    <n v="300180"/>
    <x v="487"/>
    <m/>
    <m/>
    <m/>
    <s v="492610.Furniture &amp; Fixtures - Offices-Area of the rehabilitated building-2m"/>
    <s v="2m"/>
    <n v="1"/>
    <n v="1600000"/>
    <s v="Medical equipment, High Fedility Simulators, Task Trainers ( MS)"/>
    <n v="1600000"/>
    <s v="KU Strategic New Initiative"/>
    <s v="Non-recurring"/>
    <n v="1440000"/>
    <n v="1280000"/>
    <n v="1120000"/>
    <s v="Service quality and performance "/>
    <s v="Service quality and performance "/>
    <s v="Service quality and performance "/>
    <m/>
    <m/>
    <n v="1600000"/>
    <m/>
    <m/>
    <m/>
    <m/>
    <m/>
    <m/>
    <m/>
    <m/>
    <m/>
    <n v="1600000"/>
    <s v="Realize a sustainable , healthy and safe campus environment for all community members"/>
    <m/>
  </r>
  <r>
    <s v="Facilities "/>
    <s v="Director, Administration and Facilities"/>
    <s v="SVP/ Support Services Office"/>
    <n v="847"/>
    <n v="8470530"/>
    <s v="KUST - Facilities Management"/>
    <n v="1"/>
    <n v="492610"/>
    <s v="492610-Furniture &amp; Fixtures - Offices"/>
    <s v="000000"/>
    <s v="KUST - Main Campus"/>
    <n v="847010"/>
    <s v="FA180-Capex Expense"/>
    <n v="300180"/>
    <x v="487"/>
    <m/>
    <m/>
    <m/>
    <s v="492610.Furniture &amp; Fixtures - Offices-Area of the rehabilitated building-2m"/>
    <s v="2m"/>
    <n v="1"/>
    <n v="325000"/>
    <s v="Construction supply and installation of self contained colld store for 8 bodies (MS)"/>
    <n v="325000"/>
    <s v="KU Strategic New Initiative"/>
    <s v="Non-recurring"/>
    <n v="292500"/>
    <n v="260000"/>
    <n v="227500"/>
    <s v="Service quality and performance "/>
    <s v="Service quality and performance "/>
    <s v="Service quality and performance "/>
    <m/>
    <m/>
    <n v="325000"/>
    <m/>
    <m/>
    <m/>
    <m/>
    <m/>
    <m/>
    <m/>
    <m/>
    <m/>
    <n v="325000"/>
    <s v="Realize a sustainable , healthy and safe campus environment for all community members"/>
    <m/>
  </r>
  <r>
    <s v="Facilities "/>
    <s v="Director, Administration and Facilities"/>
    <s v="SVP/ Support Services Office"/>
    <n v="847"/>
    <n v="8470530"/>
    <s v="KUST - Facilities Management"/>
    <n v="1"/>
    <n v="492610"/>
    <s v="492610-Furniture &amp; Fixtures - Offices"/>
    <s v="000000"/>
    <s v="KUST - Main Campus"/>
    <n v="847010"/>
    <s v="FA180-Capex Expense"/>
    <n v="300180"/>
    <x v="487"/>
    <m/>
    <m/>
    <m/>
    <s v="492610.Furniture &amp; Fixtures - Offices-Area of the rehabilitated building-2m"/>
    <s v="2m"/>
    <n v="1"/>
    <n v="75000"/>
    <s v="Configure room A03031 for Academic Affairs collaborative teaching and learning advancement Medical School Furniture"/>
    <n v="75000"/>
    <s v="KU Strategic New Initiative"/>
    <s v="Non-recurring"/>
    <n v="67500"/>
    <n v="60000"/>
    <n v="52500"/>
    <s v="Service quality and performance "/>
    <s v="Service quality and performance "/>
    <s v="Service quality and performance "/>
    <m/>
    <m/>
    <n v="75000"/>
    <m/>
    <m/>
    <m/>
    <m/>
    <m/>
    <m/>
    <m/>
    <m/>
    <m/>
    <n v="75000"/>
    <s v="Realize a sustainable , healthy and safe campus environment for all community members"/>
    <m/>
  </r>
  <r>
    <s v="Facilities "/>
    <s v="Director, Administration and Facilities"/>
    <s v="SVP/ Support Services Office"/>
    <n v="847"/>
    <n v="8470530"/>
    <s v="KUST - Facilities Management"/>
    <n v="1"/>
    <n v="492610"/>
    <s v="492610-Furniture &amp; Fixtures - Offices"/>
    <s v="000000"/>
    <s v="KUST - Main Campus"/>
    <n v="847010"/>
    <s v="FA180-Capex Expense"/>
    <n v="300180"/>
    <x v="487"/>
    <m/>
    <m/>
    <m/>
    <s v="492610.Furniture &amp; Fixtures - Offices-Area of the rehabilitated building-2m"/>
    <s v="2m"/>
    <n v="1"/>
    <n v="450000"/>
    <s v="Class room fit out  (6 no) MS"/>
    <n v="450000"/>
    <s v="KU Strategic New Initiative"/>
    <s v="Non-recurring"/>
    <n v="405000"/>
    <n v="360000"/>
    <n v="315000"/>
    <s v="Service quality and performance "/>
    <s v="Service quality and performance "/>
    <s v="Service quality and performance "/>
    <m/>
    <m/>
    <n v="450000"/>
    <m/>
    <m/>
    <m/>
    <m/>
    <m/>
    <m/>
    <m/>
    <m/>
    <m/>
    <n v="450000"/>
    <s v="Realize a sustainable , healthy and safe campus environment for all community members"/>
    <m/>
  </r>
  <r>
    <s v="Facilities "/>
    <s v="Director, Administration and Facilities"/>
    <s v="SVP/ Support Services Office"/>
    <n v="847"/>
    <n v="8470530"/>
    <s v="KUST - Facilities Management"/>
    <n v="1"/>
    <n v="492610"/>
    <s v="492610-Furniture &amp; Fixtures - Offices"/>
    <s v="000000"/>
    <s v="KUST - Main Campus"/>
    <n v="847010"/>
    <s v="FA180-Capex Expense"/>
    <n v="300180"/>
    <x v="487"/>
    <m/>
    <m/>
    <m/>
    <s v="492610.Furniture &amp; Fixtures - Offices-Area of the rehabilitated building-2m"/>
    <s v="2m"/>
    <n v="1"/>
    <n v="299594.40000000002"/>
    <s v="Supply and installation of Perimeter benhes and under counter cabinets and drawers - 5 x rooms, 4th flr bldg A"/>
    <n v="299594.40000000002"/>
    <s v="KU Strategic New Initiative"/>
    <s v="Non-recurring"/>
    <n v="269634.96000000002"/>
    <n v="239675.52000000002"/>
    <n v="209716.08000000002"/>
    <s v="Service quality and performance "/>
    <s v="Service quality and performance "/>
    <s v="Service quality and performance "/>
    <m/>
    <m/>
    <n v="299594.40000000002"/>
    <m/>
    <m/>
    <m/>
    <m/>
    <m/>
    <m/>
    <m/>
    <m/>
    <m/>
    <n v="299594.40000000002"/>
    <s v="Realize a sustainable , healthy and safe campus environment for all community members"/>
    <m/>
  </r>
  <r>
    <s v="Facilities "/>
    <s v="Director, Administration and Facilities"/>
    <s v="SVP/ Support Services Office"/>
    <n v="847"/>
    <n v="8470530"/>
    <s v="KUST - Facilities Management"/>
    <n v="1"/>
    <n v="492610"/>
    <s v="492610-Furniture &amp; Fixtures - Offices"/>
    <s v="000000"/>
    <s v="KUST - Main Campus"/>
    <n v="847010"/>
    <s v="FA180-Capex Expense"/>
    <n v="300180"/>
    <x v="487"/>
    <m/>
    <m/>
    <m/>
    <s v="492610.Furniture &amp; Fixtures - Offices-Area of the rehabilitated building-2m"/>
    <s v="2m"/>
    <n v="1"/>
    <n v="300000"/>
    <s v="Fit out  Staging room &amp; Support spaces - CAVE (CMHS)"/>
    <n v="300000"/>
    <s v="KU Strategic New Initiative"/>
    <s v="Non-recurring"/>
    <n v="270000"/>
    <n v="240000"/>
    <n v="210000"/>
    <s v="Service quality and performance "/>
    <s v="Service quality and performance "/>
    <s v="Service quality and performance "/>
    <m/>
    <m/>
    <n v="300000"/>
    <m/>
    <m/>
    <m/>
    <m/>
    <m/>
    <m/>
    <m/>
    <m/>
    <m/>
    <n v="300000"/>
    <s v="Realize a sustainable , healthy and safe campus environment for all community members"/>
    <m/>
  </r>
  <r>
    <s v="Facilities "/>
    <s v="Director, Administration and Facilities"/>
    <s v="SVP/ Support Services Office"/>
    <n v="847"/>
    <n v="8470530"/>
    <s v="KUST - Facilities Management"/>
    <n v="1"/>
    <n v="492610"/>
    <s v="492610-Furniture &amp; Fixtures - Offices"/>
    <s v="000000"/>
    <s v="KUST - Main Campus"/>
    <n v="847010"/>
    <s v="FA180-Capex Expense"/>
    <n v="300180"/>
    <x v="487"/>
    <m/>
    <m/>
    <m/>
    <s v="492610.Furniture &amp; Fixtures - Offices-Area of the rehabilitated building-2m"/>
    <s v="2m"/>
    <n v="1"/>
    <n v="688500"/>
    <s v="Fit out LECTURE HALL  (CMHS)"/>
    <n v="688500"/>
    <s v="KU Strategic New Initiative"/>
    <s v="Non-recurring"/>
    <n v="619650"/>
    <n v="550800"/>
    <n v="481949.99999999994"/>
    <s v="Service quality and performance "/>
    <s v="Service quality and performance "/>
    <s v="Service quality and performance "/>
    <m/>
    <m/>
    <n v="688500"/>
    <m/>
    <m/>
    <m/>
    <m/>
    <m/>
    <m/>
    <m/>
    <m/>
    <m/>
    <n v="688500"/>
    <s v="Realize a sustainable , healthy and safe campus environment for all community members"/>
    <m/>
  </r>
  <r>
    <s v="Facilities "/>
    <s v="Director, Administration and Facilities"/>
    <s v="SVP/ Support Services Office"/>
    <n v="847"/>
    <n v="8470530"/>
    <s v="KUST - Facilities Management"/>
    <n v="1"/>
    <n v="492610"/>
    <s v="492610-Furniture &amp; Fixtures - Offices"/>
    <s v="000000"/>
    <s v="KUST - Main Campus"/>
    <n v="847010"/>
    <s v="FA180-Capex Expense"/>
    <n v="300180"/>
    <x v="487"/>
    <m/>
    <m/>
    <m/>
    <s v="492610.Furniture &amp; Fixtures - Offices-Area of the rehabilitated building-2m"/>
    <s v="2m"/>
    <n v="1"/>
    <n v="554000"/>
    <s v="ANATOMY LAB Plastinated Specimen, Somso 3D models and other pathological specimens for the Museum (CMHS)"/>
    <n v="554000"/>
    <s v="KU Strategic New Initiative"/>
    <s v="Non-recurring"/>
    <n v="498600"/>
    <n v="443200"/>
    <n v="387800"/>
    <s v="Service quality and performance "/>
    <s v="Service quality and performance "/>
    <s v="Service quality and performance "/>
    <m/>
    <m/>
    <n v="554000"/>
    <m/>
    <m/>
    <m/>
    <m/>
    <m/>
    <m/>
    <m/>
    <m/>
    <m/>
    <n v="554000"/>
    <s v="Realize a sustainable , healthy and safe campus environment for all community members"/>
    <m/>
  </r>
  <r>
    <s v="Facilities "/>
    <s v="Director, Administration and Facilities"/>
    <s v="SVP/ Support Services Office"/>
    <n v="847"/>
    <n v="8470530"/>
    <s v="KUST - Facilities Management"/>
    <n v="1"/>
    <n v="492610"/>
    <s v="492610-Furniture &amp; Fixtures - Offices"/>
    <s v="000000"/>
    <s v="KUST - Main Campus"/>
    <n v="847010"/>
    <s v="FA180-Capex Expense"/>
    <n v="300180"/>
    <x v="487"/>
    <m/>
    <m/>
    <m/>
    <s v="492610.Furniture &amp; Fixtures - Offices-Area of the rehabilitated building-2m"/>
    <s v="2m"/>
    <n v="1"/>
    <n v="54500"/>
    <s v="ANATOMY LAB Office Fuirniture - Coat stand, hooks, cabinets, chairs and Stools (CMHS)"/>
    <n v="54500"/>
    <s v="KU Strategic New Initiative"/>
    <s v="Non-recurring"/>
    <n v="49050"/>
    <n v="43600"/>
    <n v="38150"/>
    <s v="Service quality and performance "/>
    <s v="Service quality and performance "/>
    <s v="Service quality and performance "/>
    <m/>
    <m/>
    <n v="54500"/>
    <m/>
    <m/>
    <m/>
    <m/>
    <m/>
    <m/>
    <m/>
    <m/>
    <m/>
    <n v="54500"/>
    <s v="Realize a sustainable , healthy and safe campus environment for all community members"/>
    <m/>
  </r>
  <r>
    <s v="Facilities "/>
    <s v="Director, Administration and Facilities"/>
    <s v="SVP/ Support Services Office"/>
    <n v="847"/>
    <n v="8470530"/>
    <s v="KUST - Facilities Management"/>
    <n v="1"/>
    <n v="492610"/>
    <s v="492610-Furniture &amp; Fixtures - Offices"/>
    <s v="000000"/>
    <s v="KUST- Sas Al Nakhl Campus"/>
    <n v="847020"/>
    <s v="FA180-Capex Expense"/>
    <n v="300180"/>
    <x v="489"/>
    <s v="-"/>
    <n v="1375893"/>
    <n v="1375893"/>
    <s v="492610.Furniture &amp; Fixtures - Offices-Area of the rehabilitated building-2m"/>
    <s v="2m"/>
    <n v="1"/>
    <n v="280000"/>
    <s v="Furniture for new Biology labs and office"/>
    <n v="280000"/>
    <s v="KU Strategic New Initiative"/>
    <s v="Non-recurring"/>
    <n v="252000"/>
    <n v="224000"/>
    <n v="196000"/>
    <s v="Service quality and performance "/>
    <s v="Service quality and performance "/>
    <s v="Service quality and performance "/>
    <m/>
    <m/>
    <n v="280000"/>
    <m/>
    <m/>
    <m/>
    <m/>
    <m/>
    <m/>
    <m/>
    <m/>
    <m/>
    <n v="280000"/>
    <s v="Realize a sustainable , healthy and safe campus environment for all community members"/>
    <m/>
  </r>
  <r>
    <s v="Other support"/>
    <s v="No Applicable"/>
    <s v="SVP/ Support Services Office"/>
    <n v="847"/>
    <n v="8470530"/>
    <s v="KUST - Facilities Management"/>
    <n v="1"/>
    <n v="495140"/>
    <s v="495140-Copyrights, patents and licenses"/>
    <s v="000000"/>
    <s v="KUST - Main Campus"/>
    <n v="847010"/>
    <s v="FA180-Capex Expense"/>
    <n v="300180"/>
    <x v="490"/>
    <n v="18149.5"/>
    <n v="30312"/>
    <n v="30312"/>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Student"/>
    <s v="No Applicable"/>
    <s v="SVP/ Support Services Office"/>
    <n v="847"/>
    <n v="8470530"/>
    <s v="KUST - Facilities Management"/>
    <n v="1"/>
    <n v="425747"/>
    <s v="425747-Student Accommodation"/>
    <s v="000000"/>
    <s v="Student Related Costs"/>
    <n v="847015"/>
    <s v="FA179-Opex Expense"/>
    <n v="200179"/>
    <x v="491"/>
    <n v="18625059"/>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Facilities "/>
    <s v="No Applicable"/>
    <s v="SVP/ Support Services Office"/>
    <n v="847"/>
    <n v="8470530"/>
    <s v="KUST - Facilities Management"/>
    <n v="1"/>
    <n v="426210"/>
    <s v="426210-Insurance - Cash and fidelity"/>
    <s v="000000"/>
    <s v="KUST - General"/>
    <n v="847001"/>
    <s v="FA179-Opex Expense"/>
    <n v="200179"/>
    <x v="492"/>
    <n v="2826"/>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Facilities "/>
    <s v="No Applicable"/>
    <s v="SVP/ Support Services Office"/>
    <n v="847"/>
    <n v="8470530"/>
    <s v="KUST - Facilities Management"/>
    <n v="1"/>
    <n v="426800"/>
    <s v="426800-Motor vehicle registration and inspection charges"/>
    <s v="000000"/>
    <s v="KUST - General"/>
    <n v="847001"/>
    <s v="FA179-Opex Expense"/>
    <n v="200179"/>
    <x v="493"/>
    <n v="6245"/>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HR"/>
    <s v="No Applicable"/>
    <s v="SVP/ Support Services Office"/>
    <n v="847"/>
    <n v="8470530"/>
    <s v="KUST - Facilities Management"/>
    <n v="1"/>
    <n v="426900"/>
    <s v="426900-Postal, courier and other document delivery expenses"/>
    <s v="000000"/>
    <s v="KUST - General"/>
    <n v="847001"/>
    <s v="FA179-Opex Expense"/>
    <n v="200179"/>
    <x v="494"/>
    <n v="17870.55"/>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Facilities "/>
    <s v="No Applicable"/>
    <s v="SVP/ Support Services Office"/>
    <n v="847"/>
    <n v="8470530"/>
    <s v="KUST - Facilities Management"/>
    <n v="1"/>
    <n v="428111"/>
    <s v="428111-Electricity consumption charges"/>
    <s v="000000"/>
    <s v="KUST - Main Campus"/>
    <n v="847010"/>
    <s v="FA179-Opex Expense"/>
    <n v="200179"/>
    <x v="495"/>
    <n v="7180435.5099999998"/>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Facilities "/>
    <s v="No Applicable"/>
    <s v="SVP/ Support Services Office"/>
    <n v="847"/>
    <n v="8470530"/>
    <s v="KUST - Facilities Management"/>
    <n v="1"/>
    <n v="428111"/>
    <s v="428111-Electricity consumption charges"/>
    <s v="000000"/>
    <s v="Student Related Costs"/>
    <n v="847015"/>
    <s v="FA179-Opex Expense"/>
    <n v="200179"/>
    <x v="496"/>
    <n v="3253301.43"/>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Facilities "/>
    <s v="No Applicable"/>
    <s v="SVP/ Support Services Office"/>
    <n v="847"/>
    <n v="8470530"/>
    <s v="KUST - Facilities Management"/>
    <n v="1"/>
    <n v="428111"/>
    <s v="428111-Electricity consumption charges"/>
    <s v="000000"/>
    <s v="KUST- Sas Al Nakhl Campus"/>
    <n v="847020"/>
    <s v="FA179-Opex Expense"/>
    <n v="200179"/>
    <x v="497"/>
    <n v="3847536.23"/>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Facilities "/>
    <s v="No Applicable"/>
    <s v="SVP/ Support Services Office"/>
    <n v="847"/>
    <n v="8470530"/>
    <s v="KUST - Facilities Management"/>
    <n v="1"/>
    <n v="428111"/>
    <s v="428111-Electricity consumption charges"/>
    <s v="000000"/>
    <s v="KUST- Masdar city campus"/>
    <n v="847030"/>
    <s v="FA179-Opex Expense"/>
    <n v="200179"/>
    <x v="498"/>
    <n v="215086.31"/>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Facilities "/>
    <s v="No Applicable"/>
    <s v="SVP/ Support Services Office"/>
    <n v="847"/>
    <n v="8470530"/>
    <s v="KUST - Facilities Management"/>
    <n v="1"/>
    <n v="428112"/>
    <s v="428112-Water consumption charges"/>
    <s v="000000"/>
    <s v="KUST - Main Campus"/>
    <n v="847010"/>
    <s v="FA179-Opex Expense"/>
    <n v="200179"/>
    <x v="499"/>
    <n v="1089518.06"/>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Facilities "/>
    <s v="No Applicable"/>
    <s v="SVP/ Support Services Office"/>
    <n v="847"/>
    <n v="8470530"/>
    <s v="KUST - Facilities Management"/>
    <n v="1"/>
    <n v="428112"/>
    <s v="428112-Water consumption charges"/>
    <s v="000000"/>
    <s v="Student Related Costs"/>
    <n v="847015"/>
    <s v="FA179-Opex Expense"/>
    <n v="200179"/>
    <x v="500"/>
    <n v="857985.93"/>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Facilities "/>
    <s v="No Applicable"/>
    <s v="SVP/ Support Services Office"/>
    <n v="847"/>
    <n v="8470530"/>
    <s v="KUST - Facilities Management"/>
    <n v="1"/>
    <n v="428112"/>
    <s v="428112-Water consumption charges"/>
    <s v="000000"/>
    <s v="KUST- Sas Al Nakhl Campus"/>
    <n v="847020"/>
    <s v="FA179-Opex Expense"/>
    <n v="200179"/>
    <x v="501"/>
    <n v="1515252.2"/>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Other support"/>
    <s v="No Applicable"/>
    <s v="SVP/ Support Services Office"/>
    <n v="847"/>
    <n v="8470530"/>
    <s v="KUST - Facilities Management"/>
    <n v="1"/>
    <n v="429900"/>
    <s v="429900-Other services, not specifically mentioned elsewhere"/>
    <s v="000000"/>
    <s v="KUST - General"/>
    <n v="847001"/>
    <s v="FA179-Opex Expense"/>
    <n v="200179"/>
    <x v="483"/>
    <n v="155101"/>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Facilities "/>
    <s v="No Applicable"/>
    <s v="SVP/ Support Services Office"/>
    <n v="847"/>
    <n v="8470530"/>
    <s v="KUST - Facilities Management"/>
    <n v="1"/>
    <n v="430330"/>
    <s v="430330-Rental - Motor vehicles"/>
    <s v="000000"/>
    <s v="KUST - General"/>
    <n v="847001"/>
    <s v="FA179-Opex Expense"/>
    <n v="200179"/>
    <x v="502"/>
    <n v="-3600"/>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Facilities "/>
    <s v="No Applicable"/>
    <s v="SVP/ Support Services Office"/>
    <n v="847"/>
    <n v="8470530"/>
    <s v="KUST - Facilities Management"/>
    <n v="1"/>
    <n v="432120"/>
    <s v="432120-Bldg maintenance-Business premises"/>
    <s v="000000"/>
    <s v="COVID-19 Pandemic"/>
    <n v="847951"/>
    <s v="FA179-Opex Expense"/>
    <n v="200179"/>
    <x v="503"/>
    <n v="8580"/>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Facilities "/>
    <s v="No Applicable"/>
    <s v="SVP/ Support Services Office"/>
    <n v="847"/>
    <n v="8470530"/>
    <s v="KUST - Facilities Management"/>
    <n v="1"/>
    <n v="432540"/>
    <s v="432540-Motor vehicles (non-military)"/>
    <s v="000000"/>
    <s v="KUST - General"/>
    <n v="847001"/>
    <s v="FA179-Opex Expense"/>
    <n v="200179"/>
    <x v="504"/>
    <n v="14584.21"/>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Facilities "/>
    <s v="No Applicable"/>
    <s v="SVP/ Support Services Office"/>
    <n v="847"/>
    <n v="8470530"/>
    <s v="KUST - Facilities Management"/>
    <n v="1"/>
    <n v="432540"/>
    <s v="432540-Motor vehicles (non-military)"/>
    <s v="000000"/>
    <s v="KUST - General"/>
    <n v="847001"/>
    <s v="FA179-Opex Expense"/>
    <n v="200179"/>
    <x v="504"/>
    <n v="3160"/>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Other support"/>
    <s v="No Applicable"/>
    <s v="SVP/ Support Services Office"/>
    <n v="847"/>
    <n v="8470530"/>
    <s v="KUST - Facilities Management"/>
    <n v="1"/>
    <n v="436110"/>
    <s v="436110-Printing supplies"/>
    <s v="000000"/>
    <s v="KUST - General"/>
    <n v="847001"/>
    <s v="FA179-Opex Expense"/>
    <n v="200179"/>
    <x v="505"/>
    <n v="299549.53000000003"/>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Other support"/>
    <s v="No Applicable"/>
    <s v="SVP/ Support Services Office"/>
    <n v="847"/>
    <n v="8470530"/>
    <s v="KUST - Facilities Management"/>
    <n v="1"/>
    <n v="436110"/>
    <s v="436110-Printing supplies"/>
    <s v="000000"/>
    <s v="KUST - General"/>
    <n v="847001"/>
    <s v="FA179-Opex Expense"/>
    <n v="200179"/>
    <x v="505"/>
    <n v="94794.3"/>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Facilities "/>
    <s v="No Applicable"/>
    <s v="SVP/ Support Services Office"/>
    <n v="847"/>
    <n v="8470530"/>
    <s v="KUST - Facilities Management"/>
    <n v="1"/>
    <n v="436220"/>
    <s v="436220-Road signs"/>
    <s v="000000"/>
    <s v="KUST - General"/>
    <n v="847001"/>
    <s v="FA179-Opex Expense"/>
    <n v="200179"/>
    <x v="506"/>
    <n v="222400"/>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s v="Facilities "/>
    <s v="Director, Research Laboratories"/>
    <s v="SVP/ Support Services Office"/>
    <n v="847"/>
    <n v="8470530"/>
    <s v="KUST - Facilities Management"/>
    <n v="1"/>
    <n v="492316"/>
    <s v="492316-Laboratory equipment"/>
    <s v="000000"/>
    <s v="KUST - General"/>
    <n v="847001"/>
    <s v="FA180-Capex Expense"/>
    <n v="300180"/>
    <x v="507"/>
    <n v="146450"/>
    <s v="-"/>
    <m/>
    <m/>
    <s v="-_"/>
    <m/>
    <m/>
    <m/>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0"/>
    <s v="No Applicable"/>
    <s v="SVP/ Support Services Office"/>
    <n v="847"/>
    <n v="8470530"/>
    <s v="KUST - Facilities Management"/>
    <n v="1"/>
    <n v="495110"/>
    <s v="495110-Computer software"/>
    <s v="000000"/>
    <s v="KUST - General"/>
    <n v="847001"/>
    <s v="FA180-Capex Expense"/>
    <n v="300180"/>
    <x v="508"/>
    <m/>
    <m/>
    <m/>
    <s v="495110.Computer software-TBD-TBD"/>
    <s v="TBD"/>
    <n v="1"/>
    <n v="1800000"/>
    <s v="integrated BMS iICCC Platform"/>
    <n v="1800000"/>
    <s v="KU Strategic New Initiative"/>
    <s v="Non-recurring"/>
    <n v="1620000"/>
    <n v="1440000"/>
    <n v="1260000"/>
    <s v="Service quality and performance "/>
    <s v="Service quality and performance "/>
    <s v="Service quality and performance "/>
    <m/>
    <n v="1800000"/>
    <m/>
    <m/>
    <m/>
    <m/>
    <m/>
    <m/>
    <m/>
    <m/>
    <m/>
    <m/>
    <n v="1800000"/>
    <s v="Realize a sustainable , healthy and safe campus environment for all community members"/>
    <m/>
  </r>
  <r>
    <s v="HR"/>
    <s v="No Applicable"/>
    <s v="SVP/ Support Services Office"/>
    <n v="847"/>
    <n v="8470540"/>
    <s v="KUST - Administration"/>
    <n v="1"/>
    <n v="413310"/>
    <s v="413310-Consolidated cost of  outsourced manpower"/>
    <s v="000000"/>
    <s v="KUST - Main Campus"/>
    <n v="847010"/>
    <s v="FA179-Opex Expense"/>
    <n v="200179"/>
    <x v="509"/>
    <n v="2818066.67"/>
    <n v="589128"/>
    <n v="589128"/>
    <s v="413310.Manpower supply-Number of employees and type of service provided-Number of Number of employees and type of service provided"/>
    <s v="Number of Number of employees and type of service provided"/>
    <n v="1"/>
    <n v="953248"/>
    <s v="Clinic - Mnapower"/>
    <n v="953248"/>
    <s v="KU Regular operations"/>
    <s v="Recurring"/>
    <n v="857923.20000000007"/>
    <n v="762598.40000000002"/>
    <n v="667273.6"/>
    <s v="Service quality "/>
    <s v="Service quality"/>
    <s v="Service quality"/>
    <n v="79437.333400000003"/>
    <n v="79437.333400000003"/>
    <n v="79437.333400000003"/>
    <n v="79437.333400000003"/>
    <n v="79437.333400000003"/>
    <n v="79437.333400000003"/>
    <n v="79437.333400000003"/>
    <n v="79437.333400000003"/>
    <n v="79437.333400000003"/>
    <n v="79437.333400000003"/>
    <n v="79437.332999999999"/>
    <n v="79437.332999999999"/>
    <n v="953248"/>
    <s v="Ensure the university sustainability "/>
    <m/>
  </r>
  <r>
    <s v="HR"/>
    <s v="No Applicable"/>
    <s v="SVP/ Support Services Office"/>
    <n v="847"/>
    <n v="8470540"/>
    <s v="KUST - Administration"/>
    <n v="1"/>
    <n v="413310"/>
    <s v="413310-Consolidated cost of  outsourced manpower"/>
    <s v="000000"/>
    <s v="KUST - Main Campus"/>
    <s v="847010"/>
    <s v="FA179-Opex Expense"/>
    <n v="200179"/>
    <x v="509"/>
    <m/>
    <m/>
    <m/>
    <s v="413310.Manpower supply-Number of employees and type of service provided-Number of Number of employees and type of service provided"/>
    <s v="Number of Number of employees and type of service provided"/>
    <n v="1"/>
    <n v="421800"/>
    <s v="AL QUDRA SPORTS MANAGEMENT- Manpower"/>
    <n v="421800"/>
    <s v="KU Regular operations"/>
    <s v="Recurring"/>
    <n v="379620"/>
    <n v="337440"/>
    <n v="295260"/>
    <s v="Service quality"/>
    <s v="Service quality"/>
    <s v="Service quality"/>
    <n v="35150"/>
    <n v="35150"/>
    <n v="35150"/>
    <n v="35150"/>
    <n v="35150"/>
    <n v="35150"/>
    <n v="35150"/>
    <n v="35150"/>
    <n v="35150"/>
    <n v="35150"/>
    <n v="35150"/>
    <n v="35150"/>
    <n v="421800"/>
    <s v="Ensure the university sustainability "/>
    <m/>
  </r>
  <r>
    <s v="HR"/>
    <s v="No Applicable"/>
    <s v="SVP/ Support Services Office"/>
    <n v="847"/>
    <n v="8470540"/>
    <s v="KUST - Administration"/>
    <n v="1"/>
    <n v="413310"/>
    <s v="413310-Consolidated cost of  outsourced manpower"/>
    <s v="000000"/>
    <s v="KUST - Main Campus"/>
    <s v="847010"/>
    <s v="FA179-Opex Expense"/>
    <n v="200179"/>
    <x v="509"/>
    <m/>
    <m/>
    <m/>
    <s v="413310.Manpower supply-Number of employees and type of service provided-Number of Number of employees and type of service provided"/>
    <s v="Number of Number of employees and type of service provided"/>
    <n v="1"/>
    <n v="190000"/>
    <s v="KU Call Centre Manpower"/>
    <n v="190000"/>
    <s v="KU Regular operations"/>
    <s v="Recurring"/>
    <n v="171000"/>
    <n v="152000"/>
    <n v="133000"/>
    <s v="Service quality"/>
    <s v="Service quality"/>
    <s v="Service quality"/>
    <n v="15833.3334"/>
    <n v="15833.3334"/>
    <n v="15833.3334"/>
    <n v="15833.3334"/>
    <n v="15833.3334"/>
    <n v="15833.3334"/>
    <n v="15833.3334"/>
    <n v="15833.3334"/>
    <n v="15833.3334"/>
    <n v="15833.3334"/>
    <n v="15833.333000000001"/>
    <n v="15833.333000000001"/>
    <n v="190000.00000000003"/>
    <s v="Ensure the university sustainability "/>
    <m/>
  </r>
  <r>
    <s v="HR"/>
    <s v="No Applicable"/>
    <s v="SVP/ Support Services Office"/>
    <n v="847"/>
    <n v="8470540"/>
    <s v="KUST - Administration"/>
    <n v="1"/>
    <n v="413310"/>
    <s v="413310-Consolidated cost of  outsourced manpower"/>
    <s v="000000"/>
    <s v="KUST - Main Campus"/>
    <s v="847010"/>
    <s v="FA179-Opex Expense"/>
    <n v="200179"/>
    <x v="509"/>
    <m/>
    <m/>
    <m/>
    <s v="413310.Manpower supply-Number of employees and type of service provided-Number of Number of employees and type of service provided"/>
    <s v="Number of Number of employees and type of service provided"/>
    <n v="1"/>
    <n v="447260"/>
    <s v="Provision of administration services manpower"/>
    <n v="447260"/>
    <s v="KU Regular operations"/>
    <s v="Recurring"/>
    <n v="402534"/>
    <n v="357808"/>
    <n v="313082"/>
    <s v="Service quality"/>
    <s v="Service quality"/>
    <s v="Service quality"/>
    <n v="37271.666700000002"/>
    <n v="37271.666700000002"/>
    <n v="37271.666700000002"/>
    <n v="37271.666700000002"/>
    <n v="37271.666700000002"/>
    <n v="37271.666700000002"/>
    <n v="37271.666700000002"/>
    <n v="37271.666700000002"/>
    <n v="37271.666700000002"/>
    <n v="37271.666700000002"/>
    <n v="37271.666700000002"/>
    <n v="37271.666299999997"/>
    <n v="447260"/>
    <s v="Ensure the university sustainability "/>
    <m/>
  </r>
  <r>
    <s v="Other support"/>
    <s v="No Applicable"/>
    <s v="SVP/ Support Services Office"/>
    <n v="847"/>
    <n v="8470540"/>
    <s v="KUST - Administration"/>
    <n v="1"/>
    <n v="422900"/>
    <s v="422900-Other specialised professional services, not mentioned elsewhere"/>
    <s v="000000"/>
    <s v="KUST - Main Campus"/>
    <s v="847010"/>
    <s v="FA179-Opex Expense"/>
    <n v="200179"/>
    <x v="510"/>
    <m/>
    <m/>
    <m/>
    <s v="422900.Other specialised professional services, not mentioned elsewhere-Number of employee-number"/>
    <s v="number"/>
    <n v="1"/>
    <n v="900000"/>
    <s v="Provision of tea boys and office boys services"/>
    <n v="900000"/>
    <s v="KU Regular operations"/>
    <s v="Recurring"/>
    <n v="810000"/>
    <n v="720000"/>
    <n v="630000"/>
    <s v="Service quality"/>
    <s v="Service quality"/>
    <s v="Service quality"/>
    <n v="75000"/>
    <n v="75000"/>
    <n v="75000"/>
    <n v="75000"/>
    <n v="75000"/>
    <n v="75000"/>
    <n v="75000"/>
    <n v="75000"/>
    <n v="75000"/>
    <n v="75000"/>
    <n v="75000"/>
    <n v="75000"/>
    <n v="900000"/>
    <s v="Ensure the university sustainability "/>
    <m/>
  </r>
  <r>
    <s v="Facilities "/>
    <s v="No Applicable"/>
    <s v="SVP/ Support Services Office"/>
    <n v="847"/>
    <n v="8470540"/>
    <s v="KUST - Administration"/>
    <n v="1"/>
    <n v="426800"/>
    <s v="426800-Motor vehicle registration and inspection charges"/>
    <s v="000000"/>
    <s v="KUST - Main Campus"/>
    <n v="847010"/>
    <s v="FA179-Opex Expense"/>
    <n v="200179"/>
    <x v="511"/>
    <s v="-"/>
    <n v="10000"/>
    <n v="10000"/>
    <s v="426800.Motor vehicle registration and inspection charges-Number of Motor Vehicle-Month"/>
    <s v="Month"/>
    <n v="1"/>
    <n v="10000"/>
    <s v="vehicle registrations in accordance to the new prices and fees"/>
    <n v="10000"/>
    <s v="KU Regular operations"/>
    <s v="Recurring"/>
    <n v="9000"/>
    <n v="8000"/>
    <n v="7000"/>
    <s v="Service quality"/>
    <s v="Service quality"/>
    <s v="Service quality"/>
    <n v="833.33339999999998"/>
    <n v="833.33339999999998"/>
    <n v="833.33339999999998"/>
    <n v="833.33339999999998"/>
    <n v="833.33339999999998"/>
    <n v="833.33339999999998"/>
    <n v="833.33339999999998"/>
    <n v="833.33339999999998"/>
    <n v="833.33339999999998"/>
    <n v="833.33339999999998"/>
    <n v="833.33299999999997"/>
    <n v="833.33299999999997"/>
    <n v="9999.9999999999982"/>
    <s v="Ensure the university sustainability "/>
    <m/>
  </r>
  <r>
    <s v="HR"/>
    <s v="No Applicable"/>
    <s v="SVP/ Support Services Office"/>
    <n v="847"/>
    <n v="8470540"/>
    <s v="KUST - Administration"/>
    <n v="1"/>
    <n v="426900"/>
    <s v="426900-Postal, courier and other document delivery expenses"/>
    <s v="000000"/>
    <s v="KUST - Main Campus"/>
    <n v="847010"/>
    <s v="FA179-Opex Expense"/>
    <n v="200179"/>
    <x v="512"/>
    <s v="-"/>
    <n v="30000"/>
    <n v="30000"/>
    <s v="426900.Postal, courier and other document delivery expenses-Number of Employees-Number"/>
    <s v="Number"/>
    <n v="1"/>
    <n v="30000"/>
    <s v="Renewal for the mailbox and the senior management courier"/>
    <n v="30000"/>
    <s v="KU Regular operations"/>
    <s v="Recurring"/>
    <n v="27000"/>
    <n v="24000"/>
    <n v="21000"/>
    <s v="Service quality"/>
    <s v="Service quality"/>
    <s v="Service quality"/>
    <n v="2500"/>
    <n v="2500"/>
    <n v="2500"/>
    <n v="2500"/>
    <n v="2500"/>
    <n v="2500"/>
    <n v="2500"/>
    <n v="2500"/>
    <n v="2500"/>
    <n v="2500"/>
    <n v="2500"/>
    <n v="2500"/>
    <n v="30000"/>
    <s v="Ensure the university sustainability "/>
    <m/>
  </r>
  <r>
    <s v="Facilities "/>
    <s v="No Applicable"/>
    <s v="SVP/ Support Services Office"/>
    <n v="847"/>
    <n v="8470540"/>
    <s v="KUST - Administration"/>
    <n v="1"/>
    <n v="428111"/>
    <s v="428111-Electricity consumption charges"/>
    <s v="000000"/>
    <s v="KUST - Main Campus"/>
    <n v="847010"/>
    <s v="FA179-Opex Expense"/>
    <n v="200179"/>
    <x v="513"/>
    <s v="-"/>
    <n v="7349560"/>
    <n v="7349560"/>
    <s v="428111.Consumption charges-Water &amp; Electricity combined-Building area Main Campus-m2"/>
    <s v="m2"/>
    <n v="1"/>
    <n v="9664500"/>
    <s v="Electricity consumption"/>
    <n v="9664500"/>
    <s v="KU Regular operations"/>
    <s v="Recurring"/>
    <n v="8698050"/>
    <n v="7731600"/>
    <n v="6765150"/>
    <s v="Service quality"/>
    <s v="Service quality"/>
    <s v="Service quality"/>
    <n v="805375"/>
    <n v="805375"/>
    <n v="805375"/>
    <n v="805375"/>
    <n v="805375"/>
    <n v="805375"/>
    <n v="805375"/>
    <n v="805375"/>
    <n v="805375"/>
    <n v="805375"/>
    <n v="805375"/>
    <n v="805375"/>
    <n v="9664500"/>
    <m/>
    <m/>
  </r>
  <r>
    <s v="Facilities "/>
    <s v="No Applicable"/>
    <s v="SVP/ Support Services Office"/>
    <n v="847"/>
    <n v="8470540"/>
    <s v="KUST - Administration"/>
    <n v="1"/>
    <n v="428111"/>
    <s v="428111-Electricity consumption charges"/>
    <s v="000000"/>
    <s v="Student Related Costs"/>
    <n v="847015"/>
    <s v="FA179-Opex Expense"/>
    <n v="200179"/>
    <x v="514"/>
    <s v="-"/>
    <n v="4615084"/>
    <n v="4615084"/>
    <s v="428111.Consumption charges-Water &amp; Electricity combined-Building area SAN Campus Student life-m2"/>
    <s v="m2"/>
    <n v="1"/>
    <n v="4615084"/>
    <s v="Electricity consumption"/>
    <n v="4615084"/>
    <s v="KU Regular operations"/>
    <s v="Recurring"/>
    <n v="4153575.6"/>
    <n v="3692067.2"/>
    <n v="3230558.8"/>
    <s v="Service quality"/>
    <s v="Service quality"/>
    <s v="Service quality"/>
    <n v="384590.3333"/>
    <n v="384590.3333"/>
    <n v="384590.3333"/>
    <n v="384590.3333"/>
    <n v="384590.3333"/>
    <n v="384590.3333"/>
    <n v="384590.3333"/>
    <n v="384590.3333"/>
    <n v="384590.3333"/>
    <n v="384590.3333"/>
    <n v="384590.3333"/>
    <n v="384590.3333"/>
    <n v="4615084"/>
    <m/>
    <m/>
  </r>
  <r>
    <s v="Facilities "/>
    <s v="No Applicable"/>
    <s v="SVP/ Support Services Office"/>
    <n v="847"/>
    <n v="8470540"/>
    <s v="KUST - Administration"/>
    <n v="1"/>
    <n v="428111"/>
    <s v="428111-Electricity consumption charges"/>
    <s v="000000"/>
    <s v="KUST- Sas Al Nakhl Campus"/>
    <n v="847020"/>
    <s v="FA179-Opex Expense"/>
    <n v="200179"/>
    <x v="515"/>
    <s v="-"/>
    <n v="3058446"/>
    <n v="3058446"/>
    <s v="428111.Consumption charges-Water &amp; Electricity combined-Building area SAN Campus Student life-m2"/>
    <s v="m2"/>
    <n v="1"/>
    <n v="3976000"/>
    <s v="Electricity consumption"/>
    <n v="3976000"/>
    <s v="KU Regular operations"/>
    <s v="Recurring"/>
    <n v="3578400"/>
    <n v="3180800"/>
    <n v="2783200"/>
    <s v="Service quality"/>
    <s v="Service quality"/>
    <s v="Service quality"/>
    <n v="331333.33299999998"/>
    <n v="331333.33299999998"/>
    <n v="331333.33299999998"/>
    <n v="331333.33299999998"/>
    <n v="331333.33299999998"/>
    <n v="331333.33299999998"/>
    <n v="331333.33299999998"/>
    <n v="331333.33299999998"/>
    <n v="331333.33299999998"/>
    <n v="331333.33299999998"/>
    <n v="331333.33299999998"/>
    <n v="331333.33299999998"/>
    <n v="3976000"/>
    <s v="Ensure the university sustainability "/>
    <m/>
  </r>
  <r>
    <s v="Facilities "/>
    <s v="No Applicable"/>
    <s v="SVP/ Support Services Office"/>
    <n v="847"/>
    <n v="8470540"/>
    <s v="KUST - Administration"/>
    <n v="1"/>
    <n v="428111"/>
    <s v="428111-Electricity consumption charges"/>
    <s v="000000"/>
    <s v="KUST- Masdar city campus"/>
    <n v="847030"/>
    <s v="FA179-Opex Expense"/>
    <n v="200179"/>
    <x v="516"/>
    <s v="-"/>
    <n v="442627"/>
    <n v="442627"/>
    <s v="428111.Consumption charges-Water &amp; Electricity combined-MASDER-"/>
    <s v="-_"/>
    <n v="1"/>
    <n v="442627"/>
    <s v="Electricity consumption"/>
    <n v="442627"/>
    <s v="KU Regular operations"/>
    <s v="Recurring"/>
    <n v="398364.3"/>
    <n v="354101.60000000003"/>
    <n v="309838.89999999997"/>
    <s v="Service quality"/>
    <s v="Service quality"/>
    <s v="Service quality"/>
    <n v="36885.583400000003"/>
    <n v="36885.583400000003"/>
    <n v="36885.583400000003"/>
    <n v="36885.583400000003"/>
    <n v="36885.583400000003"/>
    <n v="36885.583400000003"/>
    <n v="36885.583400000003"/>
    <n v="36885.583400000003"/>
    <n v="36885.583400000003"/>
    <n v="36885.583400000003"/>
    <n v="36885.583400000003"/>
    <n v="36885.583400000003"/>
    <n v="442627"/>
    <s v="Ensure the university sustainability "/>
    <m/>
  </r>
  <r>
    <s v="Facilities "/>
    <s v="No Applicable"/>
    <s v="SVP/ Support Services Office"/>
    <n v="847"/>
    <n v="8470540"/>
    <s v="KUST - Administration"/>
    <n v="1"/>
    <n v="428112"/>
    <s v="428112-Water consumption charges"/>
    <s v="000000"/>
    <s v="KUST - Main Campus"/>
    <n v="847010"/>
    <s v="FA179-Opex Expense"/>
    <n v="200179"/>
    <x v="517"/>
    <s v="-"/>
    <n v="1153128"/>
    <n v="1153128"/>
    <s v="428112.Water and Electricity charges - Business premises-The built up area of Main Campus-2m"/>
    <s v="2m"/>
    <n v="1"/>
    <n v="1500000"/>
    <s v="Water consumption"/>
    <n v="1500000"/>
    <s v="KU Regular operations"/>
    <s v="Recurring"/>
    <n v="1350000"/>
    <n v="1200000"/>
    <n v="1050000"/>
    <s v="Service quality"/>
    <s v="Service quality"/>
    <s v="Service quality"/>
    <n v="125000"/>
    <n v="125000"/>
    <n v="125000"/>
    <n v="125000"/>
    <n v="125000"/>
    <n v="125000"/>
    <n v="125000"/>
    <n v="125000"/>
    <n v="125000"/>
    <n v="125000"/>
    <n v="125000"/>
    <n v="125000"/>
    <n v="1500000"/>
    <s v="Ensure the university sustainability "/>
    <m/>
  </r>
  <r>
    <s v="Facilities "/>
    <s v="No Applicable"/>
    <s v="SVP/ Support Services Office"/>
    <n v="847"/>
    <n v="8470540"/>
    <s v="KUST - Administration"/>
    <n v="1"/>
    <n v="428112"/>
    <s v="428112-Water consumption charges"/>
    <s v="000000"/>
    <s v="Student Related Costs"/>
    <n v="847015"/>
    <s v="FA179-Opex Expense"/>
    <n v="200179"/>
    <x v="518"/>
    <s v="-"/>
    <n v="1681399"/>
    <n v="1681399"/>
    <s v="428112.Water and Electricity charges - Business premises-The built up area of SAN Campus Sduent life-2m"/>
    <s v="2m"/>
    <n v="1"/>
    <n v="1681399"/>
    <s v="Water consumption"/>
    <n v="1681399"/>
    <s v="KU Regular operations"/>
    <s v="Recurring"/>
    <n v="1513259.1"/>
    <n v="1345119.2000000002"/>
    <n v="1176979.2999999998"/>
    <s v="Service quality"/>
    <s v="Service quality"/>
    <s v="Service quality"/>
    <n v="140116.5833"/>
    <n v="140116.5833"/>
    <n v="140116.5833"/>
    <n v="140116.5833"/>
    <n v="140116.5833"/>
    <n v="140116.5833"/>
    <n v="140116.5833"/>
    <n v="140116.5833"/>
    <n v="140116.5833"/>
    <n v="140116.5833"/>
    <n v="140116.5833"/>
    <n v="140116.5833"/>
    <n v="1681399"/>
    <s v="Ensure the university sustainability "/>
    <m/>
  </r>
  <r>
    <s v="Facilities "/>
    <s v="No Applicable"/>
    <s v="SVP/ Support Services Office"/>
    <n v="847"/>
    <n v="8470540"/>
    <s v="KUST - Administration"/>
    <n v="1"/>
    <n v="428112"/>
    <s v="428112-Water consumption charges"/>
    <s v="000000"/>
    <s v="KUST- Sas Al Nakhl Campus"/>
    <n v="847020"/>
    <s v="FA179-Opex Expense"/>
    <n v="200179"/>
    <x v="519"/>
    <s v="-"/>
    <n v="1703132"/>
    <n v="1703132"/>
    <s v="428112.Water and Electricity charges - Business premises-MASDER-"/>
    <s v="-_"/>
    <n v="1"/>
    <n v="1873450"/>
    <s v="Water consumption"/>
    <n v="1873450"/>
    <s v="KU Regular operations"/>
    <s v="Recurring"/>
    <n v="1686105"/>
    <n v="1498760"/>
    <n v="1311415"/>
    <s v="Service quality"/>
    <s v="Service quality"/>
    <s v="Service quality"/>
    <n v="156120.8333"/>
    <n v="156120.8333"/>
    <n v="156120.8333"/>
    <n v="156120.8333"/>
    <n v="156120.8333"/>
    <n v="156120.8333"/>
    <n v="156120.8333"/>
    <n v="156120.8333"/>
    <n v="156120.8333"/>
    <n v="156120.8333"/>
    <n v="156120.8333"/>
    <n v="156120.8333"/>
    <n v="1873450"/>
    <s v="Ensure the university sustainability "/>
    <m/>
  </r>
  <r>
    <s v="Facilities "/>
    <s v="No Applicable"/>
    <s v="SVP/ Support Services Office"/>
    <n v="847"/>
    <n v="8470540"/>
    <s v="KUST - Administration"/>
    <n v="1"/>
    <n v="428112"/>
    <s v="428112-Water consumption charges"/>
    <s v="000000"/>
    <s v="KUST- Masdar city campus"/>
    <n v="847030"/>
    <s v="FA179-Opex Expense"/>
    <n v="200179"/>
    <x v="520"/>
    <s v="-"/>
    <n v="153570"/>
    <n v="153570"/>
    <s v="428112.Water and Electricity charges - Business premises-The built up area of Main Campus-2m"/>
    <s v="2m"/>
    <n v="1"/>
    <n v="153570"/>
    <s v="Water consumption"/>
    <n v="153570"/>
    <s v="KU Regular operations"/>
    <s v="Recurring"/>
    <n v="138213"/>
    <n v="122856"/>
    <n v="107499"/>
    <s v="Service quality"/>
    <s v="Service quality"/>
    <s v="Service quality"/>
    <n v="12797.5"/>
    <n v="12797.5"/>
    <n v="12797.5"/>
    <n v="12797.5"/>
    <n v="12797.5"/>
    <n v="12797.5"/>
    <n v="12797.5"/>
    <n v="12797.5"/>
    <n v="12797.5"/>
    <n v="12797.5"/>
    <n v="12797.5"/>
    <n v="12797.5"/>
    <n v="153570"/>
    <s v="Ensure the university sustainability "/>
    <m/>
  </r>
  <r>
    <s v="Other support"/>
    <s v="No Applicable"/>
    <s v="SVP/ Support Services Office"/>
    <n v="847"/>
    <n v="8470540"/>
    <s v="KUST - Administration"/>
    <n v="1"/>
    <n v="429900"/>
    <s v="429900-Other services, not specifically mentioned elsewhere"/>
    <s v="000000"/>
    <s v="KUST - Main Campus"/>
    <n v="847010"/>
    <s v="FA179-Opex Expense"/>
    <n v="200179"/>
    <x v="521"/>
    <s v="-"/>
    <n v="44000"/>
    <n v="44000"/>
    <s v="429900.Other services, not specifically mentioned elsewhere-TBD-Number of TBD"/>
    <s v="Number of TBD"/>
    <n v="1"/>
    <n v="44000"/>
    <s v="Clinic Consumables"/>
    <n v="44000"/>
    <s v="KU Regular operations"/>
    <s v="Recurring"/>
    <n v="39600"/>
    <n v="35200"/>
    <n v="30799.999999999996"/>
    <s v="Service quality"/>
    <s v="Service quality"/>
    <s v="Service quality"/>
    <n v="3666.6667000000002"/>
    <n v="3666.6667000000002"/>
    <n v="3666.6667000000002"/>
    <n v="3666.6667000000002"/>
    <n v="3666.6667000000002"/>
    <n v="3666.6667000000002"/>
    <n v="3666.6667000000002"/>
    <n v="3666.6667000000002"/>
    <n v="3666.6667000000002"/>
    <n v="3666.6667000000002"/>
    <n v="3666.6666"/>
    <n v="3666.6664000000001"/>
    <n v="44000.000000000007"/>
    <s v="Ensure the university sustainability "/>
    <m/>
  </r>
  <r>
    <s v="Other support"/>
    <s v="No Applicable"/>
    <s v="SVP/ Support Services Office"/>
    <n v="847"/>
    <n v="8470540"/>
    <s v="KUST - Administration"/>
    <n v="1"/>
    <n v="429900"/>
    <s v="429900-Other services, not specifically mentioned elsewhere"/>
    <s v="000000"/>
    <s v="KUST - Main Campus"/>
    <s v="847010"/>
    <s v="FA179-Opex Expense"/>
    <n v="200179"/>
    <x v="521"/>
    <m/>
    <m/>
    <m/>
    <s v="429900.Other services, not specifically mentioned elsewhere-TBD-Number of TBD"/>
    <s v="Number of TBD"/>
    <n v="1"/>
    <n v="4000"/>
    <s v="Gov Fees"/>
    <n v="4000"/>
    <s v="KU Regular operations"/>
    <s v="Recurring"/>
    <n v="3600"/>
    <n v="3200"/>
    <n v="2800"/>
    <s v="Service quality"/>
    <s v="Service quality"/>
    <s v="Service quality"/>
    <m/>
    <m/>
    <n v="4000"/>
    <m/>
    <m/>
    <m/>
    <m/>
    <m/>
    <m/>
    <m/>
    <m/>
    <m/>
    <n v="4000"/>
    <s v="Ensure the university sustainability "/>
    <m/>
  </r>
  <r>
    <s v="Facilities "/>
    <s v="No Applicable"/>
    <s v="SVP/ Support Services Office"/>
    <n v="847"/>
    <n v="8470540"/>
    <s v="KUST - Administration"/>
    <n v="1"/>
    <n v="430330"/>
    <s v="430330-Rental - Motor vehicles"/>
    <s v="000000"/>
    <s v="KUST - Main Campus"/>
    <n v="847010"/>
    <s v="FA179-Opex Expense"/>
    <n v="200179"/>
    <x v="522"/>
    <n v="581760"/>
    <n v="967680"/>
    <n v="967680"/>
    <s v="430330.Rental - Motor vehicles-Number of staff and facilty -count"/>
    <s v="count"/>
    <n v="1"/>
    <n v="1100004"/>
    <s v="4 Shuttle buses and 4 driver "/>
    <n v="1100004"/>
    <s v="KU Regular operations"/>
    <s v="Recurring"/>
    <n v="990003.6"/>
    <n v="880003.20000000007"/>
    <n v="770002.79999999993"/>
    <s v="Service quality"/>
    <s v="Service quality"/>
    <s v="Service quality"/>
    <n v="91667"/>
    <n v="91667"/>
    <n v="91667"/>
    <n v="91667"/>
    <n v="91667"/>
    <n v="91667"/>
    <n v="91667"/>
    <n v="91667"/>
    <n v="91667"/>
    <n v="91667"/>
    <n v="91667"/>
    <n v="91667"/>
    <n v="1100004"/>
    <s v="Ensure the university sustainability "/>
    <m/>
  </r>
  <r>
    <s v="Facilities "/>
    <s v="No Applicable"/>
    <s v="SVP/ Support Services Office"/>
    <n v="847"/>
    <n v="8470540"/>
    <s v="KUST - Administration"/>
    <n v="1"/>
    <n v="430330"/>
    <s v="430330-Rental - Motor vehicles"/>
    <s v="000000"/>
    <s v="KUST - Main Campus"/>
    <s v="847010"/>
    <s v="FA179-Opex Expense"/>
    <n v="200179"/>
    <x v="522"/>
    <m/>
    <m/>
    <m/>
    <s v="430330.Rental - Motor vehicles-Number of staff and facilty -count"/>
    <s v="count"/>
    <n v="1"/>
    <n v="770120.77"/>
    <s v="Vehicle Type - Requirement"/>
    <n v="770120.77"/>
    <s v="KU Regular operations"/>
    <s v="Recurring"/>
    <n v="693108.69300000009"/>
    <n v="616096.61600000004"/>
    <n v="539084.53899999999"/>
    <s v="Service quality"/>
    <s v="Service quality"/>
    <s v="Service quality"/>
    <n v="64176.730900000002"/>
    <n v="64176.730900000002"/>
    <n v="64176.730900000002"/>
    <n v="64176.730900000002"/>
    <n v="64176.730900000002"/>
    <n v="64176.730900000002"/>
    <n v="64176.730900000002"/>
    <n v="64176.730900000002"/>
    <n v="64176.730900000002"/>
    <n v="64176.730900000002"/>
    <n v="64176.730900000002"/>
    <n v="64176.730900000002"/>
    <n v="770120.77079999994"/>
    <s v="Ensure the university sustainability "/>
    <m/>
  </r>
  <r>
    <s v="Facilities "/>
    <s v="No Applicable"/>
    <s v="SVP/ Support Services Office"/>
    <n v="847"/>
    <n v="8470540"/>
    <s v="KUST - Administration"/>
    <n v="1"/>
    <n v="432540"/>
    <s v="432540-Motor vehicles (non-military)"/>
    <s v="000000"/>
    <s v="KUST - Main Campus"/>
    <n v="847010"/>
    <s v="FA179-Opex Expense"/>
    <n v="200179"/>
    <x v="523"/>
    <n v="37508.81"/>
    <n v="140000"/>
    <n v="140000"/>
    <s v="432540.Motor vehicles (non-military)-spare parts for the sedan non-military government-owned cars.-number of cars"/>
    <s v="number of cars"/>
    <n v="1"/>
    <n v="140000"/>
    <s v="Vehicles regular Maintenance for 14 fleets vehicles which is AED 10,0000"/>
    <n v="140000"/>
    <s v="KU Regular operations"/>
    <s v="Recurring"/>
    <n v="126000"/>
    <n v="112000"/>
    <n v="98000"/>
    <s v="Service quality"/>
    <s v="Service quality"/>
    <s v="Service quality"/>
    <n v="11666.6667"/>
    <n v="11666.6667"/>
    <n v="11666.6667"/>
    <n v="11666.6667"/>
    <n v="11666.6667"/>
    <n v="11666.6667"/>
    <n v="11666.6667"/>
    <n v="11666.6667"/>
    <n v="11666.6667"/>
    <n v="11666.6667"/>
    <n v="11666.6667"/>
    <n v="11666.666300000001"/>
    <n v="140000"/>
    <s v="Ensure the university sustainability "/>
    <m/>
  </r>
  <r>
    <s v="Other support"/>
    <s v="No Applicable"/>
    <s v="SVP/ Support Services Office"/>
    <n v="847"/>
    <n v="8470540"/>
    <s v="KUST - Administration"/>
    <n v="1"/>
    <n v="435410"/>
    <s v="435410-Catering supplies: Offices"/>
    <s v="000000"/>
    <s v="KUST- Sas Al Nakhl Campus"/>
    <n v="847020"/>
    <s v="FA179-Opex Expense"/>
    <n v="200179"/>
    <x v="524"/>
    <n v="0"/>
    <n v="675690"/>
    <n v="675690"/>
    <s v="435410.Catering supplies: Offices-Number of Staff-Number"/>
    <s v="Number"/>
    <n v="1"/>
    <n v="840000"/>
    <s v="Catering - Kitchen Supplies"/>
    <n v="840000"/>
    <s v="KU Regular operations"/>
    <s v="Recurring"/>
    <n v="756000"/>
    <n v="672000"/>
    <n v="588000"/>
    <s v="Service quality"/>
    <s v="Service quality"/>
    <s v="Service quality"/>
    <n v="70000"/>
    <n v="70000"/>
    <n v="70000"/>
    <n v="70000"/>
    <n v="70000"/>
    <n v="70000"/>
    <n v="70000"/>
    <n v="70000"/>
    <n v="70000"/>
    <n v="70000"/>
    <n v="70000"/>
    <n v="70000"/>
    <n v="840000"/>
    <s v="Ensure the university sustainability "/>
    <m/>
  </r>
  <r>
    <s v="Facilities "/>
    <s v="No Applicable"/>
    <s v="SVP/ Support Services Office"/>
    <n v="847"/>
    <n v="8470540"/>
    <s v="KUST - Administration"/>
    <n v="1"/>
    <n v="435740"/>
    <s v="435740-Fuel, oil and lubricants: Motor vehicles"/>
    <s v="000000"/>
    <s v="KUST - Main Campus"/>
    <n v="847010"/>
    <s v="FA179-Opex Expense"/>
    <n v="200179"/>
    <x v="525"/>
    <s v="-"/>
    <n v="336000"/>
    <n v="336000"/>
    <s v="435740.Fuel, oil and lubricants: Motor vehicles-Trips of Motor vehicles-km"/>
    <s v="km"/>
    <n v="1"/>
    <n v="336000"/>
    <s v="Fuel Consumptions for 14 vehicles at AED 2,000 Each vehicle"/>
    <n v="336000"/>
    <s v="KU Regular operations"/>
    <s v="Recurring"/>
    <n v="302400"/>
    <n v="268800"/>
    <n v="235199.99999999997"/>
    <s v="Service quality"/>
    <s v="Service quality"/>
    <s v="Service quality"/>
    <n v="28000"/>
    <n v="28000"/>
    <n v="28000"/>
    <n v="28000"/>
    <n v="28000"/>
    <n v="28000"/>
    <n v="28000"/>
    <n v="28000"/>
    <n v="28000"/>
    <n v="28000"/>
    <n v="28000"/>
    <n v="28000"/>
    <n v="336000"/>
    <s v="Ensure the university sustainability "/>
    <m/>
  </r>
  <r>
    <s v="Facilities "/>
    <s v="No Applicable"/>
    <s v="SVP/ Support Services Office"/>
    <n v="847"/>
    <n v="8470540"/>
    <s v="KUST - Administration"/>
    <n v="1"/>
    <n v="426250"/>
    <s v="426250-Insurance - Motor vehicles"/>
    <s v="000000"/>
    <s v="KUST - Main Campus"/>
    <s v="847010"/>
    <s v="FA179-Opex Expense"/>
    <n v="200179"/>
    <x v="526"/>
    <m/>
    <m/>
    <m/>
    <s v="426250.Insurance - Motor vehicles-1. No of motor vehicles-count"/>
    <s v="count"/>
    <n v="1"/>
    <n v="50000"/>
    <s v="Full Insurance for 14 vehicles "/>
    <n v="50000"/>
    <s v="KU Regular operations"/>
    <s v="Recurring"/>
    <n v="45000"/>
    <n v="40000"/>
    <n v="35000"/>
    <s v="Service quality"/>
    <s v="Service quality"/>
    <s v="Service quality"/>
    <m/>
    <n v="10000"/>
    <m/>
    <n v="10000"/>
    <m/>
    <n v="10000"/>
    <m/>
    <n v="10000"/>
    <m/>
    <n v="10000"/>
    <m/>
    <m/>
    <n v="50000"/>
    <s v="Ensure the university sustainability "/>
    <m/>
  </r>
  <r>
    <s v="Other support"/>
    <s v="No Applicable"/>
    <s v="SVP/ Support Services Office"/>
    <n v="847"/>
    <n v="8470540"/>
    <s v="KUST - Administration"/>
    <n v="1"/>
    <n v="436110"/>
    <s v="436110-Printing supplies"/>
    <s v="000000"/>
    <s v="KUST - Main Campus"/>
    <n v="847010"/>
    <s v="FA179-Opex Expense"/>
    <n v="200179"/>
    <x v="527"/>
    <s v="-"/>
    <n v="193910"/>
    <m/>
    <s v="436110.Printing supplies-Number of Employees-Number"/>
    <s v="Number"/>
    <n v="1"/>
    <n v="85700"/>
    <s v="ID Card Printing Supplies"/>
    <n v="85700"/>
    <s v="KU Regular operations"/>
    <s v="Recurring"/>
    <n v="77130"/>
    <n v="68560"/>
    <n v="59989.999999999993"/>
    <s v="Service quality"/>
    <s v="Service quality"/>
    <s v="Service quality"/>
    <n v="7141.6666999999998"/>
    <n v="7141.6666999999998"/>
    <n v="7141.6666999999998"/>
    <n v="7141.6666999999998"/>
    <n v="7141.6666999999998"/>
    <n v="7141.6666999999998"/>
    <n v="7141.6666999999998"/>
    <n v="7141.6666999999998"/>
    <n v="7141.6666999999998"/>
    <n v="7141.6666999999998"/>
    <n v="7141.6666999999998"/>
    <n v="7141.6662999999999"/>
    <n v="85700"/>
    <s v="Ensure the university sustainability "/>
    <m/>
  </r>
  <r>
    <s v="Academic"/>
    <s v="No Applicable"/>
    <s v="President's Office "/>
    <n v="847"/>
    <n v="8470110"/>
    <s v="KUST - Office of the President"/>
    <n v="1"/>
    <n v="420550"/>
    <s v="420550-Academic Advisory Service"/>
    <s v="000000"/>
    <s v="KUST - General"/>
    <n v="847001"/>
    <s v="FA179-Opex Expense"/>
    <n v="200179"/>
    <x v="528"/>
    <n v="0"/>
    <n v="30000"/>
    <n v="30000"/>
    <s v="420550.Academic Advisory Service-Number of Services-Number"/>
    <s v="Number"/>
    <n v="1"/>
    <n v="100000"/>
    <s v="For expenses related to Academic boards, including Presidents Advisory Council. This includes travel cost, accommodation and honorarium."/>
    <n v="100000"/>
    <s v="KU Strategic New Initiative"/>
    <s v="Non-recurring"/>
    <n v="90000"/>
    <n v="80000"/>
    <n v="70000"/>
    <s v="Impact operation of the department."/>
    <s v="Impact operation of the department."/>
    <s v="Impact operation of the department."/>
    <m/>
    <m/>
    <m/>
    <m/>
    <m/>
    <m/>
    <m/>
    <m/>
    <m/>
    <m/>
    <n v="100000"/>
    <n v="0"/>
    <n v="100000"/>
    <s v="Build partnerships with local and international universities"/>
    <m/>
  </r>
  <r>
    <s v="Academic"/>
    <s v="No Applicable"/>
    <s v="President's Office "/>
    <n v="847"/>
    <n v="8470110"/>
    <s v="KUST - Office of the President"/>
    <n v="1"/>
    <n v="420570"/>
    <s v="420570-Academic Collaborative Partnership Services"/>
    <s v="000000"/>
    <s v="KUST - General"/>
    <n v="847001"/>
    <s v="FA179-Opex Expense"/>
    <n v="200179"/>
    <x v="529"/>
    <n v="0"/>
    <n v="3684121"/>
    <n v="3684121"/>
    <s v="420570.Academic Collaborative Partnership Services-Partnership Agreement or Academic Collaboration -No of Partneship/collaboration Agreement"/>
    <s v="No of Partneship/collaboration Agreement"/>
    <n v="1"/>
    <n v="5000000"/>
    <s v="For payments made to collaborating institutions, as part of partnership agreements. This would include a potential affilation partnership for the greaduate school of busineess 5M"/>
    <n v="5000000"/>
    <s v="KU Strategic New Initiative"/>
    <s v="Non-recurring"/>
    <n v="4500000"/>
    <n v="4000000"/>
    <n v="3500000"/>
    <s v="Impact operation of the department."/>
    <s v="Impact operation of the department."/>
    <s v="Impact operation of the department."/>
    <m/>
    <m/>
    <m/>
    <m/>
    <m/>
    <m/>
    <n v="2500000"/>
    <m/>
    <m/>
    <m/>
    <n v="2500000"/>
    <m/>
    <n v="5000000"/>
    <s v="Build partnerships with local and international universities"/>
    <m/>
  </r>
  <r>
    <s v="HR"/>
    <s v="Manager, Business Development"/>
    <s v="President's Office "/>
    <n v="847"/>
    <n v="8470110"/>
    <s v="KUST - Office of the President"/>
    <n v="1"/>
    <n v="421000"/>
    <s v="421000-Management consultancy"/>
    <s v="000000"/>
    <s v="KUST - General"/>
    <n v="847001"/>
    <s v="FA179-Opex Expense"/>
    <n v="200179"/>
    <x v="530"/>
    <n v="0"/>
    <n v="200000"/>
    <n v="200000"/>
    <s v="421000.Management consultancy-Number of contracted consultations -count"/>
    <s v="count"/>
    <n v="1"/>
    <n v="200000"/>
    <s v="Includes all types of consultancy, including academic and research consultancy. This does not include consultancy related directly to a capital asset or consultancy that are advisory in nature."/>
    <n v="200000"/>
    <s v="KU Strategic New Initiative"/>
    <s v="Non-recurring"/>
    <n v="180000"/>
    <n v="160000"/>
    <n v="140000"/>
    <s v="Impact operation of the department."/>
    <s v="Impact operation of the department."/>
    <s v="Impact operation of the department."/>
    <m/>
    <m/>
    <m/>
    <m/>
    <m/>
    <n v="100000"/>
    <m/>
    <m/>
    <m/>
    <m/>
    <n v="100000"/>
    <m/>
    <n v="200000"/>
    <s v="Develop the university innovation and entrepreneurship system"/>
    <m/>
  </r>
  <r>
    <s v="Communiction &amp; Marketing"/>
    <s v="Director, Marketing and Communication"/>
    <s v="President's Office "/>
    <n v="847"/>
    <n v="8470110"/>
    <s v="KUST - Office of the President"/>
    <n v="1"/>
    <n v="425510"/>
    <s v="425510-Conferences, seminars and exhibitions and other events: - Local Events"/>
    <s v="000000"/>
    <s v="KUST - General"/>
    <n v="847001"/>
    <s v="FA179-Opex Expense"/>
    <n v="200179"/>
    <x v="531"/>
    <n v="-188793.94"/>
    <n v="300000"/>
    <n v="300000"/>
    <s v="425510.Conferences, seminars and exhibitions and other events: - Local Events-Conferences-Number of Conferences"/>
    <s v="Number of Conferences"/>
    <n v="1"/>
    <n v="300000"/>
    <s v="Includes all expenses connected with event expenses hosted/participated inside UAE. Does not include faculty conferences."/>
    <n v="300000"/>
    <s v="KU Regular operations"/>
    <s v="Recurring"/>
    <n v="270000"/>
    <n v="240000"/>
    <n v="210000"/>
    <s v="Impact operation of the department."/>
    <s v="Impact operation of the department."/>
    <s v="Impact operation of the department."/>
    <m/>
    <m/>
    <m/>
    <m/>
    <m/>
    <m/>
    <m/>
    <m/>
    <m/>
    <m/>
    <n v="300000"/>
    <m/>
    <n v="300000"/>
    <s v="Enhance the communication plan and outreach activities"/>
    <m/>
  </r>
  <r>
    <s v="Communiction &amp; Marketing"/>
    <s v="No Applicable"/>
    <s v="President's Office "/>
    <n v="847"/>
    <n v="8470110"/>
    <s v="KUST - Office of the President"/>
    <n v="1"/>
    <n v="425550"/>
    <s v="425550-Conferences, seminars and exhibitions and other events: - Overseas event"/>
    <s v="000000"/>
    <s v="KUST - General"/>
    <n v="847001"/>
    <s v="FA179-Opex Expense"/>
    <n v="200179"/>
    <x v="532"/>
    <s v="-"/>
    <n v="300000"/>
    <n v="300000"/>
    <s v="425550.Conferences, seminars and exhibitions and other events: - Overseas event-Conferences-Number of Conferences"/>
    <s v="Number of Conferences"/>
    <n v="1"/>
    <n v="300000"/>
    <s v="Includes all expenses connected with event expenses hosted/participated outside UAE. Does not include faculty conferences."/>
    <n v="300000"/>
    <s v="KU Regular operations"/>
    <s v="Recurring"/>
    <n v="270000"/>
    <n v="240000"/>
    <n v="210000"/>
    <s v="Impact operation of the department."/>
    <s v="Impact operation of the department."/>
    <s v="Impact operation of the department."/>
    <m/>
    <m/>
    <m/>
    <m/>
    <m/>
    <m/>
    <m/>
    <m/>
    <n v="150000"/>
    <m/>
    <n v="150000"/>
    <m/>
    <n v="300000"/>
    <s v="Enhance the communication plan and outreach activities"/>
    <m/>
  </r>
  <r>
    <s v="Other support"/>
    <s v="Director, Human Resources"/>
    <s v="President's Office "/>
    <n v="847"/>
    <n v="8470110"/>
    <s v="KUST - Office of the President"/>
    <n v="1"/>
    <n v="425900"/>
    <s v="425900-Entertainment and hospitality"/>
    <s v="000000"/>
    <s v="KUST - General"/>
    <n v="847001"/>
    <s v="FA179-Opex Expense"/>
    <n v="200179"/>
    <x v="533"/>
    <n v="1327.5"/>
    <n v="10000"/>
    <n v="10000"/>
    <s v="425900.Entertainment and hospitality-1. No of events/workshops planned-count"/>
    <s v="count"/>
    <n v="1"/>
    <n v="50000"/>
    <s v="Including catering charges &amp; farewell/welcome gatherings"/>
    <n v="50000"/>
    <s v="KU Regular operations"/>
    <s v="Recurring"/>
    <n v="45000"/>
    <n v="40000"/>
    <n v="35000"/>
    <s v="Impact operation of the department."/>
    <s v="Impact operation of the department."/>
    <s v="Impact operation of the department."/>
    <n v="4000"/>
    <n v="4000"/>
    <n v="4000"/>
    <n v="4000"/>
    <n v="4000"/>
    <n v="4000"/>
    <n v="4000"/>
    <n v="5000"/>
    <n v="4000"/>
    <n v="4000"/>
    <n v="5000"/>
    <n v="4000"/>
    <n v="50000"/>
    <s v="Enhance the communication plan and outreach activities"/>
    <m/>
  </r>
  <r>
    <s v="Academic "/>
    <s v="No Applicable"/>
    <s v="President's Office "/>
    <n v="847"/>
    <n v="8470110"/>
    <s v="KUST - Office of the President"/>
    <n v="1"/>
    <n v="428090"/>
    <s v="428090-Business Travel - Combined expenses"/>
    <s v="000000"/>
    <s v="KUST - General"/>
    <n v="847001"/>
    <s v="FA179-Opex Expense"/>
    <n v="200179"/>
    <x v="534"/>
    <n v="15480.75"/>
    <n v="1000000"/>
    <n v="1000000"/>
    <s v="428090.Business Travel - Combined expenses-Number of Staff-Number"/>
    <s v="Number"/>
    <n v="1"/>
    <n v="1000000"/>
    <s v="For costs connected to Senior Management business trips within and outside UAE, including travel costs, per diem and registrations"/>
    <n v="1000000"/>
    <s v="KU Strategic New Initiative"/>
    <s v="Non-recurring"/>
    <n v="900000"/>
    <n v="800000"/>
    <n v="700000"/>
    <s v="Impact operation of the department."/>
    <s v="Impact operation of the department."/>
    <s v="Impact operation of the department."/>
    <m/>
    <m/>
    <n v="250000"/>
    <m/>
    <m/>
    <n v="250000"/>
    <m/>
    <m/>
    <n v="250000"/>
    <m/>
    <m/>
    <n v="250000"/>
    <n v="1000000"/>
    <s v="Build partnerships with local and international universities"/>
    <m/>
  </r>
  <r>
    <s v="Research"/>
    <s v="No Applicable"/>
    <s v="President's Office "/>
    <n v="847"/>
    <n v="8470110"/>
    <s v="KUST - Office of the President"/>
    <n v="1"/>
    <n v="428400"/>
    <s v="428400-Sponsorship expenses/contributions"/>
    <s v="000000"/>
    <s v="KUST - General"/>
    <n v="847001"/>
    <s v="FA179-Opex Expense"/>
    <n v="200179"/>
    <x v="535"/>
    <s v="-"/>
    <n v="50000"/>
    <n v="50000"/>
    <s v="428400.Sponsorship expenses/contributions-No of University/event sponshorship-No of Sponshorship"/>
    <s v="No of Sponshorship"/>
    <n v="1"/>
    <n v="50000"/>
    <s v=" includes University sponsoring out side events/initiatives"/>
    <n v="50000"/>
    <s v="KU Strategic New Initiative"/>
    <s v="Non-recurring"/>
    <n v="45000"/>
    <n v="40000"/>
    <n v="35000"/>
    <s v="Impact operation of the department."/>
    <s v="Impact operation of the department."/>
    <s v="Impact operation of the department."/>
    <m/>
    <m/>
    <m/>
    <m/>
    <m/>
    <m/>
    <m/>
    <m/>
    <m/>
    <m/>
    <n v="50000"/>
    <m/>
    <n v="50000"/>
    <s v="Build partnerships with local and international universities"/>
    <m/>
  </r>
  <r>
    <s v="Communiction &amp; Marketing"/>
    <s v="Director, Marketing and Communication"/>
    <s v="President's Office "/>
    <n v="847"/>
    <n v="8470110"/>
    <s v="KUST - Office of the President"/>
    <n v="1"/>
    <n v="428640"/>
    <s v="428640-Events - Awards, prizes &amp; gifts"/>
    <s v="000000"/>
    <s v="KUST - General"/>
    <n v="847001"/>
    <s v="FA179-Opex Expense"/>
    <n v="200179"/>
    <x v="536"/>
    <n v="0"/>
    <n v="100000"/>
    <n v="100000"/>
    <s v="428640.Events - Awards, prizes &amp; gifts-Number of gifts-count"/>
    <s v="count"/>
    <n v="1"/>
    <n v="50000"/>
    <s v="For costs of gifts including those for VIP guests (excluding those given as part of an event expense)"/>
    <n v="50000"/>
    <s v="KU Regular operations"/>
    <s v="Recurring"/>
    <n v="45000"/>
    <n v="40000"/>
    <n v="35000"/>
    <s v="Impact operation of the department."/>
    <s v="Impact operation of the department."/>
    <s v="Impact operation of the department."/>
    <m/>
    <m/>
    <n v="12500"/>
    <m/>
    <m/>
    <n v="12500"/>
    <m/>
    <m/>
    <n v="12500"/>
    <m/>
    <m/>
    <n v="12500"/>
    <n v="50000"/>
    <s v="Enhance the communication plan and outreach activities"/>
    <m/>
  </r>
  <r>
    <s v="Other support"/>
    <s v="No Applicable"/>
    <s v="President's Office "/>
    <n v="847"/>
    <n v="8470120"/>
    <s v="KUST - Audit"/>
    <n v="1"/>
    <n v="420120"/>
    <s v="420120-Internal Audit service"/>
    <s v="000000"/>
    <s v="KUST - General"/>
    <n v="847001"/>
    <s v="FA179-Opex Expense"/>
    <n v="200179"/>
    <x v="537"/>
    <n v="383814"/>
    <n v="420000"/>
    <n v="500000"/>
    <s v="420120.Internal Audit service-Number of Audit-Number"/>
    <s v="Number"/>
    <n v="6"/>
    <n v="70000"/>
    <s v="No of SME/staff * No of audits"/>
    <n v="420000"/>
    <s v="KU Regular operations"/>
    <s v="Recurring"/>
    <n v="378000"/>
    <n v="336000"/>
    <n v="294000"/>
    <s v="Reduction in no of technical audits"/>
    <s v="Reduction in no of technical audits"/>
    <s v="Reduction in no of technical audits"/>
    <m/>
    <m/>
    <n v="70000"/>
    <m/>
    <m/>
    <n v="140000"/>
    <m/>
    <m/>
    <n v="140000"/>
    <m/>
    <n v="70000"/>
    <m/>
    <n v="420000"/>
    <s v="Build partnerships with local and international universities"/>
    <m/>
  </r>
  <r>
    <s v="Other support"/>
    <s v="No Applicable"/>
    <s v="President's Office "/>
    <n v="847"/>
    <n v="8470120"/>
    <s v="KUST - Audit"/>
    <n v="1"/>
    <n v="420120"/>
    <s v="420120-Internal Audit service"/>
    <s v="000000"/>
    <s v="KUST - General"/>
    <s v="847001"/>
    <s v="FA179-Opex Expense"/>
    <n v="200179"/>
    <x v="537"/>
    <m/>
    <n v="100000"/>
    <m/>
    <s v="420120.Internal Audit service-Number of Audit-Number"/>
    <s v="Number"/>
    <n v="1"/>
    <n v="100000"/>
    <s v="No of SME/staff "/>
    <n v="100000"/>
    <s v="KU Regular operations"/>
    <s v="Non-recurring"/>
    <n v="90000"/>
    <n v="80000"/>
    <n v="70000"/>
    <s v="Reduction in providing adequate governance / Audit"/>
    <s v="Reduction in providing adequate governance / Audit"/>
    <s v="Reduction in providing adequate governance / Audit"/>
    <m/>
    <m/>
    <m/>
    <m/>
    <m/>
    <n v="50000"/>
    <m/>
    <m/>
    <n v="50000"/>
    <m/>
    <m/>
    <m/>
    <n v="100000"/>
    <s v="Build partnerships with local and international universities"/>
    <m/>
  </r>
  <r>
    <s v="IT"/>
    <s v="Director, Technology Development"/>
    <s v="President's Office "/>
    <n v="847"/>
    <n v="8470120"/>
    <s v="KUST - Audit"/>
    <n v="1"/>
    <n v="426610"/>
    <s v="426610-Computer software licenses-Software License Renewal"/>
    <s v="000000"/>
    <s v="KUST - General"/>
    <n v="847001"/>
    <s v="FA179-Opex Expense"/>
    <n v="200179"/>
    <x v="538"/>
    <s v="-"/>
    <n v="56000"/>
    <n v="55612"/>
    <s v="426610.Computer software licenses-Software License Renewal-number of licenses-Number"/>
    <s v="Number"/>
    <n v="1"/>
    <n v="24889"/>
    <s v="Renwal Software Each User / year"/>
    <n v="24889"/>
    <s v="KU Regular operations"/>
    <s v="Recurring"/>
    <n v="22400.100000000002"/>
    <n v="19911.2"/>
    <n v="17422.3"/>
    <s v="Impact run the dept. operation"/>
    <s v="Impact run the dept. operation"/>
    <s v="Impact run the dept. operation"/>
    <m/>
    <m/>
    <m/>
    <m/>
    <m/>
    <n v="24889"/>
    <m/>
    <m/>
    <m/>
    <m/>
    <m/>
    <m/>
    <n v="24889"/>
    <s v="Ensure the university sustainability "/>
    <m/>
  </r>
  <r>
    <s v="HR"/>
    <s v="Manager, Business Development"/>
    <s v="President's Office "/>
    <n v="847"/>
    <n v="8470121"/>
    <s v="KUST - Compliance and Risk Management"/>
    <n v="1"/>
    <n v="421000"/>
    <s v="421000-Management consultancy"/>
    <s v="000000"/>
    <s v="KUST - General"/>
    <n v="847001"/>
    <s v="FA179-Opex Expense"/>
    <n v="200179"/>
    <x v="539"/>
    <m/>
    <m/>
    <m/>
    <s v="421000.Management Consultancy work for hiring external expert investigators-Type of Allegation-number"/>
    <s v="number"/>
    <n v="2"/>
    <n v="25000"/>
    <s v="external expert investigators"/>
    <n v="50000"/>
    <s v="KU Regular operations"/>
    <s v="Recurring"/>
    <n v="45000"/>
    <n v="40000"/>
    <n v="35000"/>
    <s v="Will not get the proper investigation as intended and planned "/>
    <s v="Will not get the proper investigation as intended and planned"/>
    <s v="Will not get the proper investigation as intended and planned"/>
    <m/>
    <m/>
    <m/>
    <m/>
    <m/>
    <m/>
    <m/>
    <m/>
    <m/>
    <m/>
    <n v="50000"/>
    <n v="0"/>
    <n v="50000"/>
    <s v="Ensure the university sustainability "/>
    <m/>
  </r>
  <r>
    <s v="Other support"/>
    <s v="Director, Human Resources"/>
    <s v="President's Office "/>
    <n v="847"/>
    <n v="8470121"/>
    <s v="KUST - Compliance and Risk Management"/>
    <n v="1"/>
    <n v="425900"/>
    <s v="425900-Entertainment and hospitality"/>
    <s v="000000"/>
    <s v="KUST - General"/>
    <n v="847001"/>
    <s v="FA179-Opex Expense"/>
    <n v="200179"/>
    <x v="540"/>
    <m/>
    <m/>
    <m/>
    <s v="425900.Entertainment and hospitality-1. No of events/workshops planned-count"/>
    <s v="count"/>
    <n v="5"/>
    <n v="3000"/>
    <s v="Celebrate malison achievements / catering request for compliance team workshop gathering  "/>
    <n v="15000"/>
    <s v="KU Strategic New Initiative"/>
    <s v="Recurring"/>
    <n v="13500"/>
    <n v="12000"/>
    <n v="10500"/>
    <s v="_x000a_Impact on business run operations  _x000a_"/>
    <s v="_x000a_Impact on business run operations  _x000a_"/>
    <s v="_x000a_Impact on business run operations  _x000a_"/>
    <m/>
    <m/>
    <m/>
    <m/>
    <m/>
    <m/>
    <m/>
    <m/>
    <m/>
    <m/>
    <n v="15000"/>
    <m/>
    <n v="15000"/>
    <s v="Ensure the university sustainability "/>
    <m/>
  </r>
  <r>
    <s v="HR"/>
    <s v="Manager, Business Development"/>
    <s v="President's Office "/>
    <n v="847"/>
    <n v="8470121"/>
    <s v="KUST - Compliance and Risk Management"/>
    <n v="1"/>
    <n v="421000"/>
    <s v="421000-Management consultancy"/>
    <s v="000000"/>
    <s v="KUST - General"/>
    <n v="847001"/>
    <s v="FA179-Opex Expense"/>
    <n v="200179"/>
    <x v="539"/>
    <m/>
    <m/>
    <m/>
    <s v="421000. Newsletters,Case Studies,Infographics and Annual Compliance Campaign collateral"/>
    <s v="number"/>
    <n v="5"/>
    <n v="20000"/>
    <s v="external expert investigators"/>
    <n v="100000"/>
    <s v="KU Regular operations"/>
    <s v="Recurring"/>
    <n v="90000"/>
    <n v="80000"/>
    <n v="70000"/>
    <s v="Impact on business run operations  "/>
    <s v="Impact on business run operations  "/>
    <s v="Impact on business run operations  "/>
    <m/>
    <m/>
    <m/>
    <m/>
    <m/>
    <m/>
    <m/>
    <m/>
    <m/>
    <m/>
    <n v="100000"/>
    <m/>
    <n v="100000"/>
    <s v="Ensure the university sustainability "/>
    <m/>
  </r>
  <r>
    <s v="Academic"/>
    <s v="Director, Institutional Research and Planning"/>
    <s v="President's Office "/>
    <n v="847"/>
    <n v="8470121"/>
    <s v="KUST - Compliance and Risk Management"/>
    <n v="1"/>
    <n v="421700"/>
    <s v="421700-Standards Certification Services (e.g. ISO)"/>
    <s v="000000"/>
    <s v="KUST - General"/>
    <n v="847001"/>
    <s v="FA179-Opex Expense"/>
    <n v="200179"/>
    <x v="541"/>
    <m/>
    <m/>
    <m/>
    <s v="421700.Standards Certification Services (e.g. ISO)-professional services scope/deliverables-Number"/>
    <s v="Number"/>
    <n v="2"/>
    <n v="75000"/>
    <s v="external expert investigators"/>
    <n v="150000"/>
    <s v="KU Regular operations"/>
    <s v="Recurring"/>
    <n v="135000"/>
    <n v="120000"/>
    <n v="105000"/>
    <s v="Impact on business run operations  "/>
    <s v="Impact on business run operations  "/>
    <s v="Impact on business run operations  "/>
    <m/>
    <m/>
    <m/>
    <m/>
    <m/>
    <m/>
    <m/>
    <m/>
    <m/>
    <m/>
    <n v="150000"/>
    <m/>
    <n v="150000"/>
    <s v="Ensure the university sustainability "/>
    <m/>
  </r>
  <r>
    <s v="IT"/>
    <s v="Director, Technology Development"/>
    <s v="President's Office "/>
    <n v="847"/>
    <n v="8470121"/>
    <s v="KUST - Compliance and Risk Management"/>
    <n v="1"/>
    <n v="426610"/>
    <s v="426610-Computer software licenses-Software License Renewal"/>
    <s v="000000"/>
    <s v="KUST - General"/>
    <n v="847001"/>
    <s v="FA179-Opex Expense"/>
    <n v="200179"/>
    <x v="542"/>
    <m/>
    <m/>
    <m/>
    <s v="426610.Computer software licenses-Software License Renewal-number of licenses-Number"/>
    <s v="Number"/>
    <n v="5"/>
    <n v="30000"/>
    <s v="Compliance Modules for awareness and training purpose"/>
    <n v="150000"/>
    <s v="KU Regular operations"/>
    <s v="Recurring"/>
    <n v="135000"/>
    <n v="120000"/>
    <n v="105000"/>
    <s v="Improper Compliance training for KU staff, faculty and students  "/>
    <s v="Improper Compliance training for KU staff, faculty and students  "/>
    <s v="Improper Compliance training for KU staff, faculty and students  "/>
    <m/>
    <m/>
    <m/>
    <m/>
    <m/>
    <m/>
    <m/>
    <m/>
    <m/>
    <m/>
    <n v="150000"/>
    <m/>
    <n v="150000"/>
    <s v="Ensure the university sustainability "/>
    <m/>
  </r>
  <r>
    <s v="Other support"/>
    <s v="General Counsel"/>
    <s v="President's Office "/>
    <n v="847"/>
    <n v="8470150"/>
    <s v="KUST - General Counsel"/>
    <n v="1"/>
    <n v="420900"/>
    <s v="420900-Legal services"/>
    <s v="000000"/>
    <s v="KUST - General"/>
    <n v="847001"/>
    <s v="FA179-Opex Expense"/>
    <n v="200179"/>
    <x v="543"/>
    <n v="1350"/>
    <n v="21000"/>
    <n v="21000"/>
    <s v="420900.Legal services-Translation-number of pages"/>
    <s v="number of pages"/>
    <n v="1"/>
    <n v="20000"/>
    <s v="legal Documents Translation"/>
    <n v="20000"/>
    <s v="KU Regular operations"/>
    <s v="Recurring"/>
    <n v="18000"/>
    <n v="16000"/>
    <n v="14000"/>
    <s v="impact the  quality "/>
    <s v="impact the  quality "/>
    <s v="impact the  quality "/>
    <m/>
    <m/>
    <n v="5000"/>
    <m/>
    <m/>
    <n v="5000"/>
    <m/>
    <m/>
    <n v="5000"/>
    <m/>
    <m/>
    <n v="5000"/>
    <n v="20000"/>
    <s v="Ensure the university sustainability "/>
    <m/>
  </r>
  <r>
    <s v="Other support"/>
    <s v="General Counsel"/>
    <s v="President's Office "/>
    <n v="847"/>
    <n v="8470150"/>
    <s v="KUST - General Counsel"/>
    <n v="1"/>
    <n v="420900"/>
    <s v="420900-Legal services"/>
    <s v="000000"/>
    <s v="KUST - General"/>
    <n v="847001"/>
    <s v="FA179-Opex Expense"/>
    <n v="200179"/>
    <x v="543"/>
    <s v="-"/>
    <s v="-"/>
    <m/>
    <s v="420900.Legal services-hours of legal consutancy-number of working hours"/>
    <s v="number of working hours"/>
    <n v="1"/>
    <n v="300000"/>
    <s v="Consultancy services"/>
    <n v="300000"/>
    <s v="KU Regular operations"/>
    <s v="Recurring"/>
    <n v="270000"/>
    <n v="240000"/>
    <n v="210000"/>
    <s v="impact the  quality "/>
    <s v="impact the  quality "/>
    <s v="impact the  quality "/>
    <n v="25000"/>
    <n v="25000"/>
    <n v="25000"/>
    <n v="25000"/>
    <n v="25000"/>
    <n v="25000"/>
    <n v="25000"/>
    <n v="25000"/>
    <n v="25000"/>
    <n v="25000"/>
    <n v="25000"/>
    <n v="25000"/>
    <n v="300000"/>
    <s v="Ensure the university sustainability "/>
    <m/>
  </r>
  <r>
    <s v="Academic"/>
    <s v="No Applicable"/>
    <s v="President's Office "/>
    <n v="847"/>
    <n v="8470150"/>
    <s v="KUST - General Counsel"/>
    <n v="1"/>
    <n v="427710"/>
    <s v="427710-Subscriptions and membership fees: Trade organisations"/>
    <s v="000000"/>
    <s v="KUST - General"/>
    <s v="847001"/>
    <s v="FA179-Opex Expense"/>
    <n v="200179"/>
    <x v="544"/>
    <m/>
    <m/>
    <m/>
    <s v="427710.Subscriptions and membership fees: Trade organisations-Number  of Memberships-Number"/>
    <s v="Number"/>
    <n v="1"/>
    <n v="25000"/>
    <s v="Court/membership"/>
    <n v="25000"/>
    <s v="KU Regular operations"/>
    <s v="Recurring"/>
    <n v="22500"/>
    <n v="20000"/>
    <n v="17500"/>
    <s v="impact the  quality "/>
    <s v="impact the  quality "/>
    <s v="impact the  quality "/>
    <m/>
    <m/>
    <n v="25000"/>
    <m/>
    <m/>
    <m/>
    <m/>
    <m/>
    <m/>
    <m/>
    <m/>
    <m/>
    <n v="25000"/>
    <s v="Ensure the university sustainability "/>
    <m/>
  </r>
  <r>
    <s v="Communiction &amp; Marketing"/>
    <s v="No Applicable"/>
    <s v="President's Office "/>
    <n v="847"/>
    <n v="8470160"/>
    <s v="KUST - SVP/ Support Services Office"/>
    <n v="1"/>
    <n v="425550"/>
    <s v="425550-Conferences, seminars and exhibitions and other events: - Overseas event"/>
    <s v="000000"/>
    <s v="KUST - General"/>
    <n v="847001"/>
    <s v="FA179-Opex Expense"/>
    <n v="200179"/>
    <x v="545"/>
    <m/>
    <m/>
    <n v="25000"/>
    <s v="425550.Conferences, seminars and exhibitions and other events: - Overseas event-Conferences-Number of Conferences"/>
    <s v="Number of Conferences"/>
    <n v="2"/>
    <n v="50000"/>
    <s v="International Conference on Science, Technology, Engineering and Management 2023-03-20/ International Conference on Recent Innovations in Engineering and Technology"/>
    <n v="100000"/>
    <s v="KU Strategic New Initiative"/>
    <s v="Non-recurring"/>
    <n v="90000"/>
    <n v="80000"/>
    <n v="70000"/>
    <s v="Impact on running the operation in department"/>
    <s v="Impact on running the operation in department"/>
    <s v="Impact on running the operation in department"/>
    <m/>
    <m/>
    <n v="50000"/>
    <m/>
    <m/>
    <m/>
    <m/>
    <m/>
    <n v="50000"/>
    <m/>
    <m/>
    <m/>
    <n v="100000"/>
    <s v="Develop the university innovation and entrepreneurship system"/>
    <m/>
  </r>
  <r>
    <s v="Communiction &amp; Marketing"/>
    <s v="Director, Marketing and Communication"/>
    <s v="President's Office "/>
    <n v="847"/>
    <n v="8470160"/>
    <s v="KUST - SVP/ Support Services Office"/>
    <n v="1"/>
    <n v="428640"/>
    <s v="428640-Events - Awards, prizes &amp; gifts"/>
    <s v="000000"/>
    <s v="KUST - General"/>
    <n v="847001"/>
    <s v="FA179-Opex Expense"/>
    <n v="200179"/>
    <x v="546"/>
    <m/>
    <m/>
    <n v="100000"/>
    <s v="428640.Events - Awards, prizes &amp; gifts-Number of gifts-count"/>
    <s v="count"/>
    <n v="100"/>
    <n v="1000"/>
    <s v="Awards given to your employees for performance-related reasons"/>
    <n v="100000"/>
    <s v="KU Regular operations"/>
    <s v="Recurring"/>
    <n v="90000"/>
    <n v="80000"/>
    <n v="70000"/>
    <s v="Impact on running the operation in department"/>
    <s v="Impact on running the operation in department"/>
    <s v="Impact on running the operation in department"/>
    <n v="50000"/>
    <m/>
    <n v="50000"/>
    <m/>
    <m/>
    <m/>
    <m/>
    <m/>
    <m/>
    <m/>
    <m/>
    <m/>
    <n v="100000"/>
    <s v="Enhance the communication plan and outreach activities"/>
    <m/>
  </r>
  <r>
    <s v="Academic "/>
    <s v="No Applicable"/>
    <s v="President's Office "/>
    <n v="847"/>
    <n v="8470160"/>
    <s v="KUST - SVP/ Support Services Office"/>
    <n v="1"/>
    <n v="428090"/>
    <s v="428090-Business Travel - Combined expenses"/>
    <s v="000000"/>
    <s v="KUST - General"/>
    <n v="847001"/>
    <s v="FA179-Opex Expense"/>
    <n v="200179"/>
    <x v="547"/>
    <m/>
    <m/>
    <n v="40000"/>
    <s v="428090.Business Travel - Combined expenses-Number of Staff-Number"/>
    <s v="Number"/>
    <n v="2"/>
    <n v="50000"/>
    <s v=" business mission for support services development / Training"/>
    <n v="100000"/>
    <s v="KU Strategic New Initiative"/>
    <s v="Non-recurring"/>
    <n v="90000"/>
    <n v="80000"/>
    <n v="70000"/>
    <s v="Impact on running the operation in department"/>
    <s v="Impact on running the operation in department"/>
    <s v="Impact on running the operation in department"/>
    <m/>
    <m/>
    <m/>
    <m/>
    <m/>
    <n v="50000"/>
    <m/>
    <n v="50000"/>
    <m/>
    <m/>
    <m/>
    <m/>
    <n v="100000"/>
    <s v="Develop the university innovation and entrepreneurship system"/>
    <m/>
  </r>
  <r>
    <s v="Other support"/>
    <s v="Director, Human Resources"/>
    <s v="President's Office "/>
    <n v="847"/>
    <n v="8470160"/>
    <s v="KUST - SVP/ Support Services Office"/>
    <n v="1"/>
    <n v="425900"/>
    <s v="425900-Entertainment and hospitality"/>
    <s v="000000"/>
    <s v="KUST - General"/>
    <n v="847001"/>
    <s v="FA179-Opex Expense"/>
    <n v="200179"/>
    <x v="548"/>
    <m/>
    <m/>
    <n v="2200000"/>
    <s v="425900.Entertainment and hospitality-1. No of events/workshops planned-count"/>
    <s v="count"/>
    <n v="6"/>
    <n v="200000"/>
    <s v="Upcoming planned workshop and event for the Support Services"/>
    <n v="1200000"/>
    <s v="KU Regular operations"/>
    <s v="Recurring"/>
    <n v="1080000"/>
    <n v="960000"/>
    <n v="840000"/>
    <s v="Impact on running the operation in department"/>
    <s v="Impact on running the operation in department"/>
    <s v="Impact on running the operation in department"/>
    <n v="500000"/>
    <m/>
    <n v="200000"/>
    <m/>
    <m/>
    <n v="500000"/>
    <m/>
    <m/>
    <m/>
    <m/>
    <m/>
    <m/>
    <n v="1200000"/>
    <s v="Develop the university innovation and entrepreneurship system"/>
    <m/>
  </r>
  <r>
    <n v="0"/>
    <s v="No Applicable"/>
    <s v="Senior Vice President, Research Office"/>
    <n v="847"/>
    <n v="8471160"/>
    <s v="KUST - Research Laboratories"/>
    <n v="1"/>
    <n v="420810"/>
    <s v="420810-IT Systems &amp; Support expenses"/>
    <s v="000000"/>
    <s v="KUST - General"/>
    <n v="847001"/>
    <s v="FA179-Opex Expense"/>
    <n v="200179"/>
    <x v="549"/>
    <s v="-"/>
    <n v="0"/>
    <n v="0"/>
    <m/>
    <s v="-_"/>
    <m/>
    <m/>
    <m/>
    <n v="0"/>
    <m/>
    <m/>
    <n v="0"/>
    <n v="0"/>
    <n v="0"/>
    <m/>
    <m/>
    <m/>
    <n v="0"/>
    <n v="0"/>
    <n v="0"/>
    <n v="0"/>
    <n v="0"/>
    <n v="0"/>
    <n v="0"/>
    <n v="0"/>
    <n v="0"/>
    <n v="0"/>
    <m/>
    <n v="0"/>
    <n v="0"/>
    <m/>
    <m/>
  </r>
  <r>
    <s v="IT"/>
    <s v="Director, Technology Development"/>
    <s v="Senior Vice President, Research Office"/>
    <n v="847"/>
    <n v="8471160"/>
    <s v="KUST - Research Laboratories"/>
    <n v="1"/>
    <n v="420811"/>
    <s v="420811--"/>
    <s v="000000"/>
    <s v="KUST - General"/>
    <n v="847001"/>
    <s v="FA179-Opex Expense"/>
    <n v="200179"/>
    <x v="550"/>
    <s v="-"/>
    <n v="588000"/>
    <n v="588000"/>
    <s v="420811.IT Systems &amp; Support expenses-Application/Systems Operation-professional services scope/deliverables-Month"/>
    <s v="Month"/>
    <n v="1"/>
    <n v="1"/>
    <s v="Not requested"/>
    <n v="1"/>
    <m/>
    <m/>
    <n v="0.9"/>
    <n v="0.8"/>
    <n v="0.7"/>
    <m/>
    <m/>
    <m/>
    <n v="1"/>
    <n v="0"/>
    <n v="0"/>
    <n v="0"/>
    <n v="0"/>
    <n v="0"/>
    <n v="0"/>
    <n v="0"/>
    <n v="0"/>
    <n v="0"/>
    <m/>
    <n v="0"/>
    <n v="1"/>
    <s v="Ensure the university sustainability "/>
    <m/>
  </r>
  <r>
    <s v="IT"/>
    <s v="Director, Technology Development"/>
    <s v="Senior Vice President, Research Office"/>
    <n v="847"/>
    <n v="8471160"/>
    <s v="KUST - Research Laboratories"/>
    <n v="1"/>
    <n v="426610"/>
    <s v="426610-Computer software licenses"/>
    <s v="000000"/>
    <s v="KUST - General"/>
    <n v="847001"/>
    <s v="FA179-Opex Expense"/>
    <n v="200179"/>
    <x v="551"/>
    <n v="51393.919999999998"/>
    <n v="161375"/>
    <n v="161375"/>
    <s v="426610.Computer software licenses-Software License Renewal-number of licenses-Number"/>
    <s v="Number"/>
    <n v="15330"/>
    <n v="1"/>
    <s v="Itemized details based on quotations (refer to tab 2023 budget breakdown)"/>
    <n v="15330"/>
    <m/>
    <m/>
    <n v="13797"/>
    <n v="12264"/>
    <n v="10731"/>
    <s v="Software renewal cannot be made."/>
    <s v="Software renewal cannot be made."/>
    <s v="Software renewal cannot be made."/>
    <m/>
    <m/>
    <n v="15330"/>
    <m/>
    <m/>
    <m/>
    <m/>
    <m/>
    <m/>
    <m/>
    <m/>
    <m/>
    <n v="15330"/>
    <s v="Ensure the university sustainability "/>
    <m/>
  </r>
  <r>
    <s v="Academic"/>
    <s v="No Applicable"/>
    <s v="Senior Vice President, Research Office"/>
    <n v="847"/>
    <n v="8471160"/>
    <s v="KUST - Research Laboratories"/>
    <n v="1"/>
    <n v="432209"/>
    <s v="432209-Laboratory equipment"/>
    <s v="000000"/>
    <s v="KUST - General"/>
    <n v="847001"/>
    <s v="FA179-Opex Expense"/>
    <n v="200179"/>
    <x v="552"/>
    <n v="10701612.01"/>
    <n v="15319303"/>
    <n v="15319303"/>
    <s v="432209.Laboratory equipment-Number of Students-Number"/>
    <s v="Number"/>
    <n v="17597270"/>
    <n v="1"/>
    <s v="Itemized details based on quotations (refer to tab 2023 budget breakdown)"/>
    <n v="17597270"/>
    <s v="KU Regular operations"/>
    <s v="Recurring"/>
    <n v="15837543"/>
    <n v="14077816"/>
    <n v="12318089"/>
    <s v="Not possible. Equipment maintenance cannot be decreased by percentage. Not performing maintenance leads to potential equipment failures thereby impacting on supported research activities. With increasing budget reduction scenarios, such concerns are amplified in addition to increasing HSE risk due to possibly poorly maintained equipment."/>
    <s v="Not possible. Equipment maintenance cannot be decreased by percentage. Not performing maintenance leads to potential equipment failures thereby impacting on supported research activities. With increasing budget reduction scenarios, such concerns are amplified in addition to increasing HSE risk due to possibly poorly maintained equipment."/>
    <s v="Not possible. Equipment maintenance cannot be decreased by percentage. Not performing maintenance leads to potential equipment failures thereby impacting on supported research activities. With increasing budget reduction scenarios, such concerns are amplified in addition to increasing HSE risk due to possibly poorly maintained equipment."/>
    <n v="879863.5"/>
    <n v="879863.5"/>
    <n v="1759727"/>
    <n v="2639590.5"/>
    <n v="2639590.5"/>
    <n v="2639590.5"/>
    <n v="1759727"/>
    <n v="1759727"/>
    <n v="879863.5"/>
    <n v="879863.5"/>
    <n v="879863.5"/>
    <n v="0"/>
    <n v="17597270"/>
    <s v="Ensure the university sustainability "/>
    <m/>
  </r>
  <r>
    <s v="Academic"/>
    <s v="Director, Research Laboratories"/>
    <s v="Senior Vice President, Research Office"/>
    <n v="847"/>
    <n v="8471160"/>
    <s v="KUST - Research Laboratories"/>
    <n v="1"/>
    <n v="435508"/>
    <s v="435508-Laboratory - Scientific"/>
    <s v="000000"/>
    <s v="KUST - General"/>
    <n v="847001"/>
    <s v="FA179-Opex Expense"/>
    <n v="200179"/>
    <x v="553"/>
    <n v="1706315.81"/>
    <n v="2753398"/>
    <n v="2753398"/>
    <s v="435508.Laboratory - Scientific-Number of Faculty-Number"/>
    <s v="Number"/>
    <n v="14046375"/>
    <n v="1"/>
    <s v="Itemized details based on quotations (refer to tab 2023 budget breakdown)"/>
    <n v="14046375"/>
    <s v="KU Regular operations"/>
    <s v="Recurring"/>
    <n v="12641737.5"/>
    <n v="11237100"/>
    <n v="9832462.5"/>
    <s v="Impacts on equipment maintenance and constraints equipment usage to support researcher activities. With increasing budget reduction scenarios, such concerns are amplified."/>
    <s v="Impacts on equipment maintenance and constraints equipment usage to support researcher activities. With increasing budget reduction scenarios, such concerns are amplified."/>
    <s v="Impacts on equipment maintenance and constraints equipment usage to support researcher activities. With increasing budget reduction scenarios, such concerns are amplified."/>
    <n v="702318.75"/>
    <n v="702318.75"/>
    <n v="1404637.5"/>
    <n v="2106956.25"/>
    <n v="2106956.25"/>
    <n v="1404637.5"/>
    <n v="1404637.5"/>
    <n v="1404637.5"/>
    <n v="1334405.625"/>
    <n v="702318.75"/>
    <n v="702318.75"/>
    <n v="70231.875"/>
    <n v="14046375"/>
    <s v="Ensure the university sustainability "/>
    <m/>
  </r>
  <r>
    <s v="Facilities "/>
    <s v="Director, Administration and Facilities"/>
    <s v="Senior Vice President, Research Office"/>
    <n v="847"/>
    <n v="8471160"/>
    <s v="KUST - Research Laboratories"/>
    <n v="1"/>
    <n v="492200"/>
    <s v="492200-Capital expense - Buildings"/>
    <s v="000000"/>
    <s v="KUST - General"/>
    <n v="847001"/>
    <s v="FA180-Capex Expense"/>
    <n v="300180"/>
    <x v="554"/>
    <n v="1834890.5"/>
    <n v="1304891"/>
    <n v="1304891"/>
    <s v="492316.Laboratory equipment-Number of Faculty-Number"/>
    <s v="Number"/>
    <n v="865000"/>
    <n v="1"/>
    <s v="Itemized details based on quotations (refer to tab 2023 budget breakdown)"/>
    <n v="865000"/>
    <s v="KU Strategic New Initiative"/>
    <s v="Non-recurring"/>
    <n v="778500"/>
    <n v="692000"/>
    <n v="605500"/>
    <s v="Infrastructure investment will need to be redesigned and postponed."/>
    <s v="Infrastructure investment will need to be redesigned and postponed."/>
    <s v="Infrastructure investment will need to be redesigned and postponed."/>
    <n v="0"/>
    <n v="865000"/>
    <n v="0"/>
    <n v="0"/>
    <n v="0"/>
    <n v="0"/>
    <n v="0"/>
    <n v="0"/>
    <n v="0"/>
    <n v="0"/>
    <n v="0"/>
    <n v="0"/>
    <n v="865000"/>
    <s v="Ensure the university sustainability "/>
    <m/>
  </r>
  <r>
    <s v="Facilities "/>
    <s v="Director, Research Laboratories"/>
    <s v="Senior Vice President, Research Office"/>
    <n v="847"/>
    <n v="8471160"/>
    <s v="KUST - Research Laboratories"/>
    <n v="1"/>
    <n v="492316"/>
    <s v="492316-Laboratory equipment"/>
    <s v="000000"/>
    <s v="KUST - General"/>
    <n v="847001"/>
    <s v="FA180-Capex Expense"/>
    <n v="300180"/>
    <x v="555"/>
    <n v="7403823.8399999999"/>
    <n v="15928069"/>
    <n v="15928069"/>
    <s v="492316.Laboratory equipment-Number of Research-Number"/>
    <s v="Number"/>
    <n v="81669712"/>
    <n v="1"/>
    <s v="Itemized details based on quotations (refer to tab 2023 budget breakdown)"/>
    <n v="81669712"/>
    <s v="KU Strategic New Initiative"/>
    <s v="Non-recurring"/>
    <n v="73502740.799999997"/>
    <n v="65335769.600000001"/>
    <n v="57168798.399999999"/>
    <s v="Laboratory based research capabilities will be constrained to existing aging equipment. With increasing budget reduction scenarios, such constraints are amplified."/>
    <s v="Laboratory based research capabilities will be constrained to existing aging equipment. With increasing budget reduction scenarios, such constraints are amplified."/>
    <s v="Laboratory based research capabilities will be constrained to existing aging equipment. With increasing budget reduction scenarios, such constraints are amplified."/>
    <n v="8166971.2000000002"/>
    <n v="16333942.4"/>
    <n v="24500913.599999998"/>
    <n v="24500913.599999998"/>
    <n v="8166971.2000000002"/>
    <n v="0"/>
    <n v="0"/>
    <n v="0"/>
    <n v="0"/>
    <n v="0"/>
    <n v="0"/>
    <n v="0"/>
    <n v="81669712"/>
    <s v="Ensure the university sustainability "/>
    <m/>
  </r>
  <r>
    <s v="Facilities "/>
    <s v="No Applicable"/>
    <s v="Senior Vice President, Research Office"/>
    <n v="847"/>
    <n v="8471160"/>
    <s v="KUST - Research Laboratories"/>
    <n v="1"/>
    <n v="422100"/>
    <s v="422100-Waste management service"/>
    <s v="000000"/>
    <n v="0"/>
    <n v="847001"/>
    <s v="FA179-Opex Expense"/>
    <n v="200179"/>
    <x v="556"/>
    <n v="100000"/>
    <s v="-"/>
    <s v="-"/>
    <m/>
    <s v="-_"/>
    <m/>
    <m/>
    <m/>
    <n v="0"/>
    <m/>
    <m/>
    <n v="0"/>
    <n v="0"/>
    <n v="0"/>
    <m/>
    <m/>
    <m/>
    <n v="0"/>
    <n v="0"/>
    <n v="0"/>
    <n v="0"/>
    <n v="0"/>
    <n v="0"/>
    <n v="0"/>
    <n v="0"/>
    <n v="0"/>
    <n v="0"/>
    <m/>
    <n v="0"/>
    <n v="0"/>
    <m/>
    <m/>
  </r>
  <r>
    <s v="Facilities "/>
    <s v="No Applicable"/>
    <s v="Senior Vice President, Research Office"/>
    <n v="847"/>
    <n v="8471160"/>
    <s v="KUST - Research Laboratories"/>
    <n v="1"/>
    <n v="430330"/>
    <s v="430330-Rental - Motor vehicles"/>
    <s v="000000"/>
    <n v="0"/>
    <n v="847001"/>
    <s v="FA179-Opex Expense"/>
    <n v="200179"/>
    <x v="557"/>
    <n v="-3673.25"/>
    <s v="-"/>
    <s v="-"/>
    <m/>
    <s v="-_"/>
    <m/>
    <m/>
    <m/>
    <n v="0"/>
    <m/>
    <m/>
    <n v="0"/>
    <n v="0"/>
    <n v="0"/>
    <m/>
    <m/>
    <m/>
    <n v="0"/>
    <n v="0"/>
    <n v="0"/>
    <n v="0"/>
    <n v="0"/>
    <n v="0"/>
    <n v="0"/>
    <n v="0"/>
    <n v="0"/>
    <n v="0"/>
    <m/>
    <n v="0"/>
    <n v="0"/>
    <m/>
    <m/>
  </r>
  <r>
    <m/>
    <m/>
    <m/>
    <m/>
    <m/>
    <m/>
    <m/>
    <m/>
    <m/>
    <m/>
    <m/>
    <m/>
    <m/>
    <m/>
    <x v="558"/>
    <m/>
    <m/>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count="904">
  <r>
    <n v="8470810"/>
    <s v="KUST - Ankabut office"/>
    <n v="1"/>
    <n v="413328"/>
    <x v="0"/>
    <s v="000000"/>
    <s v="KUST - General"/>
    <n v="847001"/>
    <x v="0"/>
    <n v="100178"/>
    <s v="847.8470810.1.413328.000000.847001.100178"/>
    <m/>
    <m/>
    <n v="8000000"/>
    <s v="Manpower Resources as per DGS Contract"/>
    <s v="Months"/>
    <x v="0"/>
    <x v="0"/>
    <x v="0"/>
    <n v="9986400"/>
    <s v="KU Regular operations"/>
    <s v="Recurring"/>
    <n v="8987760"/>
    <n v="7989120"/>
    <n v="6990480"/>
    <s v="Affects KU Core Operations and Non Compliance with contract terms"/>
    <s v="Affects KU Core Operations and Non Compliance with contract terms"/>
    <s v="Affects KU Core Operations and Non Compliance with contract terms"/>
    <n v="832200"/>
    <n v="832200"/>
    <n v="832200"/>
    <n v="832200"/>
    <n v="832200"/>
    <n v="832200"/>
    <n v="832200"/>
    <n v="832200"/>
    <n v="832200"/>
    <n v="832200"/>
    <n v="832200"/>
    <n v="832200"/>
    <n v="9986400"/>
    <m/>
    <s v="IT manpower should be moved to Chp-01"/>
  </r>
  <r>
    <n v="8470810"/>
    <s v="KUST - Ankabut office"/>
    <n v="1"/>
    <n v="420810"/>
    <x v="1"/>
    <s v="000000"/>
    <s v="KUST - General"/>
    <s v="847001"/>
    <x v="1"/>
    <n v="200179"/>
    <s v="847.8470810.1.420810.000000.847001.200179"/>
    <n v="300000"/>
    <n v="0"/>
    <m/>
    <m/>
    <s v="-_"/>
    <x v="1"/>
    <x v="1"/>
    <x v="1"/>
    <n v="0"/>
    <m/>
    <m/>
    <n v="0"/>
    <n v="0"/>
    <n v="0"/>
    <m/>
    <m/>
    <m/>
    <m/>
    <n v="0"/>
    <m/>
    <m/>
    <m/>
    <m/>
    <m/>
    <m/>
    <m/>
    <m/>
    <m/>
    <m/>
    <n v="0"/>
    <m/>
    <m/>
  </r>
  <r>
    <n v="8470810"/>
    <s v="KUST - Ankabut office"/>
    <n v="1"/>
    <n v="420811"/>
    <x v="2"/>
    <s v="000000"/>
    <s v="KUST - General"/>
    <s v="847001"/>
    <x v="1"/>
    <n v="200179"/>
    <s v="847.8470810.1.420811.000000.847001.200179"/>
    <s v="-"/>
    <n v="10351793"/>
    <n v="10351793"/>
    <s v="420811.IT Systems &amp; Support expenses-Application/Systems Operation-professional services scope/deliverables-Month"/>
    <s v="Month"/>
    <x v="0"/>
    <x v="2"/>
    <x v="2"/>
    <n v="21982967"/>
    <s v="KU Regular operations"/>
    <s v="Recurring"/>
    <n v="19784670.300000001"/>
    <n v="17586373.600000001"/>
    <n v="15388076.899999999"/>
    <s v="Affects KU Core Operations and Non Compliance with contract terms"/>
    <s v="Affects KU Core Operations and Non Compliance with contract terms"/>
    <s v="Affects KU Core Operations and Non Compliance with contract terms"/>
    <n v="45119736"/>
    <m/>
    <m/>
    <m/>
    <m/>
    <m/>
    <m/>
    <m/>
    <m/>
    <m/>
    <m/>
    <m/>
    <n v="45119736"/>
    <s v="Utilize state-of-the-art technologies and facilities in an optimal and efficient manner"/>
    <s v="Ankoubt Service agreement including Chp-01 manapower and other IT services"/>
  </r>
  <r>
    <n v="8470810"/>
    <s v="KUST - Ankabut office"/>
    <n v="1"/>
    <n v="421100"/>
    <x v="3"/>
    <s v="000000"/>
    <s v="KUST - General"/>
    <s v="847001"/>
    <x v="1"/>
    <n v="200179"/>
    <s v="847.8470810.1.421100.000000.847001.200179"/>
    <n v="1705887.11"/>
    <n v="445192"/>
    <n v="445192"/>
    <m/>
    <s v="-_"/>
    <x v="2"/>
    <x v="1"/>
    <x v="1"/>
    <n v="0"/>
    <m/>
    <m/>
    <n v="0"/>
    <n v="0"/>
    <n v="0"/>
    <m/>
    <m/>
    <m/>
    <m/>
    <n v="0"/>
    <m/>
    <m/>
    <m/>
    <m/>
    <m/>
    <m/>
    <m/>
    <m/>
    <m/>
    <m/>
    <n v="0"/>
    <m/>
    <m/>
  </r>
  <r>
    <n v="8470810"/>
    <s v="KUST - Ankabut office"/>
    <n v="1"/>
    <n v="426610"/>
    <x v="4"/>
    <s v="000000"/>
    <s v="KUST - General"/>
    <s v="847001"/>
    <x v="1"/>
    <n v="200179"/>
    <s v="847.8470810.1.426610.000000.847001.200179"/>
    <n v="8722313.4399999995"/>
    <n v="7632571"/>
    <n v="7632571"/>
    <s v="426610.Computer software licenses-Software License Renewal-service level agreement-Service"/>
    <s v="Service"/>
    <x v="1"/>
    <x v="3"/>
    <x v="3"/>
    <n v="1235304"/>
    <s v="KU Regular operations"/>
    <s v="Recurring"/>
    <n v="1111773.6000000001"/>
    <n v="988243.20000000007"/>
    <n v="864712.79999999993"/>
    <s v="Affects KU Core Operations and Non Compliance with contract terms"/>
    <s v="Affects KU Core Operations and Non Compliance with contract terms"/>
    <s v="Affects KU Core Operations and Non Compliance with contract terms"/>
    <m/>
    <n v="0"/>
    <m/>
    <m/>
    <n v="1235304"/>
    <m/>
    <m/>
    <m/>
    <m/>
    <m/>
    <m/>
    <m/>
    <n v="1235304"/>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4"/>
    <x v="4"/>
    <n v="856000"/>
    <s v="KU Regular operations"/>
    <s v="Recurring"/>
    <n v="770400"/>
    <n v="684800"/>
    <n v="599200"/>
    <s v="Affects KU Core Operations and Non Compliance with contract terms"/>
    <s v="Affects KU Core Operations and Non Compliance with contract terms"/>
    <s v="Affects KU Core Operations and Non Compliance with contract terms"/>
    <m/>
    <n v="0"/>
    <n v="856000"/>
    <m/>
    <m/>
    <m/>
    <m/>
    <m/>
    <m/>
    <m/>
    <m/>
    <m/>
    <n v="8560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5"/>
    <x v="5"/>
    <n v="756066"/>
    <s v="KU Regular operations"/>
    <s v="Recurring"/>
    <n v="680459.4"/>
    <n v="604852.80000000005"/>
    <n v="529246.19999999995"/>
    <s v="Affects KU Core IT Operations and Non Compliance with contract terms"/>
    <s v="Affects KU Core IT Operations and Non Compliance with contract terms"/>
    <s v="Affects KU Core IT Operations and Non Compliance with contract terms"/>
    <m/>
    <n v="0"/>
    <m/>
    <m/>
    <m/>
    <m/>
    <n v="756066"/>
    <m/>
    <m/>
    <m/>
    <m/>
    <m/>
    <n v="756066"/>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6"/>
    <x v="6"/>
    <n v="589375"/>
    <s v="KU Regular operations"/>
    <s v="Recurring"/>
    <n v="530437.5"/>
    <n v="471500"/>
    <n v="412562.5"/>
    <s v="Affects KU Core Operations and Non Compliance with contract terms"/>
    <s v="Affects KU Core Operations and Non Compliance with contract terms"/>
    <s v="Affects KU Core Operations and Non Compliance with contract terms"/>
    <m/>
    <n v="0"/>
    <m/>
    <m/>
    <n v="589375"/>
    <m/>
    <m/>
    <m/>
    <m/>
    <m/>
    <m/>
    <m/>
    <n v="589375"/>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7"/>
    <x v="7"/>
    <n v="617276"/>
    <s v="KU Regular operations"/>
    <s v="Recurring"/>
    <n v="555548.4"/>
    <n v="493820.80000000005"/>
    <n v="432093.19999999995"/>
    <s v="License cannot be reduced. Affects KU Core Operations and Non Compliance with contract terms"/>
    <s v="License cannot be reduced. Affects KU Core Operations and Non Compliance with contract terms"/>
    <s v="License cannot be reduced. Affects KU Core Operations and Non Compliance with contract terms"/>
    <m/>
    <n v="0"/>
    <m/>
    <m/>
    <n v="617276"/>
    <m/>
    <m/>
    <m/>
    <m/>
    <m/>
    <m/>
    <m/>
    <n v="617276"/>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8"/>
    <x v="8"/>
    <n v="909500"/>
    <s v="KU Regular operations"/>
    <s v="Recurring"/>
    <n v="818550"/>
    <n v="727600"/>
    <n v="636650"/>
    <s v="Affects KU Core IT Operations and Non Compliance with contract terms"/>
    <s v="Affects KU Core IT Operations and Non Compliance with contract terms"/>
    <s v="Affects KU Core IT Operations and Non Compliance with contract terms"/>
    <m/>
    <n v="0"/>
    <m/>
    <m/>
    <m/>
    <m/>
    <n v="909500"/>
    <m/>
    <m/>
    <m/>
    <m/>
    <m/>
    <n v="9095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9"/>
    <x v="9"/>
    <n v="479306"/>
    <s v="KU Regular operations"/>
    <s v="Recurring"/>
    <n v="431375.4"/>
    <n v="383444.80000000005"/>
    <n v="335514.19999999995"/>
    <s v="License cannot be reduced. Affects KU Core Operations and Non Compliance with contract terms"/>
    <s v="License cannot be reduced. Affects KU Core Operations and Non Compliance with contract terms"/>
    <s v="License cannot be reduced. Affects KU Core Operations and Non Compliance with contract terms"/>
    <m/>
    <n v="0"/>
    <m/>
    <m/>
    <n v="479306"/>
    <m/>
    <m/>
    <m/>
    <m/>
    <m/>
    <m/>
    <m/>
    <n v="479306"/>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10"/>
    <x v="10"/>
    <n v="400000"/>
    <s v="KU Regular operations"/>
    <s v="Recurring"/>
    <n v="360000"/>
    <n v="320000"/>
    <n v="280000"/>
    <s v="Affects KU Core Operations"/>
    <s v="Affects KU Core Operations"/>
    <s v="Affects KU Core Operations"/>
    <m/>
    <n v="0"/>
    <m/>
    <m/>
    <n v="400000"/>
    <m/>
    <m/>
    <m/>
    <m/>
    <m/>
    <m/>
    <m/>
    <n v="4000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11"/>
    <x v="11"/>
    <n v="126098"/>
    <s v="KU Regular operations"/>
    <s v="Recurring"/>
    <n v="113488.2"/>
    <n v="100878.40000000001"/>
    <n v="88268.599999999991"/>
    <s v="Affects partially KU applications"/>
    <s v="Affects partially KU applications"/>
    <s v="Affects partially KU applications"/>
    <m/>
    <n v="0"/>
    <m/>
    <m/>
    <n v="126098"/>
    <m/>
    <m/>
    <m/>
    <m/>
    <m/>
    <m/>
    <m/>
    <n v="126098"/>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12"/>
    <x v="12"/>
    <n v="327443"/>
    <s v="KU Regular operations"/>
    <s v="Recurring"/>
    <n v="294698.7"/>
    <n v="261954.40000000002"/>
    <n v="229210.09999999998"/>
    <s v="License cannot be reduced. Affects Information Security Operations for analysing security incidents and logs"/>
    <s v="License cannot be reduced. Affects Information Security Operations for analysing security incidents and logs"/>
    <s v="License cannot be reduced. Affects Information Security Operations for analysing security incidents and logs"/>
    <m/>
    <n v="0"/>
    <m/>
    <m/>
    <n v="327443"/>
    <m/>
    <m/>
    <m/>
    <m/>
    <m/>
    <m/>
    <m/>
    <n v="327443"/>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13"/>
    <x v="13"/>
    <n v="240623"/>
    <s v="KU Regular operations"/>
    <s v="Recurring"/>
    <n v="216560.7"/>
    <n v="192498.40000000002"/>
    <n v="168436.09999999998"/>
    <s v="Site License cannot be reduced. Affects Information Security Operations for analysing security incidents and logs"/>
    <s v="Site License cannot be reduced. Affects Information Security Operations for analysing security incidents and logs"/>
    <s v="Site License cannot be reduced. Affects Information Security Operations for analysing security incidents and logs"/>
    <m/>
    <n v="0"/>
    <m/>
    <m/>
    <n v="240623"/>
    <m/>
    <m/>
    <m/>
    <m/>
    <m/>
    <m/>
    <m/>
    <n v="240623"/>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14"/>
    <x v="14"/>
    <n v="184964"/>
    <s v="KU Regular operations"/>
    <s v="Recurring"/>
    <n v="166467.6"/>
    <n v="147971.20000000001"/>
    <n v="129474.79999999999"/>
    <s v="License cannot be reduced. Affects access to academic software"/>
    <s v="License cannot be reduced. Affects access to academic software"/>
    <s v="License cannot be reduced. Affects access to academic software"/>
    <m/>
    <n v="0"/>
    <m/>
    <m/>
    <n v="184964"/>
    <m/>
    <m/>
    <m/>
    <m/>
    <m/>
    <m/>
    <m/>
    <n v="184964"/>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15"/>
    <x v="15"/>
    <n v="231000"/>
    <s v="KU Regular operations"/>
    <s v="Recurring"/>
    <n v="207900"/>
    <n v="184800"/>
    <n v="161700"/>
    <s v="Access to email archive not available"/>
    <s v="Access to email archive not available"/>
    <s v="Access to email archive not available"/>
    <m/>
    <n v="0"/>
    <m/>
    <m/>
    <n v="231000"/>
    <m/>
    <m/>
    <m/>
    <m/>
    <m/>
    <m/>
    <m/>
    <n v="2310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16"/>
    <x v="16"/>
    <n v="182648"/>
    <s v="KU Regular operations"/>
    <s v="Recurring"/>
    <n v="164383.20000000001"/>
    <n v="146118.39999999999"/>
    <n v="127853.59999999999"/>
    <s v="Site License cannot be reduced. Affects access to Application"/>
    <s v="Site License cannot be reduced. Affects access to Application"/>
    <s v="Site License cannot be reduced. Affects access to Application"/>
    <m/>
    <n v="0"/>
    <m/>
    <m/>
    <n v="182648"/>
    <m/>
    <m/>
    <m/>
    <m/>
    <m/>
    <m/>
    <m/>
    <n v="182648"/>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17"/>
    <x v="17"/>
    <n v="165600"/>
    <s v="KU Regular operations"/>
    <s v="Recurring"/>
    <n v="149040"/>
    <n v="132480"/>
    <n v="115919.99999999999"/>
    <s v="Affect Access to IT advisory services"/>
    <s v="Affect Access to IT advisory services"/>
    <s v="Affect Access to IT advisory services"/>
    <m/>
    <n v="0"/>
    <m/>
    <m/>
    <n v="165600"/>
    <m/>
    <m/>
    <m/>
    <m/>
    <m/>
    <m/>
    <m/>
    <n v="1656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18"/>
    <x v="18"/>
    <n v="174360"/>
    <s v="KU Regular operations"/>
    <s v="Recurring"/>
    <n v="156924"/>
    <n v="139488"/>
    <n v="122051.99999999999"/>
    <s v="Affects KU Core Operations and Non Compliance with contract terms"/>
    <s v="Affects KU Core Operations and Non Compliance with contract terms"/>
    <s v="Affects KU Core Operations and Non Compliance with contract terms"/>
    <m/>
    <n v="0"/>
    <m/>
    <m/>
    <n v="174360"/>
    <m/>
    <m/>
    <m/>
    <m/>
    <m/>
    <m/>
    <m/>
    <n v="17436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19"/>
    <x v="19"/>
    <n v="107347"/>
    <s v="KU Regular operations"/>
    <s v="Recurring"/>
    <n v="96612.3"/>
    <n v="85877.6"/>
    <n v="75142.899999999994"/>
    <s v="Site License cannot be reduced. Affects access to lecture recording content"/>
    <s v="Site License cannot be reduced. Affects access to lecture recording content"/>
    <s v="Site License cannot be reduced. Affects access to lecture recording content"/>
    <m/>
    <n v="0"/>
    <m/>
    <m/>
    <n v="107347"/>
    <m/>
    <m/>
    <m/>
    <m/>
    <m/>
    <m/>
    <m/>
    <n v="107347"/>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20"/>
    <x v="20"/>
    <n v="45000"/>
    <s v="KU Regular operations"/>
    <s v="Recurring"/>
    <n v="40500"/>
    <n v="36000"/>
    <n v="31499.999999999996"/>
    <s v="Site License cannot be reduced. Affects access to Application"/>
    <s v="Site License cannot be reduced. Affects access to Application"/>
    <s v="Site License cannot be reduced. Affects access to Application"/>
    <m/>
    <n v="0"/>
    <m/>
    <m/>
    <n v="45000"/>
    <m/>
    <m/>
    <m/>
    <m/>
    <m/>
    <m/>
    <m/>
    <n v="450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21"/>
    <x v="21"/>
    <n v="89908"/>
    <s v="KU Regular operations"/>
    <s v="Recurring"/>
    <n v="80917.2"/>
    <n v="71926.400000000009"/>
    <n v="62935.6"/>
    <s v="Site License cannot be reduced. Affects KU Operations using KU Portal eServices"/>
    <s v="Site License cannot be reduced. Affects KU Operations using KU Portal eServices"/>
    <s v="Site License cannot be reduced. Affects KU Operations using KU Portal eServices"/>
    <m/>
    <n v="0"/>
    <m/>
    <m/>
    <n v="89908"/>
    <m/>
    <m/>
    <m/>
    <m/>
    <m/>
    <m/>
    <m/>
    <n v="89908"/>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22"/>
    <x v="22"/>
    <n v="158706"/>
    <s v="KU Regular operations"/>
    <s v="Recurring"/>
    <n v="142835.4"/>
    <n v="126964.8"/>
    <n v="111094.2"/>
    <s v="Site License cannot be reduced. Affects access to Application"/>
    <s v="Site License cannot be reduced. Affects access to Application"/>
    <s v="Site License cannot be reduced. Affects access to Application"/>
    <m/>
    <n v="0"/>
    <m/>
    <m/>
    <n v="158706"/>
    <m/>
    <m/>
    <m/>
    <m/>
    <m/>
    <m/>
    <m/>
    <n v="158706"/>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23"/>
    <x v="23"/>
    <n v="73813"/>
    <s v="KU Regular operations"/>
    <s v="Recurring"/>
    <n v="66431.7"/>
    <n v="59050.400000000001"/>
    <n v="51669.1"/>
    <s v="Site License cannot be reduced. Affects access to Application"/>
    <s v="Site License cannot be reduced. Affects access to Application"/>
    <s v="Site License cannot be reduced. Affects access to Application"/>
    <m/>
    <n v="0"/>
    <m/>
    <m/>
    <n v="73813"/>
    <m/>
    <m/>
    <m/>
    <m/>
    <m/>
    <m/>
    <m/>
    <n v="73813"/>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24"/>
    <x v="24"/>
    <n v="72871"/>
    <s v="KU Regular operations"/>
    <s v="Recurring"/>
    <n v="65583.900000000009"/>
    <n v="58296.800000000003"/>
    <n v="51009.7"/>
    <s v="Affects access to application"/>
    <s v="Affects access to application"/>
    <s v="Affects access to application"/>
    <m/>
    <n v="0"/>
    <m/>
    <m/>
    <n v="72871"/>
    <m/>
    <m/>
    <m/>
    <m/>
    <m/>
    <m/>
    <m/>
    <n v="72871"/>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25"/>
    <x v="25"/>
    <n v="64300"/>
    <s v="KU Regular operations"/>
    <s v="Recurring"/>
    <n v="57870"/>
    <n v="51440"/>
    <n v="45010"/>
    <s v="Affects access to application"/>
    <s v="Affects access to application"/>
    <s v="Affects access to application"/>
    <m/>
    <n v="0"/>
    <m/>
    <m/>
    <n v="64300"/>
    <m/>
    <m/>
    <m/>
    <m/>
    <m/>
    <m/>
    <m/>
    <n v="643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26"/>
    <x v="26"/>
    <n v="51519"/>
    <s v="KU Regular operations"/>
    <s v="Recurring"/>
    <n v="46367.1"/>
    <n v="41215.200000000004"/>
    <n v="36063.299999999996"/>
    <s v="Affects access to application"/>
    <s v="Affects access to application"/>
    <s v="Affects access to application"/>
    <m/>
    <n v="0"/>
    <m/>
    <m/>
    <n v="51519"/>
    <m/>
    <m/>
    <m/>
    <m/>
    <m/>
    <m/>
    <m/>
    <n v="51519"/>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27"/>
    <x v="27"/>
    <n v="50000"/>
    <s v="KU Regular operations"/>
    <s v="Recurring"/>
    <n v="45000"/>
    <n v="40000"/>
    <n v="35000"/>
    <s v="Affects access to application"/>
    <s v="Affects access to application"/>
    <s v="Affects access to application"/>
    <m/>
    <n v="0"/>
    <m/>
    <m/>
    <n v="50000"/>
    <m/>
    <m/>
    <m/>
    <m/>
    <m/>
    <m/>
    <m/>
    <n v="500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28"/>
    <x v="28"/>
    <n v="38640"/>
    <s v="KU Regular operations"/>
    <s v="Recurring"/>
    <n v="34776"/>
    <n v="30912"/>
    <n v="27048"/>
    <s v="Affects cybersecurity monitoring operations"/>
    <s v="Affects cybersecurity monitoring operations"/>
    <s v="Affects cybersecurity monitoring operations"/>
    <m/>
    <n v="0"/>
    <m/>
    <m/>
    <n v="38640"/>
    <m/>
    <m/>
    <m/>
    <m/>
    <m/>
    <m/>
    <m/>
    <n v="3864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29"/>
    <x v="29"/>
    <n v="28950"/>
    <s v="KU Regular operations"/>
    <s v="Recurring"/>
    <n v="26055"/>
    <n v="23160"/>
    <n v="20265"/>
    <s v="Affects Support for core IT infrastructure"/>
    <s v="Affects Support for core IT infrastructure"/>
    <s v="Affects Support for core IT infrastructure"/>
    <m/>
    <n v="0"/>
    <m/>
    <m/>
    <n v="28950"/>
    <m/>
    <m/>
    <m/>
    <m/>
    <m/>
    <m/>
    <m/>
    <n v="2895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30"/>
    <x v="30"/>
    <n v="25000"/>
    <s v="KU Regular operations"/>
    <s v="Recurring"/>
    <n v="22500"/>
    <n v="20000"/>
    <n v="17500"/>
    <s v="Affects access to application"/>
    <s v="Affects access to application"/>
    <s v="Affects access to application"/>
    <m/>
    <n v="0"/>
    <m/>
    <m/>
    <m/>
    <n v="25000"/>
    <m/>
    <m/>
    <m/>
    <m/>
    <m/>
    <m/>
    <n v="250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31"/>
    <x v="31"/>
    <n v="20000"/>
    <s v="KU Regular operations"/>
    <s v="Recurring"/>
    <n v="18000"/>
    <n v="16000"/>
    <n v="14000"/>
    <s v="Affects IT Software Development process"/>
    <s v="Affects IT Software Development process"/>
    <s v="Affects IT Software Development process"/>
    <m/>
    <n v="0"/>
    <m/>
    <m/>
    <m/>
    <n v="20000"/>
    <m/>
    <m/>
    <m/>
    <m/>
    <m/>
    <m/>
    <n v="200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31"/>
    <x v="32"/>
    <n v="20000"/>
    <s v="KU Regular operations"/>
    <s v="Recurring"/>
    <n v="18000"/>
    <n v="16000"/>
    <n v="14000"/>
    <s v="Affects cybersecurity monitoring operations"/>
    <s v="Affects cybersecurity monitoring operations"/>
    <s v="Affects cybersecurity monitoring operations"/>
    <m/>
    <n v="0"/>
    <m/>
    <m/>
    <m/>
    <n v="20000"/>
    <m/>
    <m/>
    <m/>
    <m/>
    <m/>
    <m/>
    <n v="200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30"/>
    <x v="33"/>
    <n v="25000"/>
    <s v="KU Regular operations"/>
    <s v="Recurring"/>
    <n v="22500"/>
    <n v="20000"/>
    <n v="17500"/>
    <s v="Affects access to KU applications"/>
    <s v="Affects access to KU applications"/>
    <s v="Affects access to KU applications"/>
    <m/>
    <n v="0"/>
    <m/>
    <m/>
    <m/>
    <n v="25000"/>
    <m/>
    <m/>
    <m/>
    <m/>
    <m/>
    <m/>
    <n v="250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32"/>
    <x v="34"/>
    <n v="14046"/>
    <s v="KU Regular operations"/>
    <s v="Recurring"/>
    <n v="12641.4"/>
    <n v="11236.800000000001"/>
    <n v="9832.1999999999989"/>
    <s v="Affects cybersecurity monitoring operations"/>
    <s v="Affects cybersecurity monitoring operations"/>
    <s v="Affects cybersecurity monitoring operations"/>
    <m/>
    <n v="0"/>
    <m/>
    <m/>
    <m/>
    <n v="14046"/>
    <m/>
    <m/>
    <m/>
    <m/>
    <m/>
    <m/>
    <n v="14046"/>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33"/>
    <x v="35"/>
    <n v="14000"/>
    <s v="KU Regular operations"/>
    <s v="Recurring"/>
    <n v="12600"/>
    <n v="11200"/>
    <n v="9800"/>
    <s v="Affects IT Software Development process"/>
    <s v="Affects IT Software Development process"/>
    <s v="Affects IT Software Development process"/>
    <m/>
    <n v="0"/>
    <m/>
    <m/>
    <m/>
    <n v="14000"/>
    <m/>
    <m/>
    <m/>
    <m/>
    <m/>
    <m/>
    <n v="140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34"/>
    <x v="36"/>
    <n v="11156"/>
    <s v="KU Regular operations"/>
    <s v="Recurring"/>
    <n v="10040.4"/>
    <n v="8924.8000000000011"/>
    <n v="7809.2"/>
    <s v="Affects access to application"/>
    <s v="Affects access to application"/>
    <s v="Affects access to application"/>
    <m/>
    <n v="0"/>
    <m/>
    <m/>
    <m/>
    <n v="11156"/>
    <m/>
    <m/>
    <m/>
    <m/>
    <m/>
    <m/>
    <n v="11156"/>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35"/>
    <x v="37"/>
    <n v="10000"/>
    <s v="KU Regular operations"/>
    <s v="Recurring"/>
    <n v="9000"/>
    <n v="8000"/>
    <n v="7000"/>
    <s v="Affects access to application"/>
    <s v="Affects access to application"/>
    <s v="Affects access to application"/>
    <m/>
    <n v="0"/>
    <m/>
    <m/>
    <m/>
    <n v="10000"/>
    <m/>
    <m/>
    <m/>
    <m/>
    <m/>
    <m/>
    <n v="100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35"/>
    <x v="38"/>
    <n v="10000"/>
    <s v="KU Regular operations"/>
    <s v="Recurring"/>
    <n v="9000"/>
    <n v="8000"/>
    <n v="7000"/>
    <s v="Affects access to application"/>
    <s v="Affects access to application"/>
    <s v="Affects access to application"/>
    <m/>
    <n v="0"/>
    <m/>
    <m/>
    <m/>
    <n v="10000"/>
    <m/>
    <m/>
    <m/>
    <m/>
    <m/>
    <m/>
    <n v="100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36"/>
    <x v="39"/>
    <n v="7500"/>
    <s v="KU Regular operations"/>
    <s v="Recurring"/>
    <n v="6750"/>
    <n v="6000"/>
    <n v="5250"/>
    <s v="Affect Access to IT advisory services"/>
    <s v="Affect Access to IT advisory services"/>
    <s v="Affect Access to IT advisory services"/>
    <m/>
    <n v="0"/>
    <m/>
    <m/>
    <m/>
    <n v="7500"/>
    <m/>
    <m/>
    <m/>
    <m/>
    <m/>
    <m/>
    <n v="75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37"/>
    <x v="40"/>
    <n v="4500"/>
    <s v="KU Regular operations"/>
    <s v="Recurring"/>
    <n v="4050"/>
    <n v="3600"/>
    <n v="3150"/>
    <s v="Affects access to application"/>
    <s v="Affects access to application"/>
    <s v="Affects access to application"/>
    <m/>
    <n v="0"/>
    <m/>
    <m/>
    <m/>
    <n v="4500"/>
    <m/>
    <m/>
    <m/>
    <m/>
    <m/>
    <m/>
    <n v="45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38"/>
    <x v="41"/>
    <n v="4000"/>
    <s v="KU Regular operations"/>
    <s v="Recurring"/>
    <n v="3600"/>
    <n v="3200"/>
    <n v="2800"/>
    <s v="Affects KU email auto-signature"/>
    <s v="Affects KU email auto-signature"/>
    <s v="Affects KU email auto-signature"/>
    <m/>
    <n v="0"/>
    <m/>
    <m/>
    <m/>
    <n v="4000"/>
    <m/>
    <m/>
    <m/>
    <m/>
    <m/>
    <m/>
    <n v="40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35"/>
    <x v="42"/>
    <n v="10000"/>
    <s v="KU Regular operations"/>
    <s v="Recurring"/>
    <n v="9000"/>
    <n v="8000"/>
    <n v="7000"/>
    <s v="Affects KU SMS communication"/>
    <s v="Affects KU SMS communication"/>
    <s v="Affects KU SMS communication"/>
    <m/>
    <n v="0"/>
    <m/>
    <m/>
    <m/>
    <n v="10000"/>
    <m/>
    <m/>
    <m/>
    <m/>
    <m/>
    <m/>
    <n v="100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39"/>
    <x v="43"/>
    <n v="13000"/>
    <s v="KU Regular operations"/>
    <s v="Recurring"/>
    <n v="11700"/>
    <n v="10400"/>
    <n v="9100"/>
    <s v="Affects access to application"/>
    <s v="Affects access to application"/>
    <s v="Affects access to application"/>
    <m/>
    <n v="0"/>
    <m/>
    <m/>
    <m/>
    <n v="13000"/>
    <m/>
    <m/>
    <m/>
    <m/>
    <m/>
    <m/>
    <n v="130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40"/>
    <x v="44"/>
    <n v="12000"/>
    <s v="KU Regular operations"/>
    <s v="Recurring"/>
    <n v="10800"/>
    <n v="9600"/>
    <n v="8400"/>
    <s v="Affects access to application"/>
    <s v="Affects access to application"/>
    <s v="Affects access to application"/>
    <m/>
    <n v="0"/>
    <m/>
    <m/>
    <m/>
    <n v="12000"/>
    <m/>
    <m/>
    <m/>
    <m/>
    <m/>
    <m/>
    <n v="120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20"/>
    <x v="45"/>
    <n v="45000"/>
    <s v="KU Regular operations"/>
    <s v="Recurring"/>
    <n v="40500"/>
    <n v="36000"/>
    <n v="31499.999999999996"/>
    <s v="Affects access to application"/>
    <s v="Affects access to application"/>
    <s v="Affects access to application"/>
    <m/>
    <n v="0"/>
    <m/>
    <m/>
    <m/>
    <n v="45000"/>
    <m/>
    <m/>
    <m/>
    <m/>
    <m/>
    <m/>
    <n v="45000"/>
    <s v="Utilize state-of-the-art technologies and facilities in an optimal and efficient manner"/>
    <m/>
  </r>
  <r>
    <n v="8470810"/>
    <s v="KUST - Ankabut office"/>
    <n v="1"/>
    <n v="426610"/>
    <x v="4"/>
    <s v="000000"/>
    <s v="KUST - General"/>
    <s v="847001"/>
    <x v="1"/>
    <n v="200179"/>
    <s v="847.8470810.1.426610.000000.847001.200179"/>
    <m/>
    <m/>
    <m/>
    <s v="426610.Computer software licenses-Software License Renewal-service level agreement-Service"/>
    <s v="Service"/>
    <x v="1"/>
    <x v="41"/>
    <x v="46"/>
    <n v="35000"/>
    <s v="KU Regular operations"/>
    <s v="Recurring"/>
    <n v="31500"/>
    <n v="28000"/>
    <n v="24500"/>
    <s v="Affects access to application"/>
    <s v="Affects access to application"/>
    <s v="Affects access to application"/>
    <m/>
    <n v="0"/>
    <m/>
    <m/>
    <m/>
    <n v="35000"/>
    <m/>
    <m/>
    <m/>
    <m/>
    <m/>
    <m/>
    <n v="35000"/>
    <s v="Utilize state-of-the-art technologies and facilities in an optimal and efficient manner"/>
    <m/>
  </r>
  <r>
    <n v="8470810"/>
    <s v="KUST - Ankabut office"/>
    <n v="1"/>
    <n v="427810"/>
    <x v="5"/>
    <s v="000000"/>
    <s v="KUST - General"/>
    <s v="847001"/>
    <x v="1"/>
    <n v="200179"/>
    <s v="847.8470810.1.427810.000000.847001.200179"/>
    <n v="1000636.43"/>
    <n v="800000"/>
    <n v="800000"/>
    <s v="427810.Telephone and telefax charges-Telecommunication, Satellite services-number of telephone lines-Month"/>
    <s v="Month"/>
    <x v="0"/>
    <x v="42"/>
    <x v="47"/>
    <n v="360000"/>
    <s v="KU Regular operations"/>
    <s v="Recurring"/>
    <n v="324000"/>
    <n v="288000"/>
    <n v="251999.99999999997"/>
    <s v="Affects KU communications"/>
    <s v="Affects KU communications"/>
    <s v="Affects KU communications"/>
    <n v="30000"/>
    <n v="30000"/>
    <n v="30000"/>
    <n v="30000"/>
    <n v="30000"/>
    <n v="30000"/>
    <n v="30000"/>
    <n v="30000"/>
    <n v="30000"/>
    <n v="30000"/>
    <n v="30000"/>
    <n v="30000"/>
    <n v="360000"/>
    <s v="Utilize state-of-the-art technologies and facilities in an optimal and efficient manner"/>
    <m/>
  </r>
  <r>
    <n v="8470810"/>
    <s v="KUST - Ankabut office"/>
    <n v="1"/>
    <n v="427810"/>
    <x v="5"/>
    <s v="000000"/>
    <s v="KUST - General"/>
    <s v="847001"/>
    <x v="1"/>
    <n v="200179"/>
    <s v="847.8470810.1.427810.000000.847001.200179"/>
    <m/>
    <m/>
    <m/>
    <s v="427810.Telephone and telefax charges-Telecommunication, Satellite services-number of mobile numbers-Month"/>
    <s v="Month"/>
    <x v="0"/>
    <x v="43"/>
    <x v="48"/>
    <n v="460800"/>
    <m/>
    <m/>
    <n v="414720"/>
    <n v="368640"/>
    <n v="322560"/>
    <s v="Affects KU communications"/>
    <s v="Affects KU communications"/>
    <s v="Affects KU communications"/>
    <n v="38400"/>
    <n v="38400"/>
    <n v="38400"/>
    <n v="38400"/>
    <n v="38400"/>
    <n v="38400"/>
    <n v="38400"/>
    <n v="38400"/>
    <n v="38400"/>
    <n v="38400"/>
    <n v="38400"/>
    <n v="38400"/>
    <n v="460800"/>
    <s v="Utilize state-of-the-art technologies and facilities in an optimal and efficient manner"/>
    <m/>
  </r>
  <r>
    <n v="8470810"/>
    <s v="KUST - Ankabut office"/>
    <n v="1"/>
    <n v="427850"/>
    <x v="6"/>
    <s v="000000"/>
    <s v="KUST - General"/>
    <s v="847001"/>
    <x v="1"/>
    <n v="200179"/>
    <s v="847.8470810.1.427850.000000.847001.200179"/>
    <n v="2812668.59"/>
    <n v="2618028"/>
    <n v="2618028"/>
    <s v="427850.Data Transmission charges-Data Transmission charges-number of connection (ADSL/Broadband, etc) lines-Month"/>
    <s v="Month"/>
    <x v="0"/>
    <x v="44"/>
    <x v="49"/>
    <n v="2018028"/>
    <s v="KU Regular operations"/>
    <s v="Recurring"/>
    <n v="1816225.2"/>
    <n v="1614422.4000000001"/>
    <n v="1412619.5999999999"/>
    <s v="Internet Slowness affecting KU operations"/>
    <s v="Internet Slowness affecting KU operations"/>
    <s v="Internet Slowness affecting KU operations"/>
    <n v="168169"/>
    <n v="168169"/>
    <n v="168169"/>
    <n v="168169"/>
    <n v="168169"/>
    <n v="168169"/>
    <n v="168169"/>
    <n v="168169"/>
    <n v="168169"/>
    <n v="168169"/>
    <n v="168169"/>
    <n v="168169"/>
    <n v="2018028"/>
    <s v="Utilize state-of-the-art technologies and facilities in an optimal and efficient manner"/>
    <m/>
  </r>
  <r>
    <n v="8470810"/>
    <s v="KUST - Ankabut office"/>
    <n v="1"/>
    <n v="428090"/>
    <x v="7"/>
    <s v="000000"/>
    <s v="KUST - General"/>
    <s v="847001"/>
    <x v="1"/>
    <n v="200179"/>
    <s v="847.8470810.1.428090.000000.847001.200179"/>
    <n v="0"/>
    <n v="11500"/>
    <n v="11500"/>
    <s v="428090.Business Travel - Combined expenses-Number of Staff-Number"/>
    <s v="Number"/>
    <x v="3"/>
    <x v="38"/>
    <x v="50"/>
    <n v="24000"/>
    <s v="KU Regular operations"/>
    <s v="Recurring"/>
    <n v="21600"/>
    <n v="19200"/>
    <n v="16800"/>
    <s v="Limited Impact"/>
    <s v="Limited Impact"/>
    <s v="Limited Impact"/>
    <m/>
    <n v="0"/>
    <m/>
    <n v="8000"/>
    <m/>
    <n v="8000"/>
    <m/>
    <m/>
    <n v="8000"/>
    <m/>
    <m/>
    <m/>
    <n v="24000"/>
    <s v="Utilize state-of-the-art technologies and facilities in an optimal and efficient manner"/>
    <m/>
  </r>
  <r>
    <n v="8470810"/>
    <s v="KUST - Ankabut office"/>
    <n v="1"/>
    <n v="430230"/>
    <x v="8"/>
    <s v="000000"/>
    <s v="KUST - General"/>
    <s v="847001"/>
    <x v="1"/>
    <n v="200179"/>
    <s v="847.8470810.1.430230.000000.847001.200179"/>
    <n v="2593733.34"/>
    <n v="0"/>
    <m/>
    <m/>
    <s v="-_"/>
    <x v="2"/>
    <x v="1"/>
    <x v="1"/>
    <n v="0"/>
    <m/>
    <m/>
    <n v="0"/>
    <n v="0"/>
    <n v="0"/>
    <m/>
    <m/>
    <m/>
    <m/>
    <n v="0"/>
    <m/>
    <m/>
    <m/>
    <m/>
    <m/>
    <m/>
    <m/>
    <m/>
    <m/>
    <m/>
    <n v="0"/>
    <m/>
    <m/>
  </r>
  <r>
    <n v="8470810"/>
    <s v="KUST - Ankabut office"/>
    <n v="1"/>
    <n v="430250"/>
    <x v="9"/>
    <s v="000000"/>
    <s v="KUST - General"/>
    <s v="847001"/>
    <x v="1"/>
    <n v="200179"/>
    <s v="847.8470810.1.430250.000000.847001.200179"/>
    <s v="-"/>
    <n v="1021317"/>
    <n v="1021317"/>
    <s v="430250.Rental - Computer hardware-Rental/Subscription - Computer hardware-Number of Laptop-Number"/>
    <s v="Number"/>
    <x v="4"/>
    <x v="45"/>
    <x v="51"/>
    <n v="1864650"/>
    <s v="KU Regular operations"/>
    <s v="Recurring"/>
    <n v="1678185"/>
    <n v="1491720"/>
    <n v="1305255"/>
    <s v="laptops not refreshed as per KU policies and End-User Computing standard"/>
    <s v="laptops not refreshed as per KU policies and End-User Computing standard"/>
    <s v="laptops not refreshed as per KU policies and End-User Computing standard"/>
    <m/>
    <n v="0"/>
    <m/>
    <n v="1864650"/>
    <m/>
    <m/>
    <m/>
    <m/>
    <m/>
    <m/>
    <m/>
    <m/>
    <n v="1864650"/>
    <s v="Utilize state-of-the-art technologies and facilities in an optimal and efficient manner"/>
    <m/>
  </r>
  <r>
    <n v="8470810"/>
    <s v="KUST - Ankabut office"/>
    <n v="1"/>
    <n v="432205"/>
    <x v="10"/>
    <s v="000000"/>
    <s v="KUST - General"/>
    <s v="847001"/>
    <x v="1"/>
    <n v="200179"/>
    <s v="847.8470810.1.432205.000000.847001.200179"/>
    <n v="12846395.300000001"/>
    <n v="1475000"/>
    <n v="1475000"/>
    <s v="432205.Computers and peripherals-End user and Infrastructure components maintenance and support-number of hardware devices-Month"/>
    <s v="Month"/>
    <x v="0"/>
    <x v="31"/>
    <x v="52"/>
    <n v="240000"/>
    <s v="KU Regular operations"/>
    <s v="Recurring"/>
    <n v="216000"/>
    <n v="192000"/>
    <n v="168000"/>
    <s v="Limited impact."/>
    <s v="Limited impact. Some hardware failure will not be repaired. "/>
    <s v="Limited impact. Some hardware failure will not be repaired. "/>
    <n v="20000"/>
    <n v="20000"/>
    <n v="20000"/>
    <n v="20000"/>
    <n v="20000"/>
    <n v="20000"/>
    <n v="20000"/>
    <n v="20000"/>
    <n v="20000"/>
    <n v="20000"/>
    <n v="20000"/>
    <n v="20000"/>
    <n v="240000"/>
    <s v="Utilize state-of-the-art technologies and facilities in an optimal and efficient manner"/>
    <m/>
  </r>
  <r>
    <n v="8470810"/>
    <s v="KUST - Ankabut office"/>
    <n v="1"/>
    <n v="432205"/>
    <x v="10"/>
    <s v="000000"/>
    <s v="KUST - General"/>
    <s v="847001"/>
    <x v="1"/>
    <n v="200179"/>
    <s v="847.8470810.1.432205.000000.847001.200179"/>
    <m/>
    <m/>
    <m/>
    <s v="432205.Computers and peripherals-End user and Infrastructure components maintenance and support-service level agreement-Service"/>
    <s v="Service"/>
    <x v="1"/>
    <x v="46"/>
    <x v="53"/>
    <n v="300000"/>
    <s v="KU Regular operations"/>
    <s v="Recurring"/>
    <n v="270000"/>
    <n v="240000"/>
    <n v="210000"/>
    <s v="Limited Impact"/>
    <s v="Limited impact. Some areas will not be having proper networkble"/>
    <s v="Limited impact. Some areas will not be having proper networkble"/>
    <m/>
    <n v="0"/>
    <m/>
    <n v="100000"/>
    <m/>
    <m/>
    <n v="100000"/>
    <m/>
    <m/>
    <n v="100000"/>
    <m/>
    <m/>
    <n v="300000"/>
    <s v="Utilize state-of-the-art technologies and facilities in an optimal and efficient manner"/>
    <m/>
  </r>
  <r>
    <n v="8470810"/>
    <s v="KUST - Ankabut office"/>
    <n v="1"/>
    <n v="432205"/>
    <x v="10"/>
    <s v="000000"/>
    <s v="KUST - General"/>
    <s v="847001"/>
    <x v="1"/>
    <n v="200179"/>
    <s v="847.8470810.1.432205.000000.847001.200179"/>
    <m/>
    <m/>
    <m/>
    <s v="432205.Computers and peripherals-End user and Infrastructure components maintenance and support-service level agreement-Service"/>
    <s v="Service"/>
    <x v="1"/>
    <x v="47"/>
    <x v="54"/>
    <n v="700000"/>
    <s v="KU Regular operations"/>
    <s v="Recurring"/>
    <n v="630000"/>
    <n v="560000"/>
    <n v="489999.99999999994"/>
    <s v="Academic Operatiosn Affected due to classroom projection issues"/>
    <s v="Academic Operatiosn Affected due to classroom projection issues"/>
    <s v="Academic Operatiosn Affected due to classroom projection issues"/>
    <m/>
    <n v="0"/>
    <m/>
    <m/>
    <n v="700000"/>
    <m/>
    <m/>
    <m/>
    <m/>
    <m/>
    <m/>
    <m/>
    <n v="700000"/>
    <s v="Utilize state-of-the-art technologies and facilities in an optimal and efficient manner"/>
    <m/>
  </r>
  <r>
    <n v="8470810"/>
    <s v="KUST - Ankabut office"/>
    <n v="1"/>
    <n v="432205"/>
    <x v="10"/>
    <s v="000000"/>
    <s v="KUST - General"/>
    <s v="847001"/>
    <x v="1"/>
    <n v="200179"/>
    <s v="847.8470810.1.432205.000000.847001.200179"/>
    <m/>
    <m/>
    <m/>
    <s v="432205.Computers and peripherals-End user and Infrastructure components maintenance and support-service level agreement-Service"/>
    <s v="Service"/>
    <x v="1"/>
    <x v="48"/>
    <x v="55"/>
    <n v="550000"/>
    <s v="KU Regular operations"/>
    <s v="Recurring"/>
    <n v="495000"/>
    <n v="440000"/>
    <n v="385000"/>
    <s v="Limited wireless coverage"/>
    <s v="Limited wireless coverage"/>
    <s v="Limited wireless coverage"/>
    <m/>
    <n v="0"/>
    <m/>
    <m/>
    <m/>
    <m/>
    <m/>
    <n v="550000"/>
    <m/>
    <m/>
    <m/>
    <m/>
    <n v="550000"/>
    <s v="Utilize state-of-the-art technologies and facilities in an optimal and efficient manner"/>
    <m/>
  </r>
  <r>
    <n v="8470810"/>
    <s v="KUST - Ankabut office"/>
    <n v="1"/>
    <n v="432205"/>
    <x v="10"/>
    <s v="000000"/>
    <s v="KUST - General"/>
    <s v="847001"/>
    <x v="1"/>
    <n v="200179"/>
    <s v="847.8470810.1.432205.000000.847001.200179"/>
    <m/>
    <m/>
    <m/>
    <s v="432205.Computers and peripherals-End user and Infrastructure components maintenance and support-service level agreement-Service"/>
    <s v="Service"/>
    <x v="1"/>
    <x v="49"/>
    <x v="56"/>
    <n v="90000"/>
    <s v="KU Regular operations"/>
    <s v="Recurring"/>
    <n v="81000"/>
    <n v="72000"/>
    <n v="62999.999999999993"/>
    <s v="Limited Network support from Vendor"/>
    <s v="Limited Network support from Vendor"/>
    <s v="Limited Network support from Vendor"/>
    <m/>
    <n v="0"/>
    <m/>
    <m/>
    <n v="90000"/>
    <m/>
    <m/>
    <m/>
    <m/>
    <m/>
    <m/>
    <m/>
    <n v="90000"/>
    <s v="Utilize state-of-the-art technologies and facilities in an optimal and efficient manner"/>
    <m/>
  </r>
  <r>
    <n v="8470810"/>
    <s v="KUST - Ankabut office"/>
    <n v="1"/>
    <n v="432205"/>
    <x v="10"/>
    <s v="000000"/>
    <s v="KUST - General"/>
    <s v="847001"/>
    <x v="1"/>
    <n v="200179"/>
    <s v="847.8470810.1.432205.000000.847001.200179"/>
    <m/>
    <m/>
    <m/>
    <s v="432205.Computers and peripherals-End user and Infrastructure components maintenance and support-service level agreement-Service"/>
    <s v="Service"/>
    <x v="1"/>
    <x v="50"/>
    <x v="57"/>
    <n v="450000"/>
    <s v="KU Regular operations"/>
    <s v="Recurring"/>
    <n v="405000"/>
    <n v="360000"/>
    <n v="315000"/>
    <s v="Limited Network support from Vendor"/>
    <s v="Limited Network support from Vendor"/>
    <s v="Limited Network support from Vendor"/>
    <m/>
    <n v="0"/>
    <m/>
    <m/>
    <n v="450000"/>
    <m/>
    <m/>
    <m/>
    <m/>
    <m/>
    <m/>
    <m/>
    <n v="450000"/>
    <m/>
    <m/>
  </r>
  <r>
    <n v="8470810"/>
    <s v="KUST - Ankabut office"/>
    <n v="1"/>
    <n v="432226"/>
    <x v="11"/>
    <s v="000000"/>
    <s v="KUST - General"/>
    <s v="847001"/>
    <x v="1"/>
    <n v="200179"/>
    <s v="847.8470810.1.432226.000000.847001.200179"/>
    <s v="-"/>
    <n v="360000"/>
    <n v="360000"/>
    <s v="432226.Computers and peripherals-Printers maintenance and support-Number of paper printing-Month"/>
    <s v="Month"/>
    <x v="0"/>
    <x v="20"/>
    <x v="58"/>
    <n v="540000"/>
    <s v="KU Regular operations"/>
    <s v="Recurring"/>
    <n v="486000"/>
    <n v="432000"/>
    <n v="378000"/>
    <s v="Reduced Quota for printing"/>
    <s v="Reduced Quota for printing"/>
    <s v="Reduced Quota for printing"/>
    <n v="45000"/>
    <n v="45000"/>
    <n v="45000"/>
    <n v="45000"/>
    <n v="45000"/>
    <n v="45000"/>
    <n v="45000"/>
    <n v="45000"/>
    <n v="45000"/>
    <n v="45000"/>
    <n v="45000"/>
    <n v="45000"/>
    <n v="540000"/>
    <s v="Utilize state-of-the-art technologies and facilities in an optimal and efficient manner"/>
    <m/>
  </r>
  <r>
    <n v="8470810"/>
    <s v="KUST - Ankabut office"/>
    <n v="1"/>
    <n v="436110"/>
    <x v="12"/>
    <s v="000000"/>
    <s v="KUST - General"/>
    <s v="847001"/>
    <x v="1"/>
    <n v="200179"/>
    <s v="847.8470810.1.436110.000000.847001.200179"/>
    <s v="-"/>
    <n v="0"/>
    <m/>
    <m/>
    <s v="-_"/>
    <x v="2"/>
    <x v="1"/>
    <x v="1"/>
    <n v="0"/>
    <m/>
    <m/>
    <n v="0"/>
    <n v="0"/>
    <n v="0"/>
    <m/>
    <m/>
    <m/>
    <m/>
    <n v="0"/>
    <m/>
    <m/>
    <m/>
    <m/>
    <m/>
    <m/>
    <m/>
    <m/>
    <m/>
    <m/>
    <n v="0"/>
    <m/>
    <m/>
  </r>
  <r>
    <n v="8470810"/>
    <s v="KUST - Ankabut office"/>
    <n v="1"/>
    <n v="492310"/>
    <x v="13"/>
    <s v="000000"/>
    <s v="KUST - General"/>
    <s v="847001"/>
    <x v="2"/>
    <n v="300180"/>
    <s v="847.8470810.1.492310.000000.847001.300180"/>
    <n v="3471424"/>
    <n v="175000"/>
    <n v="175000"/>
    <s v="492310.Hardware &amp; peripherals-warranty period-Warranty"/>
    <s v="Warranty"/>
    <x v="1"/>
    <x v="51"/>
    <x v="59"/>
    <n v="255000"/>
    <s v="KU Regular operations"/>
    <s v="Non-recurring"/>
    <n v="229500"/>
    <n v="204000"/>
    <n v="178500"/>
    <s v="laptops not refreshed as per KU policies and End-User Computing standard"/>
    <s v="laptops not refreshed as per KU policies and End-User Computing standard"/>
    <s v="laptops not refreshed as per KU policies and End-User Computing standard"/>
    <m/>
    <n v="0"/>
    <m/>
    <m/>
    <n v="255000"/>
    <m/>
    <m/>
    <m/>
    <m/>
    <m/>
    <m/>
    <m/>
    <n v="255000"/>
    <s v="Utilize state-of-the-art technologies and facilities in an optimal and efficient manner"/>
    <m/>
  </r>
  <r>
    <n v="8470810"/>
    <s v="KUST - Ankabut office"/>
    <n v="1"/>
    <n v="492352"/>
    <x v="14"/>
    <s v="000000"/>
    <s v="KUST - General"/>
    <s v="847001"/>
    <x v="2"/>
    <n v="300180"/>
    <s v="847.8470810.1.492352.000000.847001.300180"/>
    <s v="-"/>
    <n v="1735802"/>
    <n v="1735802"/>
    <s v="492352.Hardware &amp; peripherals-Network Devices-TBD-TBD"/>
    <s v="TBD"/>
    <x v="1"/>
    <x v="52"/>
    <x v="60"/>
    <n v="1389000"/>
    <s v="KU Regular operations"/>
    <s v="Non-recurring"/>
    <n v="1250100"/>
    <n v="1111200"/>
    <n v="972299.99999999988"/>
    <s v="Limited replacement for old and Obsolete equipment without support"/>
    <s v="Limited replacement for old and Obsolete equipment without support"/>
    <s v="Limited replacement for old and Obsolete equipment without support"/>
    <m/>
    <n v="0"/>
    <m/>
    <m/>
    <m/>
    <n v="1389000"/>
    <m/>
    <m/>
    <m/>
    <m/>
    <m/>
    <m/>
    <n v="1389000"/>
    <s v="Utilize state-of-the-art technologies and facilities in an optimal and efficient manner"/>
    <m/>
  </r>
  <r>
    <n v="8470810"/>
    <s v="KUST - Ankabut office"/>
    <n v="1"/>
    <n v="492354"/>
    <x v="15"/>
    <s v="000000"/>
    <s v="KUST - General"/>
    <s v="847001"/>
    <x v="2"/>
    <n v="300180"/>
    <s v="847.8470810.1.492354.000000.847001.300180"/>
    <s v="-"/>
    <n v="240000"/>
    <n v="240000"/>
    <s v="492354.Hardware &amp; peripherals-Peripherals &amp; Infrastructure Components-TBD-TBD"/>
    <s v="TBD"/>
    <x v="2"/>
    <x v="1"/>
    <x v="1"/>
    <n v="0"/>
    <m/>
    <m/>
    <n v="0"/>
    <n v="0"/>
    <n v="0"/>
    <m/>
    <m/>
    <m/>
    <m/>
    <n v="0"/>
    <m/>
    <m/>
    <m/>
    <m/>
    <m/>
    <m/>
    <m/>
    <m/>
    <m/>
    <m/>
    <n v="0"/>
    <m/>
    <m/>
  </r>
  <r>
    <n v="8470810"/>
    <s v="KUST - Ankabut office"/>
    <n v="1"/>
    <n v="492356"/>
    <x v="16"/>
    <s v="000000"/>
    <s v="KUST - General"/>
    <s v="847001"/>
    <x v="2"/>
    <n v="300180"/>
    <s v="847.8470810.1.492356.000000.847001.300180"/>
    <s v="-"/>
    <n v="650000"/>
    <n v="650000"/>
    <s v="492356.Hardware &amp; peripherals-Conferencing &amp; AV-TBD-TBD"/>
    <s v="TBD"/>
    <x v="1"/>
    <x v="53"/>
    <x v="61"/>
    <n v="3316413"/>
    <s v="KU Strategic New Initiative"/>
    <s v="Non-recurring"/>
    <n v="2984771.7"/>
    <n v="2653130.4000000004"/>
    <n v="2321489.0999999996"/>
    <s v="Limited upgrade of KU Classroom to address teaching requirements"/>
    <s v="Limited upgrade of KU Classroom to address teaching requirements"/>
    <s v="Limited upgrade of KU Classroom to address teaching requirements"/>
    <m/>
    <n v="0"/>
    <m/>
    <m/>
    <m/>
    <n v="3316413"/>
    <m/>
    <m/>
    <m/>
    <m/>
    <m/>
    <m/>
    <n v="3316413"/>
    <s v="Utilize state-of-the-art technologies and facilities in an optimal and efficient manner"/>
    <m/>
  </r>
  <r>
    <n v="8470810"/>
    <s v="KUST - Ankabut office"/>
    <n v="1"/>
    <n v="492356"/>
    <x v="16"/>
    <s v="000000"/>
    <s v="KUST - General"/>
    <s v="847001"/>
    <x v="2"/>
    <n v="300180"/>
    <s v="847.8470810.1.492356.000000.847001.300180"/>
    <s v="-"/>
    <n v="650000"/>
    <n v="650000"/>
    <s v="492356.Hardware &amp; peripherals-Conferencing &amp; AV-TBD-TBD"/>
    <s v="TBD"/>
    <x v="1"/>
    <x v="54"/>
    <x v="62"/>
    <n v="702126"/>
    <s v="KU Regular operations"/>
    <s v="Non-recurring"/>
    <n v="631913.4"/>
    <n v="561700.80000000005"/>
    <n v="491488.19999999995"/>
    <s v="Limited upgrade of KU Classroom to address teaching requirements"/>
    <s v="Limited upgrade of KU Classroom to address teaching requirements"/>
    <s v="Limited upgrade of KU Classroom to address teaching requirements"/>
    <m/>
    <n v="0"/>
    <m/>
    <m/>
    <m/>
    <n v="702126"/>
    <m/>
    <m/>
    <m/>
    <m/>
    <m/>
    <m/>
    <n v="702126"/>
    <m/>
    <m/>
  </r>
  <r>
    <n v="8470810"/>
    <s v="KUST - Ankabut office"/>
    <n v="1"/>
    <n v="495110"/>
    <x v="17"/>
    <s v="000000"/>
    <s v="KUST - General"/>
    <s v="847001"/>
    <x v="2"/>
    <n v="300180"/>
    <s v="847.8470810.1.495110.000000.847001.300180"/>
    <n v="796333.2"/>
    <n v="0"/>
    <m/>
    <m/>
    <s v="-_"/>
    <x v="2"/>
    <x v="1"/>
    <x v="1"/>
    <n v="0"/>
    <m/>
    <m/>
    <n v="0"/>
    <n v="0"/>
    <n v="0"/>
    <m/>
    <m/>
    <m/>
    <m/>
    <n v="0"/>
    <m/>
    <m/>
    <m/>
    <m/>
    <m/>
    <m/>
    <m/>
    <m/>
    <m/>
    <m/>
    <n v="0"/>
    <m/>
    <m/>
  </r>
  <r>
    <n v="8470810"/>
    <s v="KUST - Ankabut office"/>
    <n v="1"/>
    <n v="495113"/>
    <x v="18"/>
    <s v="000000"/>
    <s v="KUST - General"/>
    <s v="847001"/>
    <x v="2"/>
    <n v="300180"/>
    <s v="847.8470810.1.495113.000000.847001.300180"/>
    <s v="-"/>
    <n v="590670"/>
    <n v="590670"/>
    <s v="495113.Computer software-Application, Platform -number of licenses-Number"/>
    <s v="Number"/>
    <x v="1"/>
    <x v="55"/>
    <x v="63"/>
    <n v="320000"/>
    <s v="KU Strategic New Initiative"/>
    <s v="Non-recurring"/>
    <n v="288000"/>
    <n v="256000"/>
    <n v="224000"/>
    <s v="Limited licenses for the application"/>
    <s v="Limited licenses for the application"/>
    <s v="Limited licenses for the application"/>
    <m/>
    <n v="0"/>
    <m/>
    <n v="320000"/>
    <m/>
    <m/>
    <m/>
    <m/>
    <m/>
    <m/>
    <m/>
    <m/>
    <n v="320000"/>
    <s v="Utilize state-of-the-art technologies and facilities in an optimal and efficient manner"/>
    <m/>
  </r>
  <r>
    <n v="8470810"/>
    <s v="KUST - Ankabut office"/>
    <n v="1"/>
    <n v="495113"/>
    <x v="18"/>
    <s v="000000"/>
    <s v="KUST - General"/>
    <s v="847001"/>
    <x v="2"/>
    <n v="300180"/>
    <s v="847.8470810.1.495113.000000.847001.300180"/>
    <m/>
    <m/>
    <m/>
    <s v="495113.Computer software-Application, Platform -number of licenses-Number"/>
    <s v="Number"/>
    <x v="1"/>
    <x v="46"/>
    <x v="64"/>
    <n v="300000"/>
    <s v="KU Regular operations"/>
    <s v="Recurring"/>
    <n v="270000"/>
    <n v="240000"/>
    <n v="210000"/>
    <s v="Limited licenses for the application"/>
    <s v="Limited licenses for the application"/>
    <s v="Limited licenses for the application"/>
    <m/>
    <n v="0"/>
    <m/>
    <n v="300000"/>
    <m/>
    <m/>
    <m/>
    <m/>
    <m/>
    <m/>
    <m/>
    <m/>
    <n v="300000"/>
    <s v="Utilize state-of-the-art technologies and facilities in an optimal and efficient manner"/>
    <m/>
  </r>
  <r>
    <n v="8470810"/>
    <s v="KUST - Ankabut office"/>
    <n v="1"/>
    <n v="495113"/>
    <x v="18"/>
    <s v="000000"/>
    <s v="KUST - General"/>
    <s v="847001"/>
    <x v="2"/>
    <n v="300180"/>
    <s v="847.8470810.1.495113.000000.847001.300180"/>
    <m/>
    <m/>
    <m/>
    <s v="495113.Computer software-Application, Platform -number of licenses-Number"/>
    <s v="Number"/>
    <x v="1"/>
    <x v="56"/>
    <x v="65"/>
    <n v="152572"/>
    <s v="KU Regular operations"/>
    <s v="Recurring"/>
    <n v="137314.80000000002"/>
    <n v="122057.60000000001"/>
    <n v="106800.4"/>
    <s v="Limited licenses for the application"/>
    <s v="Limited licenses for the application"/>
    <s v="Limited licenses for the application"/>
    <m/>
    <n v="0"/>
    <m/>
    <n v="152572"/>
    <m/>
    <m/>
    <m/>
    <m/>
    <m/>
    <m/>
    <m/>
    <m/>
    <n v="152572"/>
    <s v="Utilize state-of-the-art technologies and facilities in an optimal and efficient manner"/>
    <m/>
  </r>
  <r>
    <n v="8470810"/>
    <s v="KUST - Ankabut office"/>
    <n v="1"/>
    <n v="427850"/>
    <x v="6"/>
    <s v="000000"/>
    <s v="KUST - General"/>
    <s v="847001"/>
    <x v="1"/>
    <n v="200179"/>
    <s v="847.8470810.1.427850.000000.847001.200179"/>
    <n v="1695109.4"/>
    <s v="-"/>
    <m/>
    <m/>
    <s v="-_"/>
    <x v="2"/>
    <x v="1"/>
    <x v="1"/>
    <n v="0"/>
    <m/>
    <m/>
    <n v="0"/>
    <n v="0"/>
    <n v="0"/>
    <m/>
    <m/>
    <m/>
    <m/>
    <n v="0"/>
    <m/>
    <m/>
    <m/>
    <m/>
    <m/>
    <m/>
    <m/>
    <m/>
    <m/>
    <m/>
    <n v="0"/>
    <m/>
    <m/>
  </r>
  <r>
    <n v="8470810"/>
    <s v="KUST - Ankabut office"/>
    <n v="1"/>
    <n v="492316"/>
    <x v="19"/>
    <s v="000000"/>
    <s v="KUST - General"/>
    <s v="847001"/>
    <x v="2"/>
    <n v="300180"/>
    <s v="847.8470810.1.492316.000000.847001.300180"/>
    <n v="-53578"/>
    <s v="-"/>
    <m/>
    <m/>
    <s v="-_"/>
    <x v="2"/>
    <x v="1"/>
    <x v="1"/>
    <n v="0"/>
    <m/>
    <m/>
    <n v="0"/>
    <n v="0"/>
    <n v="0"/>
    <m/>
    <m/>
    <m/>
    <m/>
    <n v="0"/>
    <m/>
    <m/>
    <m/>
    <m/>
    <m/>
    <m/>
    <m/>
    <m/>
    <m/>
    <m/>
    <n v="0"/>
    <m/>
    <m/>
  </r>
  <r>
    <n v="8470220"/>
    <s v="KUST - Office of the Provost"/>
    <n v="1"/>
    <n v="420550"/>
    <x v="20"/>
    <s v="000000"/>
    <s v="KUST - General"/>
    <s v="847001"/>
    <x v="1"/>
    <n v="200179"/>
    <s v="847.8470220.1.420550.000000.847001.200179"/>
    <s v="-"/>
    <n v="60000"/>
    <n v="60000"/>
    <s v="420550.Academic Advisory Service-Number of Services-Number"/>
    <m/>
    <x v="5"/>
    <x v="57"/>
    <x v="66"/>
    <n v="420500"/>
    <s v="KU Regular operations"/>
    <s v="Recurring"/>
    <n v="378450"/>
    <n v="336400"/>
    <n v="294350"/>
    <s v="If we are unable to pay the evaluators and contractors agreed price it will cause reputational damage"/>
    <s v="If we are unable to pay the evaluators and contractors agreed price it will cause reputational damage"/>
    <s v="If we are unable to pay the evaluators and contractors agreed price it will cause reputational damage"/>
    <m/>
    <n v="44000"/>
    <m/>
    <n v="40000"/>
    <m/>
    <n v="40000"/>
    <m/>
    <n v="80000"/>
    <m/>
    <m/>
    <n v="108250"/>
    <n v="108250"/>
    <n v="420500"/>
    <s v="Align academic programs with the local and global labor market needs"/>
    <m/>
  </r>
  <r>
    <n v="8470220"/>
    <s v="KUST - Office of the Provost"/>
    <n v="1"/>
    <n v="420570"/>
    <x v="21"/>
    <s v="000000"/>
    <s v="KUST - General"/>
    <s v="847001"/>
    <x v="1"/>
    <n v="200179"/>
    <s v="847.8470220.1.420570.000000.847001.200179"/>
    <s v="-"/>
    <n v="392387"/>
    <n v="392387"/>
    <s v="420570.Academic Collaborative Partnership Services-Partnership Agreement or Academic Collaboration -No of Partneship/collaboration Agreement"/>
    <s v="No of Partneship/collaboration Agreement"/>
    <x v="1"/>
    <x v="58"/>
    <x v="67"/>
    <n v="3000000"/>
    <s v="KU Regular operations"/>
    <s v="Recurring"/>
    <n v="2700000"/>
    <n v="2400000"/>
    <n v="2100000"/>
    <s v="Less budget will impact the amount of activities and associated output/benefits"/>
    <s v="Less budget will impact the amount of activities and associated output/benefits"/>
    <s v="Less budget will impact the amount of activities and associated output/benefits"/>
    <n v="250000"/>
    <n v="250000"/>
    <n v="250000"/>
    <n v="250000"/>
    <n v="250000"/>
    <n v="250000"/>
    <n v="250000"/>
    <n v="250000"/>
    <n v="250000"/>
    <n v="250000"/>
    <n v="250000"/>
    <n v="250000"/>
    <n v="3000000"/>
    <s v="Build partnerships with local and international universities"/>
    <m/>
  </r>
  <r>
    <n v="8470220"/>
    <s v="KUST - Office of the Provost"/>
    <n v="1"/>
    <n v="421700"/>
    <x v="22"/>
    <s v="000000"/>
    <s v="KUST - General"/>
    <s v="847001"/>
    <x v="1"/>
    <n v="200179"/>
    <s v="847.8470220.1.421700.000000.847001.200179"/>
    <s v="-"/>
    <n v="375000"/>
    <n v="375000"/>
    <s v="421700.Standards Certification Services (e.g. ISO)-Number of Academic programs-Number"/>
    <s v="Number"/>
    <x v="6"/>
    <x v="59"/>
    <x v="68"/>
    <n v="3450000"/>
    <s v="KU Regular operations"/>
    <s v="Non-recurring"/>
    <n v="3105000"/>
    <n v="2760000"/>
    <n v="2415000"/>
    <s v="This is a fee to the CAA, UAE Government entity, this amount must be paid, without reaccrediation it would be hugely damaging"/>
    <s v="This is a fee to the CAA, UAE Government entity, this amount must be paid, without reaccrediation it would be hugely damaging"/>
    <s v="This is a fee to the CAA, UAE Government entity, this amount must be paid, without reaccrediation it would be hugely damaging"/>
    <m/>
    <m/>
    <n v="0"/>
    <n v="3450000"/>
    <n v="0"/>
    <n v="0"/>
    <n v="0"/>
    <n v="0"/>
    <n v="0"/>
    <n v="0"/>
    <n v="0"/>
    <n v="0"/>
    <n v="3450000"/>
    <s v="Develop a multidimensional program to attract and retain diverse outstanding students"/>
    <m/>
  </r>
  <r>
    <n v="8470220"/>
    <s v="KUST - Office of the Provost"/>
    <n v="1"/>
    <n v="425510"/>
    <x v="23"/>
    <s v="000000"/>
    <s v="KUST - General"/>
    <s v="847001"/>
    <x v="1"/>
    <n v="200179"/>
    <s v="847.8470220.1.425510.000000.847001.200179"/>
    <s v="-"/>
    <n v="10000"/>
    <n v="10000"/>
    <s v="425510.Conferences, seminars and exhibitions and other events: - Local Events-Seminars-Number of Seminars"/>
    <s v="Number of Seminars"/>
    <x v="7"/>
    <x v="31"/>
    <x v="69"/>
    <n v="100000"/>
    <s v="KU Regular operations"/>
    <s v="Recurring"/>
    <n v="90000"/>
    <n v="80000"/>
    <n v="70000"/>
    <s v="Less budget will impact the amount of activities and associated output/benefits"/>
    <s v="Less budget will impact the amount of activities and associated output/benefits"/>
    <s v="Less budget will impact the amount of activities and associated output/benefits"/>
    <m/>
    <n v="20000"/>
    <n v="20000"/>
    <n v="0"/>
    <n v="20000"/>
    <n v="0"/>
    <n v="0"/>
    <n v="0"/>
    <n v="0"/>
    <n v="20000"/>
    <n v="20000"/>
    <n v="0"/>
    <n v="100000"/>
    <s v="Recruit and retain high caliber faculty, researchers and staff"/>
    <m/>
  </r>
  <r>
    <n v="8470220"/>
    <s v="KUST - Office of the Provost"/>
    <n v="1"/>
    <n v="425550"/>
    <x v="24"/>
    <s v="000000"/>
    <s v="KUST - General"/>
    <s v="847001"/>
    <x v="1"/>
    <n v="200179"/>
    <s v="847.8470220.1.425550.000000.847001.200179"/>
    <s v="-"/>
    <n v="25000"/>
    <n v="25000"/>
    <s v="425550.Conferences, seminars and exhibitions and other events: - Overseas event-Conferences-Number of Conferences"/>
    <s v="Number of Conferences"/>
    <x v="7"/>
    <x v="31"/>
    <x v="70"/>
    <n v="100000"/>
    <s v="KU Regular operations"/>
    <s v="Recurring"/>
    <n v="90000"/>
    <n v="80000"/>
    <n v="70000"/>
    <s v="Less budget will impact the amount of activities and associated output/benefits"/>
    <s v="Less budget will impact the amount of activities and associated output/benefits"/>
    <s v="Less budget will impact the amount of activities and associated output/benefits"/>
    <m/>
    <n v="20000"/>
    <n v="20000"/>
    <m/>
    <n v="20000"/>
    <m/>
    <m/>
    <m/>
    <m/>
    <n v="20000"/>
    <n v="20000"/>
    <m/>
    <n v="100000"/>
    <s v="Recruit and retain high caliber faculty, researchers and staff"/>
    <m/>
  </r>
  <r>
    <n v="8470220"/>
    <s v="KUST - Office of the Provost"/>
    <n v="1"/>
    <n v="425740"/>
    <x v="25"/>
    <s v="000000"/>
    <s v="KUST - General"/>
    <s v="847001"/>
    <x v="1"/>
    <n v="200179"/>
    <s v="847.8470220.1.425740.000000.847001.200179"/>
    <s v="-"/>
    <n v="694710"/>
    <n v="694710"/>
    <s v="425740.Scholarships &amp; other financial aid-Students-No of Students"/>
    <s v="No of Students"/>
    <x v="8"/>
    <x v="60"/>
    <x v="71"/>
    <n v="3600012"/>
    <s v="KU Regular operations"/>
    <s v="Recurring"/>
    <n v="3240010.8000000003"/>
    <n v="2880009.6"/>
    <n v="2520008.4"/>
    <s v="Less budget will impact the amount of activities and associated output/benefits"/>
    <s v="Less budget will impact the amount of activities and associated output/benefits"/>
    <s v="Less budget will impact the amount of activities and associated output/benefits"/>
    <n v="500000"/>
    <n v="500000"/>
    <n v="500000"/>
    <n v="500000"/>
    <n v="500000"/>
    <n v="500000"/>
    <n v="100000"/>
    <n v="100000"/>
    <n v="100000"/>
    <n v="100000"/>
    <n v="100012"/>
    <n v="100000"/>
    <n v="3600012"/>
    <s v="Design and implement professional development programs for researchers, faculty, and  staff to contribute to the university strategic plan"/>
    <m/>
  </r>
  <r>
    <n v="8470220"/>
    <s v="KUST - Office of the Provost"/>
    <n v="1"/>
    <n v="425900"/>
    <x v="26"/>
    <s v="000000"/>
    <s v="KUST - General"/>
    <s v="847001"/>
    <x v="1"/>
    <n v="200179"/>
    <s v="847.8470220.1.425900.000000.847001.200179"/>
    <s v="-"/>
    <n v="12000"/>
    <n v="12000"/>
    <s v="425900.Entertainment and hospitality-1. No of events/workshops planned-count"/>
    <s v="count"/>
    <x v="0"/>
    <x v="61"/>
    <x v="72"/>
    <n v="128004"/>
    <s v="KU Regular operations"/>
    <s v="Recurring"/>
    <n v="115203.6"/>
    <n v="102403.20000000001"/>
    <n v="89602.799999999988"/>
    <s v="Less budget will impact the amount of activities and associated feel good factor amoung the community"/>
    <s v="Less budget will impact the amount of activities and associated feel good factor amoung the community"/>
    <s v="Less budget will impact the amount of activities and associated feel good factor amoung the community"/>
    <n v="10667"/>
    <n v="10667"/>
    <n v="10667"/>
    <n v="10667"/>
    <n v="10667"/>
    <n v="10667"/>
    <n v="10667"/>
    <n v="10667"/>
    <n v="10667"/>
    <n v="10667"/>
    <n v="10667"/>
    <n v="10667"/>
    <n v="128004"/>
    <s v="Promote a working culture of excellence and accountability"/>
    <m/>
  </r>
  <r>
    <n v="8470220"/>
    <s v="KUST - Office of the Provost"/>
    <n v="1"/>
    <n v="426610"/>
    <x v="4"/>
    <s v="000000"/>
    <s v="KUST - General"/>
    <s v="847001"/>
    <x v="1"/>
    <n v="200179"/>
    <s v="847.8470220.1.426610.000000.847001.200179"/>
    <s v="-"/>
    <n v="50000"/>
    <n v="50000"/>
    <s v="426610.Computer software licenses-Software License Renewal-number of licenses-Number"/>
    <s v="Number"/>
    <x v="9"/>
    <x v="62"/>
    <x v="73"/>
    <n v="45000"/>
    <s v="KU Regular operations"/>
    <s v="Non-recurring"/>
    <n v="40500"/>
    <n v="36000"/>
    <n v="31499.999999999996"/>
    <s v="Less licences to purchase"/>
    <s v="Less licences to purchase"/>
    <s v="Less licences to purchase"/>
    <n v="45000"/>
    <m/>
    <m/>
    <m/>
    <m/>
    <m/>
    <m/>
    <m/>
    <m/>
    <m/>
    <m/>
    <m/>
    <n v="45000"/>
    <s v="Utilize state-of-the-art technologies and facilities in an optimal and efficient manner"/>
    <m/>
  </r>
  <r>
    <n v="8470220"/>
    <s v="KUST - Office of the Provost"/>
    <n v="1"/>
    <n v="428090"/>
    <x v="7"/>
    <s v="000000"/>
    <s v="KUST - General"/>
    <s v="847001"/>
    <x v="1"/>
    <n v="200179"/>
    <s v="847.8470220.1.428090.000000.847001.200179"/>
    <s v="-"/>
    <n v="165500"/>
    <n v="165500"/>
    <s v="428090.Business Travel - Combined expenses-Number of Staff-Number"/>
    <s v="Number"/>
    <x v="10"/>
    <x v="63"/>
    <x v="74"/>
    <n v="320000"/>
    <s v="KU Strategic New Initiative"/>
    <s v="Non-recurring"/>
    <n v="288000"/>
    <n v="256000"/>
    <n v="224000"/>
    <s v="Less budget will impact the amount of activities and associated output/benefits"/>
    <s v="Less budget will impact the amount of activities and associated output/benefits"/>
    <s v="Less budget will impact the amount of activities and associated output/benefits"/>
    <n v="40000"/>
    <m/>
    <n v="40000"/>
    <n v="40000"/>
    <n v="40000"/>
    <m/>
    <m/>
    <m/>
    <m/>
    <n v="40000"/>
    <n v="80000"/>
    <n v="40000"/>
    <n v="320000"/>
    <s v="Build partnerships with local and international universities"/>
    <m/>
  </r>
  <r>
    <n v="8470220"/>
    <s v="KUST - Office of the Provost"/>
    <n v="1"/>
    <n v="428640"/>
    <x v="27"/>
    <s v="000000"/>
    <s v="KUST - General"/>
    <s v="847001"/>
    <x v="1"/>
    <n v="200179"/>
    <s v="847.8470220.1.428640.000000.847001.200179"/>
    <s v="-"/>
    <n v="20000"/>
    <n v="20000"/>
    <s v="428640.Events - Awards, prizes &amp; gifts-Number of Events-count"/>
    <s v="count"/>
    <x v="1"/>
    <x v="64"/>
    <x v="75"/>
    <n v="2000000"/>
    <s v="KU Regular operations"/>
    <s v="Non-recurring"/>
    <n v="1800000"/>
    <n v="1600000"/>
    <n v="1400000"/>
    <s v="Excellence Awards encourages excellent productivity and performance, less budget diminishes these results "/>
    <s v="Excellence Awards encourages excellent productivity and performance, less budget diminishes these results "/>
    <s v="Excellence Awards encourages excellent productivity and performance, less budget diminishes these results "/>
    <m/>
    <m/>
    <m/>
    <m/>
    <m/>
    <m/>
    <m/>
    <m/>
    <m/>
    <n v="2000000"/>
    <m/>
    <m/>
    <n v="2000000"/>
    <s v="Promote a working culture of excellence and accountability"/>
    <m/>
  </r>
  <r>
    <n v="8470220"/>
    <s v="KUST - Office of the Provost"/>
    <n v="1"/>
    <n v="432205"/>
    <x v="10"/>
    <s v="000000"/>
    <s v="KUST - General"/>
    <s v="847001"/>
    <x v="1"/>
    <n v="200179"/>
    <s v="847.8470220.1.432205.000000.847001.200179"/>
    <s v="-"/>
    <n v="10000"/>
    <n v="10000"/>
    <s v="432205.Computers and peripherals-End user and Infrastructure components maintenance and support-service level agreement-Service"/>
    <s v="Service"/>
    <x v="3"/>
    <x v="35"/>
    <x v="76"/>
    <n v="60000"/>
    <s v="KU Regular operations"/>
    <s v="Non-recurring"/>
    <n v="54000"/>
    <n v="48000"/>
    <n v="42000"/>
    <s v="Staff need the correct computer equipment to work efficiently"/>
    <s v="Staff need the correct computer equipment to work efficiently"/>
    <s v="Staff need the correct computer equipment to work efficiently"/>
    <n v="60000"/>
    <m/>
    <m/>
    <m/>
    <m/>
    <m/>
    <m/>
    <m/>
    <m/>
    <m/>
    <m/>
    <m/>
    <n v="60000"/>
    <s v="Utilize state-of-the-art technologies and facilities in an optimal and efficient manner"/>
    <m/>
  </r>
  <r>
    <n v="8470220"/>
    <s v="KUST - Office of the Provost"/>
    <n v="1"/>
    <n v="492316"/>
    <x v="19"/>
    <s v="000000"/>
    <s v="KUST - General"/>
    <s v="847001"/>
    <x v="2"/>
    <n v="300180"/>
    <s v="847.8470220.1.492316.000000.847001.300180"/>
    <n v="160720"/>
    <s v="-"/>
    <m/>
    <s v="432209.Laboratory equipment-Number of Faculty-Number"/>
    <s v="Number"/>
    <x v="1"/>
    <x v="46"/>
    <x v="77"/>
    <n v="300000"/>
    <s v="KU Strategic New Initiative"/>
    <s v="Recurring"/>
    <n v="270000"/>
    <n v="240000"/>
    <n v="210000"/>
    <s v="Less budget will impact operations, teaching and research "/>
    <s v="Less budget will impact operations, teaching and research "/>
    <s v="Less budget will impact operations, teaching and research "/>
    <n v="25000"/>
    <n v="25000"/>
    <n v="25000"/>
    <n v="25000"/>
    <n v="25000"/>
    <n v="25000"/>
    <n v="25000"/>
    <n v="25000"/>
    <n v="25000"/>
    <n v="25000"/>
    <n v="25000"/>
    <n v="25000"/>
    <n v="300000"/>
    <s v="Utilize state-of-the-art technologies and facilities in an optimal and efficient manner"/>
    <m/>
  </r>
  <r>
    <n v="8470220"/>
    <s v="KUST - Office of the Provost"/>
    <n v="1"/>
    <n v="436120"/>
    <x v="28"/>
    <s v="000000"/>
    <s v="KUST - General"/>
    <s v="847001"/>
    <x v="1"/>
    <n v="200179"/>
    <s v="847.8470220.1.436120.000000.847001.200179"/>
    <m/>
    <m/>
    <m/>
    <s v="436120.Stationery-Number of Staff-Number"/>
    <s v="Number"/>
    <x v="3"/>
    <x v="65"/>
    <x v="78"/>
    <n v="6000"/>
    <s v="KU Regular operations"/>
    <s v="Recurring"/>
    <n v="5400"/>
    <n v="4800"/>
    <n v="4200"/>
    <s v="basic operational requirement"/>
    <s v="basic operational requirement"/>
    <s v="basic operational requirement"/>
    <n v="500"/>
    <n v="500"/>
    <n v="500"/>
    <n v="500"/>
    <n v="500"/>
    <n v="500"/>
    <n v="500"/>
    <n v="500"/>
    <n v="500"/>
    <n v="500"/>
    <n v="500"/>
    <n v="500"/>
    <n v="6000"/>
    <s v="Provide reliable, accurate and timely reports to different stakeholders"/>
    <m/>
  </r>
  <r>
    <n v="8470310"/>
    <s v="KUST - Aerospace Engineering"/>
    <n v="1"/>
    <n v="420550"/>
    <x v="20"/>
    <s v="000000"/>
    <s v="KUST - General"/>
    <n v="847001"/>
    <x v="1"/>
    <n v="200179"/>
    <s v="847.8470310.1.420550.000000.847001.200179"/>
    <s v="-"/>
    <n v="20000"/>
    <n v="20000"/>
    <s v="420550.Academic Advisory Service-Number of Students-Number"/>
    <s v="Number"/>
    <x v="11"/>
    <x v="35"/>
    <x v="79"/>
    <n v="20000"/>
    <s v="KU Regular operations"/>
    <s v="Recurring"/>
    <n v="18000"/>
    <n v="16000"/>
    <n v="14000"/>
    <s v="may happen at reduced budget"/>
    <s v="event may not happen"/>
    <s v="event may not happen"/>
    <m/>
    <m/>
    <n v="10000"/>
    <m/>
    <m/>
    <m/>
    <m/>
    <m/>
    <n v="10000"/>
    <m/>
    <m/>
    <m/>
    <n v="20000"/>
    <s v="Align academic programs with the local and global labor market needs"/>
    <m/>
  </r>
  <r>
    <n v="8470310"/>
    <s v="KUST - Aerospace Engineering"/>
    <n v="1"/>
    <n v="425510"/>
    <x v="23"/>
    <s v="000000"/>
    <s v="KUST - General"/>
    <n v="847001"/>
    <x v="1"/>
    <n v="200179"/>
    <s v="847.8470310.1.425510.000000.847001.200179"/>
    <s v="-"/>
    <n v="15000"/>
    <n v="15000"/>
    <s v="425510.Conferences, seminars and exhibitions and other events: - Local Events-Conferences-Number of Conferences"/>
    <s v="Number of Conferences"/>
    <x v="9"/>
    <x v="35"/>
    <x v="80"/>
    <n v="30000"/>
    <s v="KU Regular operations"/>
    <s v="Recurring"/>
    <n v="27000"/>
    <n v="24000"/>
    <n v="21000"/>
    <s v="event may happen at reduced budget"/>
    <s v="some events may not be possible"/>
    <s v="some events may not be possible"/>
    <m/>
    <n v="10000"/>
    <m/>
    <m/>
    <m/>
    <n v="10000"/>
    <m/>
    <m/>
    <m/>
    <m/>
    <n v="10000"/>
    <m/>
    <n v="30000"/>
    <s v="Establish a mobility program for students, faculty, researchers and staff"/>
    <s v="There was one event in FY22 in FY23 two events"/>
  </r>
  <r>
    <n v="8470310"/>
    <s v="KUST - Aerospace Engineering"/>
    <n v="1"/>
    <n v="425760"/>
    <x v="29"/>
    <s v="000000"/>
    <s v="KUST - General"/>
    <n v="847001"/>
    <x v="1"/>
    <n v="200179"/>
    <s v="847.8470310.1.425760.000000.847001.200179"/>
    <s v="-"/>
    <n v="150000"/>
    <n v="150000"/>
    <s v="425760.Student activities &amp; field trip expenses-Students-No of Students"/>
    <s v="No of Students"/>
    <x v="12"/>
    <x v="35"/>
    <x v="81"/>
    <n v="150000"/>
    <s v="KU Regular operations"/>
    <s v="Recurring"/>
    <n v="135000"/>
    <n v="120000"/>
    <n v="105000"/>
    <s v="number of students will need to be reduced"/>
    <s v="number of students will need to be reduced"/>
    <s v="trip may not be possible"/>
    <m/>
    <m/>
    <n v="150000"/>
    <m/>
    <m/>
    <m/>
    <m/>
    <m/>
    <m/>
    <m/>
    <m/>
    <m/>
    <n v="150000"/>
    <s v="Establish a mobility program for students, faculty, researchers and staff"/>
    <m/>
  </r>
  <r>
    <n v="8470310"/>
    <s v="KUST - Aerospace Engineering"/>
    <n v="1"/>
    <n v="425763"/>
    <x v="30"/>
    <s v="000000"/>
    <s v="KUST - General"/>
    <n v="847001"/>
    <x v="1"/>
    <n v="200179"/>
    <s v="847.8470310.1.425763.000000.847001.200179"/>
    <n v="113543.11"/>
    <n v="350000"/>
    <n v="350000"/>
    <s v="425763.Student Project Expenses-Number of Students UG-Month"/>
    <s v="Month"/>
    <x v="0"/>
    <x v="42"/>
    <x v="82"/>
    <n v="360000"/>
    <s v="KU Regular operations"/>
    <s v="Recurring"/>
    <n v="324000"/>
    <n v="288000"/>
    <n v="251999.99999999997"/>
    <s v="project budget need to be cut"/>
    <s v="some projects may not run"/>
    <s v="some projects may not run"/>
    <m/>
    <n v="90000"/>
    <m/>
    <n v="50000"/>
    <n v="60000"/>
    <m/>
    <m/>
    <n v="80000"/>
    <m/>
    <n v="40000"/>
    <n v="40000"/>
    <m/>
    <n v="360000"/>
    <s v="Develop the university innovation and entrepreneurship system"/>
    <m/>
  </r>
  <r>
    <n v="8470310"/>
    <s v="KUST - Aerospace Engineering"/>
    <n v="1"/>
    <n v="425770"/>
    <x v="31"/>
    <s v="000000"/>
    <s v="KUST - General"/>
    <n v="847001"/>
    <x v="1"/>
    <n v="200179"/>
    <s v="847.8470310.1.425770.000000.847001.200179"/>
    <n v="0"/>
    <n v="210000"/>
    <n v="210000"/>
    <s v="425770.Academic Missions - Combined expenses-Number of Conference-Number"/>
    <s v="Number"/>
    <x v="13"/>
    <x v="31"/>
    <x v="83"/>
    <n v="340000"/>
    <s v="KU Regular operations"/>
    <s v="Recurring"/>
    <n v="306000"/>
    <n v="272000"/>
    <n v="237999.99999999997"/>
    <s v="1-2 faculty may not travel"/>
    <s v="few faculty may not travel"/>
    <s v="many faculty may not travel"/>
    <m/>
    <m/>
    <m/>
    <m/>
    <n v="150000"/>
    <m/>
    <n v="70000"/>
    <n v="60000"/>
    <m/>
    <m/>
    <m/>
    <n v="60000"/>
    <n v="340000"/>
    <s v="Establish a mobility program for students, faculty, researchers and staff"/>
    <s v="Compared to FY22, the Academic mission expense increased by 32%, and especially the Dean of Engineering and Electrical &amp; computer Engg department increased their statements by 39% to 48%. The rest of the departments in CoE increased by 25% to 33%."/>
  </r>
  <r>
    <n v="8470310"/>
    <s v="KUST - Aerospace Engineering"/>
    <n v="1"/>
    <n v="425900"/>
    <x v="26"/>
    <s v="000000"/>
    <s v="KUST - General"/>
    <n v="847001"/>
    <x v="1"/>
    <n v="200179"/>
    <s v="847.8470310.1.425900.000000.847001.200179"/>
    <s v="-"/>
    <n v="8500"/>
    <n v="8500"/>
    <s v="425900.Entertainment and hospitality-1. No of events/workshops planned-count"/>
    <s v="count"/>
    <x v="13"/>
    <x v="66"/>
    <x v="84"/>
    <n v="8500"/>
    <s v="KU Regular operations"/>
    <s v="Recurring"/>
    <n v="7650"/>
    <n v="6800"/>
    <n v="5950"/>
    <s v="run on reduced budget"/>
    <s v="run on reduced budget"/>
    <s v="run on reduced budget"/>
    <n v="1000"/>
    <n v="500"/>
    <n v="1000"/>
    <n v="1000"/>
    <n v="500"/>
    <n v="500"/>
    <n v="500"/>
    <n v="500"/>
    <n v="1000"/>
    <n v="500"/>
    <n v="1000"/>
    <n v="500"/>
    <n v="8500"/>
    <s v="Enhance the communication plan and outreach activities"/>
    <m/>
  </r>
  <r>
    <n v="8470310"/>
    <s v="KUST - Aerospace Engineering"/>
    <n v="1"/>
    <n v="426610"/>
    <x v="4"/>
    <s v="000000"/>
    <s v="KUST - General"/>
    <n v="847001"/>
    <x v="1"/>
    <n v="200179"/>
    <s v="847.8470310.1.426610.000000.847001.200179"/>
    <s v="-"/>
    <n v="9114"/>
    <n v="9114"/>
    <s v="426610.Computer software licenses-Software License Renewal-number of licenses-Number"/>
    <s v="Number"/>
    <x v="1"/>
    <x v="35"/>
    <x v="85"/>
    <n v="10000"/>
    <s v="KU Regular operations"/>
    <s v="Recurring"/>
    <n v="9000"/>
    <n v="8000"/>
    <n v="7000"/>
    <s v="software renewal not possible"/>
    <s v="software renewal not possible"/>
    <s v="software renewal not possible"/>
    <n v="10000"/>
    <m/>
    <m/>
    <m/>
    <m/>
    <m/>
    <m/>
    <m/>
    <m/>
    <m/>
    <m/>
    <m/>
    <n v="10000"/>
    <s v="Widen access to students with outstanding academic potential"/>
    <m/>
  </r>
  <r>
    <n v="8470310"/>
    <s v="KUST - Aerospace Engineering"/>
    <n v="1"/>
    <n v="428090"/>
    <x v="7"/>
    <s v="000000"/>
    <s v="KUST - General"/>
    <n v="847001"/>
    <x v="1"/>
    <n v="200179"/>
    <s v="847.8470310.1.428090.000000.847001.200179"/>
    <s v="-"/>
    <n v="40000"/>
    <n v="40000"/>
    <s v="428090.Business Travel - Combined expenses-Number of Faculty-Number"/>
    <s v="Number"/>
    <x v="11"/>
    <x v="31"/>
    <x v="86"/>
    <n v="40000"/>
    <s v="KU Regular operations"/>
    <s v="Recurring"/>
    <n v="36000"/>
    <n v="32000"/>
    <n v="28000"/>
    <s v="trip may happen at lower cost"/>
    <s v="trip maybe cancelled"/>
    <s v="trip may not be possible"/>
    <m/>
    <m/>
    <m/>
    <m/>
    <m/>
    <n v="20000"/>
    <n v="20000"/>
    <m/>
    <m/>
    <m/>
    <m/>
    <m/>
    <n v="40000"/>
    <s v="Diversify and increase external research funds"/>
    <m/>
  </r>
  <r>
    <n v="8470310"/>
    <s v="KUST - Aerospace Engineering"/>
    <n v="1"/>
    <n v="432209"/>
    <x v="32"/>
    <s v="000000"/>
    <s v="KUST - General"/>
    <n v="847001"/>
    <x v="1"/>
    <n v="200179"/>
    <s v="847.8470310.1.432209.000000.847001.200179"/>
    <s v="-"/>
    <n v="80000"/>
    <n v="80000"/>
    <s v="432209.Laboratory equipment-Number of Faculty-Number"/>
    <s v="Number"/>
    <x v="13"/>
    <x v="67"/>
    <x v="87"/>
    <n v="85000"/>
    <s v="KU Regular operations"/>
    <s v="Recurring"/>
    <n v="76500"/>
    <n v="68000"/>
    <n v="59499.999999999993"/>
    <s v="may impact operations"/>
    <s v="may impact operations"/>
    <s v="may impact operations"/>
    <n v="10000"/>
    <m/>
    <m/>
    <n v="20000"/>
    <m/>
    <n v="10000"/>
    <m/>
    <n v="20000"/>
    <m/>
    <n v="25000"/>
    <m/>
    <m/>
    <n v="85000"/>
    <s v="Widen access to students with outstanding academic potential"/>
    <s v="Compared to FY22, Laboratory equipment increased 51%, dean of engineering increased by 79%, Petroleum by 69%, and Biomedical 55% increased"/>
  </r>
  <r>
    <n v="8470310"/>
    <s v="KUST - Aerospace Engineering"/>
    <n v="1"/>
    <n v="435350"/>
    <x v="33"/>
    <s v="000000"/>
    <s v="KUST - General"/>
    <n v="847001"/>
    <x v="1"/>
    <n v="200179"/>
    <s v="847.8470310.1.435350.000000.847001.200179"/>
    <n v="48731.55"/>
    <n v="182000"/>
    <n v="182000"/>
    <s v="435350.Academic Publications-Number of Publications-Number"/>
    <s v="Number"/>
    <x v="13"/>
    <x v="39"/>
    <x v="88"/>
    <n v="221000"/>
    <s v="KU Regular operations"/>
    <s v="Recurring"/>
    <n v="198900"/>
    <n v="176800"/>
    <n v="154700"/>
    <s v="reduce publications and will impact university ranking"/>
    <s v="reduce publications and will impact university ranking"/>
    <s v="reduce publications and will impact university ranking"/>
    <n v="30000"/>
    <n v="20000"/>
    <n v="15000"/>
    <n v="15000"/>
    <n v="15000"/>
    <n v="30000"/>
    <n v="20000"/>
    <n v="15000"/>
    <n v="15000"/>
    <n v="16000"/>
    <n v="15000"/>
    <n v="15000"/>
    <n v="221000"/>
    <s v="Widen access to students with outstanding academic potential"/>
    <m/>
  </r>
  <r>
    <n v="8470310"/>
    <s v="KUST - Aerospace Engineering"/>
    <n v="1"/>
    <n v="435508"/>
    <x v="34"/>
    <s v="000000"/>
    <s v="KUST - General"/>
    <n v="847001"/>
    <x v="1"/>
    <n v="200179"/>
    <s v="847.8470310.1.435508.000000.847001.200179"/>
    <n v="52948.07"/>
    <n v="80000"/>
    <n v="80000"/>
    <s v="435508.Laboratory - Scientific-Number of Faculty-Number"/>
    <s v="Number"/>
    <x v="13"/>
    <x v="68"/>
    <x v="89"/>
    <n v="133008"/>
    <s v="KU Regular operations"/>
    <s v="Recurring"/>
    <n v="119707.2"/>
    <n v="106406.40000000001"/>
    <n v="93105.599999999991"/>
    <s v="may impact operations"/>
    <s v="may impact operations"/>
    <s v="may impact operations"/>
    <n v="30000"/>
    <n v="20000"/>
    <n v="20000"/>
    <n v="10000"/>
    <n v="20000"/>
    <n v="10000"/>
    <m/>
    <n v="10000"/>
    <n v="13008"/>
    <m/>
    <m/>
    <m/>
    <n v="133008"/>
    <s v="Widen access to students with outstanding academic potential"/>
    <m/>
  </r>
  <r>
    <n v="8470310"/>
    <s v="KUST - Aerospace Engineering"/>
    <n v="1"/>
    <n v="436110"/>
    <x v="12"/>
    <s v="000000"/>
    <s v="KUST - General"/>
    <n v="847001"/>
    <x v="1"/>
    <n v="200179"/>
    <s v="847.8470310.1.436110.000000.847001.200179"/>
    <s v="-"/>
    <n v="4000"/>
    <n v="4000"/>
    <s v="436110.Printing supplies-Number of Faculty-Number"/>
    <s v="Number"/>
    <x v="13"/>
    <x v="69"/>
    <x v="90"/>
    <n v="5100"/>
    <s v="KU Regular operations"/>
    <s v="Recurring"/>
    <n v="4590"/>
    <n v="4080"/>
    <n v="3570"/>
    <s v="not much impact"/>
    <s v="not much impact"/>
    <s v="not much impact"/>
    <n v="800"/>
    <m/>
    <n v="700"/>
    <m/>
    <n v="600"/>
    <m/>
    <n v="2000"/>
    <m/>
    <n v="1000"/>
    <m/>
    <m/>
    <m/>
    <n v="5100"/>
    <s v="Develop a life-long culture of community service beyond the classroom "/>
    <m/>
  </r>
  <r>
    <n v="8470310"/>
    <s v="KUST - Aerospace Engineering"/>
    <n v="1"/>
    <n v="436600"/>
    <x v="35"/>
    <s v="000000"/>
    <s v="KUST - General"/>
    <n v="847001"/>
    <x v="1"/>
    <n v="200179"/>
    <s v="847.8470310.1.436600.000000.847001.200179"/>
    <n v="505.12"/>
    <n v="5000"/>
    <n v="5000"/>
    <s v="436600.Training/Teaching equipment and other educational aid-Number of Faculty-Number"/>
    <s v="Number"/>
    <x v="13"/>
    <x v="70"/>
    <x v="91"/>
    <n v="5950"/>
    <s v="KU Regular operations"/>
    <s v="Recurring"/>
    <n v="5355"/>
    <n v="4760"/>
    <n v="4165"/>
    <s v="may impact operations"/>
    <s v="may impact operations"/>
    <s v="may impact operations"/>
    <n v="2950"/>
    <m/>
    <m/>
    <m/>
    <m/>
    <m/>
    <m/>
    <n v="3000"/>
    <m/>
    <m/>
    <m/>
    <m/>
    <n v="5950"/>
    <s v="Develop a life-long culture of community service beyond the classroom "/>
    <m/>
  </r>
  <r>
    <n v="8470310"/>
    <s v="KUST - Aerospace Engineering"/>
    <n v="1"/>
    <n v="492316"/>
    <x v="19"/>
    <s v="000000"/>
    <s v="KUST - General"/>
    <n v="847001"/>
    <x v="2"/>
    <n v="300180"/>
    <s v="847.8470310.1.492316.000000.847001.300180"/>
    <n v="658396"/>
    <n v="1174460"/>
    <n v="1174460"/>
    <s v="492316.Laboratory equipment-Number of Faculty-Number"/>
    <s v="Number"/>
    <x v="1"/>
    <x v="71"/>
    <x v="92"/>
    <n v="2526100"/>
    <s v="KU Regular operations"/>
    <s v="Non-recurring"/>
    <n v="2273490"/>
    <n v="2020880"/>
    <n v="1768270"/>
    <s v="purchase not possible"/>
    <s v="purchase not possible"/>
    <s v="purchase not possible"/>
    <n v="500000"/>
    <n v="500000"/>
    <n v="589100"/>
    <n v="537000"/>
    <n v="400000"/>
    <m/>
    <m/>
    <m/>
    <m/>
    <m/>
    <m/>
    <m/>
    <n v="2526100"/>
    <s v="Widen access to students with outstanding academic potential"/>
    <s v="Compared to FY22 budget has significantly increased by 42% for CoE; most of CoE increased their funding in the range of 40%-74%, except for ME and CE."/>
  </r>
  <r>
    <n v="8470315"/>
    <s v="KUST - Biomedical Engineering"/>
    <n v="1"/>
    <n v="420550"/>
    <x v="20"/>
    <s v="000000"/>
    <s v="KUST - General"/>
    <n v="847001"/>
    <x v="1"/>
    <n v="200179"/>
    <s v="847.8470315.1.420550.000000.847001.200179"/>
    <s v="-"/>
    <n v="1000"/>
    <n v="3000"/>
    <s v="420550.Academic Advisory Service-Number of Services-Number"/>
    <s v="Number"/>
    <x v="1"/>
    <x v="72"/>
    <x v="93"/>
    <n v="7000"/>
    <s v="KU Regular operations"/>
    <s v="Recurring"/>
    <n v="6300"/>
    <n v="5600"/>
    <n v="4900"/>
    <s v="Minimal Impact "/>
    <s v="The 20% cut will reduce the flexibility in supporting the advisory board meetings."/>
    <s v="The 30% cut will clearly impact the suppor of the advisory board meetings."/>
    <m/>
    <m/>
    <m/>
    <m/>
    <m/>
    <m/>
    <m/>
    <m/>
    <m/>
    <m/>
    <n v="7000"/>
    <m/>
    <n v="7000"/>
    <s v="Align academic programs with the local and global labor market needs"/>
    <m/>
  </r>
  <r>
    <n v="8470315"/>
    <s v="KUST - Biomedical Engineering"/>
    <n v="1"/>
    <n v="425510"/>
    <x v="23"/>
    <s v="000000"/>
    <s v="KUST - General"/>
    <n v="847001"/>
    <x v="1"/>
    <n v="200179"/>
    <s v="847.8470315.1.425510.000000.847001.200179"/>
    <n v="100"/>
    <n v="4000"/>
    <n v="42000"/>
    <s v="425510.Conferences, seminars and exhibitions and other events: - Local Events-Events-Number of Events"/>
    <s v="Number of Events"/>
    <x v="14"/>
    <x v="73"/>
    <x v="94"/>
    <n v="9000"/>
    <s v="KU Regular operations"/>
    <s v="Recurring"/>
    <n v="8100"/>
    <n v="7200"/>
    <n v="6300"/>
    <s v="The 10% cut will reduce the number of seminars by one."/>
    <s v="The 20% cut will reduce the number of seminars by two."/>
    <s v="The 30% cut will reduce the number of seminars by three and the students' exhibitions by one."/>
    <n v="900"/>
    <n v="900"/>
    <n v="900"/>
    <n v="900"/>
    <n v="900"/>
    <n v="900"/>
    <m/>
    <m/>
    <n v="900"/>
    <n v="900"/>
    <n v="900"/>
    <n v="900"/>
    <n v="9000"/>
    <s v="Align academic programs with the local and global labor market needs"/>
    <m/>
  </r>
  <r>
    <n v="8470315"/>
    <s v="KUST - Biomedical Engineering"/>
    <n v="1"/>
    <n v="425760"/>
    <x v="29"/>
    <s v="000000"/>
    <s v="KUST - General"/>
    <n v="847001"/>
    <x v="1"/>
    <n v="200179"/>
    <s v="847.8470315.1.425760.000000.847001.200179"/>
    <n v="0"/>
    <n v="20000"/>
    <n v="72000"/>
    <s v="425760.Student activities &amp; field trip expenses-Events-No of Events"/>
    <s v="No of Events"/>
    <x v="7"/>
    <x v="38"/>
    <x v="95"/>
    <n v="20000"/>
    <s v="KU Regular operations"/>
    <s v="Recurring"/>
    <n v="18000"/>
    <n v="16000"/>
    <n v="14000"/>
    <s v="Minimal impact."/>
    <s v="The 20% cut will reduce the field trip students' capacity, membership in IEEE EMBS, and competition participation support."/>
    <s v="The 30% cut will greately  reduce the field trip students' capacity, membership in IEEE EMBS, and competition participation support."/>
    <m/>
    <m/>
    <m/>
    <n v="2000"/>
    <n v="4000"/>
    <n v="4000"/>
    <m/>
    <m/>
    <n v="2000"/>
    <n v="5000"/>
    <n v="3000"/>
    <m/>
    <n v="20000"/>
    <s v="Align academic programs with the local and global labor market needs"/>
    <m/>
  </r>
  <r>
    <n v="8470315"/>
    <s v="KUST - Biomedical Engineering"/>
    <n v="1"/>
    <n v="425763"/>
    <x v="30"/>
    <s v="000000"/>
    <s v="KUST - General"/>
    <n v="847001"/>
    <x v="1"/>
    <n v="200179"/>
    <s v="847.8470315.1.425763.000000.847001.200179"/>
    <n v="56577.42"/>
    <n v="180000"/>
    <n v="405000"/>
    <s v="425763.Student Project Expenses-Number of Students UG-Month"/>
    <s v="Month"/>
    <x v="15"/>
    <x v="74"/>
    <x v="96"/>
    <n v="204000"/>
    <s v="KU Regular operations"/>
    <s v="Recurring"/>
    <n v="183600"/>
    <n v="163200"/>
    <n v="142800"/>
    <s v="The 10% cut will negatively affect the smooth realization of the BMED curriculum and would not allow the full implementation of the SDPs, in terms of providing the adequate means for their success."/>
    <s v="The 20% cut will greatly affect the smooth realization of the BMED curriculum and would not allow the full implementation of the SDPs, in terms of providing the adequate means for their success."/>
    <s v="Thε 30% cut  will severely affect the smooth realization of the BMED curriculum and would not allow the full implementation of the SDPs, in terms of providing the adequate means for their success."/>
    <m/>
    <m/>
    <m/>
    <m/>
    <n v="90000"/>
    <m/>
    <m/>
    <m/>
    <m/>
    <n v="114000"/>
    <m/>
    <m/>
    <n v="204000"/>
    <s v="Align academic programs with the local and global labor market needs"/>
    <m/>
  </r>
  <r>
    <n v="8470315"/>
    <s v="KUST - Biomedical Engineering"/>
    <n v="1"/>
    <n v="425770"/>
    <x v="31"/>
    <s v="000000"/>
    <s v="KUST - General"/>
    <n v="847001"/>
    <x v="1"/>
    <n v="200179"/>
    <s v="847.8470315.1.425770.000000.847001.200179"/>
    <n v="1101.9000000000001"/>
    <n v="180000"/>
    <n v="650000"/>
    <s v="425770.Academic Missions - Combined expenses-Number of Conference-Number"/>
    <s v="Number"/>
    <x v="12"/>
    <x v="31"/>
    <x v="97"/>
    <n v="300000"/>
    <s v="KU Regular operations"/>
    <s v="Recurring"/>
    <n v="270000"/>
    <n v="240000"/>
    <n v="210000"/>
    <s v="The 10% cut will reduce the support to one faculty to participate in an interantional conference."/>
    <s v="The 20% cut will reduce the support to three faculty to participate in an interantional conference."/>
    <s v="The 30% cut will reduce the support to four faculty to participate in an interantional conference."/>
    <m/>
    <n v="20000"/>
    <n v="20000"/>
    <n v="40000"/>
    <n v="20000"/>
    <n v="40000"/>
    <n v="40000"/>
    <m/>
    <n v="20000"/>
    <n v="40000"/>
    <n v="40000"/>
    <n v="20000"/>
    <n v="300000"/>
    <s v="Establish a mobility program for students, faculty, researchers and staff"/>
    <s v="Compared to FY22, the Academic mission expense increased by 32%, and especially the Dean of Engineering and Electrical &amp; computer Engg department increased their statements by 39% to 48%. The rest of the departments in CoE increased by 25% to 33%."/>
  </r>
  <r>
    <n v="8470315"/>
    <s v="KUST - Biomedical Engineering"/>
    <n v="1"/>
    <n v="425900"/>
    <x v="26"/>
    <s v="000000"/>
    <s v="KUST - General"/>
    <n v="847001"/>
    <x v="1"/>
    <n v="200179"/>
    <s v="847.8470315.1.425900.000000.847001.200179"/>
    <n v="315"/>
    <n v="10000"/>
    <n v="16000"/>
    <s v="425900.Entertainment and hospitality-1. No of events/workshops planned-count"/>
    <s v="count"/>
    <x v="16"/>
    <x v="75"/>
    <x v="98"/>
    <n v="19200"/>
    <s v="KU Regular operations"/>
    <s v="Recurring"/>
    <n v="17280"/>
    <n v="15360"/>
    <n v="13440"/>
    <s v="Minimal impact."/>
    <s v="The 20% cut will reduce the flexibility in speakers' invitations."/>
    <s v="The 30% cut will greatly reduce the flexibility in speakers' invitations."/>
    <n v="700"/>
    <n v="1500"/>
    <n v="1500"/>
    <n v="3000"/>
    <n v="2000"/>
    <n v="1500"/>
    <n v="1000"/>
    <m/>
    <n v="1000"/>
    <n v="3000"/>
    <n v="3000"/>
    <n v="1000"/>
    <n v="19200"/>
    <s v="Recruit and retain high caliber faculty, researchers and staff"/>
    <m/>
  </r>
  <r>
    <n v="8470315"/>
    <s v="KUST - Biomedical Engineering"/>
    <n v="1"/>
    <n v="426610"/>
    <x v="4"/>
    <s v="000000"/>
    <s v="KUST - General"/>
    <n v="847001"/>
    <x v="1"/>
    <n v="200179"/>
    <s v="847.8470315.1.426610.000000.847001.200179"/>
    <n v="3816.25"/>
    <n v="99576"/>
    <n v="720500"/>
    <s v="426610.Computer software licenses-Software License Renewal-number of licenses-Number"/>
    <s v="Number"/>
    <x v="1"/>
    <x v="76"/>
    <x v="99"/>
    <n v="104554"/>
    <s v="KU Regular operations"/>
    <s v="Recurring"/>
    <n v="94098.6"/>
    <n v="83643.200000000012"/>
    <n v="73187.799999999988"/>
    <s v="The 10% cut will create obstacles in the renewal of the software needed in courses affecting the smooth realization of the BMED curriculum and related research."/>
    <s v="The 20% cut will create severe obstacles in the renewal of the software needed in courses affecting the smooth realization of the BMED curriculum and related research."/>
    <s v="The 30% cut will block the renewal of at least one category of the software needed in courses affecting the smooth realization of the BMED curriculum and related research."/>
    <m/>
    <n v="104554"/>
    <m/>
    <m/>
    <m/>
    <m/>
    <m/>
    <m/>
    <m/>
    <m/>
    <m/>
    <m/>
    <n v="104554"/>
    <s v="Align academic programs with the local and global labor market needs"/>
    <m/>
  </r>
  <r>
    <n v="8470315"/>
    <s v="KUST - Biomedical Engineering"/>
    <n v="1"/>
    <n v="428090"/>
    <x v="7"/>
    <s v="000000"/>
    <s v="KUST - General"/>
    <n v="847001"/>
    <x v="1"/>
    <n v="200179"/>
    <s v="847.8470315.1.428090.000000.847001.200179"/>
    <s v="-"/>
    <n v="10000"/>
    <n v="302000"/>
    <s v="428090.Business Travel - Combined expenses-Number of Faculty-Number"/>
    <s v="Number"/>
    <x v="11"/>
    <x v="35"/>
    <x v="100"/>
    <n v="20000"/>
    <s v="KU Regular operations"/>
    <s v="Recurring"/>
    <n v="18000"/>
    <n v="16000"/>
    <n v="14000"/>
    <s v="Minimal impact."/>
    <s v="The 20% cut will reduce by one the number of outreaching trips."/>
    <s v="The 30% cut will reduce by three the number of outreaching trips."/>
    <m/>
    <m/>
    <m/>
    <m/>
    <m/>
    <n v="10000"/>
    <m/>
    <m/>
    <n v="10000"/>
    <m/>
    <m/>
    <m/>
    <n v="20000"/>
    <s v="Establish a mobility program for students, faculty, researchers and staff"/>
    <m/>
  </r>
  <r>
    <n v="8470315"/>
    <s v="KUST - Biomedical Engineering"/>
    <n v="1"/>
    <n v="432209"/>
    <x v="32"/>
    <s v="000000"/>
    <s v="KUST - General"/>
    <n v="847001"/>
    <x v="1"/>
    <n v="200179"/>
    <s v="847.8470315.1.432209.000000.847001.200179"/>
    <n v="5900"/>
    <n v="90250"/>
    <n v="67400"/>
    <s v="432209.Laboratory equipment-Number of Students-Number"/>
    <s v="Number"/>
    <x v="1"/>
    <x v="77"/>
    <x v="101"/>
    <n v="200000"/>
    <s v="KU Regular operations"/>
    <s v="Recurring"/>
    <n v="180000"/>
    <n v="160000"/>
    <n v="140000"/>
    <s v="The 10% cut will affect the acquisition of the item from the provider."/>
    <s v="The 20% cut will severely affect the acquisition of the item from the provider. Most probably we could not purchase the item."/>
    <s v="The 30% cut will block the acquisition of the item from the provider."/>
    <m/>
    <m/>
    <n v="100000"/>
    <m/>
    <m/>
    <n v="100000"/>
    <m/>
    <m/>
    <m/>
    <m/>
    <m/>
    <m/>
    <n v="200000"/>
    <s v="Develop the university innovation and entrepreneurship system"/>
    <s v="Compared to FY22, Laboratory equipment increased 51%, dean of engineering increased by 79%, Petroleum by 69%, and Biomedical 55% increased"/>
  </r>
  <r>
    <n v="8470315"/>
    <s v="KUST - Biomedical Engineering"/>
    <n v="1"/>
    <n v="435350"/>
    <x v="33"/>
    <s v="000000"/>
    <s v="KUST - General"/>
    <n v="847001"/>
    <x v="1"/>
    <n v="200179"/>
    <s v="847.8470315.1.435350.000000.847001.200179"/>
    <n v="9804.0300000000007"/>
    <n v="38400"/>
    <n v="420000"/>
    <s v="435350.Academic Publications-Number of Publications-Number"/>
    <s v="Number"/>
    <x v="12"/>
    <x v="67"/>
    <x v="102"/>
    <n v="75000"/>
    <s v="KU Regular operations"/>
    <s v="Recurring"/>
    <n v="67500"/>
    <n v="60000"/>
    <n v="52500"/>
    <s v="The 10% cut will reduce the support to one faculty to publish in an interantional journal."/>
    <s v="The 20% cut will reduce the support to three faculty to publish in an interantional journal."/>
    <s v="The 30% cut will reduce the support to four faculty to publish in an interantional journal."/>
    <m/>
    <n v="8000"/>
    <n v="8000"/>
    <n v="20000"/>
    <n v="10000"/>
    <n v="4000"/>
    <m/>
    <m/>
    <n v="5000"/>
    <n v="10000"/>
    <n v="10000"/>
    <m/>
    <n v="75000"/>
    <s v="Increase publications in journals with high impact factor"/>
    <m/>
  </r>
  <r>
    <n v="8470315"/>
    <s v="KUST - Biomedical Engineering"/>
    <n v="1"/>
    <n v="435508"/>
    <x v="34"/>
    <s v="000000"/>
    <s v="KUST - General"/>
    <n v="847001"/>
    <x v="1"/>
    <n v="200179"/>
    <s v="847.8470315.1.435508.000000.847001.200179"/>
    <n v="120668.15"/>
    <n v="150000"/>
    <n v="20000"/>
    <s v="435508.Laboratory - Scientific-Number of Students-Number"/>
    <s v="Number"/>
    <x v="1"/>
    <x v="78"/>
    <x v="103"/>
    <n v="220000"/>
    <s v="KU Regular operations"/>
    <s v="Recurring"/>
    <n v="198000"/>
    <n v="176000"/>
    <n v="154000"/>
    <s v="The 10% cut will affect the acquisition of the items from the providers."/>
    <s v="The 20% cut will severely affect the acquisition of the items from the providers. Most probably we could not purchase the items."/>
    <s v="The 30% cut will block the acquisition of the items from the providers."/>
    <m/>
    <n v="100000"/>
    <n v="100000"/>
    <n v="20000"/>
    <m/>
    <m/>
    <m/>
    <m/>
    <m/>
    <m/>
    <m/>
    <m/>
    <n v="220000"/>
    <s v="Develop the university innovation and entrepreneurship system"/>
    <m/>
  </r>
  <r>
    <n v="8470315"/>
    <s v="KUST - Biomedical Engineering"/>
    <n v="1"/>
    <n v="436110"/>
    <x v="12"/>
    <s v="000000"/>
    <s v="KUST - General"/>
    <n v="847001"/>
    <x v="1"/>
    <n v="200179"/>
    <s v="847.8470315.1.436110.000000.847001.200179"/>
    <n v="0"/>
    <n v="2000"/>
    <n v="60000"/>
    <s v="436110.Printing supplies-Number of Employees-Number"/>
    <s v="Number"/>
    <x v="7"/>
    <x v="66"/>
    <x v="104"/>
    <n v="2500"/>
    <s v="KU Regular operations"/>
    <s v="Recurring"/>
    <n v="2250"/>
    <n v="2000"/>
    <n v="1750"/>
    <s v="Minimal impact."/>
    <s v="Minimal impact."/>
    <s v="Medium impact."/>
    <m/>
    <n v="500"/>
    <n v="500"/>
    <m/>
    <m/>
    <m/>
    <m/>
    <m/>
    <n v="500"/>
    <n v="1000"/>
    <m/>
    <m/>
    <n v="2500"/>
    <s v="Align academic programs with the local and global labor market needs"/>
    <m/>
  </r>
  <r>
    <n v="8470315"/>
    <s v="KUST - Biomedical Engineering"/>
    <n v="1"/>
    <n v="436600"/>
    <x v="35"/>
    <s v="000000"/>
    <s v="KUST - General"/>
    <n v="847001"/>
    <x v="1"/>
    <n v="200179"/>
    <s v="847.8470315.1.436600.000000.847001.200179"/>
    <s v="-"/>
    <n v="3000"/>
    <n v="456796"/>
    <s v="436600.Training/Teaching equipment and other educational aid-Number of Staff-Number"/>
    <s v="Number"/>
    <x v="12"/>
    <x v="79"/>
    <x v="105"/>
    <n v="22500"/>
    <s v="KU Regular operations"/>
    <s v="Recurring"/>
    <n v="20250"/>
    <n v="18000"/>
    <n v="15749.999999999998"/>
    <s v="Minimal impact."/>
    <s v="Minimal impact."/>
    <s v="Medium impact."/>
    <m/>
    <m/>
    <n v="22500"/>
    <m/>
    <m/>
    <m/>
    <m/>
    <m/>
    <m/>
    <m/>
    <m/>
    <m/>
    <n v="22500"/>
    <s v="Align academic programs with the local and global labor market needs"/>
    <m/>
  </r>
  <r>
    <n v="8470315"/>
    <s v="KUST - Biomedical Engineering"/>
    <n v="1"/>
    <n v="492316"/>
    <x v="19"/>
    <s v="000000"/>
    <s v="KUST - General"/>
    <n v="847001"/>
    <x v="2"/>
    <n v="300180"/>
    <s v="847.8470315.1.492316.000000.847001.300180"/>
    <n v="106915.12"/>
    <n v="700693"/>
    <n v="700693"/>
    <s v="492316.Laboratory equipment-Number of Students-Number"/>
    <s v="Number"/>
    <x v="1"/>
    <x v="80"/>
    <x v="106"/>
    <n v="33000"/>
    <s v="KU Strategic New Initiative"/>
    <s v="Non-recurring"/>
    <n v="29700"/>
    <n v="26400"/>
    <n v="23100"/>
    <s v="The 10% cut will affect the acquisition of the item from the provider."/>
    <s v="The 20% cut will severely affect the acquisition of the item from the provider. Most probably we could not purchase the item."/>
    <s v="The 30% cut will block the acquisition of the item from the provider."/>
    <m/>
    <m/>
    <n v="33000"/>
    <m/>
    <m/>
    <m/>
    <m/>
    <m/>
    <m/>
    <m/>
    <m/>
    <m/>
    <n v="33000"/>
    <s v="Develop the university innovation and entrepreneurship system"/>
    <s v="Compared to FY22 budget has significantly increased by 42% for CoE; most of CoE increased their funding in the range of 40%-74%, except for ME and CE."/>
  </r>
  <r>
    <n v="8470315"/>
    <s v="KUST - Biomedical Engineering"/>
    <n v="1"/>
    <n v="492316"/>
    <x v="19"/>
    <s v="000000"/>
    <s v="KUST - General"/>
    <n v="847001"/>
    <x v="2"/>
    <n v="300180"/>
    <s v="847.8470315.1.492316.000000.847001.300180"/>
    <m/>
    <m/>
    <m/>
    <s v="492316.Laboratory equipment-Number of Students-Number"/>
    <s v="Number"/>
    <x v="1"/>
    <x v="81"/>
    <x v="107"/>
    <n v="68000"/>
    <s v="KU Strategic New Initiative"/>
    <s v="Non-recurring"/>
    <n v="61200"/>
    <n v="54400"/>
    <n v="47600"/>
    <s v="The 10% cut will affect the acquisition of the item from the provider."/>
    <s v="The 20% cut will severely affect the acquisition of the item from the provider. Most probably we could not purchase the item."/>
    <s v="The 30% cut will block the acquisition of the item from the provider."/>
    <m/>
    <n v="68000"/>
    <m/>
    <m/>
    <m/>
    <m/>
    <m/>
    <m/>
    <m/>
    <m/>
    <m/>
    <m/>
    <n v="68000"/>
    <s v="Develop the university innovation and entrepreneurship system"/>
    <s v="Compared to FY22 budget has significantly increased by 42% for CoE; most of CoE increased their funding in the range of 40%-74%, except for ME and CE."/>
  </r>
  <r>
    <n v="8470315"/>
    <s v="KUST - Biomedical Engineering"/>
    <n v="1"/>
    <n v="492316"/>
    <x v="19"/>
    <s v="000000"/>
    <s v="KUST - General"/>
    <n v="847001"/>
    <x v="2"/>
    <n v="300180"/>
    <s v="847.8470315.1.492316.000000.847001.300180"/>
    <m/>
    <m/>
    <m/>
    <s v="492316.Laboratory equipment-Number of Students-Number"/>
    <s v="Number"/>
    <x v="11"/>
    <x v="82"/>
    <x v="108"/>
    <n v="258000"/>
    <s v="KU Strategic New Initiative"/>
    <s v="Non-recurring"/>
    <n v="232200"/>
    <n v="206400"/>
    <n v="180600"/>
    <s v="The 10% cut will affect the acquisition of the item from the provider."/>
    <s v="The 20% cut will severely affect the acquisition of the item from the provider. Most probably we could not purchase the item."/>
    <s v="The 30% cut will block the acquisition of the item from the provider."/>
    <m/>
    <n v="258000"/>
    <m/>
    <m/>
    <m/>
    <m/>
    <m/>
    <m/>
    <m/>
    <m/>
    <m/>
    <m/>
    <n v="258000"/>
    <s v="Develop the university innovation and entrepreneurship system"/>
    <s v="Compared to FY22 budget has significantly increased by 42% for CoE; most of CoE increased their funding in the range of 40%-74%, except for ME and CE."/>
  </r>
  <r>
    <n v="8470315"/>
    <s v="KUST - Biomedical Engineering"/>
    <n v="1"/>
    <n v="492316"/>
    <x v="19"/>
    <s v="000000"/>
    <s v="KUST - General"/>
    <n v="847001"/>
    <x v="2"/>
    <n v="300180"/>
    <s v="847.8470315.1.492316.000000.847001.300180"/>
    <m/>
    <m/>
    <m/>
    <s v="492316.Laboratory equipment-Number of Students-Number"/>
    <s v="Number"/>
    <x v="1"/>
    <x v="41"/>
    <x v="109"/>
    <n v="35000"/>
    <s v="KU Strategic New Initiative"/>
    <s v="Non-recurring"/>
    <n v="31500"/>
    <n v="28000"/>
    <n v="24500"/>
    <s v="The 10% cut will affect the acquisition of the item from the provider."/>
    <s v="The 20% cut will severely affect the acquisition of the item from the provider. Most probably we could not purchase the item."/>
    <s v="The 30% cut will block the acquisition of the item from the provider."/>
    <m/>
    <n v="35000"/>
    <m/>
    <m/>
    <m/>
    <m/>
    <m/>
    <m/>
    <m/>
    <m/>
    <m/>
    <m/>
    <n v="35000"/>
    <s v="Develop the university innovation and entrepreneurship system"/>
    <s v="Compared to FY22 budget has significantly increased by 42% for CoE; most of CoE increased their funding in the range of 40%-74%, except for ME and CE."/>
  </r>
  <r>
    <n v="8470315"/>
    <s v="KUST - Biomedical Engineering"/>
    <n v="1"/>
    <n v="492316"/>
    <x v="19"/>
    <s v="000000"/>
    <s v="KUST - General"/>
    <n v="847001"/>
    <x v="2"/>
    <n v="300180"/>
    <s v="847.8470315.1.492316.000000.847001.300180"/>
    <m/>
    <m/>
    <m/>
    <s v="492316.Laboratory equipment-Number of Students-Number"/>
    <s v="Number"/>
    <x v="17"/>
    <x v="83"/>
    <x v="110"/>
    <n v="348000"/>
    <s v="KU Strategic New Initiative"/>
    <s v="Non-recurring"/>
    <n v="313200"/>
    <n v="278400"/>
    <n v="243599.99999999997"/>
    <s v="The 10% cut will affect the acquisition of the item from the provider."/>
    <s v="The 20% cut will severely affect the acquisition of the item from the provider. Most probably we could not purchase the item."/>
    <s v="The 30% cut will block the acquisition of the item from the provider."/>
    <m/>
    <m/>
    <n v="348000"/>
    <m/>
    <m/>
    <m/>
    <m/>
    <m/>
    <m/>
    <m/>
    <m/>
    <m/>
    <n v="348000"/>
    <s v="Develop the university innovation and entrepreneurship system"/>
    <s v="Compared to FY22 budget has significantly increased by 42% for CoE; most of CoE increased their funding in the range of 40%-74%, except for ME and CE."/>
  </r>
  <r>
    <n v="8470315"/>
    <s v="KUST - Biomedical Engineering"/>
    <n v="1"/>
    <n v="492316"/>
    <x v="19"/>
    <s v="000000"/>
    <s v="KUST - General"/>
    <n v="847001"/>
    <x v="2"/>
    <n v="300180"/>
    <s v="847.8470315.1.492316.000000.847001.300180"/>
    <m/>
    <m/>
    <m/>
    <s v="492316.Laboratory equipment-Number of Students-Number"/>
    <s v="Number"/>
    <x v="17"/>
    <x v="72"/>
    <x v="111"/>
    <n v="28000"/>
    <s v="KU Strategic New Initiative"/>
    <s v="Non-recurring"/>
    <n v="25200"/>
    <n v="22400"/>
    <n v="19600"/>
    <s v="The 10% cut will affect the acquisition of the item from the provider."/>
    <s v="The 20% cut will severely affect the acquisition of the item from the provider. Most probably we could not purchase the item."/>
    <s v="The 30% cut will block the acquisition of the item from the provider."/>
    <m/>
    <m/>
    <n v="28000"/>
    <m/>
    <m/>
    <m/>
    <m/>
    <m/>
    <m/>
    <m/>
    <m/>
    <m/>
    <n v="28000"/>
    <s v="Develop the university innovation and entrepreneurship system"/>
    <s v="Compared to FY22 budget has significantly increased by 42% for CoE; most of CoE increased their funding in the range of 40%-74%, except for ME and CE."/>
  </r>
  <r>
    <n v="8470315"/>
    <s v="KUST - Biomedical Engineering"/>
    <n v="1"/>
    <n v="492316"/>
    <x v="19"/>
    <s v="000000"/>
    <s v="KUST - General"/>
    <n v="847001"/>
    <x v="2"/>
    <n v="300180"/>
    <s v="847.8470315.1.492316.000000.847001.300180"/>
    <m/>
    <m/>
    <m/>
    <s v="492316.Laboratory equipment-Number of Students-Number"/>
    <s v="Number"/>
    <x v="1"/>
    <x v="84"/>
    <x v="112"/>
    <n v="140000"/>
    <s v="KU Strategic New Initiative"/>
    <s v="Non-recurring"/>
    <n v="126000"/>
    <n v="112000"/>
    <n v="98000"/>
    <s v="The 10% cut will affect the acquisition of the item from the provider."/>
    <s v="The 20% cut will severely affect the acquisition of the item from the provider. Most probably we could not purchase the item."/>
    <s v="The 30% cut will block the acquisition of the item from the provider."/>
    <m/>
    <m/>
    <m/>
    <n v="140000"/>
    <m/>
    <m/>
    <m/>
    <m/>
    <m/>
    <m/>
    <m/>
    <m/>
    <n v="140000"/>
    <s v="Develop the university innovation and entrepreneurship system"/>
    <s v="Compared to FY22 budget has significantly increased by 42% for CoE; most of CoE increased their funding in the range of 40%-74%, except for ME and CE."/>
  </r>
  <r>
    <n v="8470315"/>
    <s v="KUST - Biomedical Engineering"/>
    <n v="1"/>
    <n v="492316"/>
    <x v="19"/>
    <s v="000000"/>
    <s v="KUST - General"/>
    <n v="847001"/>
    <x v="2"/>
    <n v="300180"/>
    <s v="847.8470315.1.492316.000000.847001.300180"/>
    <m/>
    <m/>
    <m/>
    <s v="492316.Laboratory equipment-Number of Students-Number"/>
    <s v="Number"/>
    <x v="17"/>
    <x v="80"/>
    <x v="113"/>
    <n v="132000"/>
    <s v="KU Strategic New Initiative"/>
    <s v="Non-recurring"/>
    <n v="118800"/>
    <n v="105600"/>
    <n v="92400"/>
    <s v="The 10% cut will affect the acquisition of the item from the provider."/>
    <s v="The 20% cut will severely affect the acquisition of the item from the provider. Most probably we could not purchase the item."/>
    <s v="The 30% cut will block the acquisition of the item from the provider."/>
    <m/>
    <m/>
    <n v="132000"/>
    <m/>
    <m/>
    <m/>
    <m/>
    <m/>
    <m/>
    <m/>
    <m/>
    <m/>
    <n v="132000"/>
    <s v="Develop the university innovation and entrepreneurship system"/>
    <s v="Compared to FY22 budget has significantly increased by 42% for CoE; most of CoE increased their funding in the range of 40%-74%, except for ME and CE."/>
  </r>
  <r>
    <n v="8470315"/>
    <s v="KUST - Biomedical Engineering"/>
    <n v="1"/>
    <n v="492316"/>
    <x v="19"/>
    <s v="000000"/>
    <s v="KUST - General"/>
    <n v="847001"/>
    <x v="2"/>
    <n v="300180"/>
    <s v="847.8470315.1.492316.000000.847001.300180"/>
    <m/>
    <m/>
    <m/>
    <s v="492316.Laboratory equipment-Number of Students-Number"/>
    <s v="Number"/>
    <x v="11"/>
    <x v="30"/>
    <x v="114"/>
    <n v="50000"/>
    <s v="KU Strategic New Initiative"/>
    <s v="Non-recurring"/>
    <n v="45000"/>
    <n v="40000"/>
    <n v="35000"/>
    <s v="The 10% cut will affect the acquisition of the item from the provider."/>
    <s v="The 20% cut will severely affect the acquisition of the item from the provider. Most probably we could not purchase the item."/>
    <s v="The 30% cut will block the acquisition of the item from the provider."/>
    <m/>
    <m/>
    <n v="50000"/>
    <m/>
    <m/>
    <m/>
    <m/>
    <m/>
    <m/>
    <m/>
    <m/>
    <m/>
    <n v="50000"/>
    <s v="Develop the university innovation and entrepreneurship system"/>
    <s v="Compared to FY22 budget has significantly increased by 42% for CoE; most of CoE increased their funding in the range of 40%-74%, except for ME and CE."/>
  </r>
  <r>
    <n v="8470315"/>
    <s v="KUST - Biomedical Engineering"/>
    <n v="1"/>
    <n v="492316"/>
    <x v="19"/>
    <s v="000000"/>
    <s v="KUST - General"/>
    <n v="847001"/>
    <x v="2"/>
    <n v="300180"/>
    <s v="847.8470315.1.492316.000000.847001.300180"/>
    <m/>
    <m/>
    <m/>
    <s v="492316.Laboratory equipment-Number of Students-Number"/>
    <s v="Number"/>
    <x v="7"/>
    <x v="85"/>
    <x v="115"/>
    <n v="670785"/>
    <s v="KU Strategic New Initiative"/>
    <s v="Non-recurring"/>
    <n v="603706.5"/>
    <n v="536628"/>
    <n v="469549.49999999994"/>
    <s v="The 10% cut will affect the acquisition of the item from the provider."/>
    <s v="The 20% cut will severely affect the acquisition of the item from the provider. Most probably we could not purchase the item."/>
    <s v="The 30% cut will block the acquisition of the item from the provider."/>
    <m/>
    <m/>
    <n v="670785"/>
    <m/>
    <m/>
    <m/>
    <m/>
    <m/>
    <m/>
    <m/>
    <m/>
    <m/>
    <n v="670785"/>
    <s v="Develop the university innovation and entrepreneurship system"/>
    <s v="Compared to FY22 budget has significantly increased by 42% for CoE; most of CoE increased their funding in the range of 40%-74%, except for ME and CE."/>
  </r>
  <r>
    <n v="8470315"/>
    <s v="KUST - Biomedical Engineering"/>
    <n v="1"/>
    <n v="492316"/>
    <x v="19"/>
    <s v="000000"/>
    <s v="KUST - General"/>
    <n v="847001"/>
    <x v="2"/>
    <n v="300180"/>
    <s v="847.8470315.1.492316.000000.847001.300180"/>
    <m/>
    <m/>
    <m/>
    <s v="492316.Laboratory equipment-Number of Students-Number"/>
    <s v="Number"/>
    <x v="1"/>
    <x v="86"/>
    <x v="116"/>
    <n v="325735"/>
    <s v="KU Strategic New Initiative"/>
    <s v="Non-recurring"/>
    <n v="293161.5"/>
    <n v="260588"/>
    <n v="228014.5"/>
    <s v="The 10% cut will affect the acquisition of the item from the provider."/>
    <s v="The 20% cut will severely affect the acquisition of the item from the provider. Most probably we could not purchase the item."/>
    <s v="The 30% cut will block the acquisition of the item from the provider."/>
    <m/>
    <m/>
    <n v="325735"/>
    <m/>
    <m/>
    <m/>
    <m/>
    <m/>
    <m/>
    <m/>
    <m/>
    <m/>
    <n v="325735"/>
    <s v="Develop the university innovation and entrepreneurship system"/>
    <s v="Compared to FY22 budget has significantly increased by 42% for CoE; most of CoE increased their funding in the range of 40%-74%, except for ME and CE."/>
  </r>
  <r>
    <n v="8470320"/>
    <s v="KUST - Chemical Engineering"/>
    <n v="1"/>
    <n v="420550"/>
    <x v="20"/>
    <s v="000000"/>
    <s v="KUST - General"/>
    <n v="847001"/>
    <x v="1"/>
    <n v="200179"/>
    <s v="847.8470320.1.420550.000000.847001.200179"/>
    <s v="-"/>
    <n v="20000"/>
    <n v="20000"/>
    <s v="420550.Academic Advisory Service-Number of Services-Number"/>
    <s v="Number"/>
    <x v="1"/>
    <x v="87"/>
    <x v="117"/>
    <n v="60000"/>
    <s v="KU Regular operations"/>
    <s v="Recurring"/>
    <n v="54000"/>
    <n v="48000"/>
    <n v="42000"/>
    <s v="it will have low to mild impact on scope of work "/>
    <s v="Scope of work will be highly impacted"/>
    <s v="Critical impact on scope of work and delivery"/>
    <n v="20000"/>
    <m/>
    <m/>
    <m/>
    <n v="20000"/>
    <m/>
    <n v="10000"/>
    <n v="10000"/>
    <m/>
    <m/>
    <m/>
    <m/>
    <n v="60000"/>
    <s v="Align academic programs with the local and global labor market needs"/>
    <m/>
  </r>
  <r>
    <n v="8470320"/>
    <s v="KUST - Chemical Engineering"/>
    <n v="1"/>
    <n v="425510"/>
    <x v="23"/>
    <s v="000000"/>
    <s v="KUST - General"/>
    <n v="847001"/>
    <x v="1"/>
    <n v="200179"/>
    <s v="847.8470320.1.425510.000000.847001.200179"/>
    <s v="-"/>
    <n v="30000"/>
    <n v="30000"/>
    <s v="425510.Conferences, seminars and exhibitions and other events: - Local Events-The area of rented halls for events, seminars, and exhibition.-2m"/>
    <s v="2m"/>
    <x v="7"/>
    <x v="88"/>
    <x v="118"/>
    <n v="30000"/>
    <s v="KU Regular operations"/>
    <s v="Recurring"/>
    <n v="27000"/>
    <n v="24000"/>
    <n v="21000"/>
    <s v="it will have low to mild impact on scope of work "/>
    <s v="Scope of work will be highly impacted"/>
    <s v="Critical impact on scope of work and delivery"/>
    <m/>
    <n v="10000"/>
    <m/>
    <n v="10000"/>
    <m/>
    <m/>
    <m/>
    <n v="10000"/>
    <m/>
    <m/>
    <m/>
    <m/>
    <n v="30000"/>
    <s v="Align academic programs with the local and global labor market needs"/>
    <m/>
  </r>
  <r>
    <n v="8470320"/>
    <s v="KUST - Chemical Engineering"/>
    <n v="1"/>
    <n v="425760"/>
    <x v="29"/>
    <s v="000000"/>
    <s v="KUST - General"/>
    <n v="847001"/>
    <x v="1"/>
    <n v="200179"/>
    <s v="847.8470320.1.425760.000000.847001.200179"/>
    <s v="-"/>
    <n v="25000"/>
    <n v="25000"/>
    <s v="425760.Student activities &amp; field trip expenses-Students-No of Students"/>
    <s v="No of Students"/>
    <x v="11"/>
    <x v="89"/>
    <x v="119"/>
    <n v="25000"/>
    <s v="KU Regular operations"/>
    <s v="Recurring"/>
    <n v="22500"/>
    <n v="20000"/>
    <n v="17500"/>
    <s v="it will have mild impact on scope of work "/>
    <s v="Scope of work will be highly impacted"/>
    <s v="Critical impact on scope of work and delivery"/>
    <m/>
    <n v="5000"/>
    <m/>
    <n v="10000"/>
    <m/>
    <m/>
    <m/>
    <n v="10000"/>
    <m/>
    <m/>
    <m/>
    <m/>
    <n v="25000"/>
    <s v="Align academic programs with the local and global labor market needs"/>
    <m/>
  </r>
  <r>
    <n v="8470320"/>
    <s v="KUST - Chemical Engineering"/>
    <n v="1"/>
    <n v="425763"/>
    <x v="30"/>
    <s v="000000"/>
    <s v="KUST - General"/>
    <n v="847001"/>
    <x v="1"/>
    <n v="200179"/>
    <s v="847.8470320.1.425763.000000.847001.200179"/>
    <n v="19693.580000000002"/>
    <n v="100000"/>
    <n v="100000"/>
    <s v="425763.Student Project Expenses-Number of Students UG-Month"/>
    <s v="Month"/>
    <x v="0"/>
    <x v="35"/>
    <x v="120"/>
    <n v="120000"/>
    <s v="KU Regular operations"/>
    <s v="Recurring"/>
    <n v="108000"/>
    <n v="96000"/>
    <n v="84000"/>
    <s v="it will have mild impact on scope of work "/>
    <s v="Scope of work will be highly impacted"/>
    <s v="Critical impact on scope of work and delivery"/>
    <m/>
    <n v="75000"/>
    <m/>
    <m/>
    <m/>
    <m/>
    <m/>
    <n v="45000"/>
    <m/>
    <m/>
    <m/>
    <m/>
    <n v="120000"/>
    <s v="Align academic programs with the local and global labor market needs"/>
    <m/>
  </r>
  <r>
    <n v="8470320"/>
    <s v="KUST - Chemical Engineering"/>
    <n v="1"/>
    <n v="425770"/>
    <x v="31"/>
    <s v="000000"/>
    <s v="KUST - General"/>
    <n v="847001"/>
    <x v="1"/>
    <n v="200179"/>
    <s v="847.8470320.1.425770.000000.847001.200179"/>
    <n v="0"/>
    <n v="450000"/>
    <n v="450000"/>
    <s v="425770.Academic Missions - Combined expenses-Number of Conference-Number"/>
    <s v="Number"/>
    <x v="18"/>
    <x v="62"/>
    <x v="121"/>
    <n v="450000"/>
    <s v="KU Regular operations"/>
    <s v="Recurring"/>
    <n v="405000"/>
    <n v="360000"/>
    <n v="315000"/>
    <s v="it will have mild impact on scope of work "/>
    <s v="Scope of work will be highly impacted"/>
    <s v="Critical impact on scope of work and delivery"/>
    <m/>
    <m/>
    <n v="120000"/>
    <m/>
    <m/>
    <m/>
    <n v="30000"/>
    <m/>
    <n v="300000"/>
    <m/>
    <m/>
    <m/>
    <n v="450000"/>
    <s v="Recruit and retain high caliber faculty, researchers and staff"/>
    <s v="Compared to FY22, the Academic mission expense increased by 32%, and especially the Dean of Engineering and Electrical &amp; computer Engg department increased their statements by 39% to 48%. The rest of the departments in CoE increased by 25% to 33%."/>
  </r>
  <r>
    <n v="8470320"/>
    <s v="KUST - Chemical Engineering"/>
    <n v="1"/>
    <n v="425900"/>
    <x v="26"/>
    <s v="000000"/>
    <s v="KUST - General"/>
    <n v="847001"/>
    <x v="1"/>
    <n v="200179"/>
    <s v="847.8470320.1.425900.000000.847001.200179"/>
    <s v="-"/>
    <n v="20000"/>
    <n v="20000"/>
    <s v="425900.Entertainment and hospitality-1. No of events/workshops planned-count"/>
    <s v="count"/>
    <x v="14"/>
    <x v="90"/>
    <x v="122"/>
    <n v="25000"/>
    <s v="KU Regular operations"/>
    <s v="Recurring"/>
    <n v="22500"/>
    <n v="20000"/>
    <n v="17500"/>
    <s v="it will have mild impact on scope of work "/>
    <s v="Scope of work will be highly impacted"/>
    <s v="Critical impact on scope of work and delivery"/>
    <n v="2000"/>
    <m/>
    <n v="3000"/>
    <n v="2000"/>
    <n v="2000"/>
    <n v="3000"/>
    <n v="3000"/>
    <n v="2000"/>
    <n v="3000"/>
    <n v="3000"/>
    <n v="2000"/>
    <m/>
    <n v="25000"/>
    <s v="Align academic programs with the local and global labor market needs"/>
    <m/>
  </r>
  <r>
    <n v="8470320"/>
    <s v="KUST - Chemical Engineering"/>
    <n v="1"/>
    <n v="426610"/>
    <x v="4"/>
    <s v="000000"/>
    <s v="KUST - General"/>
    <n v="847001"/>
    <x v="1"/>
    <n v="200179"/>
    <s v="847.8470320.1.426610.000000.847001.200179"/>
    <n v="32332.21"/>
    <n v="75000"/>
    <n v="75000"/>
    <s v="426610.Computer software licenses-Software License Renewal-number of licenses-Number"/>
    <s v="Number"/>
    <x v="1"/>
    <x v="91"/>
    <x v="123"/>
    <n v="115000"/>
    <s v="KU Regular operations"/>
    <s v="Recurring"/>
    <n v="103500"/>
    <n v="92000"/>
    <n v="80500"/>
    <s v="it will have mild impact on scope of work "/>
    <s v="Scope of work will be highly impacted"/>
    <s v="Critical impact on scope of work and delivery"/>
    <m/>
    <n v="20000"/>
    <m/>
    <m/>
    <n v="30000"/>
    <m/>
    <n v="40000"/>
    <m/>
    <n v="25000"/>
    <m/>
    <m/>
    <m/>
    <n v="115000"/>
    <s v="Align academic programs with the local and global labor market needs"/>
    <m/>
  </r>
  <r>
    <n v="8470320"/>
    <s v="KUST - Chemical Engineering"/>
    <n v="1"/>
    <n v="428090"/>
    <x v="7"/>
    <s v="000000"/>
    <s v="KUST - General"/>
    <n v="847001"/>
    <x v="1"/>
    <n v="200179"/>
    <s v="847.8470320.1.428090.000000.847001.200179"/>
    <s v="-"/>
    <n v="35000"/>
    <n v="35000"/>
    <s v="428090.Business Travel - Combined expenses-Number of Staff-Number"/>
    <s v="Number"/>
    <x v="1"/>
    <x v="41"/>
    <x v="124"/>
    <n v="35000"/>
    <s v="KU Regular operations"/>
    <s v="Recurring"/>
    <n v="31500"/>
    <n v="28000"/>
    <n v="24500"/>
    <s v="it will have mild impact on scope of work "/>
    <s v="Scope of work will be highly impacted"/>
    <s v="Critical impact on scope of work and delivery"/>
    <n v="15000"/>
    <m/>
    <m/>
    <n v="20000"/>
    <m/>
    <m/>
    <m/>
    <m/>
    <m/>
    <m/>
    <m/>
    <m/>
    <n v="35000"/>
    <s v="Align academic programs with the local and global labor market needs"/>
    <m/>
  </r>
  <r>
    <n v="8470320"/>
    <s v="KUST - Chemical Engineering"/>
    <n v="1"/>
    <n v="435350"/>
    <x v="33"/>
    <s v="000000"/>
    <s v="KUST - General"/>
    <n v="847001"/>
    <x v="1"/>
    <n v="200179"/>
    <s v="847.8470320.1.435350.000000.847001.200179"/>
    <n v="0"/>
    <n v="50000"/>
    <n v="50000"/>
    <s v="435350.Academic Publications-Number of Publications-Number"/>
    <s v="Number"/>
    <x v="14"/>
    <x v="88"/>
    <x v="125"/>
    <n v="60000"/>
    <s v="KU Regular operations"/>
    <s v="Recurring"/>
    <n v="54000"/>
    <n v="48000"/>
    <n v="42000"/>
    <s v="it will have mild impact on scope of work "/>
    <s v="Scope of work will be highly impacted"/>
    <s v="Critical impact on scope of work and delivery"/>
    <n v="20000"/>
    <m/>
    <m/>
    <n v="30000"/>
    <m/>
    <m/>
    <m/>
    <m/>
    <n v="10000"/>
    <m/>
    <m/>
    <m/>
    <n v="60000"/>
    <s v="Increase publications in journals with high impact factor"/>
    <m/>
  </r>
  <r>
    <n v="8470320"/>
    <s v="KUST - Chemical Engineering"/>
    <n v="1"/>
    <n v="435508"/>
    <x v="34"/>
    <s v="000000"/>
    <s v="KUST - General"/>
    <n v="847001"/>
    <x v="1"/>
    <n v="200179"/>
    <s v="847.8470320.1.435508.000000.847001.200179"/>
    <n v="100846"/>
    <n v="200000"/>
    <n v="200000"/>
    <s v="435508.Laboratory - Scientific-Number of Faculty-Number"/>
    <s v="Number"/>
    <x v="1"/>
    <x v="59"/>
    <x v="126"/>
    <n v="150000"/>
    <s v="KU Regular operations"/>
    <s v="Non-recurring"/>
    <n v="135000"/>
    <n v="120000"/>
    <n v="105000"/>
    <s v="it will have mild impact on scope of work "/>
    <s v="Scope of work will be highly impacted"/>
    <s v="Critical impact on scope of work and delivery"/>
    <m/>
    <m/>
    <n v="150000"/>
    <m/>
    <m/>
    <m/>
    <m/>
    <m/>
    <m/>
    <m/>
    <m/>
    <m/>
    <n v="150000"/>
    <s v="Align academic programs with the local and global labor market needs"/>
    <m/>
  </r>
  <r>
    <n v="8470320"/>
    <s v="KUST - Chemical Engineering"/>
    <n v="1"/>
    <n v="436110"/>
    <x v="12"/>
    <s v="000000"/>
    <s v="KUST - General"/>
    <n v="847001"/>
    <x v="1"/>
    <n v="200179"/>
    <s v="847.8470320.1.436110.000000.847001.200179"/>
    <s v="-"/>
    <n v="35000"/>
    <n v="35000"/>
    <s v="436110.Printing supplies-Number of Faculty-Number"/>
    <s v="Number"/>
    <x v="19"/>
    <x v="65"/>
    <x v="127"/>
    <n v="35000"/>
    <s v="KU Regular operations"/>
    <s v="Recurring"/>
    <n v="31500"/>
    <n v="28000"/>
    <n v="24500"/>
    <s v="it will have mild impact on scope of work "/>
    <s v="Scope of work will be highly impacted"/>
    <s v="Critical impact on scope of work and delivery"/>
    <m/>
    <n v="15000"/>
    <m/>
    <m/>
    <n v="20000"/>
    <m/>
    <m/>
    <m/>
    <m/>
    <m/>
    <m/>
    <m/>
    <n v="35000"/>
    <s v="Align academic programs with the local and global labor market needs"/>
    <m/>
  </r>
  <r>
    <n v="8470320"/>
    <s v="KUST - Chemical Engineering"/>
    <n v="1"/>
    <n v="436600"/>
    <x v="35"/>
    <s v="000000"/>
    <s v="KUST - General"/>
    <n v="847001"/>
    <x v="1"/>
    <n v="200179"/>
    <s v="847.8470320.1.436600.000000.847001.200179"/>
    <n v="0"/>
    <n v="45000"/>
    <n v="45000"/>
    <s v="436600.Training/Teaching equipment and other educational aid-Number of Staff-Number"/>
    <s v="Number"/>
    <x v="9"/>
    <x v="62"/>
    <x v="128"/>
    <n v="45000"/>
    <s v="KU Regular operations"/>
    <s v="Recurring"/>
    <n v="40500"/>
    <n v="36000"/>
    <n v="31499.999999999996"/>
    <s v="it will have mild impact on scope of work "/>
    <s v="Scope of work will be highly impacted"/>
    <s v="Critical impact on scope of work and delivery"/>
    <m/>
    <n v="25000"/>
    <m/>
    <m/>
    <m/>
    <n v="20000"/>
    <m/>
    <m/>
    <m/>
    <m/>
    <m/>
    <m/>
    <n v="45000"/>
    <s v="Align academic programs with the local and global labor market needs"/>
    <m/>
  </r>
  <r>
    <n v="8470320"/>
    <s v="KUST - Chemical Engineering"/>
    <n v="1"/>
    <n v="492316"/>
    <x v="19"/>
    <s v="000000"/>
    <s v="KUST - General"/>
    <n v="847001"/>
    <x v="2"/>
    <n v="300180"/>
    <s v="847.8470320.1.492316.000000.847001.300180"/>
    <s v="-"/>
    <n v="1813427"/>
    <n v="1810000"/>
    <s v="492316.Laboratory equipment-Number of Students-Number"/>
    <s v="Number"/>
    <x v="1"/>
    <x v="92"/>
    <x v="129"/>
    <n v="38000"/>
    <s v="KU Regular operations"/>
    <s v="Non-recurring"/>
    <n v="34200"/>
    <n v="30400"/>
    <n v="26600"/>
    <s v="it will have mild impact on scope of work "/>
    <s v="Scope of work will be highly impacted"/>
    <s v="Critical impact on scope of work and delivery"/>
    <m/>
    <m/>
    <m/>
    <n v="38000"/>
    <m/>
    <m/>
    <m/>
    <m/>
    <m/>
    <m/>
    <m/>
    <m/>
    <n v="38000"/>
    <s v="Align academic programs with the local and global labor market needs"/>
    <s v="Compared to FY22 budget has significantly increased by 42% for CoE; most of CoE increased their funding in the range of 40%-74%, except for ME and CE."/>
  </r>
  <r>
    <n v="8470320"/>
    <s v="KUST - Chemical Engineering"/>
    <n v="1"/>
    <n v="495140"/>
    <x v="36"/>
    <s v="000000"/>
    <s v="KUST - General"/>
    <n v="847001"/>
    <x v="2"/>
    <n v="300180"/>
    <s v="847.8470320.1.495140.000000.847001.300180"/>
    <s v="-"/>
    <n v="16097"/>
    <n v="16097"/>
    <s v="495140.Copyrights, patents and licenses-Number of Patents-Number"/>
    <s v="Number"/>
    <x v="1"/>
    <x v="93"/>
    <x v="130"/>
    <n v="18000"/>
    <s v="KU Regular operations"/>
    <s v="Recurring"/>
    <n v="16200"/>
    <n v="14400"/>
    <n v="12600"/>
    <s v="it will have mild impact on scope of work "/>
    <s v="Scope of work will be highly impacted"/>
    <s v="Critical impact on scope of work and delivery"/>
    <m/>
    <m/>
    <n v="18000"/>
    <m/>
    <m/>
    <m/>
    <m/>
    <m/>
    <m/>
    <m/>
    <m/>
    <m/>
    <n v="18000"/>
    <s v="Increase filed and issued patents in USPTO and PCT"/>
    <s v="Lab Equipment capex has been reduced comapare to FY22 by 400k"/>
  </r>
  <r>
    <n v="8470320"/>
    <s v="KUST - Chemical Engineering"/>
    <n v="1"/>
    <n v="492316"/>
    <x v="19"/>
    <s v="000000"/>
    <s v="KUST - General"/>
    <n v="847001"/>
    <x v="2"/>
    <n v="300180"/>
    <s v="847.8470320.1.492316.000000.847001.300180"/>
    <s v="-"/>
    <s v="-"/>
    <m/>
    <s v="492316.Laboratory equipment-Number of Students-Number"/>
    <s v="Number"/>
    <x v="1"/>
    <x v="63"/>
    <x v="131"/>
    <n v="40000"/>
    <s v="KU Regular operations"/>
    <s v="Non-recurring"/>
    <n v="36000"/>
    <n v="32000"/>
    <n v="28000"/>
    <s v="it will have mild impact on scope of work "/>
    <s v="Scope of work will be highly impacted"/>
    <s v="Critical impact on scope of work and delivery"/>
    <m/>
    <m/>
    <m/>
    <n v="40000"/>
    <m/>
    <m/>
    <m/>
    <m/>
    <m/>
    <m/>
    <m/>
    <m/>
    <n v="40000"/>
    <s v="Align academic programs with the local and global labor market needs"/>
    <s v="Compared to FY22 budget has significantly increased by 42% for CoE; most of CoE increased their funding in the range of 40%-74%, except for ME and CE."/>
  </r>
  <r>
    <n v="8470320"/>
    <s v="KUST - Chemical Engineering"/>
    <n v="1"/>
    <n v="492316"/>
    <x v="19"/>
    <s v="000000"/>
    <s v="KUST - General"/>
    <n v="847001"/>
    <x v="2"/>
    <n v="300180"/>
    <s v="847.8470320.1.492316.000000.847001.300180"/>
    <s v="-"/>
    <s v="-"/>
    <m/>
    <s v="492316.Laboratory equipment-Number of Students-Number"/>
    <s v="Number"/>
    <x v="1"/>
    <x v="94"/>
    <x v="132"/>
    <n v="70000"/>
    <s v="KU Regular operations"/>
    <s v="Non-recurring"/>
    <n v="63000"/>
    <n v="56000"/>
    <n v="49000"/>
    <s v="it will have mild impact on scope of work "/>
    <s v="Scope of work will be highly impacted"/>
    <s v="Critical impact on scope of work and delivery"/>
    <m/>
    <m/>
    <m/>
    <n v="70000"/>
    <m/>
    <m/>
    <m/>
    <m/>
    <m/>
    <m/>
    <m/>
    <m/>
    <n v="70000"/>
    <s v="Align academic programs with the local and global labor market needs"/>
    <s v="Compared to FY22 budget has significantly increased by 42% for CoE; most of CoE increased their funding in the range of 40%-74%, except for ME and CE."/>
  </r>
  <r>
    <n v="8470320"/>
    <s v="KUST - Chemical Engineering"/>
    <n v="1"/>
    <n v="492316"/>
    <x v="19"/>
    <s v="000000"/>
    <s v="KUST - General"/>
    <n v="847001"/>
    <x v="2"/>
    <n v="300180"/>
    <s v="847.8470320.1.492316.000000.847001.300180"/>
    <m/>
    <m/>
    <m/>
    <s v="492316.Laboratory equipment-Number of Students-Number"/>
    <s v="Number"/>
    <x v="1"/>
    <x v="95"/>
    <x v="133"/>
    <n v="135000"/>
    <s v="KU Regular operations"/>
    <s v="Non-recurring"/>
    <n v="121500"/>
    <n v="108000"/>
    <n v="94500"/>
    <s v="it will have mild impact on scope of work "/>
    <s v="Scope of work will be highly impacted"/>
    <s v="Critical impact on scope of work and delivery"/>
    <m/>
    <m/>
    <m/>
    <n v="135000"/>
    <m/>
    <m/>
    <m/>
    <m/>
    <m/>
    <m/>
    <m/>
    <m/>
    <n v="135000"/>
    <s v="Align academic programs with the local and global labor market needs"/>
    <s v="Compared to FY22 budget has significantly increased by 42% for CoE; most of CoE increased their funding in the range of 40%-74%, except for ME and CE."/>
  </r>
  <r>
    <n v="8470320"/>
    <s v="KUST - Chemical Engineering"/>
    <n v="1"/>
    <n v="492316"/>
    <x v="19"/>
    <s v="000000"/>
    <s v="KUST - General"/>
    <n v="847001"/>
    <x v="2"/>
    <n v="300180"/>
    <s v="847.8470320.1.492316.000000.847001.300180"/>
    <m/>
    <m/>
    <m/>
    <s v="492316.Laboratory equipment-Number of Students-Number"/>
    <s v="Number"/>
    <x v="1"/>
    <x v="35"/>
    <x v="134"/>
    <n v="10000"/>
    <s v="KU Regular operations"/>
    <s v="Non-recurring"/>
    <n v="9000"/>
    <n v="8000"/>
    <n v="7000"/>
    <s v="it will have mild impact on scope of work "/>
    <s v="Scope of work will be highly impacted"/>
    <s v="Critical impact on scope of work and delivery"/>
    <m/>
    <m/>
    <m/>
    <n v="10000"/>
    <m/>
    <m/>
    <m/>
    <m/>
    <m/>
    <m/>
    <m/>
    <m/>
    <n v="10000"/>
    <s v="Align academic programs with the local and global labor market needs"/>
    <s v="Compared to FY22 budget has significantly increased by 42% for CoE; most of CoE increased their funding in the range of 40%-74%, except for ME and CE."/>
  </r>
  <r>
    <n v="8470320"/>
    <s v="KUST - Chemical Engineering"/>
    <n v="1"/>
    <n v="492316"/>
    <x v="19"/>
    <s v="000000"/>
    <s v="KUST - General"/>
    <n v="847001"/>
    <x v="2"/>
    <n v="300180"/>
    <s v="847.8470320.1.492316.000000.847001.300180"/>
    <m/>
    <m/>
    <m/>
    <s v="492316.Laboratory equipment-Number of Students-Number"/>
    <s v="Number"/>
    <x v="1"/>
    <x v="96"/>
    <x v="135"/>
    <n v="275000"/>
    <s v="KU Regular operations"/>
    <s v="Non-recurring"/>
    <n v="247500"/>
    <n v="220000"/>
    <n v="192500"/>
    <s v="it will have mild impact on scope of work "/>
    <s v="Scope of work will be highly impacted"/>
    <s v="Critical impact on scope of work and delivery"/>
    <m/>
    <m/>
    <m/>
    <n v="275000"/>
    <m/>
    <m/>
    <m/>
    <m/>
    <m/>
    <m/>
    <m/>
    <m/>
    <n v="275000"/>
    <s v="Align academic programs with the local and global labor market needs"/>
    <s v="Compared to FY22 budget has significantly increased by 42% for CoE; most of CoE increased their funding in the range of 40%-74%, except for ME and CE."/>
  </r>
  <r>
    <n v="8470320"/>
    <s v="KUST - Chemical Engineering"/>
    <n v="1"/>
    <n v="492316"/>
    <x v="19"/>
    <s v="000000"/>
    <s v="KUST - General"/>
    <n v="847001"/>
    <x v="2"/>
    <n v="300180"/>
    <s v="847.8470320.1.492316.000000.847001.300180"/>
    <m/>
    <m/>
    <m/>
    <s v="492316.Laboratory equipment-Number of Students-Number"/>
    <s v="Number"/>
    <x v="1"/>
    <x v="97"/>
    <x v="136"/>
    <n v="165000"/>
    <s v="KU Regular operations"/>
    <s v="Non-recurring"/>
    <n v="148500"/>
    <n v="132000"/>
    <n v="115499.99999999999"/>
    <s v="it will have mild impact on scope of work "/>
    <s v="Scope of work will be highly impacted"/>
    <s v="Critical impact on scope of work and delivery"/>
    <m/>
    <m/>
    <m/>
    <n v="165000"/>
    <m/>
    <m/>
    <m/>
    <m/>
    <m/>
    <m/>
    <m/>
    <m/>
    <n v="165000"/>
    <s v="Align academic programs with the local and global labor market needs"/>
    <s v="Compared to FY22 budget has significantly increased by 42% for CoE; most of CoE increased their funding in the range of 40%-74%, except for ME and CE."/>
  </r>
  <r>
    <n v="8470320"/>
    <s v="KUST - Chemical Engineering"/>
    <n v="1"/>
    <n v="492316"/>
    <x v="19"/>
    <s v="000000"/>
    <s v="KUST - General"/>
    <n v="847001"/>
    <x v="2"/>
    <n v="300180"/>
    <s v="847.8470320.1.492316.000000.847001.300180"/>
    <m/>
    <m/>
    <m/>
    <s v="492316.Laboratory equipment-Number of Students-Number"/>
    <s v="Number"/>
    <x v="1"/>
    <x v="98"/>
    <x v="137"/>
    <n v="24500"/>
    <s v="KU Regular operations"/>
    <s v="Non-recurring"/>
    <n v="22050"/>
    <n v="19600"/>
    <n v="17150"/>
    <s v="it will have mild impact on scope of work "/>
    <s v="Scope of work will be highly impacted"/>
    <s v="Critical impact on scope of work and delivery"/>
    <m/>
    <m/>
    <m/>
    <n v="24500"/>
    <m/>
    <m/>
    <m/>
    <m/>
    <m/>
    <m/>
    <m/>
    <m/>
    <n v="24500"/>
    <s v="Align academic programs with the local and global labor market needs"/>
    <s v="Compared to FY22 budget has significantly increased by 42% for CoE; most of CoE increased their funding in the range of 40%-74%, except for ME and CE."/>
  </r>
  <r>
    <n v="8470320"/>
    <s v="KUST - Chemical Engineering"/>
    <n v="1"/>
    <n v="492316"/>
    <x v="19"/>
    <s v="000000"/>
    <s v="KUST - General"/>
    <n v="847001"/>
    <x v="2"/>
    <n v="300180"/>
    <s v="847.8470320.1.492316.000000.847001.300180"/>
    <m/>
    <m/>
    <m/>
    <s v="492316.Laboratory equipment-Number of Students-Number"/>
    <s v="Number"/>
    <x v="1"/>
    <x v="99"/>
    <x v="138"/>
    <n v="110000"/>
    <s v="KU Regular operations"/>
    <s v="Non-recurring"/>
    <n v="99000"/>
    <n v="88000"/>
    <n v="77000"/>
    <s v="it will have mild impact on scope of work "/>
    <s v="Scope of work will be highly impacted"/>
    <s v="Critical impact on scope of work and delivery"/>
    <m/>
    <m/>
    <m/>
    <n v="110000"/>
    <m/>
    <m/>
    <m/>
    <m/>
    <m/>
    <m/>
    <m/>
    <m/>
    <n v="110000"/>
    <s v="Align academic programs with the local and global labor market needs"/>
    <s v="Compared to FY22 budget has significantly increased by 42% for CoE; most of CoE increased their funding in the range of 40%-74%, except for ME and CE."/>
  </r>
  <r>
    <n v="8470320"/>
    <s v="KUST - Chemical Engineering"/>
    <n v="1"/>
    <n v="492316"/>
    <x v="19"/>
    <s v="000000"/>
    <s v="KUST - General"/>
    <n v="847001"/>
    <x v="2"/>
    <n v="300180"/>
    <s v="847.8470320.1.492316.000000.847001.300180"/>
    <m/>
    <m/>
    <m/>
    <s v="492316.Laboratory equipment-Number of Students-Number"/>
    <s v="Number"/>
    <x v="1"/>
    <x v="100"/>
    <x v="139"/>
    <n v="18500"/>
    <s v="KU Regular operations"/>
    <s v="Non-recurring"/>
    <n v="16650"/>
    <n v="14800"/>
    <n v="12950"/>
    <s v="it will have mild impact on scope of work "/>
    <s v="Scope of work will be highly impacted"/>
    <s v="Critical impact on scope of work and delivery"/>
    <m/>
    <m/>
    <m/>
    <n v="18500"/>
    <m/>
    <m/>
    <m/>
    <m/>
    <m/>
    <m/>
    <m/>
    <m/>
    <n v="18500"/>
    <s v="Align academic programs with the local and global labor market needs"/>
    <s v="Compared to FY22 budget has significantly increased by 42% for CoE; most of CoE increased their funding in the range of 40%-74%, except for ME and CE."/>
  </r>
  <r>
    <n v="8470320"/>
    <s v="KUST - Chemical Engineering"/>
    <n v="1"/>
    <n v="492316"/>
    <x v="19"/>
    <s v="000000"/>
    <s v="KUST - General"/>
    <n v="847001"/>
    <x v="2"/>
    <n v="300180"/>
    <s v="847.8470320.1.492316.000000.847001.300180"/>
    <m/>
    <m/>
    <m/>
    <s v="492316.Laboratory equipment-Number of Students-Number"/>
    <s v="Number"/>
    <x v="1"/>
    <x v="101"/>
    <x v="140"/>
    <n v="325000"/>
    <s v="KU Regular operations"/>
    <s v="Non-recurring"/>
    <n v="292500"/>
    <n v="260000"/>
    <n v="227500"/>
    <s v="it will have mild impact on scope of work "/>
    <s v="Scope of work will be highly impacted"/>
    <s v="Critical impact on scope of work and delivery"/>
    <m/>
    <m/>
    <m/>
    <n v="325000"/>
    <m/>
    <m/>
    <m/>
    <m/>
    <m/>
    <m/>
    <m/>
    <m/>
    <n v="325000"/>
    <s v="Align academic programs with the local and global labor market needs"/>
    <s v="Compared to FY22 budget has significantly increased by 42% for CoE; most of CoE increased their funding in the range of 40%-74%, except for ME and CE."/>
  </r>
  <r>
    <n v="8470320"/>
    <s v="KUST - Chemical Engineering"/>
    <n v="1"/>
    <n v="492316"/>
    <x v="19"/>
    <s v="000000"/>
    <s v="KUST - General"/>
    <n v="847001"/>
    <x v="2"/>
    <n v="300180"/>
    <s v="847.8470320.1.492316.000000.847001.300180"/>
    <m/>
    <m/>
    <m/>
    <s v="492316.Laboratory equipment-Number of Students-Number"/>
    <s v="Number"/>
    <x v="1"/>
    <x v="102"/>
    <x v="141"/>
    <n v="42000"/>
    <s v="KU Regular operations"/>
    <s v="Non-recurring"/>
    <n v="37800"/>
    <n v="33600"/>
    <n v="29399.999999999996"/>
    <s v="it will have mild impact on scope of work "/>
    <s v="Scope of work will be highly impacted"/>
    <s v="Critical impact on scope of work and delivery"/>
    <m/>
    <m/>
    <m/>
    <n v="42000"/>
    <m/>
    <m/>
    <m/>
    <m/>
    <m/>
    <m/>
    <m/>
    <m/>
    <n v="42000"/>
    <s v="Align academic programs with the local and global labor market needs"/>
    <s v="Compared to FY22 budget has significantly increased by 42% for CoE; most of CoE increased their funding in the range of 40%-74%, except for ME and CE."/>
  </r>
  <r>
    <n v="8470320"/>
    <s v="KUST - Chemical Engineering"/>
    <n v="1"/>
    <n v="492316"/>
    <x v="19"/>
    <s v="000000"/>
    <s v="KUST - General"/>
    <n v="847001"/>
    <x v="2"/>
    <n v="300180"/>
    <s v="847.8470320.1.492316.000000.847001.300180"/>
    <m/>
    <m/>
    <m/>
    <s v="492316.Laboratory equipment-Number of Students-Number"/>
    <s v="Number"/>
    <x v="1"/>
    <x v="88"/>
    <x v="142"/>
    <n v="6000"/>
    <s v="KU Regular operations"/>
    <s v="Non-recurring"/>
    <n v="5400"/>
    <n v="4800"/>
    <n v="4200"/>
    <s v="it will have mild impact on scope of work "/>
    <s v="Scope of work will be highly impacted"/>
    <s v="Critical impact on scope of work and delivery"/>
    <m/>
    <m/>
    <m/>
    <n v="6000"/>
    <m/>
    <m/>
    <m/>
    <m/>
    <m/>
    <m/>
    <m/>
    <m/>
    <n v="6000"/>
    <s v="Align academic programs with the local and global labor market needs"/>
    <s v="Compared to FY22 budget has significantly increased by 42% for CoE; most of CoE increased their funding in the range of 40%-74%, except for ME and CE."/>
  </r>
  <r>
    <n v="8470320"/>
    <s v="KUST - Chemical Engineering"/>
    <n v="1"/>
    <n v="492316"/>
    <x v="19"/>
    <s v="000000"/>
    <s v="KUST - General"/>
    <n v="847001"/>
    <x v="2"/>
    <n v="300180"/>
    <s v="847.8470320.1.492316.000000.847001.300180"/>
    <m/>
    <m/>
    <m/>
    <s v="492316.Laboratory equipment-Number of Students-Number"/>
    <s v="Number"/>
    <x v="1"/>
    <x v="39"/>
    <x v="143"/>
    <n v="13000"/>
    <s v="KU Regular operations"/>
    <s v="Non-recurring"/>
    <n v="11700"/>
    <n v="10400"/>
    <n v="9100"/>
    <s v="it will have mild impact on scope of work "/>
    <s v="Scope of work will be highly impacted"/>
    <s v="Critical impact on scope of work and delivery"/>
    <m/>
    <m/>
    <m/>
    <n v="13000"/>
    <m/>
    <m/>
    <m/>
    <m/>
    <m/>
    <m/>
    <m/>
    <m/>
    <n v="13000"/>
    <s v="Align academic programs with the local and global labor market needs"/>
    <s v="Compared to FY22 budget has significantly increased by 42% for CoE; most of CoE increased their funding in the range of 40%-74%, except for ME and CE."/>
  </r>
  <r>
    <n v="8470325"/>
    <s v="KUST - Civil Engineering"/>
    <n v="1"/>
    <n v="420550"/>
    <x v="20"/>
    <s v="000000"/>
    <s v="KUST - General"/>
    <n v="847001"/>
    <x v="1"/>
    <n v="200179"/>
    <s v="847.8470325.1.420550.000000.847001.200179"/>
    <s v="-"/>
    <n v="4000"/>
    <n v="4000"/>
    <s v="420550.Academic Advisory Service-Number of Services-Number"/>
    <s v="Number"/>
    <x v="1"/>
    <x v="103"/>
    <x v="144"/>
    <n v="2000"/>
    <s v="KU Regular operations"/>
    <s v="Recurring"/>
    <n v="1800"/>
    <n v="1600"/>
    <n v="1400"/>
    <s v="Doable"/>
    <s v="Doable"/>
    <s v="Doable"/>
    <m/>
    <m/>
    <n v="2000"/>
    <m/>
    <m/>
    <m/>
    <m/>
    <m/>
    <m/>
    <m/>
    <m/>
    <m/>
    <n v="2000"/>
    <s v="Align academic programs with the local and global labor market needs"/>
    <m/>
  </r>
  <r>
    <n v="8470325"/>
    <s v="KUST - Civil Engineering"/>
    <n v="1"/>
    <n v="425510"/>
    <x v="23"/>
    <s v="000000"/>
    <s v="KUST - General"/>
    <n v="847001"/>
    <x v="1"/>
    <n v="200179"/>
    <s v="847.8470325.1.425510.000000.847001.200179"/>
    <s v="-"/>
    <n v="6600"/>
    <n v="6600"/>
    <s v="425510.Conferences, seminars and exhibitions and other events: - Local Events-Number of Event-Number"/>
    <s v="Number"/>
    <x v="3"/>
    <x v="104"/>
    <x v="145"/>
    <n v="6600"/>
    <s v="KU Regular operations"/>
    <s v="Recurring"/>
    <n v="5940"/>
    <n v="5280"/>
    <n v="4620"/>
    <s v="Doable"/>
    <s v="Not possible"/>
    <s v="Not possible"/>
    <m/>
    <m/>
    <n v="3300"/>
    <m/>
    <m/>
    <m/>
    <m/>
    <m/>
    <n v="3300"/>
    <m/>
    <m/>
    <m/>
    <n v="6600"/>
    <s v="Align academic programs with the local and global labor market needs"/>
    <m/>
  </r>
  <r>
    <n v="8470325"/>
    <s v="KUST - Civil Engineering"/>
    <n v="1"/>
    <n v="425760"/>
    <x v="29"/>
    <s v="000000"/>
    <s v="KUST - General"/>
    <n v="847001"/>
    <x v="1"/>
    <n v="200179"/>
    <s v="847.8470325.1.425760.000000.847001.200179"/>
    <s v="-"/>
    <n v="5000"/>
    <n v="5000"/>
    <s v="425760.Student activities &amp; field trip expenses-Events-No of Events"/>
    <s v="No of Events"/>
    <x v="11"/>
    <x v="90"/>
    <x v="146"/>
    <n v="5000"/>
    <s v="KU Regular operations"/>
    <s v="Recurring"/>
    <n v="4500"/>
    <n v="4000"/>
    <n v="3500"/>
    <s v="Doable"/>
    <s v="Not possible"/>
    <s v="Not possible"/>
    <m/>
    <m/>
    <n v="2500"/>
    <m/>
    <m/>
    <m/>
    <m/>
    <m/>
    <n v="2500"/>
    <m/>
    <m/>
    <m/>
    <n v="5000"/>
    <s v="Establish a mobility program for students, faculty, researchers and staff"/>
    <m/>
  </r>
  <r>
    <n v="8470325"/>
    <s v="KUST - Civil Engineering"/>
    <n v="1"/>
    <n v="425763"/>
    <x v="30"/>
    <s v="000000"/>
    <s v="KUST - General"/>
    <n v="847001"/>
    <x v="1"/>
    <n v="200179"/>
    <s v="847.8470325.1.425763.000000.847001.200179"/>
    <n v="3020202.79"/>
    <n v="370000"/>
    <n v="370000"/>
    <s v="425763.Student Project Expenses-Number of Students UG-Month"/>
    <s v="Month"/>
    <x v="20"/>
    <x v="74"/>
    <x v="147"/>
    <n v="60000"/>
    <s v="KU Regular operations"/>
    <s v="Recurring"/>
    <n v="54000"/>
    <n v="48000"/>
    <n v="42000"/>
    <s v="Doable"/>
    <s v="Not possible"/>
    <s v="Not possible"/>
    <m/>
    <m/>
    <n v="30000"/>
    <m/>
    <m/>
    <m/>
    <m/>
    <m/>
    <n v="30000"/>
    <m/>
    <m/>
    <m/>
    <n v="60000"/>
    <s v="Align academic programs with the local and global labor market needs"/>
    <m/>
  </r>
  <r>
    <n v="8470325"/>
    <s v="KUST - Civil Engineering"/>
    <n v="1"/>
    <n v="425762"/>
    <x v="37"/>
    <s v="000000"/>
    <s v="KUST - General"/>
    <n v="847001"/>
    <x v="1"/>
    <n v="200179"/>
    <s v="847.8470325.1.425762.000000.847001.200179"/>
    <m/>
    <m/>
    <m/>
    <s v="425762.Student Internship-Number Student Phd-Number"/>
    <s v="Number"/>
    <x v="17"/>
    <x v="35"/>
    <x v="148"/>
    <n v="40000"/>
    <s v="KU Strategic New Initiative"/>
    <s v="Recurring"/>
    <n v="36000"/>
    <n v="32000"/>
    <n v="28000"/>
    <s v="Doable"/>
    <s v="Not possible"/>
    <s v="Not possible"/>
    <m/>
    <m/>
    <n v="20000"/>
    <m/>
    <m/>
    <m/>
    <m/>
    <m/>
    <n v="20000"/>
    <m/>
    <m/>
    <m/>
    <n v="40000"/>
    <s v="Develop holistic internship programs "/>
    <m/>
  </r>
  <r>
    <n v="8470325"/>
    <s v="KUST - Civil Engineering"/>
    <n v="1"/>
    <n v="425770"/>
    <x v="31"/>
    <s v="000000"/>
    <s v="KUST - General"/>
    <n v="847001"/>
    <x v="1"/>
    <n v="200179"/>
    <s v="847.8470325.1.425770.000000.847001.200179"/>
    <n v="0"/>
    <n v="165000"/>
    <n v="165000"/>
    <s v="425770.Academic Missions - Combined expenses-Number of Conference-Number"/>
    <s v="Number"/>
    <x v="21"/>
    <x v="31"/>
    <x v="149"/>
    <n v="220000"/>
    <s v="KU Regular operations"/>
    <s v="Recurring"/>
    <n v="198000"/>
    <n v="176000"/>
    <n v="154000"/>
    <s v="Doable"/>
    <s v="Doable"/>
    <s v="Doable"/>
    <m/>
    <m/>
    <n v="100000"/>
    <m/>
    <m/>
    <m/>
    <m/>
    <m/>
    <n v="120000"/>
    <m/>
    <m/>
    <m/>
    <n v="220000"/>
    <s v="Establish a mobility program for students, faculty, researchers and staff"/>
    <s v="Compared to FY22, the Academic mission expense increased by 32%, and especially the Dean of Engineering and Electrical &amp; computer Engg department increased their statements by 39% to 48%. The rest of the departments in CoE increased by 25% to 33%."/>
  </r>
  <r>
    <n v="8470325"/>
    <s v="KUST - Civil Engineering"/>
    <n v="1"/>
    <n v="426610"/>
    <x v="4"/>
    <s v="000000"/>
    <s v="KUST - General"/>
    <n v="847001"/>
    <x v="1"/>
    <n v="200179"/>
    <s v="847.8470325.1.426610.000000.847001.200179"/>
    <n v="0"/>
    <n v="34910"/>
    <n v="34910"/>
    <s v="426610.Computer software licenses-Software License Renewal-number of licenses-Number"/>
    <s v="Number"/>
    <x v="1"/>
    <x v="20"/>
    <x v="150"/>
    <n v="45000"/>
    <s v="KU Regular operations"/>
    <s v="Recurring"/>
    <n v="40500"/>
    <n v="36000"/>
    <n v="31499.999999999996"/>
    <s v="Not possible"/>
    <s v="Not possible"/>
    <s v="Not possible"/>
    <m/>
    <m/>
    <m/>
    <n v="45000"/>
    <m/>
    <m/>
    <m/>
    <m/>
    <m/>
    <m/>
    <m/>
    <m/>
    <n v="45000"/>
    <s v="Align academic programs with the local and global labor market needs"/>
    <m/>
  </r>
  <r>
    <n v="8470325"/>
    <s v="KUST - Civil Engineering"/>
    <n v="1"/>
    <n v="428090"/>
    <x v="7"/>
    <s v="000000"/>
    <s v="KUST - General"/>
    <n v="847001"/>
    <x v="1"/>
    <n v="200179"/>
    <s v="847.8470325.1.428090.000000.847001.200179"/>
    <s v="-"/>
    <n v="0"/>
    <m/>
    <s v="428090.Business Travel - Combined expenses-Number of Faculty-Number"/>
    <s v="Number"/>
    <x v="1"/>
    <x v="31"/>
    <x v="151"/>
    <n v="20000"/>
    <s v="KU Regular operations"/>
    <s v="Recurring"/>
    <n v="18000"/>
    <n v="16000"/>
    <n v="14000"/>
    <s v="Doable"/>
    <s v="Not possible"/>
    <s v="Not possible"/>
    <m/>
    <m/>
    <n v="20000"/>
    <m/>
    <m/>
    <m/>
    <m/>
    <m/>
    <m/>
    <m/>
    <m/>
    <m/>
    <n v="20000"/>
    <s v="Increase publications in journals with high impact factor"/>
    <m/>
  </r>
  <r>
    <n v="8470325"/>
    <s v="KUST - Civil Engineering"/>
    <n v="1"/>
    <n v="432209"/>
    <x v="32"/>
    <s v="000000"/>
    <s v="KUST - General"/>
    <n v="847001"/>
    <x v="1"/>
    <n v="200179"/>
    <s v="847.8470325.1.432209.000000.847001.200179"/>
    <s v="-"/>
    <n v="201550"/>
    <n v="201550"/>
    <s v="432209.Laboratory equipment-Number of Students-Number"/>
    <s v="Number"/>
    <x v="1"/>
    <x v="105"/>
    <x v="152"/>
    <n v="175000"/>
    <s v="KU Regular operations"/>
    <s v="Recurring"/>
    <n v="157500"/>
    <n v="140000"/>
    <n v="122499.99999999999"/>
    <s v="Not possible"/>
    <s v="Not possible"/>
    <s v="Not possible"/>
    <m/>
    <m/>
    <m/>
    <n v="175000"/>
    <m/>
    <m/>
    <m/>
    <m/>
    <m/>
    <m/>
    <m/>
    <m/>
    <n v="175000"/>
    <s v="Align academic programs with the local and global labor market needs"/>
    <s v="Compared to FY22, Laboratory equipment increased 51%, dean of engineering increased by 79%, Petroleum by 69%, and Biomedical 55% increased"/>
  </r>
  <r>
    <n v="8470325"/>
    <s v="KUST - Civil Engineering"/>
    <n v="1"/>
    <n v="435350"/>
    <x v="33"/>
    <s v="000000"/>
    <s v="KUST - General"/>
    <n v="847001"/>
    <x v="1"/>
    <n v="200179"/>
    <s v="847.8470325.1.435350.000000.847001.200179"/>
    <s v="-"/>
    <n v="80000"/>
    <n v="80000"/>
    <s v="435350.Academic Publications-Number of Publications-Number"/>
    <s v="Number"/>
    <x v="10"/>
    <x v="35"/>
    <x v="153"/>
    <n v="80000"/>
    <s v="KU Regular operations"/>
    <s v="Recurring"/>
    <n v="72000"/>
    <n v="64000"/>
    <n v="56000"/>
    <s v="Doable"/>
    <s v="Not possible"/>
    <s v="Not possible"/>
    <m/>
    <m/>
    <n v="40000"/>
    <m/>
    <m/>
    <m/>
    <m/>
    <m/>
    <n v="40000"/>
    <m/>
    <m/>
    <m/>
    <n v="80000"/>
    <s v="Increase publications in journals with high impact factor"/>
    <m/>
  </r>
  <r>
    <n v="8470325"/>
    <s v="KUST - Civil Engineering"/>
    <n v="1"/>
    <n v="435508"/>
    <x v="34"/>
    <s v="000000"/>
    <s v="KUST - General"/>
    <n v="847001"/>
    <x v="1"/>
    <n v="200179"/>
    <s v="847.8470325.1.435508.000000.847001.200179"/>
    <n v="35833.230000000003"/>
    <n v="92573"/>
    <n v="92573"/>
    <s v="435508.Laboratory - Scientific-Number of Students-Number"/>
    <s v="Number"/>
    <x v="1"/>
    <x v="106"/>
    <x v="154"/>
    <n v="95000"/>
    <s v="KU Regular operations"/>
    <s v="Recurring"/>
    <n v="85500"/>
    <n v="76000"/>
    <n v="66500"/>
    <s v="Doable"/>
    <s v="Doable"/>
    <s v="Not possible"/>
    <m/>
    <m/>
    <n v="50000"/>
    <m/>
    <m/>
    <m/>
    <m/>
    <n v="45000"/>
    <m/>
    <m/>
    <m/>
    <m/>
    <n v="95000"/>
    <s v="Align academic programs with the local and global labor market needs"/>
    <m/>
  </r>
  <r>
    <n v="8470325"/>
    <s v="KUST - Civil Engineering"/>
    <n v="1"/>
    <n v="492316"/>
    <x v="19"/>
    <s v="000000"/>
    <s v="KUST - General"/>
    <n v="847001"/>
    <x v="2"/>
    <n v="300180"/>
    <s v="847.8470325.1.492316.000000.847001.300180"/>
    <n v="190263"/>
    <n v="611783"/>
    <n v="611783"/>
    <s v="492316.Laboratory equipment-Number of Students-Number"/>
    <s v="Number"/>
    <x v="1"/>
    <x v="107"/>
    <x v="155"/>
    <n v="174762"/>
    <s v="KU Strategic New Initiative"/>
    <s v="Non-recurring"/>
    <n v="157285.80000000002"/>
    <n v="139809.60000000001"/>
    <n v="122333.4"/>
    <s v="Doable"/>
    <s v="Not possible"/>
    <s v="Not possible"/>
    <m/>
    <m/>
    <m/>
    <m/>
    <m/>
    <m/>
    <m/>
    <n v="174762"/>
    <m/>
    <m/>
    <m/>
    <m/>
    <n v="174762"/>
    <s v="Develop the university innovation and entrepreneurship system"/>
    <s v="Compared to FY22 budget has significantly increased by 42% for CoE; most of CoE increased their funding in the range of 40%-74%, except for ME and CE."/>
  </r>
  <r>
    <n v="8470325"/>
    <s v="KUST - Civil Engineering"/>
    <n v="1"/>
    <n v="492316"/>
    <x v="19"/>
    <s v="000000"/>
    <s v="KUST - General"/>
    <n v="847001"/>
    <x v="2"/>
    <n v="300180"/>
    <s v="847.8470325.1.492316.000000.847001.300180"/>
    <m/>
    <m/>
    <m/>
    <s v="492316.Laboratory equipment-Number of Students-Number"/>
    <s v="Number"/>
    <x v="1"/>
    <x v="108"/>
    <x v="156"/>
    <n v="106000"/>
    <s v="KU Strategic New Initiative"/>
    <s v="Non-recurring"/>
    <n v="95400"/>
    <n v="84800"/>
    <n v="74200"/>
    <s v="Doable"/>
    <s v="Not possible"/>
    <s v="Not possible"/>
    <m/>
    <m/>
    <m/>
    <m/>
    <m/>
    <m/>
    <n v="106000"/>
    <m/>
    <m/>
    <m/>
    <m/>
    <m/>
    <n v="106000"/>
    <s v="Develop the university innovation and entrepreneurship system"/>
    <s v="Compared to FY22 budget has significantly increased by 42% for CoE; most of CoE increased their funding in the range of 40%-74%, except for ME and CE."/>
  </r>
  <r>
    <n v="8470325"/>
    <s v="KUST - Civil Engineering"/>
    <n v="1"/>
    <n v="492316"/>
    <x v="19"/>
    <s v="000000"/>
    <s v="KUST - General"/>
    <n v="847001"/>
    <x v="2"/>
    <n v="300180"/>
    <s v="847.8470325.1.492316.000000.847001.300180"/>
    <m/>
    <m/>
    <m/>
    <s v="492316.Laboratory equipment-Number of Students-Number"/>
    <s v="Number"/>
    <x v="1"/>
    <x v="109"/>
    <x v="157"/>
    <n v="75000"/>
    <s v="KU Strategic New Initiative"/>
    <s v="Non-recurring"/>
    <n v="67500"/>
    <n v="60000"/>
    <n v="52500"/>
    <s v="Doable"/>
    <s v="Not possible"/>
    <s v="Not possible"/>
    <m/>
    <m/>
    <m/>
    <m/>
    <m/>
    <n v="75000"/>
    <m/>
    <m/>
    <m/>
    <m/>
    <m/>
    <m/>
    <n v="75000"/>
    <s v="Develop the university innovation and entrepreneurship system"/>
    <s v="Compared to FY22 budget has significantly increased by 42% for CoE; most of CoE increased their funding in the range of 40%-74%, except for ME and CE."/>
  </r>
  <r>
    <n v="8470325"/>
    <s v="KUST - Civil Engineering"/>
    <n v="1"/>
    <n v="492316"/>
    <x v="19"/>
    <s v="000000"/>
    <s v="KUST - General"/>
    <n v="847001"/>
    <x v="2"/>
    <n v="300180"/>
    <s v="847.8470325.1.492316.000000.847001.300180"/>
    <m/>
    <m/>
    <m/>
    <s v="492316.Laboratory equipment-Number of Students-Number"/>
    <s v="Number"/>
    <x v="11"/>
    <x v="110"/>
    <x v="158"/>
    <n v="12400"/>
    <s v="KU Strategic New Initiative"/>
    <s v="Non-recurring"/>
    <n v="11160"/>
    <n v="9920"/>
    <n v="8680"/>
    <s v="Doable"/>
    <s v="Not possible"/>
    <s v="Not possible"/>
    <m/>
    <m/>
    <m/>
    <m/>
    <m/>
    <n v="12400"/>
    <m/>
    <m/>
    <m/>
    <m/>
    <m/>
    <m/>
    <n v="12400"/>
    <s v="Develop the university innovation and entrepreneurship system"/>
    <s v="Compared to FY22 budget has significantly increased by 42% for CoE; most of CoE increased their funding in the range of 40%-74%, except for ME and CE."/>
  </r>
  <r>
    <n v="8470325"/>
    <s v="KUST - Civil Engineering"/>
    <n v="1"/>
    <n v="492316"/>
    <x v="19"/>
    <s v="000000"/>
    <s v="KUST - General"/>
    <n v="847001"/>
    <x v="2"/>
    <n v="300180"/>
    <s v="847.8470325.1.492316.000000.847001.300180"/>
    <m/>
    <m/>
    <m/>
    <s v="492316.Laboratory equipment-Number of Students-Number"/>
    <s v="Number"/>
    <x v="1"/>
    <x v="111"/>
    <x v="159"/>
    <n v="120000"/>
    <s v="KU Strategic New Initiative"/>
    <s v="Non-recurring"/>
    <n v="108000"/>
    <n v="96000"/>
    <n v="84000"/>
    <s v="Doable"/>
    <s v="Not possible"/>
    <s v="Not possible"/>
    <m/>
    <m/>
    <m/>
    <m/>
    <m/>
    <m/>
    <n v="120000"/>
    <m/>
    <m/>
    <m/>
    <m/>
    <m/>
    <n v="120000"/>
    <s v="Develop the university innovation and entrepreneurship system"/>
    <s v="Compared to FY22 budget has significantly increased by 42% for CoE; most of CoE increased their funding in the range of 40%-74%, except for ME and CE."/>
  </r>
  <r>
    <n v="8470325"/>
    <s v="KUST - Civil Engineering"/>
    <n v="1"/>
    <n v="492316"/>
    <x v="19"/>
    <s v="000000"/>
    <s v="KUST - General"/>
    <n v="847001"/>
    <x v="2"/>
    <n v="300180"/>
    <s v="847.8470325.1.492316.000000.847001.300180"/>
    <m/>
    <m/>
    <m/>
    <s v="492316.Laboratory equipment-Number of Students-Number"/>
    <s v="Number"/>
    <x v="1"/>
    <x v="112"/>
    <x v="160"/>
    <n v="50200"/>
    <s v="KU Strategic New Initiative"/>
    <s v="Non-recurring"/>
    <n v="45180"/>
    <n v="40160"/>
    <n v="35140"/>
    <s v="Doable"/>
    <s v="Not possible"/>
    <s v="Not possible"/>
    <m/>
    <m/>
    <m/>
    <m/>
    <m/>
    <n v="50200"/>
    <m/>
    <m/>
    <m/>
    <m/>
    <m/>
    <m/>
    <n v="50200"/>
    <s v="Develop the university innovation and entrepreneurship system"/>
    <s v="Compared to FY22 budget has significantly increased by 42% for CoE; most of CoE increased their funding in the range of 40%-74%, except for ME and CE."/>
  </r>
  <r>
    <n v="8470325"/>
    <s v="KUST - Civil Engineering"/>
    <n v="1"/>
    <n v="492316"/>
    <x v="19"/>
    <s v="000000"/>
    <s v="KUST - General"/>
    <n v="847001"/>
    <x v="2"/>
    <n v="300180"/>
    <s v="847.8470325.1.492316.000000.847001.300180"/>
    <m/>
    <m/>
    <m/>
    <s v="492316.Laboratory equipment-Number of Students-Number"/>
    <s v="Number"/>
    <x v="1"/>
    <x v="113"/>
    <x v="161"/>
    <n v="670000"/>
    <s v="KU Strategic New Initiative"/>
    <s v="Non-recurring"/>
    <n v="603000"/>
    <n v="536000"/>
    <n v="468999.99999999994"/>
    <s v="Doable"/>
    <s v="Not possible"/>
    <s v="Not possible"/>
    <m/>
    <m/>
    <m/>
    <m/>
    <m/>
    <m/>
    <m/>
    <n v="670000"/>
    <m/>
    <m/>
    <m/>
    <m/>
    <n v="670000"/>
    <s v="Develop the university innovation and entrepreneurship system"/>
    <s v="Compared to FY22 budget has significantly increased by 42% for CoE; most of CoE increased their funding in the range of 40%-74%, except for ME and CE."/>
  </r>
  <r>
    <n v="8470305"/>
    <s v="KUST - Dean Of Engineering"/>
    <n v="1"/>
    <n v="420550"/>
    <x v="20"/>
    <s v="000000"/>
    <s v="KUST - General"/>
    <n v="847001"/>
    <x v="1"/>
    <n v="200179"/>
    <s v="847.8470305.1.420550.000000.847001.200179"/>
    <n v="0"/>
    <n v="100000"/>
    <n v="100000"/>
    <s v="420550.Academic Advisory Service-Number of Services-Number"/>
    <m/>
    <x v="11"/>
    <x v="27"/>
    <x v="162"/>
    <n v="100000"/>
    <s v="KU Regular operations"/>
    <s v="Recurring"/>
    <n v="90000"/>
    <n v="80000"/>
    <n v="70000"/>
    <s v="no significant impact"/>
    <s v="minimum impact"/>
    <s v="reduce support"/>
    <m/>
    <m/>
    <n v="50000"/>
    <m/>
    <m/>
    <m/>
    <m/>
    <m/>
    <m/>
    <n v="50000"/>
    <m/>
    <m/>
    <n v="100000"/>
    <s v="Align academic programs with the local and global labor market needs"/>
    <m/>
  </r>
  <r>
    <n v="8470305"/>
    <s v="KUST - Dean Of Engineering"/>
    <n v="1"/>
    <n v="420570"/>
    <x v="21"/>
    <s v="000000"/>
    <s v="KUST - General"/>
    <n v="847001"/>
    <x v="1"/>
    <n v="200179"/>
    <s v="847.8470305.1.420570.000000.847001.200179"/>
    <n v="4591.25"/>
    <n v="10000"/>
    <n v="10000"/>
    <s v="420570.Academic Collaborative Partnership Services- Research Projects Agreements-No of Research Projects Agreement"/>
    <s v="No of Research Projects Agreement"/>
    <x v="11"/>
    <x v="67"/>
    <x v="163"/>
    <n v="10000"/>
    <s v="KU Regular operations"/>
    <s v="Recurring"/>
    <n v="9000"/>
    <n v="8000"/>
    <n v="7000"/>
    <s v="no significant impact"/>
    <s v="No significant impact"/>
    <s v="No significant impact"/>
    <m/>
    <m/>
    <m/>
    <n v="5000"/>
    <m/>
    <m/>
    <m/>
    <m/>
    <m/>
    <m/>
    <n v="5000"/>
    <m/>
    <n v="10000"/>
    <s v="Build partnerships with local and international universities"/>
    <m/>
  </r>
  <r>
    <n v="8470305"/>
    <s v="KUST - Dean Of Engineering"/>
    <n v="1"/>
    <n v="421700"/>
    <x v="22"/>
    <s v="000000"/>
    <s v="KUST - General"/>
    <n v="847001"/>
    <x v="1"/>
    <n v="200179"/>
    <s v="847.8470305.1.421700.000000.847001.200179"/>
    <n v="123488.98"/>
    <n v="506004"/>
    <n v="500000"/>
    <s v="421700.Standards Certification Services (e.g. ISO)-Number of Academic programs-Number"/>
    <s v="Number"/>
    <x v="11"/>
    <x v="59"/>
    <x v="164"/>
    <n v="300000"/>
    <s v="KU Regular operations"/>
    <s v="Non-recurring"/>
    <n v="270000"/>
    <n v="240000"/>
    <n v="210000"/>
    <s v="Full amount required. May need to transfer remaining amount from other expenses"/>
    <s v="Full amount required. May need to transfer remaining amount from other expenses"/>
    <s v="Full amount required. May need to transfer remaining amount from other expenses"/>
    <m/>
    <m/>
    <m/>
    <m/>
    <n v="300000"/>
    <m/>
    <m/>
    <m/>
    <m/>
    <m/>
    <m/>
    <m/>
    <n v="300000"/>
    <s v="Align academic programs with the local and global labor market needs"/>
    <m/>
  </r>
  <r>
    <n v="8470305"/>
    <s v="KUST - Dean Of Engineering"/>
    <n v="1"/>
    <n v="425510"/>
    <x v="23"/>
    <s v="000000"/>
    <s v="KUST - General"/>
    <n v="847001"/>
    <x v="1"/>
    <n v="200179"/>
    <s v="847.8470305.1.425510.000000.847001.200179"/>
    <n v="-252"/>
    <n v="20000"/>
    <n v="20000"/>
    <s v="425500.Conferences, seminars and exhibitions and other events:-Number of events &amp; attendees-Number of Number of events &amp; attendees"/>
    <s v="Number of Number of events &amp; attendees"/>
    <x v="11"/>
    <x v="35"/>
    <x v="165"/>
    <n v="20000"/>
    <s v="KU Regular operations"/>
    <s v="Recurring"/>
    <n v="18000"/>
    <n v="16000"/>
    <n v="14000"/>
    <s v="minimum impact"/>
    <s v="reduce support"/>
    <s v="reduce support"/>
    <m/>
    <m/>
    <m/>
    <n v="10000"/>
    <m/>
    <m/>
    <m/>
    <m/>
    <m/>
    <n v="10000"/>
    <m/>
    <m/>
    <n v="20000"/>
    <s v="Attract and organize international conferences and summits"/>
    <m/>
  </r>
  <r>
    <n v="8470305"/>
    <s v="KUST - Dean Of Engineering"/>
    <n v="1"/>
    <n v="425720"/>
    <x v="38"/>
    <s v="000000"/>
    <s v="KUST - General"/>
    <n v="847001"/>
    <x v="1"/>
    <n v="200179"/>
    <s v="847.8470305.1.425720.000000.847001.200179"/>
    <n v="-3415.89"/>
    <s v="-"/>
    <m/>
    <s v="425720.Education-Outsourced training service-Activities-No of Activities"/>
    <s v="No of Activities"/>
    <x v="11"/>
    <x v="31"/>
    <x v="166"/>
    <n v="40000"/>
    <s v="KU Regular operations"/>
    <s v="Recurring"/>
    <n v="36000"/>
    <n v="32000"/>
    <n v="28000"/>
    <s v="reduce support per projects"/>
    <s v="reduce supported projects"/>
    <s v="reduce supported projects"/>
    <m/>
    <m/>
    <m/>
    <n v="20000"/>
    <m/>
    <m/>
    <m/>
    <m/>
    <m/>
    <m/>
    <n v="20000"/>
    <m/>
    <n v="40000"/>
    <s v="Develop the university innovation and entrepreneurship system"/>
    <m/>
  </r>
  <r>
    <n v="8470305"/>
    <s v="KUST - Dean Of Engineering"/>
    <n v="1"/>
    <n v="425763"/>
    <x v="30"/>
    <s v="000000"/>
    <s v="KUST - General"/>
    <n v="847001"/>
    <x v="1"/>
    <n v="200179"/>
    <s v="847.8470305.1.425763.000000.847001.200179"/>
    <n v="55389.96"/>
    <n v="100000"/>
    <n v="100000"/>
    <s v="425763.Student Project Expenses-Number of Students UG-Month"/>
    <s v="Month"/>
    <x v="10"/>
    <x v="62"/>
    <x v="167"/>
    <n v="120000"/>
    <s v="KU Regular operations"/>
    <s v="Recurring"/>
    <n v="108000"/>
    <n v="96000"/>
    <n v="84000"/>
    <s v="reduce number of supported faculty"/>
    <s v="reduce number of supported faculty"/>
    <s v="reduce number of supported faculty"/>
    <m/>
    <n v="15000"/>
    <n v="15000"/>
    <n v="15000"/>
    <n v="15000"/>
    <m/>
    <m/>
    <n v="15000"/>
    <n v="15000"/>
    <n v="15000"/>
    <n v="15000"/>
    <m/>
    <n v="120000"/>
    <s v="Align academic programs with the local and global labor market needs"/>
    <m/>
  </r>
  <r>
    <n v="8470305"/>
    <s v="KUST - Dean Of Engineering"/>
    <n v="1"/>
    <n v="425770"/>
    <x v="31"/>
    <s v="000000"/>
    <s v="KUST - General"/>
    <n v="847001"/>
    <x v="1"/>
    <n v="200179"/>
    <s v="847.8470305.1.425770.000000.847001.200179"/>
    <n v="22014.5"/>
    <n v="614499"/>
    <n v="600000"/>
    <s v="425770.Academic Missions - Combined expenses-Number of Conference-Number"/>
    <s v="Number"/>
    <x v="22"/>
    <x v="31"/>
    <x v="168"/>
    <n v="1000000"/>
    <s v="KU Regular operations"/>
    <s v="Recurring"/>
    <n v="900000"/>
    <n v="800000"/>
    <n v="700000"/>
    <s v="minimum impact"/>
    <s v="minimum impact"/>
    <s v="retreat on campus"/>
    <m/>
    <m/>
    <m/>
    <m/>
    <m/>
    <n v="500000"/>
    <m/>
    <m/>
    <m/>
    <m/>
    <n v="500000"/>
    <m/>
    <n v="1000000"/>
    <s v="Increase publications in journals with high impact factor"/>
    <s v="Compared to FY22, the Academic mission expense increased by 32%, and especially the Dean of Engineering and Electrical &amp; computer Engg department increased their statements by 39% to 48%. The rest of the departments in CoE increased by 25% to 33%."/>
  </r>
  <r>
    <n v="8470305"/>
    <s v="KUST - Dean Of Engineering"/>
    <n v="1"/>
    <n v="425900"/>
    <x v="26"/>
    <s v="000000"/>
    <s v="KUST - General"/>
    <n v="847001"/>
    <x v="1"/>
    <n v="200179"/>
    <s v="847.8470305.1.425900.000000.847001.200179"/>
    <n v="-131"/>
    <n v="18000"/>
    <n v="16000"/>
    <s v="425900.Entertainment and hospitality-1. No of events/workshops planned-count"/>
    <s v="count"/>
    <x v="9"/>
    <x v="35"/>
    <x v="169"/>
    <n v="30000"/>
    <s v="KU Regular operations"/>
    <s v="Recurring"/>
    <n v="27000"/>
    <n v="24000"/>
    <n v="21000"/>
    <s v="whole amount required for cost of Labview"/>
    <s v="whole amount required for cost of Labview"/>
    <s v="whole amount required for cost of Labview"/>
    <m/>
    <m/>
    <n v="10000"/>
    <m/>
    <m/>
    <n v="10000"/>
    <m/>
    <m/>
    <m/>
    <m/>
    <m/>
    <n v="10000"/>
    <n v="30000"/>
    <s v="Develop a new learning outcomes assessment framework at the course, programs, and institutional levels"/>
    <m/>
  </r>
  <r>
    <n v="8470305"/>
    <s v="KUST - Dean Of Engineering"/>
    <n v="1"/>
    <n v="426610"/>
    <x v="4"/>
    <s v="000000"/>
    <s v="KUST - General"/>
    <n v="847001"/>
    <x v="1"/>
    <n v="200179"/>
    <s v="847.8470305.1.426610.000000.847001.200179"/>
    <n v="62198.28"/>
    <n v="100000"/>
    <n v="90000"/>
    <s v="426610.Computer software licenses-Software License Renewal-service level agreement-Service"/>
    <s v="Service"/>
    <x v="1"/>
    <x v="111"/>
    <x v="170"/>
    <n v="120000"/>
    <s v="KU Regular operations"/>
    <s v="Recurring"/>
    <n v="108000"/>
    <n v="96000"/>
    <n v="84000"/>
    <s v="no significant impact"/>
    <s v="no significant impact"/>
    <s v="change of trip may be required"/>
    <m/>
    <m/>
    <m/>
    <m/>
    <m/>
    <m/>
    <m/>
    <m/>
    <n v="120000"/>
    <m/>
    <m/>
    <m/>
    <n v="120000"/>
    <s v="Align academic programs with the local and global labor market needs"/>
    <m/>
  </r>
  <r>
    <n v="8470305"/>
    <s v="KUST - Dean Of Engineering"/>
    <n v="1"/>
    <n v="428090"/>
    <x v="7"/>
    <s v="000000"/>
    <s v="KUST - General"/>
    <n v="847001"/>
    <x v="1"/>
    <n v="200179"/>
    <s v="847.8470305.1.428090.000000.847001.200179"/>
    <s v="-"/>
    <n v="35000"/>
    <n v="30000"/>
    <s v="428090.Business Travel - Combined expenses-Number of Staff-Number"/>
    <s v="Number"/>
    <x v="11"/>
    <x v="20"/>
    <x v="171"/>
    <n v="90000"/>
    <s v="KU Regular operations"/>
    <s v="Recurring"/>
    <n v="81000"/>
    <n v="72000"/>
    <n v="62999.999999999993"/>
    <s v="no significant impact"/>
    <s v="minimum impact"/>
    <s v="reduce awards"/>
    <m/>
    <m/>
    <m/>
    <n v="45000"/>
    <m/>
    <m/>
    <m/>
    <m/>
    <m/>
    <n v="45000"/>
    <m/>
    <m/>
    <n v="90000"/>
    <s v="Build partnerships with local and international universities"/>
    <m/>
  </r>
  <r>
    <n v="8470305"/>
    <s v="KUST - Dean Of Engineering"/>
    <n v="1"/>
    <n v="428640"/>
    <x v="27"/>
    <s v="000000"/>
    <s v="KUST - General"/>
    <n v="847001"/>
    <x v="1"/>
    <n v="200179"/>
    <s v="847.8470305.1.428640.000000.847001.200179"/>
    <n v="0"/>
    <n v="45000"/>
    <n v="10000"/>
    <s v="428640.Events - Awards, prizes &amp; gifts-Number of awards-count"/>
    <s v="count"/>
    <x v="20"/>
    <x v="79"/>
    <x v="172"/>
    <n v="30000"/>
    <s v="KU Regular operations"/>
    <s v="Recurring"/>
    <n v="27000"/>
    <n v="24000"/>
    <n v="21000"/>
    <s v="no significant impact"/>
    <s v="no significant impact"/>
    <s v="significant impact"/>
    <m/>
    <m/>
    <m/>
    <m/>
    <n v="15000"/>
    <m/>
    <m/>
    <m/>
    <m/>
    <m/>
    <n v="15000"/>
    <m/>
    <n v="30000"/>
    <s v="Recruit and retain high caliber faculty, researchers and staff"/>
    <m/>
  </r>
  <r>
    <n v="8470305"/>
    <s v="KUST - Dean Of Engineering"/>
    <n v="1"/>
    <n v="432209"/>
    <x v="32"/>
    <s v="000000"/>
    <s v="KUST - General"/>
    <n v="847001"/>
    <x v="1"/>
    <n v="200179"/>
    <s v="847.8470305.1.432209.000000.847001.200179"/>
    <n v="201150.01"/>
    <n v="45292"/>
    <n v="45000"/>
    <s v="432209.Laboratory equipment-Number of Faculty-Number"/>
    <s v="Number"/>
    <x v="23"/>
    <x v="114"/>
    <x v="173"/>
    <n v="220000"/>
    <s v="KU Regular operations"/>
    <s v="Recurring"/>
    <n v="198000"/>
    <n v="176000"/>
    <n v="154000"/>
    <s v="no significant impact"/>
    <s v="reduce publications"/>
    <s v="significant impact"/>
    <m/>
    <m/>
    <m/>
    <n v="110000"/>
    <m/>
    <m/>
    <m/>
    <m/>
    <n v="110000"/>
    <m/>
    <m/>
    <m/>
    <n v="220000"/>
    <s v="Align academic programs with the local and global labor market needs"/>
    <s v="Compared to FY22, Laboratory equipment increased 51%, dean of engineering increased by 79%, Petroleum by 69%, and Biomedical 55% increased"/>
  </r>
  <r>
    <n v="8470305"/>
    <s v="KUST - Dean Of Engineering"/>
    <n v="1"/>
    <n v="432690"/>
    <x v="39"/>
    <s v="000000"/>
    <s v="KUST - General"/>
    <n v="847001"/>
    <x v="1"/>
    <n v="200179"/>
    <s v="847.8470305.1.432690.000000.847001.200179"/>
    <n v="5000"/>
    <s v="-"/>
    <m/>
    <m/>
    <s v="-_"/>
    <x v="2"/>
    <x v="1"/>
    <x v="1"/>
    <n v="0"/>
    <m/>
    <m/>
    <n v="0"/>
    <n v="0"/>
    <n v="0"/>
    <s v="no significant impact"/>
    <s v="reduced functionality"/>
    <s v="significant impact"/>
    <m/>
    <m/>
    <m/>
    <m/>
    <m/>
    <m/>
    <m/>
    <m/>
    <m/>
    <m/>
    <m/>
    <m/>
    <n v="0"/>
    <m/>
    <m/>
  </r>
  <r>
    <n v="8470305"/>
    <s v="KUST - Dean Of Engineering"/>
    <n v="1"/>
    <n v="435340"/>
    <x v="40"/>
    <s v="000000"/>
    <s v="KUST - General"/>
    <n v="847001"/>
    <x v="1"/>
    <n v="200179"/>
    <s v="847.8470305.1.435340.000000.847001.200179"/>
    <n v="-13614"/>
    <s v="-"/>
    <m/>
    <m/>
    <s v="-_"/>
    <x v="2"/>
    <x v="1"/>
    <x v="1"/>
    <n v="0"/>
    <m/>
    <m/>
    <n v="0"/>
    <n v="0"/>
    <n v="0"/>
    <s v="no significant impact"/>
    <s v="No significant impact"/>
    <s v="reduced support"/>
    <m/>
    <m/>
    <m/>
    <m/>
    <m/>
    <m/>
    <m/>
    <m/>
    <m/>
    <m/>
    <m/>
    <m/>
    <n v="0"/>
    <m/>
    <m/>
  </r>
  <r>
    <n v="8470305"/>
    <s v="KUST - Dean Of Engineering"/>
    <n v="1"/>
    <n v="435350"/>
    <x v="33"/>
    <s v="000000"/>
    <s v="KUST - General"/>
    <n v="847001"/>
    <x v="1"/>
    <n v="200179"/>
    <s v="847.8470305.1.435350.000000.847001.200179"/>
    <n v="0"/>
    <n v="260000"/>
    <n v="260000"/>
    <s v="435350.Academic Publications-Number of Publications-Number"/>
    <s v="Number"/>
    <x v="24"/>
    <x v="37"/>
    <x v="174"/>
    <n v="270000"/>
    <s v="KU Regular operations"/>
    <s v="Recurring"/>
    <n v="243000"/>
    <n v="216000"/>
    <n v="189000"/>
    <s v="reduce support for faculty"/>
    <s v="only support IEEE subscription"/>
    <s v="only support IEEE subscription"/>
    <m/>
    <m/>
    <n v="90000"/>
    <n v="90000"/>
    <n v="90000"/>
    <m/>
    <m/>
    <m/>
    <m/>
    <m/>
    <m/>
    <m/>
    <n v="270000"/>
    <s v="Increase publications in journals with high impact factor"/>
    <m/>
  </r>
  <r>
    <n v="8470305"/>
    <s v="KUST - Dean Of Engineering"/>
    <n v="1"/>
    <n v="435508"/>
    <x v="34"/>
    <s v="000000"/>
    <s v="KUST - General"/>
    <n v="847001"/>
    <x v="1"/>
    <n v="200179"/>
    <s v="847.8470305.1.435508.000000.847001.200179"/>
    <n v="35691.550000000003"/>
    <n v="100000"/>
    <n v="100000"/>
    <s v="435508.Laboratory - Scientific-Number of Faculty-Number"/>
    <s v="Number"/>
    <x v="11"/>
    <x v="87"/>
    <x v="175"/>
    <n v="120000"/>
    <s v="KU Regular operations"/>
    <s v="Recurring"/>
    <n v="108000"/>
    <n v="96000"/>
    <n v="84000"/>
    <n v="108000"/>
    <n v="96000"/>
    <n v="84000"/>
    <m/>
    <m/>
    <m/>
    <n v="60000"/>
    <m/>
    <m/>
    <m/>
    <m/>
    <n v="60000"/>
    <m/>
    <m/>
    <m/>
    <n v="120000"/>
    <s v="Utilize state-of-the-art technologies and facilities in an optimal and efficient manner"/>
    <m/>
  </r>
  <r>
    <n v="8470305"/>
    <s v="KUST - Dean Of Engineering"/>
    <n v="1"/>
    <n v="436600"/>
    <x v="35"/>
    <s v="000000"/>
    <s v="KUST - General"/>
    <n v="847001"/>
    <x v="1"/>
    <n v="200179"/>
    <s v="847.8470305.1.436600.000000.847001.200179"/>
    <s v="-"/>
    <n v="25000"/>
    <n v="20000"/>
    <s v="436600.Training/Teaching equipment and other educational aid-Number of Faculty-Number"/>
    <s v="Number"/>
    <x v="11"/>
    <x v="31"/>
    <x v="176"/>
    <n v="40000"/>
    <s v="KU Regular operations"/>
    <s v="Recurring"/>
    <n v="36000"/>
    <n v="32000"/>
    <n v="28000"/>
    <n v="40000"/>
    <n v="32000"/>
    <n v="20000"/>
    <m/>
    <m/>
    <n v="20000"/>
    <m/>
    <m/>
    <m/>
    <m/>
    <m/>
    <m/>
    <n v="20000"/>
    <m/>
    <m/>
    <n v="40000"/>
    <s v="Utilize state-of-the-art technologies and facilities in an optimal and efficient manner"/>
    <m/>
  </r>
  <r>
    <n v="8470330"/>
    <s v="KUST - Electrical &amp; Computer Engineering"/>
    <n v="1"/>
    <n v="420550"/>
    <x v="20"/>
    <s v="000000"/>
    <s v="KUST - General"/>
    <n v="847001"/>
    <x v="1"/>
    <n v="200179"/>
    <s v="847.8470330.1.420550.000000.847001.200179"/>
    <s v="-"/>
    <n v="3000"/>
    <n v="3000"/>
    <s v="420550.Academic Advisory Service-Number of Services-Number"/>
    <m/>
    <x v="1"/>
    <x v="74"/>
    <x v="177"/>
    <n v="3000"/>
    <s v="KU Regular operations"/>
    <s v="Recurring"/>
    <n v="2700"/>
    <n v="2400"/>
    <n v="2100"/>
    <s v="Negligible"/>
    <s v="May not be considered as good"/>
    <s v="May not be considered as good"/>
    <n v="0"/>
    <n v="0"/>
    <n v="0"/>
    <n v="0"/>
    <n v="0"/>
    <n v="0"/>
    <n v="3000"/>
    <n v="0"/>
    <n v="0"/>
    <n v="0"/>
    <n v="0"/>
    <n v="0"/>
    <n v="3000"/>
    <s v="Widen access to students with outstanding academic potential"/>
    <m/>
  </r>
  <r>
    <n v="8470330"/>
    <s v="KUST - Electrical &amp; Computer Engineering"/>
    <n v="1"/>
    <n v="425510"/>
    <x v="23"/>
    <s v="000000"/>
    <s v="KUST - General"/>
    <n v="847001"/>
    <x v="1"/>
    <n v="200179"/>
    <s v="847.8470330.1.425510.000000.847001.200179"/>
    <s v="-"/>
    <n v="42000"/>
    <n v="42000"/>
    <s v="425510.Conferences, seminars and exhibitions and other events: - Local Events-Exhibitions-Number of Exhibitions"/>
    <s v="Number of Exhibitions"/>
    <x v="1"/>
    <x v="35"/>
    <x v="178"/>
    <n v="10000"/>
    <s v="KU Regular operations"/>
    <s v="Non-recurring"/>
    <n v="9000"/>
    <n v="8000"/>
    <n v="7000"/>
    <s v="not a good impresion to delegates"/>
    <s v="not a good impresion to delegates"/>
    <s v="Cacnellation"/>
    <n v="0"/>
    <n v="0"/>
    <n v="0"/>
    <n v="0"/>
    <n v="0"/>
    <n v="0"/>
    <n v="10000"/>
    <n v="0"/>
    <n v="0"/>
    <n v="0"/>
    <n v="0"/>
    <n v="0"/>
    <n v="10000"/>
    <s v="Increase publications in journals with high impact factor"/>
    <m/>
  </r>
  <r>
    <n v="8470330"/>
    <s v="KUST - Electrical &amp; Computer Engineering"/>
    <n v="1"/>
    <n v="425760"/>
    <x v="29"/>
    <s v="000000"/>
    <s v="KUST - General"/>
    <n v="847001"/>
    <x v="1"/>
    <n v="200179"/>
    <s v="847.8470330.1.425760.000000.847001.200179"/>
    <s v="-"/>
    <n v="72000"/>
    <n v="72000"/>
    <s v="425760.Student activities &amp; field trip expenses-Events-No of Events"/>
    <s v="No of Events"/>
    <x v="14"/>
    <x v="36"/>
    <x v="179"/>
    <n v="75000"/>
    <s v="KU Regular operations"/>
    <s v="Recurring"/>
    <n v="67500"/>
    <n v="60000"/>
    <n v="52500"/>
    <s v="reduced number of students or field trips"/>
    <s v="reduced number of students or field trips"/>
    <s v="reduced number of students or field trips"/>
    <n v="0"/>
    <n v="7500"/>
    <n v="7500"/>
    <n v="7500"/>
    <n v="7500"/>
    <n v="7500"/>
    <n v="7500"/>
    <n v="7500"/>
    <n v="7500"/>
    <n v="7500"/>
    <n v="7500"/>
    <n v="0"/>
    <n v="75000"/>
    <s v="Enhance the communication plan and outreach activities"/>
    <m/>
  </r>
  <r>
    <n v="8470330"/>
    <s v="KUST - Electrical &amp; Computer Engineering"/>
    <n v="1"/>
    <n v="425763"/>
    <x v="30"/>
    <s v="000000"/>
    <s v="KUST - General"/>
    <n v="847001"/>
    <x v="1"/>
    <n v="200179"/>
    <s v="847.8470330.1.425763.000000.847001.200179"/>
    <n v="216899.04"/>
    <n v="405000"/>
    <n v="405000"/>
    <s v="425763.Student Project Expenses-Number of Students UG-Month"/>
    <s v="Month"/>
    <x v="5"/>
    <x v="74"/>
    <x v="180"/>
    <n v="435000"/>
    <s v="KU Regular operations"/>
    <s v="Recurring"/>
    <n v="391500"/>
    <n v="348000"/>
    <n v="304500"/>
    <s v="reduced quality experience"/>
    <s v="reduced flexibility in SDP materials"/>
    <s v="reduced flexibility in SDP materials"/>
    <n v="0"/>
    <n v="0"/>
    <n v="55000"/>
    <n v="55000"/>
    <n v="55000"/>
    <n v="55000"/>
    <n v="55000"/>
    <n v="55000"/>
    <n v="55000"/>
    <n v="50000"/>
    <n v="0"/>
    <n v="0"/>
    <n v="435000"/>
    <s v="Develop the university innovation and entrepreneurship system"/>
    <m/>
  </r>
  <r>
    <n v="8470330"/>
    <s v="KUST - Electrical &amp; Computer Engineering"/>
    <n v="1"/>
    <n v="425770"/>
    <x v="31"/>
    <s v="000000"/>
    <s v="KUST - General"/>
    <n v="847001"/>
    <x v="1"/>
    <n v="200179"/>
    <s v="847.8470330.1.425770.000000.847001.200179"/>
    <n v="12190.2"/>
    <n v="650000"/>
    <n v="650000"/>
    <s v="425770-Academic Missions - Combined expenses"/>
    <s v="-_"/>
    <x v="25"/>
    <x v="31"/>
    <x v="181"/>
    <n v="1260000"/>
    <s v="KU Regular operations"/>
    <s v="Recurring"/>
    <n v="1134000"/>
    <n v="1008000"/>
    <n v="882000"/>
    <s v="reduced KU presence in international forums"/>
    <s v="will need to prioritize"/>
    <s v="dissappoint researchers"/>
    <n v="0"/>
    <n v="126000"/>
    <n v="126000"/>
    <n v="126000"/>
    <n v="126000"/>
    <n v="126000"/>
    <n v="126000"/>
    <n v="126000"/>
    <n v="126000"/>
    <n v="126000"/>
    <n v="126000"/>
    <n v="0"/>
    <n v="1260000"/>
    <s v="Strengthen research ethical culture framework across the university"/>
    <s v="Compared to FY22, the Academic mission expense increased by 32%, and especially the Dean of Engineering and Electrical &amp; computer Engg department increased their statements by 39% to 48%. The rest of the departments in CoE increased by 25% to 33%."/>
  </r>
  <r>
    <n v="8470330"/>
    <s v="KUST - Electrical &amp; Computer Engineering"/>
    <n v="1"/>
    <n v="425900"/>
    <x v="26"/>
    <s v="000000"/>
    <s v="KUST - General"/>
    <n v="847001"/>
    <x v="1"/>
    <n v="200179"/>
    <s v="847.8470330.1.425900.000000.847001.200179"/>
    <s v="-"/>
    <n v="16000"/>
    <n v="16000"/>
    <s v="425900-Entertainment and hospitality"/>
    <s v="-_"/>
    <x v="3"/>
    <x v="67"/>
    <x v="182"/>
    <n v="30000"/>
    <s v="KU Regular operations"/>
    <s v="Recurring"/>
    <n v="27000"/>
    <n v="24000"/>
    <n v="21000"/>
    <s v="Negligible"/>
    <s v="OK"/>
    <s v="Ok"/>
    <n v="5000"/>
    <n v="5000"/>
    <n v="5000"/>
    <n v="0"/>
    <n v="0"/>
    <n v="0"/>
    <n v="0"/>
    <n v="5000"/>
    <n v="0"/>
    <n v="5000"/>
    <n v="5000"/>
    <n v="0"/>
    <n v="30000"/>
    <s v="Promote a working culture of excellence and accountability"/>
    <m/>
  </r>
  <r>
    <n v="8470330"/>
    <s v="KUST - Electrical &amp; Computer Engineering"/>
    <n v="1"/>
    <n v="426610"/>
    <x v="41"/>
    <s v="000000"/>
    <s v="KUST - General"/>
    <n v="847001"/>
    <x v="1"/>
    <n v="200179"/>
    <s v="847.8470330.1.426610.000000.847001.200179"/>
    <n v="122131.96"/>
    <n v="720500"/>
    <n v="720500"/>
    <s v="426610-Computer software licenses-Software License Renewal"/>
    <s v="-_"/>
    <x v="26"/>
    <x v="115"/>
    <x v="183"/>
    <n v="710622"/>
    <s v="KU Regular operations"/>
    <s v="Recurring"/>
    <n v="639559.80000000005"/>
    <n v="568497.6"/>
    <n v="497435.39999999997"/>
    <s v="Inability to operate SW"/>
    <s v="Inability to operate SW"/>
    <s v="inability to operate SW"/>
    <n v="0"/>
    <n v="0"/>
    <n v="0"/>
    <n v="0"/>
    <n v="600000"/>
    <n v="0"/>
    <n v="110622"/>
    <n v="0"/>
    <n v="0"/>
    <n v="0"/>
    <n v="0"/>
    <n v="0"/>
    <n v="710622"/>
    <s v="Utilize state-of-the-art technologies and facilities in an optimal and efficient manner"/>
    <m/>
  </r>
  <r>
    <n v="8470330"/>
    <s v="KUST - Electrical &amp; Computer Engineering"/>
    <n v="1"/>
    <n v="428640"/>
    <x v="27"/>
    <s v="000000"/>
    <s v="KUST - General"/>
    <n v="847001"/>
    <x v="1"/>
    <n v="200179"/>
    <s v="847.8470330.1.428640.000000.847001.200179"/>
    <n v="4487.99"/>
    <n v="302000"/>
    <n v="302000"/>
    <s v="428640-Events - Awards, prizes &amp; gifts"/>
    <s v="-_"/>
    <x v="11"/>
    <x v="116"/>
    <x v="184"/>
    <n v="302000"/>
    <s v="KU Regular operations"/>
    <s v="Recurring"/>
    <n v="271800"/>
    <n v="241600"/>
    <n v="211400"/>
    <s v="Negligible"/>
    <s v="Events pursued by the leadership will be affected"/>
    <s v="Important events may be cancelled"/>
    <n v="0"/>
    <n v="0"/>
    <n v="0"/>
    <n v="0"/>
    <n v="2000"/>
    <n v="0"/>
    <n v="0"/>
    <n v="0"/>
    <n v="0"/>
    <n v="0"/>
    <n v="300000"/>
    <n v="0"/>
    <n v="302000"/>
    <s v="Develop a multidimensional program to attract and retain diverse outstanding students"/>
    <m/>
  </r>
  <r>
    <n v="8470330"/>
    <s v="KUST - Electrical &amp; Computer Engineering"/>
    <n v="1"/>
    <n v="432209"/>
    <x v="32"/>
    <s v="000000"/>
    <s v="KUST - General"/>
    <n v="847001"/>
    <x v="1"/>
    <n v="200179"/>
    <s v="847.8470330.1.432209.000000.847001.200179"/>
    <s v="-"/>
    <n v="67400"/>
    <n v="67400"/>
    <s v="432209-Laboratory equipment"/>
    <s v="-_"/>
    <x v="14"/>
    <x v="67"/>
    <x v="185"/>
    <n v="50000"/>
    <s v="KU Regular operations"/>
    <s v="Recurring"/>
    <n v="45000"/>
    <n v="40000"/>
    <n v="35000"/>
    <s v="May be able to negotiate"/>
    <s v="will impact maintenance"/>
    <s v="will impact operations"/>
    <n v="0"/>
    <n v="5000"/>
    <n v="5000"/>
    <n v="5000"/>
    <n v="5000"/>
    <n v="5000"/>
    <n v="5000"/>
    <n v="5000"/>
    <n v="5000"/>
    <n v="5000"/>
    <n v="5000"/>
    <n v="0"/>
    <n v="50000"/>
    <s v="Utilize state-of-the-art technologies and facilities in an optimal and efficient manner"/>
    <s v="Compared to FY22, Laboratory equipment increased 51%, dean of engineering increased by 79%, Petroleum by 69%, and Biomedical 55% increased"/>
  </r>
  <r>
    <n v="8470330"/>
    <s v="KUST - Electrical &amp; Computer Engineering"/>
    <n v="1"/>
    <n v="435350"/>
    <x v="33"/>
    <s v="000000"/>
    <s v="KUST - General"/>
    <n v="847001"/>
    <x v="1"/>
    <n v="200179"/>
    <s v="847.8470330.1.435350.000000.847001.200179"/>
    <n v="49194.96"/>
    <n v="420000"/>
    <n v="420000"/>
    <s v="435350-Academic Publications"/>
    <s v="-_"/>
    <x v="25"/>
    <x v="72"/>
    <x v="186"/>
    <n v="441000"/>
    <s v="KU Regular operations"/>
    <s v="Recurring"/>
    <n v="396900"/>
    <n v="352800"/>
    <n v="308700"/>
    <s v="Negligible"/>
    <s v="Reduce our exposure and citations"/>
    <s v="Detrimental "/>
    <n v="0"/>
    <n v="44100"/>
    <n v="44100"/>
    <n v="44100"/>
    <n v="44100"/>
    <n v="44100"/>
    <n v="44100"/>
    <n v="44100"/>
    <n v="44100"/>
    <n v="44100"/>
    <n v="44100"/>
    <n v="0"/>
    <n v="441000"/>
    <s v="Increase publications in journals with high impact factor"/>
    <m/>
  </r>
  <r>
    <n v="8470330"/>
    <s v="KUST - Electrical &amp; Computer Engineering"/>
    <n v="1"/>
    <n v="435508"/>
    <x v="34"/>
    <s v="000000"/>
    <s v="KUST - General"/>
    <n v="847001"/>
    <x v="1"/>
    <n v="200179"/>
    <s v="847.8470330.1.435508.000000.847001.200179"/>
    <n v="82455.460000000006"/>
    <n v="20000"/>
    <n v="20000"/>
    <s v="435508-Laboratory - Scientific"/>
    <s v="-_"/>
    <x v="10"/>
    <x v="35"/>
    <x v="187"/>
    <n v="80000"/>
    <s v="KU Regular operations"/>
    <s v="Recurring"/>
    <n v="72000"/>
    <n v="64000"/>
    <n v="56000"/>
    <s v="Negligible"/>
    <s v="May impact our equipment"/>
    <s v="will impact our equipment"/>
    <n v="0"/>
    <n v="8000"/>
    <n v="8000"/>
    <n v="8000"/>
    <n v="8000"/>
    <n v="8000"/>
    <n v="8000"/>
    <n v="8000"/>
    <n v="8000"/>
    <n v="8000"/>
    <n v="8000"/>
    <n v="0"/>
    <n v="80000"/>
    <s v="Utilize state-of-the-art technologies and facilities in an optimal and efficient manner"/>
    <m/>
  </r>
  <r>
    <n v="8470330"/>
    <s v="KUST - Electrical &amp; Computer Engineering"/>
    <n v="1"/>
    <n v="436600"/>
    <x v="35"/>
    <s v="000000"/>
    <s v="KUST - General"/>
    <n v="847001"/>
    <x v="1"/>
    <n v="200179"/>
    <s v="847.8470330.1.436600.000000.847001.200179"/>
    <n v="0"/>
    <n v="60000"/>
    <n v="60000"/>
    <s v="436600-Training/Teaching equipment and other educational aid"/>
    <s v="-_"/>
    <x v="11"/>
    <x v="117"/>
    <x v="188"/>
    <n v="16000"/>
    <s v="KU Regular operations"/>
    <s v="Recurring"/>
    <n v="14400"/>
    <n v="12800"/>
    <n v="11200"/>
    <s v="Inability to access Server"/>
    <s v="Inability to access Server"/>
    <s v="Inability to access Server"/>
    <n v="0"/>
    <n v="0"/>
    <n v="0"/>
    <n v="0"/>
    <n v="0"/>
    <n v="8000"/>
    <n v="0"/>
    <n v="0"/>
    <n v="0"/>
    <n v="0"/>
    <n v="8000"/>
    <n v="0"/>
    <n v="16000"/>
    <s v="Utilize state-of-the-art technologies and facilities in an optimal and efficient manner"/>
    <m/>
  </r>
  <r>
    <n v="8470330"/>
    <s v="KUST - Electrical &amp; Computer Engineering"/>
    <n v="1"/>
    <n v="492316"/>
    <x v="19"/>
    <s v="000000"/>
    <s v="KUST - General"/>
    <n v="847001"/>
    <x v="2"/>
    <n v="300180"/>
    <s v="847.8470330.1.492316.000000.847001.300180"/>
    <n v="228093.3"/>
    <n v="456796"/>
    <n v="456796"/>
    <s v="492316-Laboratory equipment"/>
    <s v="-_"/>
    <x v="26"/>
    <x v="118"/>
    <x v="189"/>
    <n v="1041552"/>
    <s v="KU Regular operations"/>
    <s v="Recurring"/>
    <n v="937396.8"/>
    <n v="833241.60000000009"/>
    <n v="729086.39999999991"/>
    <s v="Negligible"/>
    <s v="May impact our equipment"/>
    <s v="will impact our equipment"/>
    <n v="0"/>
    <n v="0"/>
    <n v="0"/>
    <m/>
    <n v="1041552"/>
    <n v="0"/>
    <n v="0"/>
    <n v="0"/>
    <n v="0"/>
    <n v="0"/>
    <n v="0"/>
    <n v="0"/>
    <n v="1041552"/>
    <s v="Utilize state-of-the-art technologies and facilities in an optimal and efficient manner"/>
    <s v="Compared to FY22 budget has significantly increased by 42% for CoE; most of CoE increased their funding in the range of 40%-74%, except for ME and CE."/>
  </r>
  <r>
    <n v="8470335"/>
    <s v="KUST - Industrial &amp; Systems Engineering"/>
    <n v="1"/>
    <n v="420550"/>
    <x v="20"/>
    <s v="000000"/>
    <s v="KUST - General"/>
    <n v="847001"/>
    <x v="1"/>
    <n v="200179"/>
    <s v="847.8470335.1.420550.000000.847001.200179"/>
    <s v="-"/>
    <n v="10000"/>
    <n v="6800"/>
    <s v="420550.Academic Advisory Service-Number of Students-Number"/>
    <s v="Number"/>
    <x v="11"/>
    <x v="88"/>
    <x v="190"/>
    <n v="12000"/>
    <s v="KU Regular operations"/>
    <s v="Recurring"/>
    <n v="10800"/>
    <n v="9600"/>
    <n v="8400"/>
    <s v="no significant impact"/>
    <s v="minimum impact"/>
    <s v="reduce support"/>
    <m/>
    <m/>
    <n v="6000"/>
    <m/>
    <m/>
    <m/>
    <m/>
    <m/>
    <m/>
    <m/>
    <n v="6000"/>
    <m/>
    <n v="12000"/>
    <s v="Align academic programs with the local and global labor market needs"/>
    <m/>
  </r>
  <r>
    <n v="8470335"/>
    <s v="KUST - Industrial &amp; Systems Engineering"/>
    <n v="1"/>
    <n v="425510"/>
    <x v="23"/>
    <s v="000000"/>
    <s v="KUST - General"/>
    <n v="847001"/>
    <x v="1"/>
    <n v="200179"/>
    <s v="847.8470335.1.425510.000000.847001.200179"/>
    <s v="-"/>
    <n v="20000"/>
    <n v="18500"/>
    <s v="425500.Conferences, seminars and exhibitions and other events:-Number of events &amp; attendees-Number of Number of events &amp; attendees"/>
    <s v="Number of Number of events &amp; attendees"/>
    <x v="14"/>
    <x v="103"/>
    <x v="191"/>
    <n v="20000"/>
    <s v="KU Regular operations"/>
    <s v="Recurring"/>
    <n v="18000"/>
    <n v="16000"/>
    <n v="14000"/>
    <s v="no significant impact"/>
    <s v="No significant impact"/>
    <s v="significant impact"/>
    <m/>
    <m/>
    <m/>
    <m/>
    <n v="10000"/>
    <m/>
    <m/>
    <m/>
    <m/>
    <n v="10000"/>
    <m/>
    <m/>
    <n v="20000"/>
    <s v="Attract and organize international conferences and summits"/>
    <m/>
  </r>
  <r>
    <n v="8470335"/>
    <s v="KUST - Industrial &amp; Systems Engineering"/>
    <n v="1"/>
    <n v="425760"/>
    <x v="29"/>
    <s v="000000"/>
    <s v="KUST - General"/>
    <n v="847001"/>
    <x v="1"/>
    <n v="200179"/>
    <s v="847.8470335.1.425760.000000.847001.200179"/>
    <s v="-"/>
    <n v="10000"/>
    <n v="3800"/>
    <s v="425761.Student Field trips-Number of Students UG-Month"/>
    <s v="Month"/>
    <x v="17"/>
    <x v="90"/>
    <x v="192"/>
    <n v="10000"/>
    <s v="KU Regular operations"/>
    <s v="Recurring"/>
    <n v="9000"/>
    <n v="8000"/>
    <n v="7000"/>
    <s v="no significant impact"/>
    <s v="No significant impact"/>
    <s v="reduce student support"/>
    <m/>
    <m/>
    <m/>
    <n v="5000"/>
    <m/>
    <m/>
    <m/>
    <m/>
    <m/>
    <n v="5000"/>
    <m/>
    <m/>
    <n v="10000"/>
    <s v="Align academic programs with the local and global labor market needs"/>
    <m/>
  </r>
  <r>
    <n v="8470335"/>
    <s v="KUST - Industrial &amp; Systems Engineering"/>
    <n v="1"/>
    <n v="425763"/>
    <x v="30"/>
    <s v="000000"/>
    <s v="KUST - General"/>
    <n v="847001"/>
    <x v="1"/>
    <n v="200179"/>
    <s v="847.8470335.1.425763.000000.847001.200179"/>
    <n v="24127.64"/>
    <n v="50000"/>
    <n v="50000"/>
    <s v="425763.Student Project Expenses-Number of Students UG-Month"/>
    <s v="Month"/>
    <x v="23"/>
    <x v="103"/>
    <x v="193"/>
    <n v="80000"/>
    <s v="KU Regular operations"/>
    <s v="Recurring"/>
    <n v="72000"/>
    <n v="64000"/>
    <n v="56000"/>
    <s v="Full amount required. May need to transfer remaining amount from other expenses"/>
    <s v="Full amount required. May need to transfer remaining amount from other expenses"/>
    <s v="Full amount required. May need to transfer remaining amount from other expenses"/>
    <m/>
    <m/>
    <m/>
    <m/>
    <n v="30000"/>
    <m/>
    <m/>
    <m/>
    <n v="50000"/>
    <m/>
    <m/>
    <m/>
    <n v="80000"/>
    <s v="Align academic programs with the local and global labor market needs"/>
    <m/>
  </r>
  <r>
    <n v="8470335"/>
    <s v="KUST - Industrial &amp; Systems Engineering"/>
    <n v="1"/>
    <n v="425770"/>
    <x v="31"/>
    <s v="000000"/>
    <s v="KUST - General"/>
    <n v="847001"/>
    <x v="1"/>
    <n v="200179"/>
    <s v="847.8470335.1.425770.000000.847001.200179"/>
    <n v="-3762.15"/>
    <n v="270000"/>
    <n v="260000"/>
    <s v="425770.Academic Missions - Combined expenses-Number of Conference-Number"/>
    <s v="Number"/>
    <x v="20"/>
    <x v="31"/>
    <x v="194"/>
    <n v="400000"/>
    <s v="KU Regular operations"/>
    <s v="Recurring"/>
    <n v="360000"/>
    <n v="320000"/>
    <n v="280000"/>
    <s v="no significant impact"/>
    <s v="reduce faculty publication and researcj support"/>
    <s v="reduce faculty publication and researcj support"/>
    <m/>
    <m/>
    <n v="20000"/>
    <n v="40000"/>
    <m/>
    <n v="120000"/>
    <n v="120000"/>
    <m/>
    <m/>
    <n v="60000"/>
    <n v="40000"/>
    <m/>
    <n v="400000"/>
    <s v="Increase publications in journals with high impact factor"/>
    <s v="Compared to FY22, the Academic mission expense increased by 32%, and especially the Dean of Engineering and Electrical &amp; computer Engg department increased their statements by 39% to 48%. The rest of the departments in CoE increased by 25% to 33%."/>
  </r>
  <r>
    <n v="8470335"/>
    <s v="KUST - Industrial &amp; Systems Engineering"/>
    <n v="1"/>
    <n v="425900"/>
    <x v="26"/>
    <s v="000000"/>
    <s v="KUST - General"/>
    <n v="847001"/>
    <x v="1"/>
    <n v="200179"/>
    <s v="847.8470335.1.425900.000000.847001.200179"/>
    <s v="-"/>
    <n v="20000"/>
    <n v="15500"/>
    <s v="425900.Entertainment and hospitality-1. No of events/workshops planned-count"/>
    <s v="count"/>
    <x v="3"/>
    <x v="88"/>
    <x v="195"/>
    <n v="36000"/>
    <s v="KU Regular operations"/>
    <s v="Recurring"/>
    <n v="32400"/>
    <n v="28800"/>
    <n v="25200"/>
    <s v="no significant impact"/>
    <s v="No significant impact"/>
    <s v="reduce number of supported faculty"/>
    <m/>
    <n v="6000"/>
    <n v="6000"/>
    <n v="6000"/>
    <m/>
    <m/>
    <m/>
    <m/>
    <m/>
    <n v="6000"/>
    <n v="6000"/>
    <n v="6000"/>
    <n v="36000"/>
    <s v="Develop a new learning outcomes assessment framework at the course, programs, and institutional levels"/>
    <m/>
  </r>
  <r>
    <n v="8470335"/>
    <s v="KUST - Industrial &amp; Systems Engineering"/>
    <n v="1"/>
    <n v="426610"/>
    <x v="4"/>
    <s v="000000"/>
    <s v="KUST - General"/>
    <n v="847001"/>
    <x v="1"/>
    <n v="200179"/>
    <s v="847.8470335.1.426610.000000.847001.200179"/>
    <n v="134361.95000000001"/>
    <n v="150257"/>
    <n v="150000"/>
    <s v="426610.Computer software licenses-Software License Renewal-service level agreement-Service"/>
    <s v="Service"/>
    <x v="27"/>
    <x v="88"/>
    <x v="196"/>
    <n v="198000"/>
    <s v="KU Regular operations"/>
    <s v="Recurring"/>
    <n v="178200"/>
    <n v="158400"/>
    <n v="138600"/>
    <s v="Full amount required. May need to transfer remaining amount from other expenses"/>
    <s v="Full amount required. May need to transfer remaining amount from other expenses"/>
    <s v="Full amount required. May need to transfer remaining amount from other expenses"/>
    <m/>
    <m/>
    <n v="84000"/>
    <n v="15000"/>
    <m/>
    <m/>
    <m/>
    <m/>
    <n v="84000"/>
    <n v="15000"/>
    <m/>
    <m/>
    <n v="198000"/>
    <s v="Align academic programs with the local and global labor market needs"/>
    <m/>
  </r>
  <r>
    <n v="8470335"/>
    <s v="KUST - Industrial &amp; Systems Engineering"/>
    <n v="1"/>
    <n v="428090"/>
    <x v="7"/>
    <s v="000000"/>
    <s v="KUST - General"/>
    <n v="847001"/>
    <x v="1"/>
    <n v="200179"/>
    <s v="847.8470335.1.428090.000000.847001.200179"/>
    <s v="-"/>
    <n v="40000"/>
    <n v="15000"/>
    <s v="428090.Business Travel - Combined expenses-Number of Staff-Number"/>
    <s v="Number"/>
    <x v="1"/>
    <x v="20"/>
    <x v="197"/>
    <n v="45000"/>
    <s v="KU Regular operations"/>
    <s v="Recurring"/>
    <n v="40500"/>
    <n v="36000"/>
    <n v="31499.999999999996"/>
    <s v="no significant impact"/>
    <s v="No significant impact"/>
    <s v="reduce travel days"/>
    <m/>
    <m/>
    <m/>
    <n v="45000"/>
    <m/>
    <m/>
    <m/>
    <m/>
    <m/>
    <m/>
    <m/>
    <m/>
    <n v="45000"/>
    <s v="Build partnerships with local and international universities"/>
    <m/>
  </r>
  <r>
    <n v="8470335"/>
    <s v="KUST - Industrial &amp; Systems Engineering"/>
    <n v="1"/>
    <n v="435350"/>
    <x v="33"/>
    <s v="000000"/>
    <s v="KUST - General"/>
    <n v="847001"/>
    <x v="1"/>
    <n v="200179"/>
    <s v="847.8470335.1.435350.000000.847001.200179"/>
    <n v="22479.86"/>
    <n v="51520"/>
    <n v="51000"/>
    <s v="435350.Academic Publications-Number of Publications-Number"/>
    <s v="Number"/>
    <x v="14"/>
    <x v="119"/>
    <x v="198"/>
    <n v="65000"/>
    <s v="KU Regular operations"/>
    <s v="Recurring"/>
    <n v="58500"/>
    <n v="52000"/>
    <n v="45500"/>
    <s v="no significant impact"/>
    <s v="reduce number of publications"/>
    <s v="reduce number of publications"/>
    <m/>
    <n v="13000"/>
    <n v="13000"/>
    <n v="13000"/>
    <m/>
    <m/>
    <m/>
    <m/>
    <n v="13000"/>
    <n v="13000"/>
    <m/>
    <m/>
    <n v="65000"/>
    <s v="Increase publications in journals with high impact factor"/>
    <m/>
  </r>
  <r>
    <n v="8470335"/>
    <s v="KUST - Industrial &amp; Systems Engineering"/>
    <n v="1"/>
    <n v="435508"/>
    <x v="34"/>
    <s v="000000"/>
    <s v="KUST - General"/>
    <n v="847001"/>
    <x v="1"/>
    <n v="200179"/>
    <s v="847.8470335.1.435508.000000.847001.200179"/>
    <n v="66171.5"/>
    <n v="139000"/>
    <n v="139000"/>
    <s v="435508.Laboratory - Scientific-Number of Faculty-Number"/>
    <s v="Number"/>
    <x v="9"/>
    <x v="120"/>
    <x v="199"/>
    <n v="205500"/>
    <s v="KU Strategic New Initiative"/>
    <s v="Non-recurring"/>
    <n v="184950"/>
    <n v="164400"/>
    <n v="143850"/>
    <s v="Full amount required. May need to transfer remaining amount from other expenses"/>
    <s v="Full amount required. May need to transfer remaining amount from other expenses"/>
    <s v="Full amount required. May need to transfer remaining amount from other expenses"/>
    <m/>
    <m/>
    <n v="105500"/>
    <m/>
    <n v="100000"/>
    <m/>
    <m/>
    <m/>
    <m/>
    <m/>
    <m/>
    <m/>
    <n v="205500"/>
    <s v="Utilize state-of-the-art technologies and facilities in an optimal and efficient manner"/>
    <m/>
  </r>
  <r>
    <n v="8470335"/>
    <s v="KUST - Industrial &amp; Systems Engineering"/>
    <n v="1"/>
    <n v="436110"/>
    <x v="12"/>
    <s v="000000"/>
    <s v="KUST - General"/>
    <n v="847001"/>
    <x v="1"/>
    <n v="200179"/>
    <s v="847.8470335.1.436110.000000.847001.200179"/>
    <n v="0"/>
    <n v="4000"/>
    <n v="4000"/>
    <s v="427200.Printing and publishing-The printing cost of the department's publications-count"/>
    <s v="count"/>
    <x v="7"/>
    <x v="121"/>
    <x v="200"/>
    <n v="8750"/>
    <s v="KU Regular operations"/>
    <s v="Recurring"/>
    <n v="7875"/>
    <n v="7000"/>
    <n v="6125"/>
    <s v="no significant impact"/>
    <s v="minimum impact"/>
    <s v="no significant "/>
    <m/>
    <m/>
    <n v="1750"/>
    <n v="1750"/>
    <m/>
    <m/>
    <m/>
    <n v="1750"/>
    <n v="1750"/>
    <n v="1750"/>
    <m/>
    <m/>
    <n v="8750"/>
    <s v="Utilize state-of-the-art technologies and facilities in an optimal and efficient manner"/>
    <m/>
  </r>
  <r>
    <n v="8470335"/>
    <s v="KUST - Industrial &amp; Systems Engineering"/>
    <n v="1"/>
    <n v="436600"/>
    <x v="35"/>
    <s v="000000"/>
    <s v="KUST - General"/>
    <n v="847001"/>
    <x v="1"/>
    <n v="200179"/>
    <s v="847.8470335.1.436600.000000.847001.200179"/>
    <n v="11192.69"/>
    <n v="12000"/>
    <n v="11850"/>
    <s v="436600.Training/Teaching equipment and other educational aid-Number of Faculty-Number"/>
    <s v="Number"/>
    <x v="9"/>
    <x v="38"/>
    <x v="201"/>
    <n v="12000"/>
    <s v="KU Regular operations"/>
    <s v="Recurring"/>
    <n v="10800"/>
    <n v="9600"/>
    <n v="8400"/>
    <s v="no significant impact"/>
    <s v="minimum impact"/>
    <s v="reduce support for teaching aids"/>
    <m/>
    <m/>
    <n v="4000"/>
    <m/>
    <n v="4000"/>
    <m/>
    <m/>
    <m/>
    <m/>
    <n v="4000"/>
    <m/>
    <m/>
    <n v="12000"/>
    <s v="Promote a working culture of excellence and accountability"/>
    <m/>
  </r>
  <r>
    <n v="8470335"/>
    <s v="KUST - Industrial &amp; Systems Engineering"/>
    <n v="1"/>
    <n v="492316"/>
    <x v="19"/>
    <s v="000000"/>
    <s v="KUST - General"/>
    <n v="847001"/>
    <x v="2"/>
    <n v="300180"/>
    <s v="847.8470335.1.492316.000000.847001.300180"/>
    <n v="31330"/>
    <n v="234334"/>
    <n v="234000"/>
    <s v="492316.Laboratory equipment-Number of Students-Number"/>
    <s v="Number"/>
    <x v="11"/>
    <x v="122"/>
    <x v="202"/>
    <n v="290000"/>
    <s v="KU Strategic New Initiative"/>
    <s v="Non-recurring"/>
    <n v="261000"/>
    <n v="232000"/>
    <n v="203000"/>
    <s v="Full amount required. May need to transfer remaining amount from other expenses"/>
    <s v="reduce functionality of infrastructure"/>
    <s v="reduce lab functionalities for teaching "/>
    <m/>
    <m/>
    <n v="145000"/>
    <m/>
    <n v="145000"/>
    <m/>
    <m/>
    <m/>
    <m/>
    <m/>
    <m/>
    <m/>
    <n v="290000"/>
    <s v="Align academic programs with the local and global labor market needs"/>
    <s v="Compared to FY22 budget has significantly increased by 42% for CoE; most of CoE increased their funding in the range of 40%-74%, except for ME and CE."/>
  </r>
  <r>
    <n v="8470340"/>
    <s v="KUST - Mechanical Engineering"/>
    <n v="1"/>
    <n v="420550"/>
    <x v="20"/>
    <s v="000000"/>
    <s v="KUST - General"/>
    <n v="847001"/>
    <x v="1"/>
    <n v="200179"/>
    <s v="847.8470340.1.420550.000000.847001.200179"/>
    <s v="-"/>
    <n v="3000"/>
    <n v="3000"/>
    <s v="420550.Academic Advisory Service-Number of Students-Number"/>
    <s v="Number"/>
    <x v="1"/>
    <x v="74"/>
    <x v="203"/>
    <n v="3000"/>
    <s v="KU Regular operations"/>
    <s v="Recurring"/>
    <n v="2700"/>
    <n v="2400"/>
    <n v="2100"/>
    <s v="minimal"/>
    <s v="minimal"/>
    <s v="minimal"/>
    <m/>
    <m/>
    <m/>
    <m/>
    <m/>
    <m/>
    <m/>
    <m/>
    <m/>
    <m/>
    <m/>
    <n v="3000"/>
    <n v="3000"/>
    <s v="Align academic programs with the local and global labor market needs"/>
    <m/>
  </r>
  <r>
    <n v="8470340"/>
    <s v="KUST - Mechanical Engineering"/>
    <n v="1"/>
    <n v="425510"/>
    <x v="23"/>
    <s v="000000"/>
    <s v="KUST - General"/>
    <n v="847001"/>
    <x v="1"/>
    <n v="200179"/>
    <s v="847.8470340.1.425510.000000.847001.200179"/>
    <s v="-"/>
    <n v="10000"/>
    <n v="10000"/>
    <s v="425510.Conferences, seminars and exhibitions and other events: - Local Events-The area of rented halls for events, seminars, and exhibition.-2m"/>
    <s v="2m"/>
    <x v="1"/>
    <x v="35"/>
    <x v="204"/>
    <n v="10000"/>
    <s v="KU Regular operations"/>
    <s v="Recurring"/>
    <n v="9000"/>
    <n v="8000"/>
    <n v="7000"/>
    <s v="minimal"/>
    <s v="minimal"/>
    <s v="minimal"/>
    <m/>
    <m/>
    <m/>
    <m/>
    <n v="5000"/>
    <m/>
    <m/>
    <m/>
    <m/>
    <m/>
    <n v="5000"/>
    <m/>
    <n v="10000"/>
    <s v="Develop a life-long culture of community service beyond the classroom "/>
    <m/>
  </r>
  <r>
    <n v="8470340"/>
    <s v="KUST - Mechanical Engineering"/>
    <n v="1"/>
    <n v="425720"/>
    <x v="38"/>
    <s v="000000"/>
    <s v="KUST - General"/>
    <n v="847001"/>
    <x v="1"/>
    <n v="200179"/>
    <s v="847.8470340.1.425720.000000.847001.200179"/>
    <s v="-"/>
    <n v="30000"/>
    <n v="10000"/>
    <s v="425720.Education-Outsourced training service-Activities-No of Activities"/>
    <s v="No of Activities"/>
    <x v="11"/>
    <x v="67"/>
    <x v="205"/>
    <n v="10000"/>
    <m/>
    <s v="Recurring"/>
    <n v="9000"/>
    <n v="8000"/>
    <n v="7000"/>
    <s v="minimal"/>
    <s v="modest"/>
    <s v="modest"/>
    <m/>
    <m/>
    <m/>
    <n v="5000"/>
    <m/>
    <m/>
    <m/>
    <m/>
    <m/>
    <n v="5000"/>
    <m/>
    <m/>
    <n v="10000"/>
    <s v="Utilize state-of-the-art technologies and facilities in an optimal and efficient manner"/>
    <m/>
  </r>
  <r>
    <n v="8470340"/>
    <s v="KUST - Mechanical Engineering"/>
    <n v="1"/>
    <n v="425760"/>
    <x v="29"/>
    <s v="000000"/>
    <s v="KUST - General"/>
    <n v="847001"/>
    <x v="1"/>
    <n v="200179"/>
    <s v="847.8470340.1.425760.000000.847001.200179"/>
    <s v="-"/>
    <n v="12000"/>
    <n v="32000"/>
    <s v="425760.Student activities &amp; field trip expenses-Students-No of Students"/>
    <s v="No of Students"/>
    <x v="3"/>
    <x v="103"/>
    <x v="206"/>
    <n v="12000"/>
    <s v="KU Regular operations"/>
    <s v="Recurring"/>
    <n v="10800"/>
    <n v="9600"/>
    <n v="8400"/>
    <s v="minimal"/>
    <s v="modest"/>
    <s v="modest"/>
    <m/>
    <n v="2000"/>
    <m/>
    <n v="2000"/>
    <n v="2000"/>
    <m/>
    <m/>
    <m/>
    <n v="2000"/>
    <n v="2000"/>
    <n v="2000"/>
    <m/>
    <n v="12000"/>
    <s v="Align academic programs with the local and global labor market needs"/>
    <m/>
  </r>
  <r>
    <n v="8470340"/>
    <s v="KUST - Mechanical Engineering"/>
    <n v="1"/>
    <n v="425763"/>
    <x v="30"/>
    <s v="000000"/>
    <s v="KUST - General"/>
    <n v="847001"/>
    <x v="1"/>
    <n v="200179"/>
    <s v="847.8470340.1.425763.000000.847001.200179"/>
    <n v="252926.41"/>
    <n v="480000"/>
    <n v="480000"/>
    <s v="425763.Student Project Expenses-Number of Students UG-Month"/>
    <s v="Month"/>
    <x v="28"/>
    <x v="67"/>
    <x v="207"/>
    <n v="500000"/>
    <s v="KU Regular operations"/>
    <s v="Recurring"/>
    <n v="450000"/>
    <n v="400000"/>
    <n v="350000"/>
    <s v="modest"/>
    <s v="serious"/>
    <s v="very serious"/>
    <m/>
    <n v="150000"/>
    <m/>
    <n v="100000"/>
    <m/>
    <m/>
    <m/>
    <m/>
    <n v="150000"/>
    <m/>
    <n v="100000"/>
    <m/>
    <n v="500000"/>
    <s v="Align academic programs with the local and global labor market needs"/>
    <m/>
  </r>
  <r>
    <n v="8470340"/>
    <s v="KUST - Mechanical Engineering"/>
    <n v="1"/>
    <n v="425770"/>
    <x v="31"/>
    <s v="000000"/>
    <s v="KUST - General"/>
    <n v="847001"/>
    <x v="1"/>
    <n v="200179"/>
    <s v="847.8470340.1.425770.000000.847001.200179"/>
    <n v="30017.78"/>
    <n v="630000"/>
    <n v="630000"/>
    <s v="425770.Academic Missions - Combined expenses-Number of Conference-Number"/>
    <s v="Number"/>
    <x v="19"/>
    <x v="31"/>
    <x v="208"/>
    <n v="700000"/>
    <s v="KU Regular operations"/>
    <s v="Recurring"/>
    <n v="630000"/>
    <n v="560000"/>
    <n v="489999.99999999994"/>
    <s v="modest"/>
    <s v="serious"/>
    <s v="very serious"/>
    <m/>
    <n v="70000"/>
    <n v="70000"/>
    <n v="70000"/>
    <n v="70000"/>
    <n v="70000"/>
    <n v="70000"/>
    <n v="70000"/>
    <n v="70000"/>
    <n v="70000"/>
    <n v="70000"/>
    <m/>
    <n v="700000"/>
    <s v="Recruit and retain high caliber faculty, researchers and staff"/>
    <s v="Compared to FY22, the Academic mission expense increased by 32%, and especially the Dean of Engineering and Electrical &amp; computer Engg department increased their statements by 39% to 48%. The rest of the departments in CoE increased by 25% to 33%."/>
  </r>
  <r>
    <n v="8470340"/>
    <s v="KUST - Mechanical Engineering"/>
    <n v="1"/>
    <n v="425900"/>
    <x v="26"/>
    <s v="000000"/>
    <s v="KUST - General"/>
    <n v="847001"/>
    <x v="1"/>
    <n v="200179"/>
    <s v="847.8470340.1.425900.000000.847001.200179"/>
    <s v="-"/>
    <n v="54000"/>
    <n v="54000"/>
    <s v="425900.Entertainment and hospitality-1. No of events/workshops planned-count"/>
    <s v="count"/>
    <x v="11"/>
    <x v="35"/>
    <x v="209"/>
    <n v="20000"/>
    <s v="KU Regular operations"/>
    <s v="Recurring"/>
    <n v="18000"/>
    <n v="16000"/>
    <n v="14000"/>
    <s v="minimal"/>
    <s v="minimal"/>
    <s v="minimal"/>
    <m/>
    <m/>
    <n v="10000"/>
    <m/>
    <m/>
    <m/>
    <m/>
    <m/>
    <m/>
    <m/>
    <n v="10000"/>
    <m/>
    <n v="20000"/>
    <s v="Recruit and retain high caliber faculty, researchers and staff"/>
    <m/>
  </r>
  <r>
    <n v="8470340"/>
    <s v="KUST - Mechanical Engineering"/>
    <n v="1"/>
    <n v="426610"/>
    <x v="4"/>
    <s v="000000"/>
    <s v="KUST - General"/>
    <n v="847001"/>
    <x v="1"/>
    <n v="200179"/>
    <s v="847.8470340.1.426610.000000.847001.200179"/>
    <n v="167257"/>
    <n v="210000"/>
    <n v="210000"/>
    <s v="426610.Computer software licenses-Software License Renewal-number of licenses-Number"/>
    <s v="Number"/>
    <x v="1"/>
    <x v="123"/>
    <x v="210"/>
    <n v="230000"/>
    <s v="KU Regular operations"/>
    <s v="Recurring"/>
    <n v="207000"/>
    <n v="184000"/>
    <n v="161000"/>
    <s v="very serious"/>
    <s v="very serious"/>
    <s v="very serious"/>
    <m/>
    <n v="115000"/>
    <m/>
    <m/>
    <n v="115000"/>
    <m/>
    <m/>
    <m/>
    <m/>
    <m/>
    <m/>
    <m/>
    <n v="230000"/>
    <s v="Align academic programs with the local and global labor market needs"/>
    <m/>
  </r>
  <r>
    <n v="8470340"/>
    <s v="KUST - Mechanical Engineering"/>
    <n v="1"/>
    <n v="432209"/>
    <x v="32"/>
    <s v="000000"/>
    <s v="KUST - General"/>
    <n v="847001"/>
    <x v="1"/>
    <n v="200179"/>
    <s v="847.8470340.1.432209.000000.847001.200179"/>
    <n v="44819.01"/>
    <n v="80000"/>
    <n v="80000"/>
    <s v="432209.Laboratory equipment-Number of Students-Number"/>
    <s v="Number"/>
    <x v="1"/>
    <x v="124"/>
    <x v="211"/>
    <n v="80000"/>
    <s v="KU Regular operations"/>
    <s v="Recurring"/>
    <n v="72000"/>
    <n v="64000"/>
    <n v="56000"/>
    <s v="modest"/>
    <s v="very serious- crucial maintenance may not be possible."/>
    <s v="very serious- crucial maintenance may not be possible."/>
    <n v="80000"/>
    <m/>
    <m/>
    <m/>
    <m/>
    <m/>
    <m/>
    <m/>
    <m/>
    <m/>
    <m/>
    <m/>
    <n v="80000"/>
    <s v="Utilize state-of-the-art technologies and facilities in an optimal and efficient manner"/>
    <s v="Compared to FY22, Laboratory equipment increased 51%, dean of engineering increased by 79%, Petroleum by 69%, and Biomedical 55% increased"/>
  </r>
  <r>
    <n v="8470340"/>
    <s v="KUST - Mechanical Engineering"/>
    <n v="1"/>
    <n v="435350"/>
    <x v="33"/>
    <s v="000000"/>
    <s v="KUST - General"/>
    <n v="847001"/>
    <x v="1"/>
    <n v="200179"/>
    <s v="847.8470340.1.435350.000000.847001.200179"/>
    <n v="98140.64"/>
    <n v="336000"/>
    <n v="350000"/>
    <s v="427200.Printing and publishing-The printing cost of the department's publications-count"/>
    <s v="count"/>
    <x v="19"/>
    <x v="35"/>
    <x v="212"/>
    <n v="350000"/>
    <s v="KU Regular operations"/>
    <s v="Recurring"/>
    <n v="315000"/>
    <n v="280000"/>
    <n v="244999.99999999997"/>
    <s v="serious"/>
    <s v="serious"/>
    <s v="serious"/>
    <n v="25000"/>
    <n v="30000"/>
    <n v="30000"/>
    <n v="30000"/>
    <n v="30000"/>
    <n v="30000"/>
    <n v="30000"/>
    <n v="30000"/>
    <n v="30000"/>
    <n v="30000"/>
    <n v="30000"/>
    <n v="25000"/>
    <n v="350000"/>
    <s v="Recruit and retain high caliber faculty, researchers and staff"/>
    <m/>
  </r>
  <r>
    <n v="8470340"/>
    <s v="KUST - Mechanical Engineering"/>
    <n v="1"/>
    <n v="435508"/>
    <x v="34"/>
    <s v="000000"/>
    <s v="KUST - General"/>
    <n v="847001"/>
    <x v="1"/>
    <n v="200179"/>
    <s v="847.8470340.1.435508.000000.847001.200179"/>
    <n v="71573.960000000006"/>
    <n v="264000"/>
    <n v="250000"/>
    <s v="432209.Laboratory equipment-Number of Students-Number"/>
    <s v="Number"/>
    <x v="0"/>
    <x v="31"/>
    <x v="213"/>
    <n v="240000"/>
    <s v="KU Regular operations"/>
    <s v="Recurring"/>
    <n v="216000"/>
    <n v="192000"/>
    <n v="168000"/>
    <s v="modest"/>
    <s v="modest"/>
    <s v="serious"/>
    <n v="20000"/>
    <n v="20000"/>
    <n v="20000"/>
    <n v="20000"/>
    <n v="20000"/>
    <n v="20000"/>
    <n v="20000"/>
    <n v="20000"/>
    <n v="20000"/>
    <n v="20000"/>
    <n v="20000"/>
    <n v="20000"/>
    <n v="240000"/>
    <s v="Utilize state-of-the-art technologies and facilities in an optimal and efficient manner"/>
    <m/>
  </r>
  <r>
    <n v="8470340"/>
    <s v="KUST - Mechanical Engineering"/>
    <n v="1"/>
    <n v="492316"/>
    <x v="19"/>
    <s v="000000"/>
    <s v="KUST - General"/>
    <n v="847001"/>
    <x v="2"/>
    <n v="300180"/>
    <s v="847.8470340.1.492316.000000.847001.300180"/>
    <n v="267712"/>
    <n v="533159"/>
    <n v="533159"/>
    <s v="432209.Laboratory equipment-Number of Faculty-Number"/>
    <s v="Number"/>
    <x v="1"/>
    <x v="125"/>
    <x v="214"/>
    <n v="185000"/>
    <s v="KU Strategic New Initiative"/>
    <s v="Non-recurring"/>
    <n v="166500"/>
    <n v="148000"/>
    <n v="129499.99999999999"/>
    <s v="modest"/>
    <s v="very serious -the acquisition will most probably not be possible"/>
    <s v="very serious -the acquisition will most probably not be possible"/>
    <m/>
    <m/>
    <n v="185000"/>
    <m/>
    <m/>
    <m/>
    <m/>
    <m/>
    <m/>
    <m/>
    <m/>
    <m/>
    <n v="185000"/>
    <s v="Align academic programs with the local and global labor market needs"/>
    <s v="Compared to FY22 budget has significantly increased by 42% for CoE; most of CoE increased their funding in the range of 40%-74%, except for ME and CE."/>
  </r>
  <r>
    <n v="8470340"/>
    <s v="KUST - Mechanical Engineering"/>
    <n v="1"/>
    <n v="492316"/>
    <x v="19"/>
    <s v="000000"/>
    <s v="KUST - General"/>
    <n v="847001"/>
    <x v="2"/>
    <n v="300180"/>
    <s v="847.8470340.1.492316.000000.847001.300180"/>
    <m/>
    <m/>
    <m/>
    <s v="432209.Laboratory equipment-Number of Faculty-Number"/>
    <s v="Number"/>
    <x v="1"/>
    <x v="49"/>
    <x v="215"/>
    <n v="90000"/>
    <s v="KU Strategic New Initiative"/>
    <s v="Non-recurring"/>
    <n v="81000"/>
    <n v="72000"/>
    <n v="62999.999999999993"/>
    <s v="modest"/>
    <s v="very serious -the acquisition will most probably not be possible"/>
    <s v="very serious -the acquisition will most probably not be possible"/>
    <m/>
    <n v="90000"/>
    <m/>
    <m/>
    <m/>
    <m/>
    <m/>
    <m/>
    <m/>
    <m/>
    <m/>
    <m/>
    <n v="90000"/>
    <s v="Utilize state-of-the-art technologies and facilities in an optimal and efficient manner"/>
    <s v="Compared to FY22 budget has significantly increased by 42% for CoE; most of CoE increased their funding in the range of 40%-74%, except for ME and CE."/>
  </r>
  <r>
    <n v="8470340"/>
    <s v="KUST - Mechanical Engineering"/>
    <n v="1"/>
    <n v="492316"/>
    <x v="19"/>
    <s v="000000"/>
    <s v="KUST - General"/>
    <n v="847001"/>
    <x v="2"/>
    <n v="300180"/>
    <s v="847.8470340.1.492316.000000.847001.300180"/>
    <m/>
    <m/>
    <m/>
    <s v="432209.Laboratory equipment-Number of Faculty-Number"/>
    <s v="Number"/>
    <x v="1"/>
    <x v="126"/>
    <x v="216"/>
    <n v="240000"/>
    <s v="KU Strategic New Initiative"/>
    <s v="Non-recurring"/>
    <n v="216000"/>
    <n v="192000"/>
    <n v="168000"/>
    <s v="modest"/>
    <s v="very serious -the acquisition will most probably not be possible"/>
    <s v="very serious -the acquisition will most probably not be possible"/>
    <m/>
    <m/>
    <m/>
    <n v="240000"/>
    <m/>
    <m/>
    <m/>
    <m/>
    <m/>
    <m/>
    <m/>
    <m/>
    <n v="240000"/>
    <s v="Utilize state-of-the-art technologies and facilities in an optimal and efficient manner"/>
    <s v="Compared to FY22 budget has significantly increased by 42% for CoE; most of CoE increased their funding in the range of 40%-74%, except for ME and CE."/>
  </r>
  <r>
    <n v="8470345"/>
    <s v="KUST - Nuclear Engineering"/>
    <n v="1"/>
    <n v="420550"/>
    <x v="20"/>
    <s v="000000"/>
    <s v="KUST - General"/>
    <n v="847001"/>
    <x v="1"/>
    <n v="200179"/>
    <s v="847.8470345.1.420550.000000.847001.200179"/>
    <s v="-"/>
    <n v="20000"/>
    <n v="20000"/>
    <s v="420550.Academic Advisory Service-Number of Students-Number"/>
    <n v="10"/>
    <x v="11"/>
    <x v="35"/>
    <x v="217"/>
    <n v="20000"/>
    <s v="KU Regular operations"/>
    <s v="Recurring"/>
    <n v="18000"/>
    <n v="16000"/>
    <n v="14000"/>
    <s v="90% - Will reduce the number/scope of advisory service"/>
    <s v="80% - Will reduce the number/scope of advisory service"/>
    <s v="70% - Will reduce the number/scope of advisory service"/>
    <m/>
    <m/>
    <n v="10000"/>
    <m/>
    <m/>
    <m/>
    <m/>
    <n v="10000"/>
    <m/>
    <m/>
    <m/>
    <m/>
    <n v="20000"/>
    <s v="Align academic programs with the local and global labor market needs"/>
    <m/>
  </r>
  <r>
    <n v="8470345"/>
    <s v="KUST - Nuclear Engineering"/>
    <n v="1"/>
    <n v="425510"/>
    <x v="23"/>
    <s v="000000"/>
    <s v="KUST - General"/>
    <n v="847001"/>
    <x v="1"/>
    <n v="200179"/>
    <s v="847.8470345.1.425510.000000.847001.200179"/>
    <n v="65000"/>
    <n v="30000"/>
    <n v="30000"/>
    <s v="425510.Conferences, seminars and exhibitions and other events: - Local Events-Conferences-Number of Conferences"/>
    <n v="2"/>
    <x v="11"/>
    <x v="127"/>
    <x v="218"/>
    <n v="35000"/>
    <s v="KU Regular operations"/>
    <s v="Recurring"/>
    <n v="31500"/>
    <n v="28000"/>
    <n v="24500"/>
    <s v="Vital - Nedeed to maintain/promote KU not to negatively impact KU ranking"/>
    <s v="Vital - Nedeed to maintain/promote KU not to negatively impact KU ranking"/>
    <s v="Vital - Nedeed to maintain/promote KU not to negatively impact KU ranking"/>
    <m/>
    <m/>
    <n v="15000"/>
    <m/>
    <m/>
    <m/>
    <m/>
    <m/>
    <n v="20000"/>
    <m/>
    <m/>
    <m/>
    <n v="35000"/>
    <s v="Attract and organize international conferences and summits"/>
    <m/>
  </r>
  <r>
    <n v="8470345"/>
    <s v="KUST - Nuclear Engineering"/>
    <n v="1"/>
    <n v="425760"/>
    <x v="29"/>
    <s v="000000"/>
    <s v="KUST - General"/>
    <n v="847001"/>
    <x v="1"/>
    <n v="200179"/>
    <s v="847.8470345.1.425760.000000.847001.200179"/>
    <s v="-"/>
    <n v="120000"/>
    <n v="120000"/>
    <s v="425760.Student activities &amp; field trip expenses-Events-No of Events"/>
    <n v="1"/>
    <x v="10"/>
    <x v="31"/>
    <x v="219"/>
    <n v="160000"/>
    <s v="KU Regular operations"/>
    <s v="Recurring"/>
    <n v="144000"/>
    <n v="128000"/>
    <n v="112000"/>
    <s v="90% - Will reduce ability to provide student with important practical experience"/>
    <s v="80% - Will reduce ability to provide student with important practical experience"/>
    <s v="70% - Will reduce ability to provide student with important practical experience"/>
    <m/>
    <m/>
    <m/>
    <m/>
    <m/>
    <m/>
    <n v="160000"/>
    <m/>
    <m/>
    <m/>
    <m/>
    <m/>
    <n v="160000"/>
    <s v="Establish a mobility program for students, faculty, researchers and staff"/>
    <m/>
  </r>
  <r>
    <n v="8470345"/>
    <s v="KUST - Nuclear Engineering"/>
    <n v="1"/>
    <n v="425770"/>
    <x v="31"/>
    <s v="000000"/>
    <s v="KUST - General"/>
    <n v="847001"/>
    <x v="1"/>
    <n v="200179"/>
    <s v="847.8470345.1.425770.000000.847001.200179"/>
    <n v="20865"/>
    <n v="105000"/>
    <n v="105000"/>
    <s v="425770.Academic Missions - Combined expenses-Number of Conference-Number"/>
    <n v="7"/>
    <x v="29"/>
    <x v="31"/>
    <x v="220"/>
    <n v="140000"/>
    <s v="KU Regular operations"/>
    <s v="Recurring"/>
    <n v="126000"/>
    <n v="112000"/>
    <n v="98000"/>
    <s v="Vital, needed to maintain KU visibility and Faculty connection/expertise"/>
    <s v="Vital, needed to maintain KU visibility and Faculty connection/expertise"/>
    <s v="Vital, needed to maintain KU visibility and Faculty connection/expertise"/>
    <n v="20000"/>
    <m/>
    <n v="20000"/>
    <m/>
    <n v="20000"/>
    <n v="20000"/>
    <m/>
    <n v="20000"/>
    <m/>
    <n v="20000"/>
    <m/>
    <n v="20000"/>
    <n v="140000"/>
    <s v="Enhance the communication plan and outreach activities"/>
    <s v="Compared to FY22, the Academic mission expense increased by 32%, and especially the Dean of Engineering and Electrical &amp; computer Engg department increased their statements by 39% to 48%. The rest of the departments in CoE increased by 25% to 33%."/>
  </r>
  <r>
    <n v="8470345"/>
    <s v="KUST - Nuclear Engineering"/>
    <n v="1"/>
    <n v="425900"/>
    <x v="26"/>
    <s v="000000"/>
    <s v="KUST - General"/>
    <n v="847001"/>
    <x v="1"/>
    <n v="200179"/>
    <s v="847.8470345.1.425900.000000.847001.200179"/>
    <s v="-"/>
    <n v="3000"/>
    <n v="3000"/>
    <s v="425900.Entertainment and hospitality-1. No of events/workshops planned-count"/>
    <n v="6"/>
    <x v="3"/>
    <x v="66"/>
    <x v="221"/>
    <n v="3000"/>
    <s v="KU Regular operations"/>
    <s v="Recurring"/>
    <n v="2700"/>
    <n v="2400"/>
    <n v="2100"/>
    <s v="90% - Will reduce ability to promote/develop KU partenership"/>
    <s v="80% - Will reduce ability to promote/develop KU partenership"/>
    <s v="70% - Will reduce ability to promote/develop KU partenership"/>
    <n v="500"/>
    <m/>
    <n v="500"/>
    <m/>
    <n v="500"/>
    <m/>
    <n v="500"/>
    <m/>
    <n v="500"/>
    <m/>
    <n v="500"/>
    <m/>
    <n v="3000"/>
    <s v="Enhance the communication plan and outreach activities"/>
    <m/>
  </r>
  <r>
    <n v="8470345"/>
    <s v="KUST - Nuclear Engineering"/>
    <n v="1"/>
    <n v="426610"/>
    <x v="4"/>
    <s v="000000"/>
    <s v="KUST - General"/>
    <n v="847001"/>
    <x v="1"/>
    <n v="200179"/>
    <s v="847.8470345.1.426610.000000.847001.200179"/>
    <n v="-38267.69"/>
    <n v="146983"/>
    <n v="146983"/>
    <s v="426610.Computer software licenses-Software License Renewal-number of licenses-Number"/>
    <n v="1"/>
    <x v="1"/>
    <x v="128"/>
    <x v="222"/>
    <n v="59217"/>
    <s v="KU Regular operations"/>
    <s v="Recurring"/>
    <n v="53295.3"/>
    <n v="47373.600000000006"/>
    <n v="41451.899999999994"/>
    <s v="Mandatory, cannot be reduced for normal operation"/>
    <s v="Mandatory, cannot be reduced for normal operation"/>
    <s v="Mandatory, cannot be reduced for normal operation"/>
    <n v="59217"/>
    <m/>
    <m/>
    <m/>
    <m/>
    <m/>
    <m/>
    <m/>
    <m/>
    <m/>
    <m/>
    <m/>
    <n v="59217"/>
    <s v="Ensure the university sustainability "/>
    <m/>
  </r>
  <r>
    <n v="8470345"/>
    <s v="KUST - Nuclear Engineering"/>
    <n v="1"/>
    <n v="428090"/>
    <x v="7"/>
    <s v="000000"/>
    <s v="KUST - General"/>
    <n v="847001"/>
    <x v="1"/>
    <n v="200179"/>
    <s v="847.8470345.1.428090.000000.847001.200179"/>
    <n v="3907.76"/>
    <n v="44592"/>
    <n v="44592"/>
    <s v="428090.Business Travel - Combined expenses-Number of Faculty-Number"/>
    <n v="2"/>
    <x v="11"/>
    <x v="30"/>
    <x v="223"/>
    <n v="50000"/>
    <s v="KU Regular operations"/>
    <s v="Recurring"/>
    <n v="45000"/>
    <n v="40000"/>
    <n v="35000"/>
    <s v="90%  - Reduce capability for KU promotioon/cooperation - impact on ranking"/>
    <s v="80%  - Reduce capability for KU promotioon/cooperation - impact on ranking"/>
    <s v="70%  - Reduce capability for KU promotioon/cooperation - impact on ranking"/>
    <m/>
    <m/>
    <n v="25000"/>
    <m/>
    <m/>
    <m/>
    <m/>
    <n v="25000"/>
    <m/>
    <m/>
    <m/>
    <m/>
    <n v="50000"/>
    <s v="Build partnerships with local and international universities"/>
    <m/>
  </r>
  <r>
    <n v="8470345"/>
    <s v="KUST - Nuclear Engineering"/>
    <n v="1"/>
    <n v="435350"/>
    <x v="33"/>
    <s v="000000"/>
    <s v="KUST - General"/>
    <n v="847001"/>
    <x v="1"/>
    <n v="200179"/>
    <s v="847.8470345.1.435350.000000.847001.200179"/>
    <n v="17035.740000000002"/>
    <n v="70000"/>
    <n v="70000"/>
    <s v="435350.Academic Publications-Number of Publications-Number"/>
    <n v="7"/>
    <x v="30"/>
    <x v="40"/>
    <x v="224"/>
    <n v="168000"/>
    <s v="KU Regular operations"/>
    <s v="Recurring"/>
    <n v="151200"/>
    <n v="134400"/>
    <n v="117599.99999999999"/>
    <s v="Vital, it is a priority of KU to publish in Q1 journal - high impact on KU ranking"/>
    <s v="Vital, it is a priority of KU to publish in Q1 journal - high impact on KU ranking"/>
    <s v="Vital, it is a priority of KU to publish in Q1 journal - high impact on KU ranking"/>
    <n v="12000"/>
    <n v="12000"/>
    <n v="12000"/>
    <n v="24000"/>
    <n v="12000"/>
    <n v="12000"/>
    <n v="12000"/>
    <n v="12000"/>
    <n v="24000"/>
    <n v="12000"/>
    <n v="12000"/>
    <n v="12000"/>
    <n v="168000"/>
    <s v="Increase publications in journals with high impact factor"/>
    <m/>
  </r>
  <r>
    <n v="8470345"/>
    <s v="KUST - Nuclear Engineering"/>
    <n v="1"/>
    <n v="435508"/>
    <x v="34"/>
    <s v="000000"/>
    <s v="KUST - General"/>
    <n v="847001"/>
    <x v="1"/>
    <n v="200179"/>
    <s v="847.8470345.1.435508.000000.847001.200179"/>
    <n v="52975.5"/>
    <n v="197477"/>
    <n v="197477"/>
    <s v="435508.Laboratory - Scientific-Number of Students-Number"/>
    <n v="1"/>
    <x v="1"/>
    <x v="129"/>
    <x v="225"/>
    <n v="549184"/>
    <s v="KU Regular operations"/>
    <s v="Recurring"/>
    <n v="494265.60000000003"/>
    <n v="439347.20000000001"/>
    <n v="384428.79999999999"/>
    <s v="Vital, needed for everyday operation and delivery of academic program, including students' projects provide NUCE with minimum video conferencing capabilities "/>
    <s v="Vital, needed for everyday operation and delivery of academic program, including students' projects provide NUCE with minimum video conferencing capabilities "/>
    <s v="Vital, needed for everyday operation and delivery of academic program, including students' projects provide NUCE with minimum video conferencing capabilities "/>
    <m/>
    <n v="349184"/>
    <m/>
    <m/>
    <n v="100000"/>
    <m/>
    <m/>
    <n v="100000"/>
    <m/>
    <m/>
    <m/>
    <m/>
    <n v="549184"/>
    <s v="Ensure the university sustainability "/>
    <m/>
  </r>
  <r>
    <n v="8470345"/>
    <s v="KUST - Nuclear Engineering"/>
    <n v="1"/>
    <n v="436110"/>
    <x v="12"/>
    <s v="000000"/>
    <s v="KUST - General"/>
    <n v="847001"/>
    <x v="1"/>
    <n v="200179"/>
    <s v="847.8470345.1.436110.000000.847001.200179"/>
    <n v="0"/>
    <n v="5742"/>
    <n v="5742"/>
    <s v="436110.Printing supplies-Number of Student-Number"/>
    <n v="5"/>
    <x v="3"/>
    <x v="65"/>
    <x v="226"/>
    <n v="6000"/>
    <s v="KU Regular operations"/>
    <s v="Recurring"/>
    <n v="5400"/>
    <n v="4800"/>
    <n v="4200"/>
    <s v="90 % - Will reduce ability to promote educational program : diminution of number of students"/>
    <s v="80% - Will reduce ability to promote educational program : diminution of number of students"/>
    <s v="70% - Will reduce ability to promote educational program : diminution of number of students"/>
    <n v="1000"/>
    <m/>
    <n v="1000"/>
    <m/>
    <n v="1000"/>
    <m/>
    <n v="1000"/>
    <m/>
    <n v="1000"/>
    <m/>
    <n v="1000"/>
    <m/>
    <n v="6000"/>
    <s v="Increase number of postgraduate students"/>
    <m/>
  </r>
  <r>
    <n v="8470345"/>
    <s v="KUST - Nuclear Engineering"/>
    <n v="1"/>
    <n v="436600"/>
    <x v="35"/>
    <s v="000000"/>
    <s v="KUST - General"/>
    <n v="847001"/>
    <x v="1"/>
    <n v="200179"/>
    <s v="847.8470345.1.436600.000000.847001.200179"/>
    <s v="-"/>
    <n v="9640"/>
    <n v="9640"/>
    <s v="436600.Training/Teaching equipment and other educational aid-Number of Student-Number"/>
    <n v="15"/>
    <x v="12"/>
    <x v="130"/>
    <x v="227"/>
    <n v="578400"/>
    <s v="KU Strategic New Initiative"/>
    <s v="Non-recurring"/>
    <n v="520560"/>
    <n v="462720"/>
    <n v="404880"/>
    <s v="Vital, needed to provide NUCE with minimum video conferencing capabilities "/>
    <s v="Vital, needed to provide NUCE with minimum video conferencing capabilities "/>
    <s v="Vital, needed to provide NUCE with minimum video conferencing capabilities "/>
    <m/>
    <n v="578400"/>
    <m/>
    <m/>
    <m/>
    <m/>
    <m/>
    <m/>
    <m/>
    <m/>
    <m/>
    <m/>
    <n v="578400"/>
    <s v="Utilize state-of-the-art technologies and facilities in an optimal and efficient manner"/>
    <m/>
  </r>
  <r>
    <n v="8470345"/>
    <s v="KUST - Nuclear Engineering"/>
    <n v="1"/>
    <n v="492316"/>
    <x v="19"/>
    <s v="000000"/>
    <s v="KUST - General"/>
    <n v="847001"/>
    <x v="2"/>
    <n v="300180"/>
    <s v="847.8470345.1.492316.000000.847001.300180"/>
    <n v="77504.460000000006"/>
    <n v="551330"/>
    <n v="551330"/>
    <s v="492316.Laboratory equipment-Number of Students-Number"/>
    <n v="1"/>
    <x v="1"/>
    <x v="131"/>
    <x v="228"/>
    <n v="2090045.75"/>
    <s v="KU Strategic New Initiative"/>
    <s v="Non-recurring"/>
    <n v="1881041.175"/>
    <n v="1672036.6"/>
    <n v="1463032.0249999999"/>
    <s v="Impact KU ability to maintain state-of-the-art capabilities, prioritization to be made"/>
    <s v="Cannot be reduced : will not allow KU maintaining state-of-the-art capabilities"/>
    <s v="Cannot be reduced : will not allow KU maintaining state-of-the-art capabilities"/>
    <m/>
    <m/>
    <n v="1090045.75"/>
    <n v="1000000"/>
    <m/>
    <m/>
    <m/>
    <m/>
    <m/>
    <m/>
    <m/>
    <m/>
    <n v="2090045.75"/>
    <s v="Utilize state-of-the-art technologies and facilities in an optimal and efficient manner"/>
    <s v="Compared to FY22 budget has significantly increased by 42% for CoE; most of CoE increased their funding in the range of 40%-74%, except for ME and CE."/>
  </r>
  <r>
    <n v="8470350"/>
    <s v="KUST - Petroleum Engineering"/>
    <n v="1"/>
    <n v="425510"/>
    <x v="23"/>
    <s v="000000"/>
    <s v="KUST - General"/>
    <n v="847001"/>
    <x v="1"/>
    <n v="200179"/>
    <s v="847.8470350.1.425510.000000.847001.200179"/>
    <n v="2679.4"/>
    <n v="16000"/>
    <n v="16000"/>
    <s v="425510.Conferences, seminars and exhibitions and other events: - Local Events-Seminars-Number of Seminars"/>
    <s v="Number of Seminars"/>
    <x v="7"/>
    <x v="38"/>
    <x v="229"/>
    <n v="20000"/>
    <s v="KU Regular operations"/>
    <s v="Recurring"/>
    <n v="18000"/>
    <n v="16000"/>
    <n v="14000"/>
    <s v="Reduced quality of activity"/>
    <s v="Less quality of activity"/>
    <s v="Mimnimum quality activity"/>
    <n v="2000"/>
    <n v="2000"/>
    <n v="2000"/>
    <n v="2000"/>
    <n v="2000"/>
    <n v="2000"/>
    <m/>
    <n v="2000"/>
    <n v="2000"/>
    <n v="2000"/>
    <n v="2000"/>
    <m/>
    <n v="20000"/>
    <s v="Align academic programs with the local and global labor market needs"/>
    <m/>
  </r>
  <r>
    <n v="8470350"/>
    <s v="KUST - Petroleum Engineering"/>
    <n v="1"/>
    <n v="425760"/>
    <x v="29"/>
    <s v="000000"/>
    <s v="KUST - General"/>
    <n v="847001"/>
    <x v="1"/>
    <n v="200179"/>
    <s v="847.8470350.1.425760.000000.847001.200179"/>
    <s v="-"/>
    <n v="25000"/>
    <n v="25000"/>
    <s v="425760.Student activities &amp; field trip expenses-Events-No of Events"/>
    <s v="No of Events"/>
    <x v="14"/>
    <x v="90"/>
    <x v="230"/>
    <n v="25000"/>
    <s v="KU Regular operations"/>
    <s v="Recurring"/>
    <n v="22500"/>
    <n v="20000"/>
    <n v="17500"/>
    <s v="Reduced quality of activity"/>
    <s v="Less quality of activity"/>
    <s v="Mimnimum quality activity"/>
    <m/>
    <n v="5000"/>
    <m/>
    <n v="5000"/>
    <m/>
    <n v="5000"/>
    <m/>
    <n v="5000"/>
    <m/>
    <n v="5000"/>
    <m/>
    <m/>
    <n v="25000"/>
    <s v="Enhance the communication plan and outreach activities"/>
    <m/>
  </r>
  <r>
    <n v="8470350"/>
    <s v="KUST - Petroleum Engineering"/>
    <n v="1"/>
    <n v="425763"/>
    <x v="30"/>
    <s v="000000"/>
    <s v="KUST - General"/>
    <n v="847001"/>
    <x v="1"/>
    <n v="200179"/>
    <s v="847.8470350.1.425763.000000.847001.200179"/>
    <n v="0"/>
    <n v="30000"/>
    <n v="25000"/>
    <s v="425760.Student activities &amp; field trip expenses-Events-No of Events"/>
    <s v="No of Events"/>
    <x v="14"/>
    <x v="65"/>
    <x v="231"/>
    <n v="10000"/>
    <s v="KU Regular operations"/>
    <s v="Recurring"/>
    <n v="9000"/>
    <n v="8000"/>
    <n v="7000"/>
    <s v="Reduced quality of activity"/>
    <s v="Less quality of activity"/>
    <s v="Mimnimum quality activity"/>
    <m/>
    <n v="5000"/>
    <m/>
    <m/>
    <m/>
    <m/>
    <m/>
    <n v="5000"/>
    <m/>
    <m/>
    <m/>
    <m/>
    <n v="10000"/>
    <s v="Align academic programs with the local and global labor market needs"/>
    <m/>
  </r>
  <r>
    <n v="8470350"/>
    <s v="KUST - Petroleum Engineering"/>
    <n v="1"/>
    <n v="425770"/>
    <x v="31"/>
    <s v="000000"/>
    <s v="KUST - General"/>
    <n v="847001"/>
    <x v="1"/>
    <n v="200179"/>
    <s v="847.8470350.1.425770.000000.847001.200179"/>
    <n v="30382.77"/>
    <n v="150000"/>
    <n v="150000"/>
    <s v="425770.Academic Missions - Combined expenses-Number of Conference-Number"/>
    <s v="Number"/>
    <x v="21"/>
    <x v="31"/>
    <x v="232"/>
    <n v="220000"/>
    <s v="KU Regular operations"/>
    <s v="Recurring"/>
    <n v="198000"/>
    <n v="176000"/>
    <n v="154000"/>
    <s v="Reduced academic missions"/>
    <s v="Less academic missions"/>
    <s v="minimum academic missions"/>
    <m/>
    <m/>
    <n v="110000"/>
    <m/>
    <m/>
    <m/>
    <m/>
    <n v="110000"/>
    <m/>
    <m/>
    <m/>
    <m/>
    <n v="220000"/>
    <s v="Increase publications in journals with high impact factor"/>
    <s v="Compared to FY22, the Academic mission expense increased by 32%, and especially the Dean of Engineering and Electrical &amp; computer Engg department increased their statements by 39% to 48%. The rest of the departments in CoE increased by 25% to 33%."/>
  </r>
  <r>
    <n v="8470350"/>
    <s v="KUST - Petroleum Engineering"/>
    <n v="1"/>
    <n v="425900"/>
    <x v="26"/>
    <s v="000000"/>
    <s v="KUST - General"/>
    <n v="847001"/>
    <x v="1"/>
    <n v="200179"/>
    <s v="847.8470350.1.425900.000000.847001.200179"/>
    <s v="-"/>
    <n v="8500"/>
    <n v="8500"/>
    <s v="425900.Entertainment and hospitality-1. No of events/workshops planned-count"/>
    <s v="count"/>
    <x v="20"/>
    <x v="65"/>
    <x v="233"/>
    <n v="20000"/>
    <s v="KU Regular operations"/>
    <s v="Recurring"/>
    <n v="18000"/>
    <n v="16000"/>
    <n v="14000"/>
    <s v="Reduced quality of activities"/>
    <s v="Less quality of activities"/>
    <s v="minimum quality of activities"/>
    <n v="10000"/>
    <m/>
    <m/>
    <m/>
    <m/>
    <m/>
    <m/>
    <n v="10000"/>
    <m/>
    <m/>
    <m/>
    <m/>
    <n v="20000"/>
    <s v="Align academic programs with the local and global labor market needs"/>
    <m/>
  </r>
  <r>
    <n v="8470350"/>
    <s v="KUST - Petroleum Engineering"/>
    <n v="1"/>
    <n v="426610"/>
    <x v="4"/>
    <s v="000000"/>
    <s v="KUST - General"/>
    <n v="847001"/>
    <x v="1"/>
    <n v="200179"/>
    <s v="847.8470350.1.426610.000000.847001.200179"/>
    <n v="114404.74"/>
    <n v="210200"/>
    <n v="210200"/>
    <s v="426610.Computer software licenses-Software License Renewal-service level agreement-Service"/>
    <s v="Service"/>
    <x v="1"/>
    <x v="132"/>
    <x v="234"/>
    <n v="5200"/>
    <s v="KU Regular operations"/>
    <s v="Recurring"/>
    <n v="4680"/>
    <n v="4160"/>
    <n v="3639.9999999999995"/>
    <s v="We won't be able to renew it. Fixed maintenance pricing."/>
    <s v="We won't be able to renew it. Fixed maintenance pricing."/>
    <s v="We won't be able to renew it. Fixed maintenance pricing."/>
    <m/>
    <n v="5200"/>
    <m/>
    <m/>
    <m/>
    <m/>
    <m/>
    <m/>
    <m/>
    <m/>
    <m/>
    <m/>
    <n v="5200"/>
    <s v="Align academic programs with the local and global labor market needs"/>
    <m/>
  </r>
  <r>
    <n v="8470350"/>
    <s v="KUST - Petroleum Engineering"/>
    <n v="1"/>
    <n v="426610"/>
    <x v="4"/>
    <s v="000000"/>
    <s v="KUST - General"/>
    <n v="847001"/>
    <x v="1"/>
    <n v="200179"/>
    <s v="847.8470350.1.426610.000000.847001.200179"/>
    <m/>
    <m/>
    <m/>
    <s v="426610.Computer software licenses-Software License Renewal-service level agreement-Service"/>
    <s v="Service"/>
    <x v="1"/>
    <x v="67"/>
    <x v="235"/>
    <n v="5000"/>
    <s v="KU Regular operations"/>
    <s v="Recurring"/>
    <n v="4500"/>
    <n v="4000"/>
    <n v="3500"/>
    <s v="We won't be able to renew it. Fixed maintenance pricing."/>
    <s v="We won't be able to renew it. Fixed maintenance pricing."/>
    <s v="We won't be able to renew it. Fixed maintenance pricing."/>
    <m/>
    <m/>
    <n v="5000"/>
    <m/>
    <m/>
    <m/>
    <m/>
    <m/>
    <m/>
    <m/>
    <m/>
    <m/>
    <n v="5000"/>
    <s v="Align academic programs with the local and global labor market needs"/>
    <m/>
  </r>
  <r>
    <n v="8470350"/>
    <s v="KUST - Petroleum Engineering"/>
    <n v="1"/>
    <n v="426610"/>
    <x v="4"/>
    <s v="000000"/>
    <s v="KUST - General"/>
    <n v="847001"/>
    <x v="1"/>
    <n v="200179"/>
    <s v="847.8470350.1.426610.000000.847001.200179"/>
    <m/>
    <m/>
    <m/>
    <s v="426610.Computer software licenses-Software License Renewal-service level agreement-Service"/>
    <s v="Service"/>
    <x v="1"/>
    <x v="30"/>
    <x v="236"/>
    <n v="25000"/>
    <s v="KU Regular operations"/>
    <s v="Recurring"/>
    <n v="22500"/>
    <n v="20000"/>
    <n v="17500"/>
    <s v="We won't be able to renew it. Fixed maintenance pricing."/>
    <s v="We won't be able to renew it. Fixed maintenance pricing."/>
    <s v="We won't be able to renew it. Fixed maintenance pricing."/>
    <m/>
    <m/>
    <m/>
    <n v="25000"/>
    <m/>
    <m/>
    <m/>
    <m/>
    <m/>
    <m/>
    <m/>
    <m/>
    <n v="25000"/>
    <s v="Align academic programs with the local and global labor market needs"/>
    <m/>
  </r>
  <r>
    <n v="8470350"/>
    <s v="KUST - Petroleum Engineering"/>
    <n v="1"/>
    <n v="426610"/>
    <x v="4"/>
    <s v="000000"/>
    <s v="KUST - General"/>
    <n v="847001"/>
    <x v="1"/>
    <n v="200179"/>
    <s v="847.8470350.1.426610.000000.847001.200179"/>
    <m/>
    <m/>
    <m/>
    <s v="426610.Computer software licenses-Software License Renewal-service level agreement-Service"/>
    <s v="Service"/>
    <x v="1"/>
    <x v="77"/>
    <x v="237"/>
    <n v="200000"/>
    <s v="KU Regular operations"/>
    <s v="Recurring"/>
    <n v="180000"/>
    <n v="160000"/>
    <n v="140000"/>
    <s v="We won't be able to renew it. Fixed maintenance pricing."/>
    <s v="We won't be able to renew it. Fixed maintenance pricing."/>
    <s v="We won't be able to renew it. Fixed maintenance pricing."/>
    <m/>
    <m/>
    <m/>
    <m/>
    <m/>
    <m/>
    <n v="200000"/>
    <m/>
    <m/>
    <m/>
    <m/>
    <m/>
    <n v="200000"/>
    <s v="Align academic programs with the local and global labor market needs"/>
    <m/>
  </r>
  <r>
    <n v="8470350"/>
    <s v="KUST - Petroleum Engineering"/>
    <n v="1"/>
    <n v="426610"/>
    <x v="4"/>
    <s v="000000"/>
    <s v="KUST - General"/>
    <n v="847001"/>
    <x v="1"/>
    <n v="200179"/>
    <s v="847.8470350.1.426610.000000.847001.200179"/>
    <m/>
    <m/>
    <m/>
    <s v="426610.Computer software licenses-Software License Renewal-service level agreement-Service"/>
    <s v="Service"/>
    <x v="1"/>
    <x v="20"/>
    <x v="238"/>
    <n v="45000"/>
    <s v="KU Regular operations"/>
    <s v="Recurring"/>
    <n v="40500"/>
    <n v="36000"/>
    <n v="31499.999999999996"/>
    <s v="We won't be able to renew it. Fixed maintenance pricing."/>
    <s v="We won't be able to renew it. Fixed maintenance pricing."/>
    <s v="We won't be able to renew it. Fixed maintenance pricing."/>
    <m/>
    <m/>
    <m/>
    <m/>
    <m/>
    <n v="45000"/>
    <m/>
    <m/>
    <m/>
    <m/>
    <m/>
    <m/>
    <n v="45000"/>
    <s v="Align academic programs with the local and global labor market needs"/>
    <m/>
  </r>
  <r>
    <n v="8470350"/>
    <s v="KUST - Petroleum Engineering"/>
    <n v="1"/>
    <n v="432209"/>
    <x v="32"/>
    <s v="000000"/>
    <s v="KUST - General"/>
    <n v="847001"/>
    <x v="1"/>
    <n v="200179"/>
    <s v="847.8470350.1.432209.000000.847001.200179"/>
    <n v="215416.78"/>
    <n v="305000"/>
    <n v="305000"/>
    <s v="432209.Laboratory equipment-Number of Students-Number"/>
    <s v="Number"/>
    <x v="14"/>
    <x v="41"/>
    <x v="239"/>
    <n v="350000"/>
    <s v="KU Regular operations"/>
    <s v="Recurring"/>
    <n v="315000"/>
    <n v="280000"/>
    <n v="244999.99999999997"/>
    <s v="No maintenance fixed price"/>
    <s v="No maintenance fixed price"/>
    <s v="No maintenance fixed price"/>
    <m/>
    <n v="350000"/>
    <m/>
    <m/>
    <m/>
    <m/>
    <m/>
    <m/>
    <m/>
    <m/>
    <m/>
    <m/>
    <n v="350000"/>
    <s v="Align academic programs with the local and global labor market needs"/>
    <m/>
  </r>
  <r>
    <n v="8470350"/>
    <s v="KUST - Petroleum Engineering"/>
    <n v="1"/>
    <n v="432209"/>
    <x v="32"/>
    <s v="000000"/>
    <s v="KUST - General"/>
    <n v="847001"/>
    <x v="1"/>
    <n v="200179"/>
    <s v="847.8470350.1.432209.000000.847001.200179"/>
    <m/>
    <m/>
    <m/>
    <s v="432209.Laboratory equipment-Number of Students-Number"/>
    <s v="Number"/>
    <x v="1"/>
    <x v="133"/>
    <x v="240"/>
    <n v="74000"/>
    <s v="KU Regular operations"/>
    <s v="Recurring"/>
    <n v="66600"/>
    <n v="59200"/>
    <n v="51800"/>
    <s v="We won't be able to renew it. Fixed maintenance pricing."/>
    <s v="We won't be able to renew it. Fixed maintenance pricing."/>
    <s v="We won't be able to renew it. Fixed maintenance pricing."/>
    <m/>
    <m/>
    <n v="74000"/>
    <m/>
    <m/>
    <m/>
    <m/>
    <m/>
    <m/>
    <m/>
    <m/>
    <m/>
    <n v="74000"/>
    <s v="Align academic programs with the local and global labor market needs"/>
    <m/>
  </r>
  <r>
    <n v="8470350"/>
    <s v="KUST - Petroleum Engineering"/>
    <n v="1"/>
    <n v="432209"/>
    <x v="32"/>
    <s v="000000"/>
    <s v="KUST - General"/>
    <n v="847001"/>
    <x v="1"/>
    <n v="200179"/>
    <s v="847.8470350.1.432209.000000.847001.200179"/>
    <m/>
    <m/>
    <m/>
    <s v="432209.Laboratory equipment-Number of Students-Number"/>
    <s v="Number"/>
    <x v="19"/>
    <x v="74"/>
    <x v="241"/>
    <n v="105000"/>
    <s v="KU Regular operations"/>
    <s v="Recurring"/>
    <n v="94500"/>
    <n v="84000"/>
    <n v="73500"/>
    <s v="Reduced Operations and Experiments"/>
    <s v="Less Operations and Experiments"/>
    <s v="Minimum Operations and Experiments"/>
    <m/>
    <m/>
    <m/>
    <n v="105000"/>
    <m/>
    <m/>
    <m/>
    <m/>
    <m/>
    <m/>
    <m/>
    <m/>
    <n v="105000"/>
    <s v="Align academic programs with the local and global labor market needs"/>
    <m/>
  </r>
  <r>
    <n v="8470350"/>
    <s v="KUST - Petroleum Engineering"/>
    <n v="1"/>
    <n v="432209"/>
    <x v="32"/>
    <s v="000000"/>
    <s v="KUST - General"/>
    <n v="847001"/>
    <x v="1"/>
    <n v="200179"/>
    <s v="847.8470350.1.432209.000000.847001.200179"/>
    <m/>
    <m/>
    <m/>
    <s v="432209.Laboratory equipment-Number of Students-Number"/>
    <s v="Number"/>
    <x v="1"/>
    <x v="46"/>
    <x v="242"/>
    <n v="300000"/>
    <s v="KU Regular operations"/>
    <s v="Recurring"/>
    <n v="270000"/>
    <n v="240000"/>
    <n v="210000"/>
    <s v="Reduced Operations and Experiments"/>
    <s v="Less Operations and Experiments"/>
    <s v="Minimum Operations and Experiments"/>
    <m/>
    <n v="300000"/>
    <m/>
    <m/>
    <m/>
    <m/>
    <m/>
    <m/>
    <m/>
    <m/>
    <m/>
    <m/>
    <n v="300000"/>
    <s v="Align academic programs with the local and global labor market needs"/>
    <m/>
  </r>
  <r>
    <n v="8470350"/>
    <s v="KUST - Petroleum Engineering"/>
    <n v="1"/>
    <n v="432209"/>
    <x v="32"/>
    <s v="000000"/>
    <s v="KUST - General"/>
    <n v="847001"/>
    <x v="1"/>
    <n v="200179"/>
    <s v="847.8470350.1.432209.000000.847001.200179"/>
    <m/>
    <m/>
    <m/>
    <s v="432209.Laboratory equipment-Number of Students-Number"/>
    <s v="Number"/>
    <x v="12"/>
    <x v="35"/>
    <x v="243"/>
    <n v="150000"/>
    <s v="KU Regular operations"/>
    <s v="Recurring"/>
    <n v="135000"/>
    <n v="120000"/>
    <n v="105000"/>
    <s v="Reduced Operations and Experiments"/>
    <s v="Less Operations and Experiments"/>
    <s v="Minimum Operations and Experiments"/>
    <m/>
    <m/>
    <n v="150000"/>
    <m/>
    <m/>
    <m/>
    <m/>
    <m/>
    <m/>
    <m/>
    <m/>
    <m/>
    <n v="150000"/>
    <s v="Align the postgraduates programs with the research strategy"/>
    <m/>
  </r>
  <r>
    <n v="8470350"/>
    <s v="KUST - Petroleum Engineering"/>
    <n v="1"/>
    <n v="435340"/>
    <x v="40"/>
    <s v="000000"/>
    <s v="KUST - General"/>
    <n v="847001"/>
    <x v="1"/>
    <n v="200179"/>
    <s v="847.8470350.1.435340.000000.847001.200179"/>
    <n v="0"/>
    <n v="10000"/>
    <n v="10000"/>
    <s v="435340.Text books and library books-Faculty-Number oF Faculty"/>
    <s v="Number oF Faculty"/>
    <x v="14"/>
    <x v="65"/>
    <x v="244"/>
    <n v="10000"/>
    <s v="KU Regular operations"/>
    <s v="Recurring"/>
    <n v="9000"/>
    <n v="8000"/>
    <n v="7000"/>
    <s v="Reduced reference books"/>
    <s v="Less reference books"/>
    <s v="Minimum reference books"/>
    <m/>
    <m/>
    <m/>
    <n v="10000"/>
    <m/>
    <m/>
    <m/>
    <m/>
    <m/>
    <m/>
    <m/>
    <m/>
    <n v="10000"/>
    <s v="Align the postgraduates programs with the research strategy"/>
    <m/>
  </r>
  <r>
    <n v="8470350"/>
    <s v="KUST - Petroleum Engineering"/>
    <n v="1"/>
    <n v="435350"/>
    <x v="33"/>
    <s v="000000"/>
    <s v="KUST - General"/>
    <n v="847001"/>
    <x v="1"/>
    <n v="200179"/>
    <s v="847.8470350.1.435350.000000.847001.200179"/>
    <n v="31761.56"/>
    <n v="50000"/>
    <n v="50000"/>
    <s v="435350.Academic Publications-Number of Publications-Number"/>
    <s v="Number"/>
    <x v="14"/>
    <x v="134"/>
    <x v="245"/>
    <n v="90000"/>
    <s v="KU Regular operations"/>
    <s v="Recurring"/>
    <n v="81000"/>
    <n v="72000"/>
    <n v="62999.999999999993"/>
    <s v="Reduced open source publications resulting in reduced citations."/>
    <s v="Less open source publications resulting in reduced citations."/>
    <s v="Reduced open source publications resulting in reduced citations."/>
    <m/>
    <n v="45000"/>
    <m/>
    <m/>
    <m/>
    <m/>
    <m/>
    <m/>
    <n v="45000"/>
    <m/>
    <m/>
    <m/>
    <n v="90000"/>
    <s v="Increase publications in journals with high impact factor"/>
    <m/>
  </r>
  <r>
    <n v="8470350"/>
    <s v="KUST - Petroleum Engineering"/>
    <n v="1"/>
    <n v="435508"/>
    <x v="34"/>
    <s v="000000"/>
    <s v="KUST - General"/>
    <n v="847001"/>
    <x v="1"/>
    <n v="200179"/>
    <s v="847.8470350.1.435508.000000.847001.200179"/>
    <n v="29959.5"/>
    <n v="100000"/>
    <n v="100000"/>
    <s v="435508.Laboratory - Scientific-Number of Students-Number"/>
    <s v="Number"/>
    <x v="22"/>
    <x v="66"/>
    <x v="246"/>
    <n v="25000"/>
    <s v="KU Regular operations"/>
    <s v="Recurring"/>
    <n v="22500"/>
    <n v="20000"/>
    <n v="17500"/>
    <s v="Reduced Operations and Experiments"/>
    <s v="Less Operations and Experiments"/>
    <s v="Minimum Operations and Experiments"/>
    <m/>
    <n v="5000"/>
    <m/>
    <n v="5000"/>
    <m/>
    <n v="5000"/>
    <m/>
    <n v="5000"/>
    <m/>
    <n v="5000"/>
    <m/>
    <m/>
    <n v="25000"/>
    <s v="Align academic programs with the local and global labor market needs"/>
    <m/>
  </r>
  <r>
    <n v="8470350"/>
    <s v="KUST - Petroleum Engineering"/>
    <n v="1"/>
    <n v="435508"/>
    <x v="34"/>
    <s v="000000"/>
    <s v="KUST - General"/>
    <n v="847001"/>
    <x v="1"/>
    <n v="200179"/>
    <s v="847.8470350.1.435508.000000.847001.200179"/>
    <m/>
    <m/>
    <m/>
    <s v="435508.Laboratory - Scientific-Number of Students-Number"/>
    <s v="Number"/>
    <x v="22"/>
    <x v="66"/>
    <x v="247"/>
    <n v="25000"/>
    <s v="KU Regular operations"/>
    <s v="Recurring"/>
    <n v="22500"/>
    <n v="20000"/>
    <n v="17500"/>
    <s v="Reduced Operations and Experiments"/>
    <s v="Less Operations and Experiments"/>
    <s v="Minimum Operations and Experiments"/>
    <m/>
    <n v="5000"/>
    <m/>
    <n v="5000"/>
    <m/>
    <n v="5000"/>
    <m/>
    <n v="5000"/>
    <m/>
    <n v="5000"/>
    <m/>
    <m/>
    <n v="25000"/>
    <s v="Align academic programs with the local and global labor market needs"/>
    <m/>
  </r>
  <r>
    <n v="8470350"/>
    <s v="KUST - Petroleum Engineering"/>
    <n v="1"/>
    <n v="435508"/>
    <x v="34"/>
    <s v="000000"/>
    <s v="KUST - General"/>
    <n v="847001"/>
    <x v="1"/>
    <n v="200179"/>
    <s v="847.8470350.1.435508.000000.847001.200179"/>
    <m/>
    <m/>
    <m/>
    <s v="435508.Laboratory - Scientific-Number of Students-Number"/>
    <s v="Number"/>
    <x v="22"/>
    <x v="75"/>
    <x v="248"/>
    <n v="60000"/>
    <s v="KU Regular operations"/>
    <s v="Recurring"/>
    <n v="54000"/>
    <n v="48000"/>
    <n v="42000"/>
    <s v="Reduced Operations and Experiments"/>
    <s v="Less Operations and Experiments"/>
    <s v="Minimum Operations and Experiments"/>
    <n v="10000"/>
    <m/>
    <n v="10000"/>
    <m/>
    <n v="10000"/>
    <m/>
    <n v="10000"/>
    <m/>
    <n v="10000"/>
    <m/>
    <n v="10000"/>
    <m/>
    <n v="60000"/>
    <s v="Align academic programs with the local and global labor market needs"/>
    <m/>
  </r>
  <r>
    <n v="8470350"/>
    <s v="KUST - Petroleum Engineering"/>
    <n v="1"/>
    <n v="436110"/>
    <x v="12"/>
    <s v="000000"/>
    <s v="KUST - General"/>
    <n v="847001"/>
    <x v="1"/>
    <n v="200179"/>
    <s v="847.8470350.1.436110.000000.847001.200179"/>
    <n v="0"/>
    <n v="7500"/>
    <n v="7500"/>
    <s v="436110.Printing supplies-Number of Employees-Number"/>
    <s v="Number"/>
    <x v="12"/>
    <x v="66"/>
    <x v="1"/>
    <n v="7500"/>
    <s v="KU Regular operations"/>
    <s v="Recurring"/>
    <n v="6750"/>
    <n v="6000"/>
    <n v="5250"/>
    <s v="Reduced quality of activity"/>
    <s v="Less quality of activity"/>
    <s v="Mimnimum quality activity"/>
    <n v="7500"/>
    <m/>
    <m/>
    <m/>
    <m/>
    <m/>
    <m/>
    <m/>
    <m/>
    <m/>
    <m/>
    <m/>
    <n v="7500"/>
    <s v="Enhance the communication plan and outreach activities"/>
    <m/>
  </r>
  <r>
    <n v="8470350"/>
    <s v="KUST - Petroleum Engineering"/>
    <n v="1"/>
    <n v="436600"/>
    <x v="35"/>
    <s v="000000"/>
    <s v="KUST - General"/>
    <n v="847001"/>
    <x v="1"/>
    <n v="200179"/>
    <s v="847.8470350.1.436600.000000.847001.200179"/>
    <s v="-"/>
    <n v="60000"/>
    <n v="60000"/>
    <s v="436600.Training/Teaching equipment and other educational aid-Number of Staff-Number"/>
    <s v="Number"/>
    <x v="17"/>
    <x v="30"/>
    <x v="249"/>
    <n v="100000"/>
    <s v="KU Regular operations"/>
    <s v="Recurring"/>
    <n v="90000"/>
    <n v="80000"/>
    <n v="70000"/>
    <s v="Reduced quality of activity"/>
    <s v="Less quality of activity"/>
    <s v="Mimnimum quality activity"/>
    <m/>
    <m/>
    <n v="50000"/>
    <m/>
    <m/>
    <n v="50000"/>
    <m/>
    <m/>
    <m/>
    <m/>
    <m/>
    <m/>
    <n v="100000"/>
    <s v="Develop a life-long culture of community service beyond the classroom "/>
    <m/>
  </r>
  <r>
    <n v="8470350"/>
    <s v="KUST - Petroleum Engineering"/>
    <n v="1"/>
    <n v="492316"/>
    <x v="19"/>
    <s v="000000"/>
    <s v="KUST - General"/>
    <n v="847001"/>
    <x v="2"/>
    <n v="300180"/>
    <s v="847.8470350.1.492316.000000.847001.300180"/>
    <n v="0"/>
    <n v="1446520"/>
    <n v="1445832.28"/>
    <s v="492316.Laboratory equipment-Number of Students-Number"/>
    <s v="Number"/>
    <x v="31"/>
    <x v="119"/>
    <x v="250"/>
    <n v="162500"/>
    <s v="KU Regular operations"/>
    <s v="Non-recurring"/>
    <n v="146250"/>
    <n v="130000"/>
    <n v="113750"/>
    <s v="Reduced workstations specs."/>
    <s v="Less quality and  workstations specs."/>
    <s v="Minimum  workstations specs."/>
    <m/>
    <n v="162500"/>
    <m/>
    <m/>
    <m/>
    <m/>
    <m/>
    <m/>
    <m/>
    <m/>
    <m/>
    <m/>
    <n v="162500"/>
    <s v="Widen access to students with outstanding academic potential"/>
    <s v="Compared to FY22 budget has significantly increased by 42% for CoE; most of CoE increased their funding in the range of 40%-74%, except for ME and CE."/>
  </r>
  <r>
    <n v="8470350"/>
    <s v="KUST - Petroleum Engineering"/>
    <n v="1"/>
    <n v="492316"/>
    <x v="19"/>
    <s v="000000"/>
    <s v="KUST - General"/>
    <n v="847001"/>
    <x v="2"/>
    <n v="300180"/>
    <s v="847.8470350.1.492316.000000.847001.300180"/>
    <m/>
    <m/>
    <m/>
    <s v="492316.Laboratory equipment-Number of Students-Number"/>
    <s v="Number"/>
    <x v="32"/>
    <x v="117"/>
    <x v="251"/>
    <n v="168000"/>
    <s v="KU Regular operations"/>
    <s v="Non-recurring"/>
    <n v="151200"/>
    <n v="134400"/>
    <n v="117599.99999999999"/>
    <s v="Reduced workstations specs."/>
    <s v="Less quality and  workstations specs."/>
    <s v="Minimum  workstations specs."/>
    <m/>
    <m/>
    <m/>
    <m/>
    <n v="168000"/>
    <m/>
    <m/>
    <m/>
    <m/>
    <m/>
    <m/>
    <m/>
    <n v="168000"/>
    <s v="Widen access to students with outstanding academic potential"/>
    <s v="Compared to FY22 budget has significantly increased by 42% for CoE; most of CoE increased their funding in the range of 40%-74%, except for ME and CE."/>
  </r>
  <r>
    <n v="8470350"/>
    <s v="KUST - Petroleum Engineering"/>
    <n v="1"/>
    <n v="495110"/>
    <x v="17"/>
    <s v="000000"/>
    <s v="KUST - General"/>
    <n v="847001"/>
    <x v="2"/>
    <n v="300180"/>
    <s v="847.8470350.1.495110.000000.847001.300180"/>
    <m/>
    <m/>
    <m/>
    <s v="495110.Computer software-TBD-TBD"/>
    <s v="TBD"/>
    <x v="1"/>
    <x v="20"/>
    <x v="252"/>
    <n v="45000"/>
    <s v="KU Regular operations"/>
    <s v="Non-recurring"/>
    <n v="40500"/>
    <n v="36000"/>
    <n v="31499.999999999996"/>
    <s v="We won't be able to renew it. Fixed software pricing."/>
    <s v="We won't be able to renew it. Fixed software pricing."/>
    <s v="We won't be able to renew it. Fixed software pricing."/>
    <m/>
    <n v="45000"/>
    <m/>
    <m/>
    <m/>
    <m/>
    <m/>
    <m/>
    <m/>
    <m/>
    <m/>
    <m/>
    <n v="45000"/>
    <s v="Widen access to students with outstanding academic potential"/>
    <m/>
  </r>
  <r>
    <n v="8470350"/>
    <s v="KUST - Petroleum Engineering"/>
    <n v="1"/>
    <n v="492316"/>
    <x v="19"/>
    <s v="000000"/>
    <s v="KUST - General"/>
    <n v="847001"/>
    <x v="2"/>
    <n v="300180"/>
    <s v="847.8470350.1.492316.000000.847001.300180"/>
    <n v="0"/>
    <m/>
    <m/>
    <s v="492316.Laboratory equipment-Number of Students-Number"/>
    <s v="Number"/>
    <x v="9"/>
    <x v="30"/>
    <x v="253"/>
    <n v="75000"/>
    <s v="KU Regular operations"/>
    <s v="Non-recurring"/>
    <n v="67500"/>
    <n v="60000"/>
    <n v="52500"/>
    <s v="Reduced workstations specs."/>
    <s v="Less quality and  workstations specs."/>
    <s v="Minimum  workstations specs."/>
    <m/>
    <m/>
    <m/>
    <n v="75000"/>
    <m/>
    <m/>
    <m/>
    <m/>
    <m/>
    <m/>
    <m/>
    <m/>
    <n v="75000"/>
    <s v="Widen access to students with outstanding academic potential"/>
    <s v="Compared to FY22 budget has significantly increased by 42% for CoE; most of CoE increased their funding in the range of 40%-74%, except for ME and CE."/>
  </r>
  <r>
    <n v="8470350"/>
    <s v="KUST - Petroleum Engineering"/>
    <n v="1"/>
    <n v="492316"/>
    <x v="19"/>
    <s v="000000"/>
    <s v="KUST - General"/>
    <n v="847001"/>
    <x v="2"/>
    <n v="300180"/>
    <s v="847.8470350.1.492316.000000.847001.300180"/>
    <m/>
    <m/>
    <m/>
    <s v="492316.Laboratory equipment-Number of Students-Number"/>
    <s v="Number"/>
    <x v="14"/>
    <x v="35"/>
    <x v="254"/>
    <n v="100000"/>
    <s v="KU Regular operations"/>
    <s v="Non-recurring"/>
    <n v="90000"/>
    <n v="80000"/>
    <n v="70000"/>
    <s v="Less number of core holders."/>
    <s v="Less number of core holders."/>
    <s v="Less number of core holders."/>
    <m/>
    <m/>
    <n v="100000"/>
    <m/>
    <m/>
    <m/>
    <m/>
    <m/>
    <m/>
    <m/>
    <m/>
    <m/>
    <n v="100000"/>
    <s v="Align academic programs with the local and global labor market needs"/>
    <s v="Compared to FY22 budget has significantly increased by 42% for CoE; most of CoE increased their funding in the range of 40%-74%, except for ME and CE."/>
  </r>
  <r>
    <n v="8470350"/>
    <s v="KUST - Petroleum Engineering"/>
    <n v="1"/>
    <n v="492316"/>
    <x v="19"/>
    <s v="000000"/>
    <s v="KUST - General"/>
    <n v="847001"/>
    <x v="2"/>
    <n v="300180"/>
    <s v="847.8470350.1.492316.000000.847001.300180"/>
    <m/>
    <m/>
    <m/>
    <s v="492316.Laboratory equipment-Number of Students-Number"/>
    <s v="Number"/>
    <x v="1"/>
    <x v="77"/>
    <x v="255"/>
    <n v="200000"/>
    <s v="KU Regular operations"/>
    <s v="Non-recurring"/>
    <n v="180000"/>
    <n v="160000"/>
    <n v="140000"/>
    <s v="reduced options for the equipment to be purchased"/>
    <s v="less options for the equipment to be purchased"/>
    <s v="Will not be purchased"/>
    <m/>
    <m/>
    <m/>
    <m/>
    <n v="200000"/>
    <m/>
    <m/>
    <m/>
    <m/>
    <m/>
    <m/>
    <m/>
    <n v="200000"/>
    <s v="Align academic programs with the local and global labor market needs"/>
    <s v="Compared to FY22 budget has significantly increased by 42% for CoE; most of CoE increased their funding in the range of 40%-74%, except for ME and CE."/>
  </r>
  <r>
    <n v="8470350"/>
    <s v="KUST - Petroleum Engineering"/>
    <n v="1"/>
    <n v="492316"/>
    <x v="19"/>
    <s v="000000"/>
    <s v="KUST - General"/>
    <n v="847001"/>
    <x v="2"/>
    <n v="300180"/>
    <s v="847.8470350.1.492316.000000.847001.300180"/>
    <m/>
    <m/>
    <m/>
    <s v="492316.Laboratory equipment-Number of Students-Number"/>
    <s v="Number"/>
    <x v="11"/>
    <x v="109"/>
    <x v="256"/>
    <n v="150000"/>
    <s v="KU Regular operations"/>
    <s v="Non-recurring"/>
    <n v="135000"/>
    <n v="120000"/>
    <n v="105000"/>
    <s v="reduced options for the equipment to be purchased"/>
    <s v="less options for the equipment to be purchased"/>
    <s v="Will not be purchased"/>
    <m/>
    <m/>
    <m/>
    <m/>
    <n v="150000"/>
    <m/>
    <m/>
    <m/>
    <m/>
    <m/>
    <m/>
    <m/>
    <n v="150000"/>
    <s v="Align academic programs with the local and global labor market needs"/>
    <s v="Compared to FY22 budget has significantly increased by 42% for CoE; most of CoE increased their funding in the range of 40%-74%, except for ME and CE."/>
  </r>
  <r>
    <n v="8470350"/>
    <s v="KUST - Petroleum Engineering"/>
    <n v="1"/>
    <n v="492316"/>
    <x v="19"/>
    <s v="000000"/>
    <s v="KUST - General"/>
    <n v="847001"/>
    <x v="2"/>
    <n v="300180"/>
    <s v="847.8470350.1.492316.000000.847001.300180"/>
    <m/>
    <m/>
    <m/>
    <s v="492316.Laboratory equipment-Number of Students-Number"/>
    <s v="Number"/>
    <x v="11"/>
    <x v="135"/>
    <x v="257"/>
    <n v="170000"/>
    <s v="KU Regular operations"/>
    <s v="Non-recurring"/>
    <n v="153000"/>
    <n v="136000"/>
    <n v="118999.99999999999"/>
    <s v="reduced options for the equipment to be purchased"/>
    <s v="less options for the equipment to be purchased"/>
    <s v="Will not be purchased"/>
    <m/>
    <m/>
    <m/>
    <m/>
    <n v="170000"/>
    <m/>
    <m/>
    <m/>
    <m/>
    <m/>
    <m/>
    <m/>
    <n v="170000"/>
    <s v="Align academic programs with the local and global labor market needs"/>
    <s v="Compared to FY22 budget has significantly increased by 42% for CoE; most of CoE increased their funding in the range of 40%-74%, except for ME and CE."/>
  </r>
  <r>
    <n v="8470350"/>
    <s v="KUST - Petroleum Engineering"/>
    <n v="1"/>
    <n v="492316"/>
    <x v="19"/>
    <s v="000000"/>
    <s v="KUST - General"/>
    <n v="847001"/>
    <x v="2"/>
    <n v="300180"/>
    <s v="847.8470350.1.492316.000000.847001.300180"/>
    <m/>
    <m/>
    <m/>
    <s v="492316.Laboratory equipment-Number of Students-Number"/>
    <s v="Number"/>
    <x v="1"/>
    <x v="78"/>
    <x v="258"/>
    <n v="220000"/>
    <s v="KU Regular operations"/>
    <s v="Non-recurring"/>
    <n v="198000"/>
    <n v="176000"/>
    <n v="154000"/>
    <s v="reduced options for the equipment to be purchased"/>
    <s v="less options for the equipment to be purchased"/>
    <s v="Will not be purchased"/>
    <m/>
    <m/>
    <m/>
    <m/>
    <n v="220000"/>
    <m/>
    <m/>
    <m/>
    <m/>
    <m/>
    <m/>
    <m/>
    <n v="220000"/>
    <s v="Align academic programs with the local and global labor market needs"/>
    <s v="Compared to FY22 budget has significantly increased by 42% for CoE; most of CoE increased their funding in the range of 40%-74%, except for ME and CE."/>
  </r>
  <r>
    <n v="8470350"/>
    <s v="KUST - Petroleum Engineering"/>
    <n v="1"/>
    <n v="492316"/>
    <x v="19"/>
    <s v="000000"/>
    <s v="KUST - General"/>
    <n v="847001"/>
    <x v="2"/>
    <n v="300180"/>
    <s v="847.8470350.1.492316.000000.847001.300180"/>
    <m/>
    <m/>
    <m/>
    <s v="492316.Laboratory equipment-Number of Students-Number"/>
    <s v="Number"/>
    <x v="1"/>
    <x v="136"/>
    <x v="259"/>
    <n v="160000"/>
    <s v="KU Strategic New Initiative"/>
    <s v="Non-recurring"/>
    <n v="144000"/>
    <n v="128000"/>
    <n v="112000"/>
    <s v="reduced options for the equipment to be purchased"/>
    <s v="less options for the equipment to be purchased"/>
    <s v="Will not be purchased"/>
    <m/>
    <m/>
    <m/>
    <n v="80000"/>
    <m/>
    <m/>
    <m/>
    <m/>
    <m/>
    <n v="80000"/>
    <m/>
    <m/>
    <n v="160000"/>
    <s v="Align the postgraduates programs with the research strategy"/>
    <s v="Compared to FY22 budget has significantly increased by 42% for CoE; most of CoE increased their funding in the range of 40%-74%, except for ME and CE."/>
  </r>
  <r>
    <n v="8470350"/>
    <s v="KUST - Petroleum Engineering"/>
    <n v="1"/>
    <n v="492316"/>
    <x v="19"/>
    <s v="000000"/>
    <s v="KUST - General"/>
    <n v="847001"/>
    <x v="2"/>
    <n v="300180"/>
    <s v="847.8470350.1.492316.000000.847001.300180"/>
    <m/>
    <m/>
    <m/>
    <s v="492316.Laboratory equipment-Number of Students-Number"/>
    <s v="Number"/>
    <x v="10"/>
    <x v="117"/>
    <x v="260"/>
    <n v="64000"/>
    <s v="KU Regular operations"/>
    <s v="Non-recurring"/>
    <n v="57600"/>
    <n v="51200"/>
    <n v="44800"/>
    <s v="reduced options for the equipment to be purchased"/>
    <s v="less options for the equipment to be purchased"/>
    <s v="Will not be purchased"/>
    <m/>
    <m/>
    <m/>
    <n v="64000"/>
    <m/>
    <m/>
    <m/>
    <m/>
    <m/>
    <m/>
    <m/>
    <m/>
    <n v="64000"/>
    <s v="Align academic programs with the local and global labor market needs"/>
    <s v="Compared to FY22 budget has significantly increased by 42% for CoE; most of CoE increased their funding in the range of 40%-74%, except for ME and CE."/>
  </r>
  <r>
    <n v="8470350"/>
    <s v="KUST - Petroleum Engineering"/>
    <n v="1"/>
    <n v="495110"/>
    <x v="17"/>
    <s v="000000"/>
    <s v="KUST - General"/>
    <n v="847001"/>
    <x v="2"/>
    <n v="300180"/>
    <s v="847.8470350.1.495110.000000.847001.300180"/>
    <m/>
    <m/>
    <m/>
    <s v="495110.Computer software-TBD-TBD"/>
    <s v="TBD"/>
    <x v="1"/>
    <x v="137"/>
    <x v="261"/>
    <n v="14500"/>
    <s v="KU Regular operations"/>
    <s v="Non-recurring"/>
    <n v="13050"/>
    <n v="11600"/>
    <n v="10150"/>
    <s v="We won't be able to renew it. Fixed software pricing."/>
    <s v="We won't be able to renew it. Fixed software pricing."/>
    <s v="We won't be able to renew it. Fixed software pricing."/>
    <m/>
    <n v="14500"/>
    <m/>
    <m/>
    <m/>
    <m/>
    <m/>
    <m/>
    <m/>
    <m/>
    <m/>
    <m/>
    <n v="14500"/>
    <s v="Align academic programs with the local and global labor market needs"/>
    <m/>
  </r>
  <r>
    <n v="8470350"/>
    <s v="KUST - Petroleum Engineering"/>
    <n v="1"/>
    <n v="492316"/>
    <x v="19"/>
    <s v="000000"/>
    <s v="KUST - General"/>
    <n v="847001"/>
    <x v="2"/>
    <n v="300180"/>
    <s v="847.8470350.1.492316.000000.847001.300180"/>
    <m/>
    <m/>
    <m/>
    <s v="492316.Laboratory equipment-Number of Students-Number"/>
    <s v="Number"/>
    <x v="1"/>
    <x v="138"/>
    <x v="262"/>
    <n v="500000"/>
    <m/>
    <m/>
    <n v="450000"/>
    <n v="400000"/>
    <n v="350000"/>
    <s v="reduced options for the equipment to be purchased"/>
    <s v="less options for the equipment to be purchased"/>
    <s v="Will not be purchased"/>
    <m/>
    <m/>
    <m/>
    <m/>
    <m/>
    <m/>
    <m/>
    <m/>
    <n v="500000"/>
    <m/>
    <m/>
    <m/>
    <n v="500000"/>
    <s v="Align the postgraduates programs with the research strategy"/>
    <s v="Compared to FY22 budget has significantly increased by 42% for CoE; most of CoE increased their funding in the range of 40%-74%, except for ME and CE."/>
  </r>
  <r>
    <n v="8471305"/>
    <s v="KUST - Dean Of Medicine"/>
    <n v="1"/>
    <n v="420570"/>
    <x v="21"/>
    <s v="000000"/>
    <s v="KUST - General"/>
    <n v="847001"/>
    <x v="1"/>
    <n v="200179"/>
    <s v="847.8471305.1.420570.000000.847001.200179"/>
    <n v="16778285"/>
    <n v="21895944"/>
    <n v="25770240"/>
    <s v="420570.Academic Collaborative Partnership Services-Partnership Agreement or Academic Collaboration -No of Partneship/collaboration Agreement"/>
    <s v="No of Partneship/collaboration Agreement"/>
    <x v="1"/>
    <x v="139"/>
    <x v="263"/>
    <n v="33130272"/>
    <s v="KU Regular operations"/>
    <s v="Recurring"/>
    <n v="29817244.800000001"/>
    <n v="26504217.600000001"/>
    <n v="23191190.399999999"/>
    <s v="Fixed contract. Change not an option.  Fifty Six (56 ) students will attend for clinical skill and direct patient care learning. "/>
    <s v="Fixed contract. Change not an option.  Fifty Six (56 ) students will attend for clinical skill and direct patient care learning. "/>
    <s v="Fixed contract. Change not an option.  Fifty Six (56 ) students will attend for clinical skill and direct patient care learning. "/>
    <m/>
    <m/>
    <n v="8282560"/>
    <m/>
    <m/>
    <n v="8282592"/>
    <m/>
    <m/>
    <n v="8282560"/>
    <m/>
    <m/>
    <n v="8282560"/>
    <n v="33130272"/>
    <s v="Widen access to students with outstanding academic potential"/>
    <s v="SHEA contract for the full year"/>
  </r>
  <r>
    <n v="8471305"/>
    <s v="KUST - Dean Of Medicine"/>
    <n v="1"/>
    <n v="420811"/>
    <x v="2"/>
    <s v="000000"/>
    <s v="KUST - General"/>
    <n v="847001"/>
    <x v="1"/>
    <n v="200179"/>
    <s v="847.8471305.1.420811.000000.847001.200179"/>
    <s v="-"/>
    <n v="0"/>
    <m/>
    <s v="420811.IT Systems &amp; Support expenses-Application/Systems Operation-Number of Students-Number"/>
    <s v="Number"/>
    <x v="5"/>
    <x v="140"/>
    <x v="264"/>
    <n v="408900"/>
    <s v="KU Regular operations"/>
    <s v="Recurring"/>
    <n v="368010"/>
    <n v="327120"/>
    <n v="286230"/>
    <s v="required for ongoing IT operations to include license, upgrades, repairs etc. "/>
    <s v="required for ongoing IT operations to include license, upgrades, repairs etc. "/>
    <s v="required for ongoing IT operations to include license, upgrades, repairs etc. "/>
    <m/>
    <m/>
    <n v="136303"/>
    <m/>
    <m/>
    <n v="136303"/>
    <m/>
    <m/>
    <n v="136294"/>
    <m/>
    <m/>
    <m/>
    <n v="408900"/>
    <s v="Widen access to students with outstanding academic potential"/>
    <m/>
  </r>
  <r>
    <n v="8471305"/>
    <s v="KUST - Dean Of Medicine"/>
    <n v="1"/>
    <n v="421000"/>
    <x v="42"/>
    <s v="000000"/>
    <s v="KUST - General"/>
    <n v="847001"/>
    <x v="1"/>
    <n v="200179"/>
    <s v="847.8471305.1.421000.000000.847001.200179"/>
    <n v="0"/>
    <n v="271000"/>
    <n v="300000"/>
    <s v="421000.Management consultancy-Number of contracted consultations -count"/>
    <s v="count"/>
    <x v="14"/>
    <x v="63"/>
    <x v="265"/>
    <n v="400000"/>
    <s v="KU Regular operations"/>
    <s v="Recurring"/>
    <n v="360000"/>
    <n v="320000"/>
    <n v="280000"/>
    <s v="High level consultants to review and evaluate or teach faculty and staff what is required to set plans, evaluation and success of students.  USMLE, CAA, Student Health, coaching, external speakers etc. Accreditation, advisory for curriculumn "/>
    <s v="High level consultants to review and evaluate or teach faculty and staff what is required to set plans, evaluation and success of students.  USMLE, CAA, Student Health, coaching, external speakers etc. Accreditation, advisory for curriculumn "/>
    <s v="High level consultants to review and evaluate or teach faculty and staff what is required to set plans, evaluation and success of students.  USMLE, CAA, Student Health, coaching, external speakers etc. Accreditation, advisory for curriculumn "/>
    <m/>
    <m/>
    <n v="100000"/>
    <m/>
    <m/>
    <n v="100000"/>
    <m/>
    <m/>
    <n v="100000"/>
    <m/>
    <m/>
    <n v="100000"/>
    <n v="400000"/>
    <s v="Promote a working culture of excellence and accountability"/>
    <m/>
  </r>
  <r>
    <n v="8471305"/>
    <s v="KUST - Dean Of Medicine"/>
    <n v="1"/>
    <n v="421700"/>
    <x v="22"/>
    <s v="000000"/>
    <s v="KUST - General"/>
    <n v="847001"/>
    <x v="1"/>
    <n v="200179"/>
    <s v="847.8471305.1.421700.000000.847001.200179"/>
    <n v="85014.13"/>
    <n v="170000"/>
    <n v="170000"/>
    <s v="421700.Standards Certification Services (e.g. ISO)-professional services scope/deliverables-Number"/>
    <s v="Number"/>
    <x v="3"/>
    <x v="87"/>
    <x v="266"/>
    <n v="360000"/>
    <s v="KU Regular operations"/>
    <s v="Recurring"/>
    <n v="324000"/>
    <n v="288000"/>
    <n v="251999.99999999997"/>
    <s v="BLS Certification: for P1/P2 students + staff, ACLC Certification"/>
    <s v="required for accreditation and maintenance equipments"/>
    <s v="required for accreditation and maintenance equipments"/>
    <m/>
    <m/>
    <n v="120000"/>
    <m/>
    <m/>
    <n v="120000"/>
    <m/>
    <m/>
    <n v="120000"/>
    <m/>
    <m/>
    <m/>
    <n v="360000"/>
    <s v="Develop and implement of performance management system across the university"/>
    <m/>
  </r>
  <r>
    <n v="8471305"/>
    <s v="KUST - Dean Of Medicine"/>
    <n v="1"/>
    <n v="422100"/>
    <x v="43"/>
    <s v="000000"/>
    <s v="KUST - General"/>
    <n v="847001"/>
    <x v="1"/>
    <n v="200179"/>
    <s v="847.8471305.1.422100.000000.847001.200179"/>
    <n v="31000"/>
    <n v="12000"/>
    <n v="12000"/>
    <s v="422100.Waste management service-Number of Services-Number"/>
    <s v="Number"/>
    <x v="9"/>
    <x v="38"/>
    <x v="267"/>
    <n v="12000"/>
    <s v="KU Regular operations"/>
    <s v="Recurring"/>
    <n v="10800"/>
    <n v="9600"/>
    <n v="8400"/>
    <s v="to ensure that contaminated waste removal to include blood products, tissue &amp; science matter as properly removed and destroyed."/>
    <s v="to ensure that contaminated waste removal to include blood products, tissue &amp; science matter as properly removed and destroyed."/>
    <s v="to ensure that contaminated waste removal to include blood products, tissue &amp; science matter as properly removed and destroyed."/>
    <m/>
    <m/>
    <n v="4000"/>
    <m/>
    <m/>
    <n v="4000"/>
    <m/>
    <m/>
    <m/>
    <m/>
    <n v="4000"/>
    <m/>
    <n v="12000"/>
    <s v="Realize a sustainable , healthy and safe campus environment for all community members"/>
    <m/>
  </r>
  <r>
    <n v="8471305"/>
    <s v="KUST - Dean Of Medicine"/>
    <n v="1"/>
    <n v="425510"/>
    <x v="23"/>
    <s v="000000"/>
    <s v="KUST - General"/>
    <n v="847001"/>
    <x v="1"/>
    <n v="200179"/>
    <s v="847.8471305.1.425510.000000.847001.200179"/>
    <n v="83485.8"/>
    <n v="820000"/>
    <n v="340000"/>
    <s v="425510.Conferences, seminars and exhibitions and other events: - Local Events-Events-Number of Events"/>
    <s v="Number of Events"/>
    <x v="33"/>
    <x v="42"/>
    <x v="268"/>
    <n v="1020000"/>
    <s v="KU Regular operations"/>
    <s v="Recurring"/>
    <n v="918000"/>
    <n v="816000"/>
    <n v="714000"/>
    <s v="hosting, presenting and attending at local conferences, networking and learning to increase the KU CMHS visibilty and ranking. "/>
    <s v="hosting, presenting and attending at local conferences, networking and learning to increase the KU CMHS visibilty and ranking. "/>
    <s v="hosting, presenting and attending at local conferences, networking and learning to increase the KU CMHS visibilty and ranking. "/>
    <n v="85000"/>
    <n v="85000"/>
    <n v="85000"/>
    <n v="85000"/>
    <n v="85000"/>
    <n v="85000"/>
    <n v="85000"/>
    <n v="85000"/>
    <n v="85000"/>
    <n v="85000"/>
    <n v="85000"/>
    <n v="85000"/>
    <n v="1020000"/>
    <s v="Strengthen research ethical culture framework across the university"/>
    <s v="Incresed number of events since no limitation and restricitios due to COVID"/>
  </r>
  <r>
    <n v="8471305"/>
    <s v="KUST - Dean Of Medicine"/>
    <n v="1"/>
    <n v="425550"/>
    <x v="24"/>
    <s v="000000"/>
    <s v="KUST - General"/>
    <n v="847001"/>
    <x v="1"/>
    <n v="200179"/>
    <s v="847.8471305.1.425550.000000.847001.200179"/>
    <n v="47146.720000000001"/>
    <n v="780000"/>
    <n v="720000"/>
    <s v="425550.Conferences, seminars and exhibitions and other events: - Overseas event-Conferences-Number of Conferences"/>
    <s v="Number of Conferences"/>
    <x v="34"/>
    <x v="42"/>
    <x v="269"/>
    <n v="1140000"/>
    <s v="KU Regular operations"/>
    <s v="Recurring"/>
    <n v="1026000"/>
    <n v="912000"/>
    <n v="798000"/>
    <s v="presenting at international conferences, networking and recruitment. Exposure to move to top 100 universities "/>
    <s v="presenting at international conferences, networking and recruitment. Exposure to move to top 100 universities "/>
    <s v="presenting at international conferences, networking and recruitment. Exposure to move to top 100 universities "/>
    <n v="95000"/>
    <n v="95000"/>
    <n v="95000"/>
    <n v="95000"/>
    <n v="95000"/>
    <n v="95000"/>
    <n v="95000"/>
    <n v="95000"/>
    <n v="95000"/>
    <n v="95000"/>
    <n v="95000"/>
    <n v="95000"/>
    <n v="1140000"/>
    <s v="Build partnerships with local and international universities"/>
    <s v="Incresed number of events since no limitation and restricitios due to COVID"/>
  </r>
  <r>
    <n v="8471305"/>
    <s v="KUST - Dean Of Medicine"/>
    <n v="1"/>
    <n v="425720"/>
    <x v="38"/>
    <s v="000000"/>
    <s v="KUST - General"/>
    <n v="847001"/>
    <x v="1"/>
    <n v="200179"/>
    <s v="847.8471305.1.425720.000000.847001.200179"/>
    <n v="1377538.15"/>
    <n v="2494345"/>
    <n v="3000000"/>
    <s v="425720.Education-Outsourced training service-Activities-No of Activities"/>
    <s v="No of Activities"/>
    <x v="14"/>
    <x v="46"/>
    <x v="270"/>
    <n v="3000000"/>
    <s v="KU Regular operations"/>
    <s v="Recurring"/>
    <n v="2700000"/>
    <n v="2400000"/>
    <n v="2100000"/>
    <s v="standardized exams, predicting students success and progession academically and benchmark. Standardized patient exams"/>
    <s v="standardized exams, predicting students success and progession academically and benchmark. Standardized patient exams"/>
    <s v="standardized exams, predicting students success and progession academically and benchmark. Standardized patient exams"/>
    <m/>
    <n v="300000"/>
    <n v="300000"/>
    <n v="300000"/>
    <n v="300000"/>
    <n v="300000"/>
    <n v="300000"/>
    <n v="300000"/>
    <n v="300000"/>
    <n v="300000"/>
    <n v="300000"/>
    <m/>
    <n v="3000000"/>
    <s v="Widen access to students with outstanding academic potential"/>
    <m/>
  </r>
  <r>
    <n v="8471305"/>
    <s v="KUST - Dean Of Medicine"/>
    <n v="1"/>
    <n v="425742"/>
    <x v="44"/>
    <s v="000000"/>
    <s v="KUST - General"/>
    <n v="847001"/>
    <x v="1"/>
    <n v="200179"/>
    <s v="847.8471305.1.425742.000000.847001.200179"/>
    <n v="74619.92"/>
    <n v="180000"/>
    <n v="180000"/>
    <s v="425742.Enrollment expenses-Number of Students-Number"/>
    <s v="Number"/>
    <x v="5"/>
    <x v="141"/>
    <x v="271"/>
    <n v="297975"/>
    <s v="KU Regular operations"/>
    <s v="Recurring"/>
    <n v="268177.5"/>
    <n v="238380"/>
    <n v="208582.5"/>
    <s v="Added 50 new P1 students to have a total of 145 returning for courses this 2023 -2024 academic year. "/>
    <s v="Added 50 new P1 students to have a total of 145 returning for courses this 2023 -2024 academic year. "/>
    <s v="Added 50 new P1 students to have a total of 145 returning for courses this 2023 -2024 academic year. "/>
    <m/>
    <m/>
    <n v="74493.75"/>
    <m/>
    <m/>
    <n v="74493.75"/>
    <m/>
    <m/>
    <n v="74493.75"/>
    <m/>
    <m/>
    <n v="74493.75"/>
    <n v="297975"/>
    <s v="Widen access to students with outstanding academic potential"/>
    <m/>
  </r>
  <r>
    <n v="8471305"/>
    <s v="KUST - Dean Of Medicine"/>
    <n v="1"/>
    <n v="425745"/>
    <x v="45"/>
    <s v="000000"/>
    <s v="KUST - General"/>
    <n v="847001"/>
    <x v="1"/>
    <n v="200179"/>
    <s v="847.8471305.1.425745.000000.847001.200179"/>
    <n v="16828"/>
    <n v="20000"/>
    <n v="20000"/>
    <s v="425745.Student relocation &amp; travel exps-Number of Students UG-Month"/>
    <s v="Month"/>
    <x v="31"/>
    <x v="80"/>
    <x v="272"/>
    <n v="825000"/>
    <s v="KU Regular operations"/>
    <s v="Recurring"/>
    <n v="742500"/>
    <n v="660000"/>
    <n v="577500"/>
    <s v="relocation overseas incoming expenses for onboarding students if reduced would be self paid"/>
    <s v="relocation overseas incoming expenses for onboarding students if reduced would be self paid"/>
    <s v="relocation overseas incoming expenses for onboarding students if reduced would be self paid"/>
    <m/>
    <m/>
    <m/>
    <m/>
    <m/>
    <m/>
    <m/>
    <n v="825000"/>
    <m/>
    <m/>
    <m/>
    <m/>
    <n v="825000"/>
    <s v="Widen access to students with outstanding academic potential"/>
    <s v="new students enrollment"/>
  </r>
  <r>
    <n v="8471305"/>
    <s v="KUST - Dean Of Medicine"/>
    <n v="1"/>
    <n v="425746"/>
    <x v="46"/>
    <s v="000000"/>
    <s v="KUST - General"/>
    <n v="847001"/>
    <x v="1"/>
    <n v="200179"/>
    <s v="847.8471305.1.425746.000000.847001.200179"/>
    <n v="0"/>
    <n v="292600"/>
    <n v="292600"/>
    <s v="425746.Student Transport-Students_x000a_-No of Students "/>
    <s v="No of Students "/>
    <x v="35"/>
    <x v="142"/>
    <x v="273"/>
    <n v="376200"/>
    <s v="KU Regular operations"/>
    <s v="Recurring"/>
    <n v="338580"/>
    <n v="300960"/>
    <n v="263340"/>
    <s v="transport students to and from accommodation and other activities provided by KU"/>
    <s v="transport students to and from accommodation and other activities provided by KU"/>
    <s v="transport students to and from accommodation and other activities provided by KU"/>
    <n v="31350"/>
    <n v="31350"/>
    <n v="31350"/>
    <n v="31350"/>
    <n v="31350"/>
    <n v="31350"/>
    <n v="31350"/>
    <n v="31350"/>
    <n v="31350"/>
    <n v="31350"/>
    <n v="31350"/>
    <n v="31350"/>
    <n v="376200"/>
    <s v="Widen access to students with outstanding academic potential"/>
    <s v="new students enrollment"/>
  </r>
  <r>
    <n v="8471305"/>
    <s v="KUST - Dean Of Medicine"/>
    <n v="1"/>
    <n v="425749"/>
    <x v="47"/>
    <s v="000000"/>
    <s v="KUST - General"/>
    <n v="847001"/>
    <x v="1"/>
    <n v="200179"/>
    <s v="847.8471305.1.425749.000000.847001.200179"/>
    <n v="14604066.380000001"/>
    <n v="24213178"/>
    <n v="24213178"/>
    <s v="425749.Postgraduate Student Salaries-Post Graduate students-No of Post Graduate Students"/>
    <s v="No of Post Graduate Students"/>
    <x v="1"/>
    <x v="143"/>
    <x v="274"/>
    <n v="40876000"/>
    <s v="KU Regular operations"/>
    <s v="Recurring"/>
    <n v="36788400"/>
    <n v="32700800"/>
    <n v="28613200"/>
    <s v="Salaries paid to Emirati and expat students for financial support and the ability to focus on academic  studies in medicine to meet standards at the international level.  To reduce this salary puts the students at a disadvantage for cover of living expenses"/>
    <s v="Salaries paid to Emirati and expat students for financial support and the ability to focus on academic  studies in medicine to meet standards at the international level.  To reduce this salary puts the students at a disadvantage for cover of living expenses"/>
    <s v="Salaries paid to Emirati and expat students for financial support and the ability to focus on academic  studies in medicine to meet standards at the international level.  To reduce this salary puts the students at a disadvantage for cover of living expenses"/>
    <n v="3406333.33"/>
    <n v="3406333.33"/>
    <n v="3406333.33"/>
    <n v="3406333.33"/>
    <n v="3406333.33"/>
    <n v="3406333.389"/>
    <n v="3406333.3130000001"/>
    <n v="3406333.3149999999"/>
    <n v="3406333.327"/>
    <n v="3406333.3229999999"/>
    <n v="3406333.3139999998"/>
    <n v="3406333.37"/>
    <n v="40876000.001000002"/>
    <s v="Increase number of postgraduate students"/>
    <s v="new students enrollment"/>
  </r>
  <r>
    <n v="8471305"/>
    <s v="KUST - Dean Of Medicine"/>
    <n v="1"/>
    <n v="425750"/>
    <x v="48"/>
    <s v="000000"/>
    <s v="KUST - General"/>
    <n v="847001"/>
    <x v="1"/>
    <n v="200179"/>
    <s v="847.8471305.1.425750.000000.847001.200179"/>
    <n v="0"/>
    <n v="864069"/>
    <n v="864069"/>
    <s v="425750.Skill assessment service-Events-No of Events"/>
    <s v="No of Events"/>
    <x v="5"/>
    <x v="144"/>
    <x v="275"/>
    <n v="2681485"/>
    <s v="KU Regular operations"/>
    <s v="Recurring"/>
    <n v="2413336.5"/>
    <n v="2145188"/>
    <n v="1877039.4999999998"/>
    <s v="Required standardized exams NBME exam, IFOM, MCAT, USMLE STEP 1 AND STEP 2, Peer tutor for success for international internships. "/>
    <s v="Required standardized exams NBME exam, IFOM, MCAT, USMLE STEP 1 AND STEP 2, Peer tutor for success for international internships. "/>
    <s v="Required standardized exams NBME exam, IFOM, MCAT, USMLE STEP 1 AND STEP 2, Peer tutor for success for international internships. "/>
    <m/>
    <m/>
    <n v="670371.25"/>
    <m/>
    <m/>
    <n v="670371.25"/>
    <m/>
    <m/>
    <n v="670371.25"/>
    <m/>
    <m/>
    <n v="670371.25"/>
    <n v="2681485"/>
    <s v="Widen access to students with outstanding academic potential"/>
    <s v="new students enrollment"/>
  </r>
  <r>
    <n v="8471305"/>
    <s v="KUST - Dean Of Medicine"/>
    <n v="1"/>
    <n v="425762"/>
    <x v="37"/>
    <s v="000000"/>
    <s v="KUST - General"/>
    <n v="847001"/>
    <x v="1"/>
    <n v="200179"/>
    <s v="847.8471305.1.425762.000000.847001.200179"/>
    <n v="0"/>
    <n v="2759974"/>
    <n v="2759974"/>
    <s v="425762.Student Internship-Number of Students UG-Month"/>
    <s v="Month"/>
    <x v="36"/>
    <x v="145"/>
    <x v="276"/>
    <n v="3311974"/>
    <s v="KU Regular operations"/>
    <s v="Recurring"/>
    <n v="2980776.6"/>
    <n v="2649579.2000000002"/>
    <n v="2318381.7999999998"/>
    <s v="Student internships to increase knowledge, skill and competencies required to function as an independent medical (general) practitioner and to facilitate entry into postgraduate medical education. Abillity to enter top academic postgrad sites abroad."/>
    <s v="Student internships to increase knowledge, skill and competencies required to function as an independent medical (general) practitioner and to facilitate entry into postgraduate medical education. Abillity to enter top academic postgrad sites abroad."/>
    <s v="Student internships to increase knowledge, skill and competencies required to function as an independent medical (general) practitioner and to facilitate entry into postgraduate medical education. Abillity to enter top academic postgrad sites abroad."/>
    <n v="275997"/>
    <n v="275997"/>
    <n v="275997"/>
    <n v="275997"/>
    <n v="275997"/>
    <n v="275999"/>
    <n v="275999"/>
    <n v="275999"/>
    <n v="275998"/>
    <n v="275998"/>
    <n v="275998"/>
    <n v="275998"/>
    <n v="3311974"/>
    <s v="Widen access to students with outstanding academic potential"/>
    <s v="new students enrollment"/>
  </r>
  <r>
    <n v="8471305"/>
    <s v="KUST - Dean Of Medicine"/>
    <n v="1"/>
    <n v="425763"/>
    <x v="30"/>
    <s v="000000"/>
    <s v="KUST - General"/>
    <n v="847001"/>
    <x v="1"/>
    <n v="200179"/>
    <s v="847.8471305.1.425763.000000.847001.200179"/>
    <n v="32580"/>
    <n v="200000"/>
    <n v="200000"/>
    <s v="425763.Student Project Expenses-Number of Students UG-Month"/>
    <s v="Month"/>
    <x v="21"/>
    <x v="146"/>
    <x v="277"/>
    <n v="256795"/>
    <s v="KU Regular operations"/>
    <s v="Recurring"/>
    <n v="231115.5"/>
    <n v="205436"/>
    <n v="179756.5"/>
    <s v="Ongoing research per individual students and with faculty for 145 students who can utilize this as required."/>
    <s v="Ongoing research per individual students and with faculty for 145 students who can utilize this as required."/>
    <s v="Ongoing research per individual students and with faculty for 145 students who can utilize this as required."/>
    <m/>
    <n v="23345"/>
    <n v="23345"/>
    <n v="23345"/>
    <n v="23345"/>
    <n v="23345"/>
    <n v="23345"/>
    <n v="23345"/>
    <n v="23345"/>
    <n v="23345"/>
    <n v="23345"/>
    <n v="23345"/>
    <n v="256795"/>
    <s v="Widen access to students with outstanding academic potential"/>
    <s v="new students enrollment"/>
  </r>
  <r>
    <n v="8471305"/>
    <s v="KUST - Dean Of Medicine"/>
    <n v="1"/>
    <n v="425900"/>
    <x v="26"/>
    <s v="000000"/>
    <s v="KUST - General"/>
    <n v="847001"/>
    <x v="1"/>
    <n v="200179"/>
    <s v="847.8471305.1.425900.000000.847001.200179"/>
    <n v="20410.759999999998"/>
    <n v="185000"/>
    <n v="185000"/>
    <s v="425900.Entertainment and hospitality-1. No of events/workshops planned-count"/>
    <s v="count"/>
    <x v="31"/>
    <x v="147"/>
    <x v="278"/>
    <n v="368650"/>
    <s v="KU Regular operations"/>
    <s v="Recurring"/>
    <n v="331785"/>
    <n v="294920"/>
    <n v="258054.99999999997"/>
    <s v="entertainment and hospitality for relaxation and disctruction for student well-being"/>
    <s v="entertainment and hospitality for relaxation and disctruction for student well-being"/>
    <s v="entertainment and hospitality for relaxation and disctruction for student well-being"/>
    <n v="30720"/>
    <n v="30720"/>
    <n v="30720"/>
    <n v="30720"/>
    <n v="30720"/>
    <n v="30720"/>
    <n v="30720"/>
    <n v="30720"/>
    <n v="30720"/>
    <n v="30720"/>
    <n v="30730"/>
    <n v="30720"/>
    <n v="368650"/>
    <s v="Develop and implement of performance management system across the university"/>
    <m/>
  </r>
  <r>
    <n v="8471305"/>
    <s v="KUST - Dean Of Medicine"/>
    <n v="1"/>
    <n v="426100"/>
    <x v="49"/>
    <s v="000000"/>
    <s v="KUST - General"/>
    <n v="847001"/>
    <x v="1"/>
    <n v="200179"/>
    <s v="847.8471305.1.426100.000000.847001.200179"/>
    <n v="0"/>
    <n v="90000"/>
    <n v="90000"/>
    <s v="426100.Freight and shipping costs, Numbert included elsewhere under purchase costs-Number of items-Number"/>
    <s v="Number"/>
    <x v="0"/>
    <x v="148"/>
    <x v="279"/>
    <n v="102000"/>
    <s v="KU Regular operations"/>
    <s v="Recurring"/>
    <n v="91800"/>
    <n v="81600"/>
    <n v="71400"/>
    <s v="items required for overseas presentation or general conferene meetings that would not be carried per individual  as per request when attending a local, regional or international event presenting and/or representing KU CHMS"/>
    <s v="tems required for overseas presentation or general conferene meetings that would not be carried per individual  as per request when attending a local, regional or international event presenting and/or representing KU CHMS"/>
    <s v="tems required for overseas presentation or general conferene meetings that would not be carried per individual  as per request when attending a local, regional or international event presenting and/or representing KU CHMS"/>
    <n v="8500"/>
    <n v="8500"/>
    <n v="8500"/>
    <n v="8500"/>
    <n v="8500"/>
    <n v="8500"/>
    <n v="8500"/>
    <n v="8500"/>
    <n v="8500"/>
    <n v="8500"/>
    <n v="8500"/>
    <n v="8500"/>
    <n v="102000"/>
    <s v="Attract and organize international conferences and summits"/>
    <m/>
  </r>
  <r>
    <n v="8471305"/>
    <s v="KUST - Dean Of Medicine"/>
    <n v="1"/>
    <n v="426610"/>
    <x v="4"/>
    <s v="000000"/>
    <s v="KUST - General"/>
    <n v="847001"/>
    <x v="1"/>
    <n v="200179"/>
    <s v="847.8471305.1.426610.000000.847001.200179"/>
    <n v="1212147.98"/>
    <n v="977363"/>
    <n v="977363"/>
    <s v="426610.Computer software licenses-Software License Renewal-number of licenses-Number"/>
    <s v="Number"/>
    <x v="1"/>
    <x v="149"/>
    <x v="280"/>
    <n v="977363"/>
    <s v="KU Regular operations"/>
    <s v="Recurring"/>
    <n v="879626.70000000007"/>
    <n v="781890.4"/>
    <n v="684154.1"/>
    <s v="strategically aligned with the Top Ten university goal, this budget meets student academic excellence.  This applies to academic sequel updates to versions for current practice.  Uworld, Lecturio, and others."/>
    <s v="strategically aligned with the Top Ten university goal, this budget meets student academic excellence.  This applies to academic sequel updates to versions for current practice.  Uworld, Lecturio, and others."/>
    <s v="strategically aligned with the Top Ten university goal, this budget meets student academic excellence.  This applies to academic sequel updates to versions for current practice.  Uworld, Lecturio, and others."/>
    <m/>
    <m/>
    <n v="325787.65999999997"/>
    <m/>
    <n v="325787.65999999997"/>
    <m/>
    <n v="325787.68"/>
    <m/>
    <m/>
    <m/>
    <m/>
    <m/>
    <n v="977363"/>
    <m/>
    <m/>
  </r>
  <r>
    <n v="8471305"/>
    <s v="KUST - Dean Of Medicine"/>
    <n v="1"/>
    <n v="426900"/>
    <x v="50"/>
    <s v="000000"/>
    <s v="KUST - General"/>
    <n v="847001"/>
    <x v="1"/>
    <n v="200179"/>
    <s v="847.8471305.1.426900.000000.847001.200179"/>
    <n v="290"/>
    <n v="21000"/>
    <n v="21000"/>
    <s v="426900.Postal, courier and other document delivery expenses-Number of Faculty-Number"/>
    <s v="Number"/>
    <x v="0"/>
    <x v="121"/>
    <x v="281"/>
    <n v="21000"/>
    <s v="KU Regular operations"/>
    <s v="Recurring"/>
    <n v="18900"/>
    <n v="16800"/>
    <n v="14699.999999999998"/>
    <s v="important documents and communication that require tracking "/>
    <s v="important documents and communication that require tracking "/>
    <s v="important documents and communication that require tracking "/>
    <n v="1750"/>
    <n v="1750"/>
    <n v="1750"/>
    <n v="1750"/>
    <n v="1750"/>
    <n v="1750"/>
    <n v="1750"/>
    <n v="1750"/>
    <n v="1750"/>
    <n v="1750"/>
    <n v="1750"/>
    <n v="1750"/>
    <n v="21000"/>
    <s v="Provide reliable, accurate and timely reports to different stakeholders"/>
    <m/>
  </r>
  <r>
    <n v="8471305"/>
    <s v="KUST - Dean Of Medicine"/>
    <n v="1"/>
    <n v="427200"/>
    <x v="51"/>
    <s v="000000"/>
    <s v="KUST - General"/>
    <n v="847001"/>
    <x v="1"/>
    <n v="200179"/>
    <s v="847.8471305.1.427200.000000.847001.200179"/>
    <n v="158351.81"/>
    <n v="627674"/>
    <n v="627674"/>
    <s v="427200.Printing and publishing-The cost of design for the entity's publications to reflect the entity's identity-count"/>
    <s v="count"/>
    <x v="37"/>
    <x v="62"/>
    <x v="282"/>
    <n v="675000"/>
    <s v="KU Regular operations"/>
    <s v="Recurring"/>
    <n v="607500"/>
    <n v="540000"/>
    <n v="472499.99999999994"/>
    <s v="publishing in Top Quarter Rated Journals to increase visibility of KU and CMHS, top 100 university goal"/>
    <s v="publishing in Top Quarter Rated Journals to increase visibility of KU and CMHS, top 100 university goal"/>
    <s v="publishing in Top Quarter Rated Journals to increase visibility of KU and CMHS, top 100 university goal"/>
    <m/>
    <n v="67500"/>
    <n v="67500"/>
    <n v="67500"/>
    <n v="67500"/>
    <n v="67500"/>
    <n v="67500"/>
    <n v="67500"/>
    <n v="67500"/>
    <n v="67500"/>
    <n v="67500"/>
    <m/>
    <n v="675000"/>
    <s v="Increase publications in journals with high impact factor"/>
    <m/>
  </r>
  <r>
    <n v="8471305"/>
    <s v="KUST - Dean Of Medicine"/>
    <n v="1"/>
    <n v="427710"/>
    <x v="52"/>
    <s v="000000"/>
    <s v="KUST - General"/>
    <n v="847001"/>
    <x v="1"/>
    <n v="200179"/>
    <s v="847.8471305.1.427710.000000.847001.200179"/>
    <n v="14706.73"/>
    <n v="153178"/>
    <n v="153178"/>
    <s v="427710.Subscriptions and membership fees: Trade organisations-Number  of Memberships-Number"/>
    <s v="Number"/>
    <x v="38"/>
    <x v="150"/>
    <x v="283"/>
    <n v="237360"/>
    <s v="KU Regular operations"/>
    <s v="Recurring"/>
    <n v="213624"/>
    <n v="189888"/>
    <n v="166152"/>
    <s v="for TOP 100 recognition progressprofessional memberships and organization at international level, organizing onsite or regional symposiums, publications in the journals "/>
    <s v="for TOP 100 recognition progressprofessional memberships and organization at international level, organizing onsite or regional symposiums, publications in the journals "/>
    <s v="for TOP 100 recognition progressprofessional memberships and organization at international level, organizing onsite or regional symposiums, publications in the journals "/>
    <m/>
    <n v="29670"/>
    <n v="29670"/>
    <n v="29670"/>
    <n v="29670"/>
    <n v="29670"/>
    <n v="29670"/>
    <n v="29670"/>
    <n v="29670"/>
    <m/>
    <m/>
    <m/>
    <n v="237360"/>
    <s v="Increase publications in journals with high impact factor"/>
    <m/>
  </r>
  <r>
    <n v="8471305"/>
    <s v="KUST - Dean Of Medicine"/>
    <n v="1"/>
    <n v="428090"/>
    <x v="7"/>
    <s v="000000"/>
    <s v="KUST - General"/>
    <n v="847001"/>
    <x v="1"/>
    <n v="200179"/>
    <s v="847.8471305.1.428090.000000.847001.200179"/>
    <n v="0"/>
    <n v="419000"/>
    <n v="419000"/>
    <s v="428090.Business Travel - Combined expenses-Number of Staff-Number"/>
    <s v="Number"/>
    <x v="18"/>
    <x v="62"/>
    <x v="284"/>
    <n v="450000"/>
    <s v="KU Regular operations"/>
    <s v="Recurring"/>
    <n v="405000"/>
    <n v="360000"/>
    <n v="315000"/>
    <s v="professional travel for Assoc/Asst Deans, faculty or staff as assigned based on international invitations and meetings with academic sites for potential partnerships. "/>
    <s v="professional travel for Assoc/Asst Deans, faculty or staff as assigned based on international invitations and meetings with academic sites for potential partnerships. "/>
    <s v="professional travel for Assoc/Asst Deans, faculty or staff as assigned based on international invitations and meetings with academic sites for potential partnerships. "/>
    <n v="37500"/>
    <n v="37500"/>
    <n v="37500"/>
    <n v="37500"/>
    <n v="37500"/>
    <n v="37500"/>
    <n v="37500"/>
    <n v="37500"/>
    <n v="37500"/>
    <n v="37500"/>
    <n v="37500"/>
    <n v="37500"/>
    <n v="450000"/>
    <s v="Build partnerships with local and international universities"/>
    <m/>
  </r>
  <r>
    <n v="8471305"/>
    <s v="KUST - Dean Of Medicine"/>
    <n v="1"/>
    <n v="428640"/>
    <x v="27"/>
    <s v="000000"/>
    <s v="KUST - General"/>
    <n v="847001"/>
    <x v="1"/>
    <n v="200179"/>
    <s v="847.8471305.1.428640.000000.847001.200179"/>
    <n v="1200"/>
    <n v="5000"/>
    <n v="5000"/>
    <s v="428640.Events - Awards, prizes &amp; gifts-Number of Events-count"/>
    <s v="count"/>
    <x v="17"/>
    <x v="30"/>
    <x v="285"/>
    <n v="100000"/>
    <s v="KU Regular operations"/>
    <s v="Recurring"/>
    <n v="90000"/>
    <n v="80000"/>
    <n v="70000"/>
    <s v="Events for students that engage fellowship, appreciation, extra-academic activities"/>
    <s v="Events for students that engage fellowship, appreciation, extra-academic activities"/>
    <s v="Events for students that engage fellowship, appreciation, extra-academic activities"/>
    <m/>
    <m/>
    <n v="25000"/>
    <m/>
    <m/>
    <n v="25000"/>
    <m/>
    <m/>
    <n v="25000"/>
    <m/>
    <m/>
    <n v="25000"/>
    <n v="100000"/>
    <s v="Widen access to students with outstanding academic potential"/>
    <m/>
  </r>
  <r>
    <n v="8471305"/>
    <s v="KUST - Dean Of Medicine"/>
    <n v="1"/>
    <n v="432205"/>
    <x v="10"/>
    <s v="000000"/>
    <s v="KUST - General"/>
    <n v="847001"/>
    <x v="1"/>
    <n v="200179"/>
    <s v="847.8471305.1.432205.000000.847001.200179"/>
    <n v="99532.62"/>
    <n v="565385"/>
    <n v="289385"/>
    <s v="432205.Computers and peripherals-End user and Infrastructure components maintenance and support-number of hardware devices-Month"/>
    <s v="Month"/>
    <x v="1"/>
    <x v="151"/>
    <x v="286"/>
    <n v="1949500"/>
    <s v="KU Regular operations"/>
    <s v="Recurring"/>
    <n v="1754550"/>
    <n v="1559600"/>
    <n v="1364650"/>
    <s v="to protect our high level investment maintenance and support-is required for the number of hardware devices or warrenty may expire for laboratory and advanced learning systems.  This relates to high level competency of students, staff and external clients.  "/>
    <s v="to protect our high level investment maintenance and support-is required for the number of hardware devices or warrenty may expire for laboratory and advanced learning systems.  This relates to high level competency of students, staff and external clients. "/>
    <s v="to protect our high level investment maintenance and support-is required for the number of hardware devices or warrenty may expire for laboratory and advanced learning systems.  This relates to high level competency of students, staff and external clients. "/>
    <m/>
    <m/>
    <n v="1949500"/>
    <m/>
    <m/>
    <m/>
    <m/>
    <m/>
    <m/>
    <m/>
    <m/>
    <m/>
    <n v="1949500"/>
    <s v="Widen access to students with outstanding academic potential"/>
    <m/>
  </r>
  <r>
    <n v="8471305"/>
    <s v="KUST - Dean Of Medicine"/>
    <n v="1"/>
    <n v="432209"/>
    <x v="32"/>
    <s v="000000"/>
    <s v="KUST - General"/>
    <n v="847001"/>
    <x v="1"/>
    <n v="200179"/>
    <s v="847.8471305.1.432209.000000.847001.200179"/>
    <n v="55631.5"/>
    <n v="516900"/>
    <n v="516900"/>
    <s v="432209.Laboratory equipment-Number of Students-Number"/>
    <s v="Number"/>
    <x v="1"/>
    <x v="152"/>
    <x v="287"/>
    <n v="600000"/>
    <s v="KU Regular operations"/>
    <s v="Recurring"/>
    <n v="540000"/>
    <n v="480000"/>
    <n v="420000"/>
    <s v="care and function of science and technology for major advances in health and medicine, to reach a Top 100 distinction, to have a significant societal and economic impact and increase recognition in publications. "/>
    <s v="care and function of science and technology for major advances in health and medicine, to reach a Top 100 distinction, to have a significant societal and economic impact and increase recognition in publications. "/>
    <s v="care and function of science and technology for major advances in health and medicine, to reach a Top 100 distinction, to have a significant societal and economic impact and increase recognition in publications. "/>
    <m/>
    <m/>
    <n v="150000"/>
    <m/>
    <m/>
    <n v="150000"/>
    <m/>
    <m/>
    <n v="150000"/>
    <m/>
    <n v="150000"/>
    <m/>
    <n v="600000"/>
    <s v="Align the postgraduates programs with the research strategy"/>
    <m/>
  </r>
  <r>
    <n v="8471305"/>
    <s v="KUST - Dean Of Medicine"/>
    <n v="1"/>
    <n v="432210"/>
    <x v="53"/>
    <s v="000000"/>
    <s v="KUST - General"/>
    <n v="847001"/>
    <x v="1"/>
    <n v="200179"/>
    <s v="847.8471305.1.432210.000000.847001.200179"/>
    <m/>
    <n v="35000"/>
    <n v="35000"/>
    <s v="432210-Medical equipment"/>
    <s v="Number"/>
    <x v="17"/>
    <x v="27"/>
    <x v="288"/>
    <n v="200000"/>
    <s v="KU Regular operations"/>
    <s v="Recurring"/>
    <n v="180000"/>
    <n v="160000"/>
    <n v="140000"/>
    <s v="development of science and technology for major advances in health and medicine, to reach a Top 100 distinction, to have a significant societal and economic impact and increase recognition in publications. "/>
    <s v="development of science and technology for major advances in health and medicine, to reach a Top 100 distinction, to have a significant societal and economic impact and increase recognition in publications. "/>
    <s v="development of science and technology for major advances in health and medicine, to reach a Top 100 distinction, to have a significant societal and economic impact and increase recognition in publications. "/>
    <m/>
    <n v="20000"/>
    <n v="20000"/>
    <n v="20000"/>
    <n v="20000"/>
    <n v="20000"/>
    <n v="20000"/>
    <n v="20000"/>
    <n v="20000"/>
    <n v="20000"/>
    <n v="20000"/>
    <m/>
    <n v="200000"/>
    <m/>
    <m/>
  </r>
  <r>
    <n v="8471305"/>
    <s v="KUST - Dean Of Medicine"/>
    <n v="1"/>
    <n v="435330"/>
    <x v="54"/>
    <s v="000000"/>
    <s v="KUST - General"/>
    <n v="847001"/>
    <x v="1"/>
    <n v="200179"/>
    <s v="847.8471305.1.435330.000000.847001.200179"/>
    <n v="-22387"/>
    <n v="72000"/>
    <n v="591905"/>
    <s v="435330.Library books-Number of Students-Number"/>
    <s v="Number"/>
    <x v="0"/>
    <x v="153"/>
    <x v="289"/>
    <n v="641904"/>
    <s v="KU Regular operations"/>
    <s v="Recurring"/>
    <n v="577713.6"/>
    <n v="513523.20000000001"/>
    <n v="449332.8"/>
    <s v="These are electronic platform best practice RESOUCES FOR STUDENTS.resources in library for student use to ensure academic success and improve CMHS and KU rankings. "/>
    <s v="These are electronic platform best practice RESOUCES FOR STUDENTS.resources in library for student use to ensure academic success and improve CMHS and KU rankings. "/>
    <s v="These are electronic platform best practice RESOUCES FOR STUDENTS.resources in library for student use to ensure academic success and improve CMHS and KU rankings. "/>
    <m/>
    <m/>
    <n v="160476"/>
    <m/>
    <m/>
    <n v="160476"/>
    <m/>
    <m/>
    <n v="160476"/>
    <m/>
    <m/>
    <n v="160476"/>
    <n v="641904"/>
    <s v="Widen access to students with outstanding academic potential"/>
    <m/>
  </r>
  <r>
    <n v="8471305"/>
    <s v="KUST - Dean Of Medicine"/>
    <n v="1"/>
    <n v="435340"/>
    <x v="40"/>
    <s v="000000"/>
    <s v="KUST - General"/>
    <n v="847001"/>
    <x v="1"/>
    <n v="200179"/>
    <s v="847.8471305.1.435340.000000.847001.200179"/>
    <n v="-22387"/>
    <n v="72000"/>
    <n v="300000"/>
    <s v="435340.Text books and library books-The cost of printing a book-Number of pages"/>
    <s v="Number of pages"/>
    <x v="1"/>
    <x v="46"/>
    <x v="290"/>
    <n v="300000"/>
    <s v="KU Regular operations"/>
    <s v="Recurring"/>
    <n v="270000"/>
    <n v="240000"/>
    <n v="210000"/>
    <s v="resources in library for student  and faculty use to ensure academic success and improve CMHS and KU rankings. "/>
    <s v="resources in library for student use to ensure academic success and improve CMHS and KU rankings. "/>
    <s v="resources in library for student use to ensure academic success and improve CMHS and KU rankings. "/>
    <m/>
    <m/>
    <m/>
    <n v="100000"/>
    <s v="  "/>
    <n v="100000"/>
    <n v="100000"/>
    <m/>
    <m/>
    <m/>
    <m/>
    <m/>
    <n v="300000"/>
    <s v="Widen access to students with outstanding academic potential"/>
    <m/>
  </r>
  <r>
    <n v="8471305"/>
    <s v="KUST - Dean Of Medicine"/>
    <n v="1"/>
    <n v="435350"/>
    <x v="33"/>
    <s v="000000"/>
    <s v="KUST - General"/>
    <n v="847001"/>
    <x v="1"/>
    <n v="200179"/>
    <s v="847.8471305.1.435350.000000.847001.200179"/>
    <n v="74471.19"/>
    <n v="120000"/>
    <n v="500000"/>
    <s v="435350.Academic Publications-Number of Publications-Number"/>
    <s v="Number"/>
    <x v="39"/>
    <x v="62"/>
    <x v="291"/>
    <n v="1260000"/>
    <s v="KU Regular operations"/>
    <s v="Recurring"/>
    <n v="1134000"/>
    <n v="1008000"/>
    <n v="882000"/>
    <s v="Top 100 goal Required to increase h-ndex by publications in Q1 journals and move the Top 100 goal closer to its goal.  Increase visibility and reputation of KU and CMHS by pulications."/>
    <s v="op 100 goal Required to increase h-ndex by publications in Q1 journals and move the Top 100 goal closer to its goal.  Increase visibility and reputation of KU and CMHS by pulications."/>
    <s v="op 100 goal Required to increase h-ndex by publications in Q1 journals and move the Top 100 goal closer to its goal.  Increase visibility and reputation of KU and CMHS by pulications."/>
    <n v="105000"/>
    <n v="105000"/>
    <n v="105000"/>
    <n v="105000"/>
    <n v="105000"/>
    <n v="105000"/>
    <n v="105000"/>
    <n v="105000"/>
    <n v="105000"/>
    <n v="105000"/>
    <n v="105000"/>
    <n v="105000"/>
    <n v="1260000"/>
    <s v="Increase publications in journals with high impact factor"/>
    <m/>
  </r>
  <r>
    <n v="8471305"/>
    <s v="KUST - Dean Of Medicine"/>
    <n v="1"/>
    <n v="435508"/>
    <x v="34"/>
    <s v="000000"/>
    <s v="KUST - General"/>
    <n v="847001"/>
    <x v="1"/>
    <n v="200179"/>
    <s v="847.8471305.1.435508.000000.847001.200179"/>
    <n v="241814.92"/>
    <n v="1592072"/>
    <n v="14077987"/>
    <s v="435508.Laboratory - Scientific-Number of Faculty-Number"/>
    <s v="Number"/>
    <x v="1"/>
    <x v="154"/>
    <x v="292"/>
    <n v="14077987"/>
    <s v="KU Regular operations"/>
    <s v="Recurring"/>
    <n v="12670188.300000001"/>
    <n v="11262389.600000001"/>
    <n v="9854590.8999999985"/>
    <s v="development of science and technology for major advances in health and medicine, to reach a Top 100 distinction, to have a significant societal and economic impact and increase recognition in publications. "/>
    <s v="development of science and technology for major advances in health and medicine, to reach a Top 100 distinction, to have a significant societal and economic impact and increase recognition in publications. "/>
    <s v="development of science and technology for major advances in health and medicine, to reach a Top 100 distinction, to have a significant societal and economic impact and increase recognition in publications. "/>
    <m/>
    <n v="1279817"/>
    <n v="1279817"/>
    <n v="1279817"/>
    <n v="2559634"/>
    <n v="1279817"/>
    <n v="1279817"/>
    <n v="1279817"/>
    <n v="1279817"/>
    <n v="1279817"/>
    <n v="1279817"/>
    <m/>
    <n v="14077987"/>
    <s v="Strengthen research ethical culture framework across the university"/>
    <m/>
  </r>
  <r>
    <n v="8471305"/>
    <s v="KUST - Dean Of Medicine"/>
    <n v="1"/>
    <n v="435530"/>
    <x v="55"/>
    <s v="000000"/>
    <s v="KUST - General"/>
    <n v="847001"/>
    <x v="1"/>
    <n v="200179"/>
    <s v="847.8471305.1.435530.000000.847001.200179"/>
    <n v="924.33"/>
    <n v="10000"/>
    <n v="75000"/>
    <s v="435530.School consumables, Numbert specifically mentioned elsewhere-Number of Students-Number"/>
    <s v="Number"/>
    <x v="1"/>
    <x v="155"/>
    <x v="293"/>
    <n v="225000"/>
    <s v="KU Regular operations"/>
    <s v="Recurring"/>
    <n v="202500"/>
    <n v="180000"/>
    <n v="157500"/>
    <s v="Student supplies, posters, post it, paper, carboard, creative presentation needs, research items"/>
    <s v="Student supplies, posters, post it, paper, carboard, creative presentation needs, research items"/>
    <s v="Student supplies, posters, post it, paper, carboard, creative presentation needs, research items"/>
    <n v="18750"/>
    <n v="18750"/>
    <n v="18750"/>
    <n v="18750"/>
    <n v="18750"/>
    <n v="18750"/>
    <n v="18750"/>
    <n v="18750"/>
    <n v="18750"/>
    <n v="18750"/>
    <n v="18750"/>
    <n v="18750"/>
    <n v="225000"/>
    <s v="Widen access to students with outstanding academic potential"/>
    <m/>
  </r>
  <r>
    <n v="8471305"/>
    <s v="KUST - Dean Of Medicine"/>
    <n v="1"/>
    <n v="436120"/>
    <x v="28"/>
    <s v="000000"/>
    <s v="KUST - General"/>
    <n v="847001"/>
    <x v="1"/>
    <n v="200179"/>
    <s v="847.8471305.1.436120.000000.847001.200179"/>
    <n v="7188.06"/>
    <n v="112000"/>
    <n v="200000"/>
    <s v="436120.Stationery-Number of Faculty-Number"/>
    <s v="Number"/>
    <x v="40"/>
    <x v="67"/>
    <x v="294"/>
    <n v="320000"/>
    <s v="KU Regular operations"/>
    <s v="Recurring"/>
    <n v="288000"/>
    <n v="256000"/>
    <n v="224000"/>
    <s v="Communication and other research networking business cards, research promotion, office based stationary, needs for faculty, staff, postdocs, informtionals at conferences etc.."/>
    <s v="Communication and other research networking business cards, research promotion, office based stationary, needs for faculty, staff, postdocs, informtionals at conferences etc.."/>
    <s v="Communication and other research networking business cards, research promotion, office based stationary, needs for faculty, staff, postdocs, informtionals at conferences etc.."/>
    <m/>
    <n v="32000"/>
    <n v="32000"/>
    <n v="32000"/>
    <n v="32000"/>
    <n v="32000"/>
    <n v="32000"/>
    <n v="32000"/>
    <n v="32000"/>
    <n v="32000"/>
    <n v="32000"/>
    <m/>
    <n v="320000"/>
    <s v="Build partnerships with local and international universities"/>
    <m/>
  </r>
  <r>
    <n v="8471305"/>
    <s v="KUST - Dean Of Medicine"/>
    <n v="1"/>
    <n v="495113"/>
    <x v="18"/>
    <s v="000000"/>
    <s v="KUST - General"/>
    <n v="847001"/>
    <x v="2"/>
    <n v="300180"/>
    <s v="847.8471305.1.495113.000000.847001.300180"/>
    <m/>
    <m/>
    <n v="250000"/>
    <s v="495113.Computer software-Application, Platform -number of licenses-Number"/>
    <s v="Month"/>
    <x v="11"/>
    <x v="156"/>
    <x v="295"/>
    <n v="250000"/>
    <s v="KU Regular operations"/>
    <s v="Recurring"/>
    <n v="225000"/>
    <n v="200000"/>
    <n v="175000"/>
    <s v="Newley requested software to support new facility areas and are required to ensure area is properly equiped. "/>
    <s v="Newley requested software to support new facility areas and are required to ensure area is properly equiped. "/>
    <s v="Newley requested software to support new facility areas and are required to ensure area is properly equiped. "/>
    <m/>
    <m/>
    <n v="125000"/>
    <m/>
    <m/>
    <m/>
    <n v="125000"/>
    <m/>
    <m/>
    <m/>
    <m/>
    <m/>
    <n v="250000"/>
    <s v="Widen access to students with outstanding academic potential"/>
    <m/>
  </r>
  <r>
    <n v="8471305"/>
    <s v="KUST - Dean Of Medicine"/>
    <n v="1"/>
    <n v="492354"/>
    <x v="15"/>
    <s v="000000"/>
    <s v="KUST - General"/>
    <n v="847001"/>
    <x v="2"/>
    <n v="300180"/>
    <s v="847.8471305.1.492354.000000.847001.300180"/>
    <n v="4058968.47"/>
    <n v="638656"/>
    <n v="638656"/>
    <s v="492354.Hardware &amp; peripherals-Peripherals &amp; Infrastructure Components-TBD-TBD"/>
    <s v="TBD"/>
    <x v="1"/>
    <x v="157"/>
    <x v="296"/>
    <n v="1098800"/>
    <s v="KU Regular operations"/>
    <s v="Recurring"/>
    <n v="988920"/>
    <n v="879040"/>
    <n v="769160"/>
    <s v="support the Top Ten Goal for KU for the student learning medical education is essential to access resources such as drug information and clinical scoring systems etc for best practice knowledge, USMLE link to success in exams.  Mandotory of CAA accreditation "/>
    <s v="support the Top Ten Goal for KU for the student learning medical education is essential to access resources such as drug information and clinical scoring systems etc for best practice knowledge, USMLE link to success in exams.  Mandotory of CAA accreditation "/>
    <s v="support the Top Ten Goal for KU for the student learning medical education is essential to access resources such as drug information and clinical scoring systems etc for best practice knowledge, USMLE link to success in exams.  Mandotory of CAA accreditation "/>
    <m/>
    <n v="219760"/>
    <m/>
    <n v="219760"/>
    <n v="219760"/>
    <n v="219760"/>
    <n v="219760"/>
    <m/>
    <m/>
    <m/>
    <m/>
    <m/>
    <n v="1098800"/>
    <s v="Widen access to students with outstanding academic potential"/>
    <m/>
  </r>
  <r>
    <n v="8471305"/>
    <s v="KUST - Dean Of Medicine"/>
    <n v="1"/>
    <n v="492316"/>
    <x v="19"/>
    <s v="000000"/>
    <s v="KUST - General"/>
    <n v="847001"/>
    <x v="2"/>
    <n v="300180"/>
    <s v="847.8471305.1.492316.000000.847001.300180"/>
    <n v="11810091.060000001"/>
    <n v="17788291"/>
    <n v="17788291"/>
    <s v="492316.Laboratory equipment-Number of Students-Number"/>
    <s v="Number"/>
    <x v="1"/>
    <x v="158"/>
    <x v="297"/>
    <n v="1800000"/>
    <s v="KU Regular operations"/>
    <s v="Recurring"/>
    <n v="1620000"/>
    <n v="1440000"/>
    <n v="1260000"/>
    <s v="Simulation requirements to simulate real-life scenarios for student education and also external physicians from SKMC per contract. Allows access to practical “hands-on” applications of their theoretical and pratical care in the coummunity for pateints."/>
    <s v="Simulation requirements to simulate real-life scenarios for student education and also external physicians from SKMC per contract. Allows access to practical “hands-on” applications of their theoretical and pratical care in the coummunity for pateints."/>
    <s v="Simulation requirements to simulate real-life scenarios for student education and also external physicians from SKMC per contract. Allows access to practical “hands-on” applications of their theoretical and pratical care in the coummunity for pateints."/>
    <m/>
    <n v="600000"/>
    <m/>
    <n v="600000"/>
    <n v="600000"/>
    <m/>
    <m/>
    <m/>
    <m/>
    <m/>
    <m/>
    <m/>
    <n v="1800000"/>
    <s v="Widen access to students with outstanding academic potential"/>
    <m/>
  </r>
  <r>
    <n v="8471305"/>
    <s v="KUST - Dean Of Medicine"/>
    <n v="1"/>
    <n v="492316"/>
    <x v="19"/>
    <s v="000000"/>
    <s v="KUST - General"/>
    <n v="847001"/>
    <x v="2"/>
    <n v="300180"/>
    <s v="847.8471305.1.492316.000000.847001.300180"/>
    <m/>
    <m/>
    <m/>
    <s v="492316.Laboratory equipment-Number of Research-Number"/>
    <s v="Number"/>
    <x v="1"/>
    <x v="159"/>
    <x v="288"/>
    <n v="21822096"/>
    <s v="KU Regular operations"/>
    <s v="Recurring"/>
    <n v="19639886.400000002"/>
    <n v="17457676.800000001"/>
    <n v="15275467.199999999"/>
    <s v="development of science and technology for major advances in health and medicine, to reach a Top 100 distinction, to have a significant societal and economic impact and increase recognition in publications. "/>
    <s v="development of science and technology for major advances in health and medicine, to reach a Top 100 distinction, to have a significant societal and economic impact and increase recognition in publications. "/>
    <s v="development of science and technology for major advances in health and medicine, to reach a Top 100 distinction, to have a significant societal and economic impact and increase recognition in publications. "/>
    <m/>
    <n v="5455524"/>
    <n v="5455524"/>
    <n v="5455524"/>
    <n v="5455524"/>
    <m/>
    <m/>
    <m/>
    <m/>
    <m/>
    <m/>
    <m/>
    <n v="21822096"/>
    <s v="Widen access to students with outstanding academic potential"/>
    <m/>
  </r>
  <r>
    <n v="8471305"/>
    <s v="KUST - Dean Of Medicine"/>
    <n v="1"/>
    <n v="422900"/>
    <x v="56"/>
    <s v="000000"/>
    <s v="KUST - General"/>
    <n v="847001"/>
    <x v="1"/>
    <n v="200179"/>
    <s v="847.8471305.1.422900.000000.847001.200179"/>
    <n v="53742.06"/>
    <n v="53742.06"/>
    <n v="53742.06"/>
    <s v="422900.Other specialised professional services, not mentioned elsewhere-Assets Verification-Number of assets"/>
    <s v="Number of assets"/>
    <x v="14"/>
    <x v="160"/>
    <x v="298"/>
    <n v="225000"/>
    <s v="KU Regular operations"/>
    <s v="Recurring"/>
    <n v="202500"/>
    <n v="180000"/>
    <n v="157500"/>
    <s v="Teaching and Learning needs for students and faculty "/>
    <s v="Teaching and Learning needs for students and faculty "/>
    <s v="Teaching and Learning needs for students and faculty "/>
    <m/>
    <n v="22500"/>
    <n v="22500"/>
    <n v="22500"/>
    <n v="22500"/>
    <n v="22500"/>
    <n v="22500"/>
    <n v="22500"/>
    <n v="22500"/>
    <n v="22500"/>
    <n v="22500"/>
    <m/>
    <n v="225000"/>
    <s v="Widen access to students with outstanding academic potential"/>
    <m/>
  </r>
  <r>
    <n v="8471305"/>
    <s v="KUST - Dean Of Medicine"/>
    <n v="1"/>
    <n v="436110"/>
    <x v="12"/>
    <s v="000000"/>
    <s v="KUST - General"/>
    <n v="847001"/>
    <x v="1"/>
    <n v="200179"/>
    <s v="847.8471305.1.436110.000000.847001.200179"/>
    <s v="-"/>
    <s v="-"/>
    <n v="200000"/>
    <s v="436110.Printing supplies-Number of Employees-Number"/>
    <s v="Number"/>
    <x v="1"/>
    <x v="46"/>
    <x v="299"/>
    <n v="300000"/>
    <s v="KU Regular operations"/>
    <s v="Recurring"/>
    <n v="270000"/>
    <n v="240000"/>
    <n v="210000"/>
    <s v="Business cards, Research fylers, informtionals, use in conferences or local worships, meetings or networking at formal events to promote KU"/>
    <s v="Business cards, Research fylers, informtionals, use in conferences or local worships, meetings or networking at formal events to promote KU"/>
    <s v="Business cards, Research fylers, informtionals, use in conferences or local worships, meetings or networking at formal events to promote KU"/>
    <m/>
    <n v="30000"/>
    <n v="30000"/>
    <n v="30000"/>
    <n v="30000"/>
    <n v="30000"/>
    <n v="30000"/>
    <n v="30000"/>
    <n v="30000"/>
    <n v="30000"/>
    <n v="30000"/>
    <m/>
    <n v="300000"/>
    <s v="Enhance the communication plan and outreach activities"/>
    <m/>
  </r>
  <r>
    <n v="8471305"/>
    <s v="KUST - Dean Of Medicine"/>
    <n v="1"/>
    <n v="425100"/>
    <x v="57"/>
    <s v="000000"/>
    <s v="KUST - General"/>
    <n v="847001"/>
    <x v="1"/>
    <n v="200179"/>
    <s v="847.8471305.1.425100.000000.847001.200179"/>
    <s v="-"/>
    <s v="-"/>
    <m/>
    <s v="425100.Advertising Services (General)-Advertising through newspapers and other print media-cm2 - Word"/>
    <m/>
    <x v="1"/>
    <x v="161"/>
    <x v="300"/>
    <n v="250000"/>
    <s v="KU Regular operations"/>
    <s v="Recurring"/>
    <n v="225000"/>
    <n v="200000"/>
    <n v="175000"/>
    <s v="Top 100 Recognition Media, paper, web, search engine, video, hoto shoots, international media digital/other to promote kU CMHS regionally, and internationally. "/>
    <s v="Top 100 Recognition Media, paper, web, search engine, video, hoto shoots, international media digital/other to promote kU CMHS regionally, and internationally. "/>
    <s v="Top 100 Recognition Media, paper, web, search engine, video, hoto shoots, international media digital/other to promote kU CMHS regionally, and internationally. "/>
    <m/>
    <n v="25000"/>
    <n v="25000"/>
    <n v="25000"/>
    <n v="25000"/>
    <n v="25000"/>
    <n v="25000"/>
    <n v="25000"/>
    <n v="25000"/>
    <n v="25000"/>
    <n v="25000"/>
    <m/>
    <n v="250000"/>
    <s v="Build partnerships with local and international universities"/>
    <m/>
  </r>
  <r>
    <n v="8470620"/>
    <s v="KUST - Finance Operations"/>
    <n v="1"/>
    <n v="420130"/>
    <x v="58"/>
    <s v="000000"/>
    <s v="KUST - General"/>
    <n v="847001"/>
    <x v="1"/>
    <n v="200179"/>
    <s v="847.8470620.1.420130.000000.847001.200179"/>
    <n v="203515"/>
    <n v="295000"/>
    <n v="283000"/>
    <s v="420130.External Audit service-Number of reports to be audited-Number of reports to be audited"/>
    <s v="Number of reports to be audited"/>
    <x v="1"/>
    <x v="162"/>
    <x v="301"/>
    <n v="236850"/>
    <s v="KU Regular operations"/>
    <s v="Recurring"/>
    <n v="213165"/>
    <n v="189480"/>
    <n v="165795"/>
    <s v="there is no way to reduce the budget as we are committed with the agreement &amp; we have to follow the full external audit requirement for ICFR, mid year &amp; yearend audit as per the approval from ARCC &amp; BOT"/>
    <s v="there is no way to reduce the budget as we are committed with the agreement &amp; we have to follow the full external audit requirement for ICFR, mid year &amp; yearend audit as per the approval from ARCC &amp; BOT"/>
    <s v="there is no way to reduce the budget as we are committed with the agreement &amp; we have to follow the full external audit requirement for ICFR, mid year &amp; yearend audit as per the approval from ARCC &amp; BOT"/>
    <m/>
    <m/>
    <m/>
    <n v="201500"/>
    <m/>
    <m/>
    <m/>
    <n v="35350"/>
    <m/>
    <m/>
    <m/>
    <m/>
    <n v="236850"/>
    <s v="Promote a working culture of excellence and accountability"/>
    <m/>
  </r>
  <r>
    <n v="8470620"/>
    <s v="KUST - Finance Operations"/>
    <n v="1"/>
    <n v="422900"/>
    <x v="59"/>
    <s v="000000"/>
    <s v="KUST - General"/>
    <n v="847001"/>
    <x v="1"/>
    <n v="200179"/>
    <s v="847.8470620.1.422900.000000.847001.200179"/>
    <s v="-"/>
    <n v="416100"/>
    <n v="416100"/>
    <s v="422900.Other specialized professional services, not mentioned elsewhere-Miscellaneous consultants not mentioned above-Count"/>
    <s v="Number"/>
    <x v="1"/>
    <x v="163"/>
    <x v="302"/>
    <n v="210000"/>
    <s v="KU Strategic New Initiative"/>
    <s v="Non-recurring"/>
    <n v="189000"/>
    <n v="168000"/>
    <n v="147000"/>
    <s v="the scope of work will be changed if the budget reduced."/>
    <s v="the scope of work will be changed if the budget reduced."/>
    <s v="the scope of work will be changed if the budget reduced."/>
    <n v="210000"/>
    <m/>
    <m/>
    <m/>
    <m/>
    <m/>
    <m/>
    <m/>
    <m/>
    <m/>
    <m/>
    <m/>
    <n v="210000"/>
    <s v="Provide reliable, accurate and timely reports to different stakeholders"/>
    <m/>
  </r>
  <r>
    <n v="8470620"/>
    <s v="KUST - Finance Operations"/>
    <n v="1"/>
    <n v="422900"/>
    <x v="59"/>
    <s v="000000"/>
    <s v="KUST - General"/>
    <s v="847001"/>
    <x v="1"/>
    <n v="200179"/>
    <s v="847.8470620.1.422900.000000.847001.200179"/>
    <n v="0"/>
    <n v="0"/>
    <n v="0"/>
    <s v="422900.Other specialized professional services, not mentioned elsewhere-Miscellaneous consultants not mentioned above-Count"/>
    <s v="Number"/>
    <x v="1"/>
    <x v="164"/>
    <x v="303"/>
    <n v="375000"/>
    <s v="KU Strategic New Initiative"/>
    <s v="Non-recurring"/>
    <n v="337500"/>
    <n v="300000"/>
    <n v="262500"/>
    <s v="the scope of work will be changed if the budget reduced."/>
    <s v="the scope of work will be changed if the budget reduced."/>
    <s v="the scope of work will be changed if the budget reduced."/>
    <n v="375000"/>
    <m/>
    <m/>
    <m/>
    <m/>
    <m/>
    <m/>
    <m/>
    <m/>
    <m/>
    <m/>
    <m/>
    <n v="375000"/>
    <s v="Provide reliable, accurate and timely reports to different stakeholders"/>
    <m/>
  </r>
  <r>
    <n v="8470620"/>
    <s v="KUST - Finance Operations"/>
    <n v="1"/>
    <n v="425300"/>
    <x v="60"/>
    <s v="000000"/>
    <s v="KUST - General"/>
    <n v="847001"/>
    <x v="1"/>
    <n v="200179"/>
    <s v="847.8470620.1.425300.000000.847001.200179"/>
    <n v="1157.08"/>
    <n v="3600"/>
    <n v="1800"/>
    <s v="425300.Banking service charges / Fees-Number of Transactions-Number"/>
    <s v="Number"/>
    <x v="1"/>
    <x v="165"/>
    <x v="304"/>
    <n v="2400"/>
    <s v="KU Regular operations"/>
    <s v="Recurring"/>
    <n v="2160"/>
    <n v="1920"/>
    <n v="1680"/>
    <s v="these fees are mandated per transaction to clear the transaction in ADERP"/>
    <s v="these fees are mandated per transaction to clear the transaction in ADERP"/>
    <s v="these fees are mandated per transaction to clear the transaction in ADERP"/>
    <n v="200"/>
    <n v="200"/>
    <n v="200"/>
    <n v="200"/>
    <n v="200"/>
    <n v="200"/>
    <n v="200"/>
    <n v="200"/>
    <n v="200"/>
    <n v="200"/>
    <n v="200"/>
    <n v="200"/>
    <n v="2400"/>
    <s v="Provide reliable, accurate and timely reports to different stakeholders"/>
    <m/>
  </r>
  <r>
    <n v="8470620"/>
    <s v="KUST - Finance Operations"/>
    <n v="1"/>
    <n v="425350"/>
    <x v="61"/>
    <s v="000000"/>
    <s v="KUST - General"/>
    <n v="847001"/>
    <x v="1"/>
    <n v="200179"/>
    <s v="847.8470620.1.425350.000000.847001.200179"/>
    <n v="57762.92"/>
    <n v="90000"/>
    <n v="90000"/>
    <s v="425350.Fees for processing e-payments-e-Payment operation-Number of Bank Transfers-Number"/>
    <s v="Number"/>
    <x v="1"/>
    <x v="166"/>
    <x v="305"/>
    <n v="117000"/>
    <s v="KU Regular operations"/>
    <s v="Recurring"/>
    <n v="105300"/>
    <n v="93600"/>
    <n v="81900"/>
    <s v="mandated fees charged by the bank for the exchange rate."/>
    <s v="mandated fees charged by the bank for the exchange rate."/>
    <s v="mandated fees charged by the bank for the exchange rate."/>
    <n v="9750"/>
    <n v="9750"/>
    <n v="9750"/>
    <n v="9750"/>
    <n v="9750"/>
    <n v="9750"/>
    <n v="9750"/>
    <n v="9750"/>
    <n v="9750"/>
    <n v="9750"/>
    <n v="9750"/>
    <n v="9750"/>
    <n v="117000"/>
    <s v="Provide reliable, accurate and timely reports to different stakeholders"/>
    <m/>
  </r>
  <r>
    <n v="8470620"/>
    <s v="KUST - Finance Operations"/>
    <n v="1"/>
    <n v="426610"/>
    <x v="4"/>
    <s v="000000"/>
    <s v="KUST - General"/>
    <n v="847001"/>
    <x v="1"/>
    <n v="200179"/>
    <s v="847.8470620.1.426610.000000.847001.200179"/>
    <n v="31680"/>
    <n v="31680"/>
    <n v="31680"/>
    <s v="426610.Computer software licenses-Software License Renewal-number of licenses-Number"/>
    <s v="Number"/>
    <x v="21"/>
    <x v="167"/>
    <x v="306"/>
    <n v="31680"/>
    <s v="KU Regular operations"/>
    <s v="Recurring"/>
    <n v="28512"/>
    <n v="25344"/>
    <n v="22176"/>
    <s v="can't be reduced since it is charged based on number of license &amp; users."/>
    <s v="can't be reduced since it is charged based on number of license &amp; users."/>
    <s v="can't be reduced since it is charged based on number of license &amp; users."/>
    <m/>
    <m/>
    <m/>
    <n v="31680"/>
    <m/>
    <m/>
    <m/>
    <m/>
    <m/>
    <m/>
    <m/>
    <m/>
    <n v="31680"/>
    <s v="Promote a working culture of excellence and accountability"/>
    <m/>
  </r>
  <r>
    <n v="8470620"/>
    <s v="KUST - Finance Operations"/>
    <n v="1"/>
    <n v="436110"/>
    <x v="12"/>
    <s v="000000"/>
    <s v="KUST - General"/>
    <n v="847001"/>
    <x v="1"/>
    <n v="200179"/>
    <s v="847.8470620.1.436110.000000.847001.200179"/>
    <n v="4566.87"/>
    <n v="0"/>
    <n v="0"/>
    <s v="436110.Printing supplies-Number of Employees-Number"/>
    <s v="Number"/>
    <x v="41"/>
    <x v="168"/>
    <x v="307"/>
    <n v="4000"/>
    <s v="KU Regular operations"/>
    <s v="Recurring"/>
    <n v="3600"/>
    <n v="3200"/>
    <n v="2800"/>
    <s v="we might end up with less bank transfer letter"/>
    <s v="we might end up with less bank transfer letter"/>
    <s v="we might end up with less bank transfer letter"/>
    <n v="4000"/>
    <m/>
    <m/>
    <m/>
    <m/>
    <m/>
    <m/>
    <m/>
    <m/>
    <m/>
    <m/>
    <m/>
    <n v="4000"/>
    <s v="Provide reliable, accurate and timely reports to different stakeholders"/>
    <m/>
  </r>
  <r>
    <n v="8470620"/>
    <s v="KUST - Finance Operations"/>
    <n v="1"/>
    <n v="425900"/>
    <x v="26"/>
    <s v="000000"/>
    <s v="KUST - General"/>
    <n v="847001"/>
    <x v="1"/>
    <n v="200179"/>
    <s v="847.8470620.1.425900.000000.847001.200179"/>
    <n v="2000"/>
    <s v="-"/>
    <s v="-"/>
    <s v="425900.Entertainment and hospitality-1. No of events/workshops planned-count"/>
    <s v="count"/>
    <x v="1"/>
    <x v="169"/>
    <x v="308"/>
    <n v="6800"/>
    <s v="KU Regular operations"/>
    <s v="Recurring"/>
    <n v="6120"/>
    <n v="5440"/>
    <n v="4760"/>
    <s v="we can reduce the number of staff attending the retreat."/>
    <s v="we can reduce the number of staff attending the retreat."/>
    <s v="we can reduce the number of staff attending the retreat."/>
    <n v="6800"/>
    <m/>
    <m/>
    <m/>
    <m/>
    <m/>
    <m/>
    <m/>
    <m/>
    <m/>
    <m/>
    <m/>
    <n v="6800"/>
    <s v="Promote a working culture of excellence and accountability"/>
    <m/>
  </r>
  <r>
    <n v="8470630"/>
    <s v="KUST - Business Development"/>
    <n v="1"/>
    <n v="425100"/>
    <x v="62"/>
    <s v="000000"/>
    <s v="KUST - General"/>
    <n v="847001"/>
    <x v="1"/>
    <n v="200179"/>
    <s v="847.8470630.1.425100.000000.847001.200179"/>
    <m/>
    <m/>
    <m/>
    <s v="425100.Advertising Services (General)-International Publicity-count"/>
    <s v="count"/>
    <x v="17"/>
    <x v="30"/>
    <x v="309"/>
    <n v="100000"/>
    <s v="KU Regular operations"/>
    <s v="Recurring"/>
    <n v="90000"/>
    <n v="80000"/>
    <n v="70000"/>
    <s v="less effective to promote KU"/>
    <s v="less effective to promote KU"/>
    <s v="less effective to promote KU"/>
    <m/>
    <m/>
    <m/>
    <n v="50000"/>
    <m/>
    <m/>
    <m/>
    <n v="50000"/>
    <m/>
    <m/>
    <m/>
    <m/>
    <n v="100000"/>
    <s v="Ensure the university sustainability "/>
    <m/>
  </r>
  <r>
    <n v="8470630"/>
    <s v="KUST - Business Development"/>
    <n v="1"/>
    <n v="425550"/>
    <x v="24"/>
    <s v="000000"/>
    <s v="KUST - General"/>
    <n v="847001"/>
    <x v="1"/>
    <n v="200179"/>
    <s v="847.8470630.1.425550.000000.847001.200179"/>
    <m/>
    <m/>
    <m/>
    <s v="425500.Conferences, seminars and exhibitions and other events:-Number of events &amp; attendees-Number of Number of events &amp; attendees"/>
    <s v="Number of Number of events &amp; attendees"/>
    <x v="17"/>
    <x v="27"/>
    <x v="310"/>
    <n v="200000"/>
    <s v="KU Regular operations"/>
    <s v="Recurring"/>
    <n v="180000"/>
    <n v="160000"/>
    <n v="140000"/>
    <s v="less effective to promote KU"/>
    <s v="less effective to promote KU"/>
    <s v="less effective to promote KU"/>
    <n v="50000"/>
    <m/>
    <m/>
    <n v="50000"/>
    <m/>
    <m/>
    <n v="50000"/>
    <m/>
    <m/>
    <n v="50000"/>
    <m/>
    <m/>
    <n v="200000"/>
    <s v="Ensure the university sustainability "/>
    <m/>
  </r>
  <r>
    <n v="8470630"/>
    <s v="KUST - Business Development"/>
    <n v="1"/>
    <n v="427200"/>
    <x v="51"/>
    <s v="000000"/>
    <s v="KUST - General"/>
    <n v="847001"/>
    <x v="1"/>
    <n v="200179"/>
    <s v="847.8470630.1.427200.000000.847001.200179"/>
    <m/>
    <m/>
    <m/>
    <s v="427200.Printing and publishing-The cost of design for the entity's publications to reflect the entity's identity-count"/>
    <s v="count"/>
    <x v="14"/>
    <x v="65"/>
    <x v="311"/>
    <n v="10000"/>
    <s v="KU Regular operations"/>
    <s v="Recurring"/>
    <n v="9000"/>
    <n v="8000"/>
    <n v="7000"/>
    <s v="the scope of work will be changed if the budget reduced."/>
    <s v="the scope of work will be changed if the budget reduced."/>
    <s v="the scope of work will be changed if the budget reduced."/>
    <n v="10000"/>
    <m/>
    <m/>
    <m/>
    <m/>
    <m/>
    <m/>
    <m/>
    <m/>
    <m/>
    <m/>
    <m/>
    <n v="10000"/>
    <s v="Ensure the university sustainability "/>
    <m/>
  </r>
  <r>
    <n v="8470630"/>
    <s v="KUST - Business Development"/>
    <n v="1"/>
    <n v="436600"/>
    <x v="35"/>
    <s v="000000"/>
    <s v="KUST - General"/>
    <s v="847001"/>
    <x v="1"/>
    <n v="200179"/>
    <s v="847.8470630.1.436600.000000.847001.200179"/>
    <m/>
    <m/>
    <m/>
    <s v="436600.Training/Teaching equipment and other educational aid-Number of Faculty-Number"/>
    <s v="Number"/>
    <x v="17"/>
    <x v="74"/>
    <x v="1"/>
    <n v="12000"/>
    <s v="KU Strategic New Initiative"/>
    <s v="Non-recurring"/>
    <n v="10800"/>
    <n v="9600"/>
    <n v="8400"/>
    <s v="the scope of work will be changed if the budget reduced."/>
    <s v="the scope of work will be changed if the budget reduced."/>
    <s v="the scope of work will be changed if the budget reduced."/>
    <n v="6000"/>
    <m/>
    <m/>
    <m/>
    <m/>
    <n v="6000"/>
    <m/>
    <m/>
    <m/>
    <m/>
    <m/>
    <m/>
    <n v="12000"/>
    <s v="Ensure the university sustainability "/>
    <m/>
  </r>
  <r>
    <n v="8470730"/>
    <s v="KUST - Human Resources"/>
    <n v="1"/>
    <n v="495113"/>
    <x v="18"/>
    <s v="000000"/>
    <s v="KUST - General"/>
    <n v="847001"/>
    <x v="2"/>
    <n v="300180"/>
    <s v="847.8470730.1.495113.000000.847001.300180"/>
    <n v="7345"/>
    <n v="600000"/>
    <n v="600000"/>
    <s v="421000.Management consultancy-Number of contracted consultations -count"/>
    <s v="Solution delivered"/>
    <x v="1"/>
    <x v="77"/>
    <x v="312"/>
    <n v="200000"/>
    <s v="KU Strategic New Initiative"/>
    <s v="Non-recurring"/>
    <n v="180000"/>
    <n v="160000"/>
    <n v="140000"/>
    <s v="the scope of work will be changed if the budget reduced."/>
    <s v="the scope of work will be changed if the budget reduced."/>
    <s v="the scope of work will be changed if the budget reduced."/>
    <m/>
    <m/>
    <m/>
    <m/>
    <n v="200000"/>
    <m/>
    <m/>
    <m/>
    <m/>
    <m/>
    <m/>
    <m/>
    <n v="200000"/>
    <s v="Ensure the university sustainability "/>
    <s v="new initiative"/>
  </r>
  <r>
    <n v="8470730"/>
    <s v="KUST - Human Resources"/>
    <n v="1"/>
    <n v="426610"/>
    <x v="4"/>
    <s v="000000"/>
    <s v="KUST - General"/>
    <n v="847001"/>
    <x v="1"/>
    <n v="200179"/>
    <s v="847.8470730.1.426610.000000.847001.200179"/>
    <m/>
    <n v="300000"/>
    <n v="300000"/>
    <s v="426610.Computer software licenses-Software License Renewal-number of licenses-Number"/>
    <s v="Subscription"/>
    <x v="1"/>
    <x v="105"/>
    <x v="313"/>
    <n v="175000"/>
    <s v="KU Regular operations"/>
    <s v="Recurring"/>
    <n v="157500"/>
    <n v="140000"/>
    <n v="122499.99999999999"/>
    <s v="the scope of work will be changed if the budget reduced."/>
    <s v="the scope of work will be changed if the budget reduced."/>
    <s v="the scope of work will be changed if the budget reduced."/>
    <m/>
    <m/>
    <m/>
    <m/>
    <n v="175000"/>
    <m/>
    <m/>
    <m/>
    <m/>
    <m/>
    <m/>
    <m/>
    <n v="175000"/>
    <s v="Ensure the university sustainability "/>
    <m/>
  </r>
  <r>
    <n v="8470730"/>
    <s v="KUST - Human Resources"/>
    <n v="1"/>
    <n v="495113"/>
    <x v="18"/>
    <s v="000000"/>
    <s v="KUST - General"/>
    <n v="847001"/>
    <x v="2"/>
    <n v="300180"/>
    <s v="847.8470730.1.495113.000000.847001.300180"/>
    <m/>
    <m/>
    <m/>
    <s v="426610.Computer software licenses-Software License Renewal-number of licenses-Number"/>
    <s v="Solution delivered"/>
    <x v="1"/>
    <x v="58"/>
    <x v="314"/>
    <n v="3000000"/>
    <s v="KU Strategic New Initiative"/>
    <s v="Non-recurring"/>
    <n v="2700000"/>
    <n v="2400000"/>
    <n v="2100000"/>
    <s v="the scope of work will be changed if the budget reduced."/>
    <s v="the scope of work will be changed if the budget reduced."/>
    <s v="the scope of work will be changed if the budget reduced."/>
    <m/>
    <m/>
    <m/>
    <m/>
    <n v="3000000"/>
    <m/>
    <m/>
    <m/>
    <m/>
    <m/>
    <m/>
    <m/>
    <n v="3000000"/>
    <s v="Ensure the university sustainability "/>
    <s v="new initiative"/>
  </r>
  <r>
    <n v="8470730"/>
    <s v="KUST - Human Resources"/>
    <n v="1"/>
    <n v="495113"/>
    <x v="18"/>
    <s v="000000"/>
    <s v="KUST - General"/>
    <n v="847001"/>
    <x v="2"/>
    <n v="300180"/>
    <s v="847.8470730.1.495113.000000.847001.300180"/>
    <m/>
    <m/>
    <m/>
    <s v="426610.Computer software licenses-Software License Renewal-number of licenses-Number"/>
    <s v="Solution delivered"/>
    <x v="1"/>
    <x v="77"/>
    <x v="315"/>
    <n v="200000"/>
    <s v="KU Strategic New Initiative"/>
    <s v="Non-recurring"/>
    <n v="180000"/>
    <n v="160000"/>
    <n v="140000"/>
    <s v="the scope of work will be changed if the budget reduced."/>
    <s v="the scope of work will be changed if the budget reduced."/>
    <s v="the scope of work will be changed if the budget reduced."/>
    <m/>
    <m/>
    <m/>
    <m/>
    <n v="200000"/>
    <m/>
    <m/>
    <m/>
    <m/>
    <m/>
    <m/>
    <m/>
    <n v="200000"/>
    <s v="Ensure the university sustainability "/>
    <s v="new initiative"/>
  </r>
  <r>
    <n v="8470730"/>
    <s v="KUST - Human Resources"/>
    <n v="1"/>
    <n v="495113"/>
    <x v="18"/>
    <s v="000000"/>
    <s v="KUST - General"/>
    <n v="847001"/>
    <x v="2"/>
    <n v="300180"/>
    <s v="847.8470730.1.495113.000000.847001.300180"/>
    <m/>
    <m/>
    <m/>
    <s v="426610.Computer software licenses-Software License Renewal-number of licenses-Number"/>
    <s v="Solution delivered"/>
    <x v="1"/>
    <x v="170"/>
    <x v="316"/>
    <n v="1000000"/>
    <s v="KU Strategic New Initiative"/>
    <s v="Non-recurring"/>
    <n v="900000"/>
    <n v="800000"/>
    <n v="700000"/>
    <s v="the scope of work will be changed if the budget reduced."/>
    <s v="the scope of work will be changed if the budget reduced."/>
    <s v="the scope of work will be changed if the budget reduced."/>
    <m/>
    <n v="500000"/>
    <m/>
    <m/>
    <m/>
    <m/>
    <n v="500000"/>
    <m/>
    <m/>
    <m/>
    <m/>
    <m/>
    <n v="1000000"/>
    <s v="Ensure the university sustainability "/>
    <s v="new initiative"/>
  </r>
  <r>
    <n v="8470730"/>
    <s v="KUST - Human Resources"/>
    <n v="1"/>
    <n v="426610"/>
    <x v="4"/>
    <s v="000000"/>
    <s v="KUST - General"/>
    <n v="847001"/>
    <x v="1"/>
    <n v="200179"/>
    <s v="847.8470730.1.426610.000000.847001.200179"/>
    <m/>
    <m/>
    <m/>
    <s v="426610.Computer software licenses-Software License Renewal-number of licenses-Number"/>
    <s v="Solution delivered"/>
    <x v="1"/>
    <x v="46"/>
    <x v="317"/>
    <n v="300000"/>
    <s v="KU Strategic New Initiative"/>
    <s v="Non-recurring"/>
    <n v="270000"/>
    <n v="240000"/>
    <n v="210000"/>
    <s v="the scope of work will be changed if the budget reduced."/>
    <s v="the scope of work will be changed if the budget reduced."/>
    <s v="the scope of work will be changed if the budget reduced."/>
    <m/>
    <m/>
    <n v="100000"/>
    <m/>
    <n v="100000"/>
    <m/>
    <m/>
    <n v="100000"/>
    <m/>
    <m/>
    <m/>
    <m/>
    <n v="300000"/>
    <s v="Ensure the university sustainability "/>
    <m/>
  </r>
  <r>
    <n v="8470730"/>
    <s v="KUST - Human Resources"/>
    <n v="1"/>
    <n v="428640"/>
    <x v="27"/>
    <s v="000000"/>
    <s v="KUST - General"/>
    <n v="847001"/>
    <x v="1"/>
    <n v="200179"/>
    <s v="847.8470730.1.428640.000000.847001.200179"/>
    <n v="0"/>
    <n v="250000"/>
    <n v="250000"/>
    <s v="428640.Events - Awards, prizes &amp; gifts-Number of Events-count"/>
    <s v="Engagement  programs  "/>
    <x v="1"/>
    <x v="170"/>
    <x v="318"/>
    <n v="1000000"/>
    <s v="KU Strategic New Initiative"/>
    <s v="Recurring"/>
    <n v="900000"/>
    <n v="800000"/>
    <n v="700000"/>
    <s v="the scope of work will be changed if the budget reduced."/>
    <s v="the scope of work will be changed if the budget reduced."/>
    <s v="the scope of work will be changed if the budget reduced."/>
    <m/>
    <m/>
    <n v="250000"/>
    <m/>
    <m/>
    <n v="250000"/>
    <m/>
    <m/>
    <n v="250000"/>
    <m/>
    <m/>
    <n v="250000"/>
    <n v="1000000"/>
    <s v="Ensure the university sustainability "/>
    <m/>
  </r>
  <r>
    <n v="8470730"/>
    <s v="KUST - Human Resources"/>
    <n v="1"/>
    <n v="436110"/>
    <x v="12"/>
    <s v="000000"/>
    <s v="KUST - General"/>
    <n v="847001"/>
    <x v="1"/>
    <n v="200179"/>
    <s v="847.8470730.1.436110.000000.847001.200179"/>
    <n v="40440"/>
    <n v="50000"/>
    <n v="50000"/>
    <s v="436110.Printing supplies-Number of Employees-Number"/>
    <s v="Employee Folders"/>
    <x v="42"/>
    <x v="171"/>
    <x v="319"/>
    <n v="50000"/>
    <s v="KU Regular operations"/>
    <s v="Recurring"/>
    <n v="45000"/>
    <n v="40000"/>
    <n v="35000"/>
    <s v="the scope of work will be changed if the budget reduced."/>
    <s v="the scope of work will be changed if the budget reduced."/>
    <s v="the scope of work will be changed if the budget reduced."/>
    <n v="10000"/>
    <m/>
    <n v="10000"/>
    <m/>
    <n v="10000"/>
    <m/>
    <n v="10000"/>
    <m/>
    <n v="10000"/>
    <m/>
    <m/>
    <m/>
    <n v="50000"/>
    <s v="Ensure the university sustainability "/>
    <m/>
  </r>
  <r>
    <n v="8470730"/>
    <s v="KUST - Human Resources"/>
    <n v="1"/>
    <n v="427900"/>
    <x v="63"/>
    <s v="000000"/>
    <s v="KUST - General"/>
    <n v="847001"/>
    <x v="1"/>
    <n v="200179"/>
    <s v="847.8470730.1.427900.000000.847001.200179"/>
    <n v="0"/>
    <n v="10000"/>
    <n v="10000"/>
    <s v="427900.Translation and interpretation service-Number of Employees-Number"/>
    <s v="Document Translation"/>
    <x v="28"/>
    <x v="171"/>
    <x v="320"/>
    <n v="10000"/>
    <s v="KU Regular operations"/>
    <s v="Recurring"/>
    <n v="9000"/>
    <n v="8000"/>
    <n v="7000"/>
    <s v="the scope of work will be changed if the budget reduced."/>
    <s v="the scope of work will be changed if the budget reduced."/>
    <s v="the scope of work will be changed if the budget reduced."/>
    <n v="2000"/>
    <m/>
    <n v="2000"/>
    <m/>
    <n v="2000"/>
    <m/>
    <n v="2000"/>
    <m/>
    <n v="2000"/>
    <m/>
    <m/>
    <m/>
    <n v="10000"/>
    <s v="Ensure the university sustainability "/>
    <m/>
  </r>
  <r>
    <n v="8471110"/>
    <s v="KUST - SVP/ Research &amp; Development Office"/>
    <n v="1"/>
    <n v="425900"/>
    <x v="26"/>
    <s v="000000"/>
    <s v="KUST - General"/>
    <n v="847001"/>
    <x v="1"/>
    <n v="200179"/>
    <s v="847.8471110.1.425900.000000.847001.200179"/>
    <m/>
    <n v="30000"/>
    <n v="30000"/>
    <s v="425900.Entertainment and hospitality-1. No of events/workshops planned-count"/>
    <s v="count"/>
    <x v="14"/>
    <x v="74"/>
    <x v="321"/>
    <n v="30000"/>
    <s v="KU Regular operations"/>
    <s v="Recurring"/>
    <n v="27000"/>
    <n v="24000"/>
    <n v="21000"/>
    <s v="There will be an impact on the SVP Office events, conferences."/>
    <s v="There will be an impact on the SVP Office events, conferences."/>
    <s v="The reduction of 30% will affect the office operation "/>
    <n v="3000"/>
    <n v="3000"/>
    <n v="3000"/>
    <n v="2000"/>
    <n v="2000"/>
    <n v="3000"/>
    <n v="3000"/>
    <n v="3000"/>
    <n v="2000"/>
    <n v="2000"/>
    <n v="2000"/>
    <n v="2000"/>
    <n v="30000"/>
    <s v="Attract and organize international conferences and summits"/>
    <m/>
  </r>
  <r>
    <n v="8471110"/>
    <s v="KUST - SVP/ Research &amp; Development Office"/>
    <n v="1"/>
    <n v="427710"/>
    <x v="52"/>
    <s v="000000"/>
    <s v="KUST - General"/>
    <n v="847001"/>
    <x v="1"/>
    <n v="200179"/>
    <s v="847.8471110.1.427710.000000.847001.200179"/>
    <s v="-"/>
    <n v="428951"/>
    <n v="428951"/>
    <s v="427710.Subscriptions and membership fees: Trade organisations-Number  of Memberships-Number"/>
    <s v="Number"/>
    <x v="7"/>
    <x v="172"/>
    <x v="322"/>
    <n v="448835"/>
    <s v="KU Regular operations"/>
    <s v="Recurring"/>
    <n v="403951.5"/>
    <n v="359068"/>
    <n v="314184.5"/>
    <s v="Subscriptions and memberships are very important to the SVP research office, and any budget cut will have negatice affects."/>
    <s v="20 % deduction is quite high and there will be a shortage to cover Subscriptions and membershipsthat  are very important to the SVP RnD office."/>
    <s v="with the 30 % deduction there  will be a shortage to cover Subscriptions and important  memberships for the SVP RnD office."/>
    <m/>
    <m/>
    <m/>
    <m/>
    <n v="9660"/>
    <n v="15426.6"/>
    <n v="339456"/>
    <n v="73273.399999999994"/>
    <m/>
    <m/>
    <n v="11019"/>
    <m/>
    <n v="448835"/>
    <s v="Diversify and increase external research funds"/>
    <m/>
  </r>
  <r>
    <n v="8471110"/>
    <s v="KUST - SVP/ Research &amp; Development Office"/>
    <n v="1"/>
    <n v="428090"/>
    <x v="7"/>
    <s v="000000"/>
    <s v="KUST - General"/>
    <n v="847001"/>
    <x v="1"/>
    <n v="200179"/>
    <s v="847.8471110.1.428090.000000.847001.200179"/>
    <s v="-"/>
    <n v="100000"/>
    <n v="100000"/>
    <s v="428090.Business Travel - Combined expenses-Number of Staff-Number"/>
    <s v="Number"/>
    <x v="7"/>
    <x v="42"/>
    <x v="323"/>
    <n v="150000"/>
    <s v="KU Regular operations"/>
    <s v="Recurring"/>
    <n v="135000"/>
    <n v="120000"/>
    <n v="105000"/>
    <s v="Collaboration Trips and other Missions are very important to the RnD office and this amount is alreadt deducted comapring to previous years."/>
    <s v="Collaboration Trips and other Missions are very important to the RnD office and this amount is already deducted comapring to previous years."/>
    <s v="Collaboration Trips and other Missions are very important to the RnD office and this amount is already deducted comparing to previous years."/>
    <m/>
    <m/>
    <m/>
    <n v="30000"/>
    <m/>
    <m/>
    <n v="30000"/>
    <m/>
    <n v="30000"/>
    <m/>
    <n v="30000"/>
    <n v="30000"/>
    <n v="150000"/>
    <s v="Build partnerships with local and international universities"/>
    <m/>
  </r>
  <r>
    <n v="8471130"/>
    <s v="KUST - Research Service"/>
    <n v="1"/>
    <n v="420811"/>
    <x v="2"/>
    <s v="000000"/>
    <s v="KUST - General"/>
    <n v="847001"/>
    <x v="1"/>
    <n v="200179"/>
    <s v="847.8471130.1.420811.000000.847001.200179"/>
    <s v="-"/>
    <n v="300000"/>
    <n v="300000"/>
    <s v="420811.IT Systems &amp; Support expenses-Application/Systems Operation-professional services scope/deliverables-Month"/>
    <s v="Month"/>
    <x v="0"/>
    <x v="173"/>
    <x v="324"/>
    <n v="170004"/>
    <s v="KU Regular operations"/>
    <s v="Non-recurring"/>
    <n v="153003.6"/>
    <n v="136003.20000000001"/>
    <n v="119002.79999999999"/>
    <s v="Delay in system"/>
    <s v="Delay in system"/>
    <s v="can't build system"/>
    <m/>
    <m/>
    <m/>
    <m/>
    <n v="85000"/>
    <m/>
    <m/>
    <m/>
    <n v="85004"/>
    <m/>
    <m/>
    <m/>
    <n v="170004"/>
    <s v="Strengthen research ethical culture framework across the university"/>
    <m/>
  </r>
  <r>
    <n v="8471130"/>
    <s v="KUST - Research Service"/>
    <n v="1"/>
    <n v="428090"/>
    <x v="7"/>
    <s v="000000"/>
    <s v="KUST - General"/>
    <n v="847001"/>
    <x v="1"/>
    <n v="200179"/>
    <s v="847.8471130.1.428090.000000.847001.200179"/>
    <s v="-"/>
    <n v="70000"/>
    <n v="70000"/>
    <s v="425500.Conferences, seminars and exhibitions and other events:-Number of events &amp; attendees-Number of Number of events &amp; attendees"/>
    <s v="Number of Number of events &amp; attendees"/>
    <x v="3"/>
    <x v="31"/>
    <x v="325"/>
    <n v="120000"/>
    <s v="KU Regular operations"/>
    <s v="Recurring"/>
    <n v="108000"/>
    <n v="96000"/>
    <n v="84000"/>
    <s v="5 conferences"/>
    <s v="less outreach"/>
    <s v="less outreach"/>
    <m/>
    <m/>
    <m/>
    <m/>
    <m/>
    <m/>
    <m/>
    <n v="60000"/>
    <m/>
    <n v="60000"/>
    <m/>
    <m/>
    <n v="120000"/>
    <s v="Diversify and increase external research funds"/>
    <m/>
  </r>
  <r>
    <n v="8471130"/>
    <s v="KUST - Research Service"/>
    <n v="1"/>
    <n v="426610"/>
    <x v="4"/>
    <s v="000000"/>
    <s v="KUST - General"/>
    <n v="847001"/>
    <x v="1"/>
    <n v="200179"/>
    <s v="847.8471130.1.426610.000000.847001.200179"/>
    <n v="214870.5"/>
    <n v="171900"/>
    <n v="171900"/>
    <s v="495112.Computer software-Database-number of licenses-Number"/>
    <s v="Number"/>
    <x v="1"/>
    <x v="174"/>
    <x v="326"/>
    <n v="187323"/>
    <s v="KU Regular operations"/>
    <s v="Recurring"/>
    <n v="168590.7"/>
    <n v="149858.4"/>
    <n v="131126.1"/>
    <s v="we can't license the sofware required to operate the research enterprise"/>
    <s v="we can't license the sofware required to operate the research enterprise"/>
    <s v="we can't license the sofware required to operate the research enterprise"/>
    <m/>
    <m/>
    <m/>
    <m/>
    <m/>
    <n v="187323"/>
    <m/>
    <m/>
    <m/>
    <m/>
    <m/>
    <m/>
    <n v="187323"/>
    <s v="Create diversified financial resources for self sustaining university"/>
    <m/>
  </r>
  <r>
    <n v="8471130"/>
    <s v="KUST - Research Service"/>
    <n v="1"/>
    <n v="427900"/>
    <x v="63"/>
    <s v="000000"/>
    <s v="KUST - General"/>
    <n v="847001"/>
    <x v="1"/>
    <n v="200179"/>
    <s v="847.8471130.1.427900.000000.847001.200179"/>
    <n v="0"/>
    <n v="5000"/>
    <n v="5000"/>
    <s v="427900.Translation and interpretation service-Number of Employees-Number"/>
    <s v="Number"/>
    <x v="14"/>
    <x v="66"/>
    <x v="327"/>
    <n v="5000"/>
    <s v="KU Regular operations"/>
    <s v="Recurring"/>
    <n v="4500"/>
    <n v="4000"/>
    <n v="3500"/>
    <s v="may not be able to complete all required translations"/>
    <s v="may not be able to complete all required translations"/>
    <s v="may not be able to complete all required translations"/>
    <m/>
    <m/>
    <n v="1250"/>
    <m/>
    <m/>
    <n v="1250"/>
    <m/>
    <m/>
    <n v="1250"/>
    <m/>
    <m/>
    <n v="1250"/>
    <n v="5000"/>
    <s v="Diversify and increase external research funds"/>
    <m/>
  </r>
  <r>
    <n v="8471130"/>
    <s v="KUST - Research Service"/>
    <n v="1"/>
    <n v="435523"/>
    <x v="64"/>
    <s v="000000"/>
    <s v="KUST - General"/>
    <n v="847001"/>
    <x v="1"/>
    <n v="200179"/>
    <s v="847.8471130.1.435523.000000.847001.200179"/>
    <n v="198468.28"/>
    <n v="205962"/>
    <n v="200000"/>
    <s v="435523.Scientific-Number of Research-Number"/>
    <s v="Number"/>
    <x v="1"/>
    <x v="77"/>
    <x v="328"/>
    <n v="200000"/>
    <s v="KU Regular operations"/>
    <s v="Recurring"/>
    <n v="180000"/>
    <n v="160000"/>
    <n v="140000"/>
    <s v="Cut scientific research"/>
    <s v="Cut scientific research "/>
    <s v="Cut scientific research "/>
    <m/>
    <m/>
    <n v="50000"/>
    <m/>
    <m/>
    <m/>
    <n v="50000"/>
    <m/>
    <n v="50000"/>
    <m/>
    <m/>
    <n v="50000"/>
    <n v="200000"/>
    <s v="Create diversified financial resources for self sustaining university"/>
    <m/>
  </r>
  <r>
    <n v="8471140"/>
    <s v="KUST - University Sponsored Research"/>
    <n v="1"/>
    <n v="420570"/>
    <x v="21"/>
    <s v="000000"/>
    <s v="KUST - General"/>
    <n v="847001"/>
    <x v="1"/>
    <n v="200179"/>
    <s v="847.8471140.1.420570.000000.847001.200179"/>
    <n v="11867277.859999999"/>
    <n v="231840"/>
    <m/>
    <s v="420570.Academic Collaborative Partnership Services- Research Projects Agreements-No of Research Projects Agreement"/>
    <s v="No of Research Projects Agreement"/>
    <x v="1"/>
    <x v="175"/>
    <x v="329"/>
    <n v="305025"/>
    <s v="KU Regular operations"/>
    <s v="Recurring"/>
    <n v="274522.5"/>
    <n v="244020"/>
    <n v="213517.5"/>
    <s v="The number of proposals eligible for shortlisting to full proposal stage will be reduced by 10%.  Additonal reviews to make this decision will need to be implemented."/>
    <s v="The number of proposals eligible for shortlisting to full proposal stage will be reduced by 20%.  Additonal reviews to make this decision will need to be implemented."/>
    <s v="The number of proposals eligible for shortlisting to full proposal stage will be reduced by 30%.  Additonal reviews to make this decision will need to be implemented."/>
    <n v="0"/>
    <n v="0"/>
    <n v="0"/>
    <n v="0"/>
    <n v="0"/>
    <n v="0"/>
    <n v="0"/>
    <n v="0"/>
    <n v="0"/>
    <n v="101675"/>
    <n v="101675"/>
    <n v="101675"/>
    <n v="305025"/>
    <s v="Develop a comprehensive competitive internal research funding program"/>
    <m/>
  </r>
  <r>
    <n v="8471140"/>
    <s v="KUST - University Sponsored Research"/>
    <n v="1"/>
    <n v="428090"/>
    <x v="7"/>
    <s v="000000"/>
    <s v="KUST - General"/>
    <n v="847001"/>
    <x v="1"/>
    <n v="200179"/>
    <s v="847.8471140.1.428090.000000.847001.200179"/>
    <s v="-"/>
    <n v="80000"/>
    <n v="80000"/>
    <s v="428090.Business Travel - Combined expenses-Number of Staff-Number"/>
    <s v="Number"/>
    <x v="7"/>
    <x v="31"/>
    <x v="330"/>
    <n v="100000"/>
    <s v="KU Regular operations"/>
    <s v="Recurring"/>
    <n v="90000"/>
    <n v="80000"/>
    <n v="70000"/>
    <s v="Number of trips or value per trip will be reduced accordingly"/>
    <s v="Number of trips or value per trip will be reduced accordingly"/>
    <s v="Number of trips or value per trip will be reduced accordingly"/>
    <n v="0"/>
    <n v="0"/>
    <n v="0"/>
    <n v="0"/>
    <n v="0"/>
    <n v="0"/>
    <n v="0"/>
    <n v="20000"/>
    <n v="40000"/>
    <n v="40000"/>
    <n v="0"/>
    <n v="0"/>
    <n v="100000"/>
    <s v="Develop a comprehensive competitive internal research funding program"/>
    <m/>
  </r>
  <r>
    <n v="8471140"/>
    <s v="KUST - University Sponsored Research"/>
    <n v="1"/>
    <n v="435523"/>
    <x v="64"/>
    <s v="000000"/>
    <s v="KUST - General"/>
    <n v="847001"/>
    <x v="1"/>
    <n v="200179"/>
    <s v="847.8471140.1.435523.000000.847001.200179"/>
    <n v="83770903.290000096"/>
    <n v="99885358"/>
    <n v="99885358"/>
    <s v="435523.Scientific-Number of Research-Number"/>
    <s v="Number"/>
    <x v="1"/>
    <x v="176"/>
    <x v="331"/>
    <n v="81714797.610000014"/>
    <s v="KU Regular operations"/>
    <s v="Recurring"/>
    <n v="73543317.849000022"/>
    <n v="65371838.088000014"/>
    <n v="57200358.327000007"/>
    <s v="The budget reflects active awards.  Any reductions in value will require assessment to either reduce specific award amounts or close projects (implications on project manpower and graudate students).  With 134 awards this will require significant review."/>
    <s v="The budget reflects active awards.  Any reductions in value will require assessment to either reduce specific award amounts or close projects (implications on project manpower and graudate students).  With 134 awards this will require significant review."/>
    <s v="The budget reflects active awards.  Any reductions in value will require assessment to either reduce specific award amounts or close projects (implications on project manpower and graudate students).  With 134 awards this will require significant review."/>
    <n v="5107174.8506250009"/>
    <n v="5107174.8506250009"/>
    <n v="7660762.2759375013"/>
    <n v="7660762.2759375013"/>
    <n v="7660762.2759375013"/>
    <n v="7660762.2759375013"/>
    <n v="7660762.2759375013"/>
    <n v="7660762.2759375013"/>
    <n v="6383968.5632812502"/>
    <n v="6383968.5632812502"/>
    <n v="6383968.5632812502"/>
    <n v="6383968.5632812502"/>
    <n v="81714797.610000014"/>
    <s v="Develop a comprehensive competitive internal research funding program"/>
    <s v="Quote and supporting docs provided"/>
  </r>
  <r>
    <n v="8471140"/>
    <s v="KUST - University Sponsored Research"/>
    <n v="1"/>
    <n v="435523"/>
    <x v="64"/>
    <s v="000000"/>
    <s v="KUST - General"/>
    <n v="847001"/>
    <x v="1"/>
    <n v="200179"/>
    <s v="847.8471140.1.435523.000000.847001.200179"/>
    <m/>
    <m/>
    <m/>
    <s v="435523.Scientific-Number of Research-Number"/>
    <s v="Number"/>
    <x v="1"/>
    <x v="177"/>
    <x v="332"/>
    <n v="31734062.5"/>
    <s v="KU Regular operations"/>
    <s v="Recurring"/>
    <n v="28560656.25"/>
    <n v="25387250"/>
    <n v="22213843.75"/>
    <s v="The requested budget is based on new awards to be made.  If the budget is reduced the number of awards will need to be reduced accordinlgly.  This will impact our average research spend per faculty which is a university world ranking metric contributor. "/>
    <s v="The requested budget is based on new awards to be made.  If the budget is reduced the number of awards will need to be reduced accordinlgly.  This will impact our average research spend per faculty which is a university world ranking metric contributor. "/>
    <s v="The requested budget is based on new awards to be made.  If the budget is reduced the number of awards will need to be reduced accordinlgly.  This will impact our average research spend per faculty which is a university world ranking metric contributor. "/>
    <n v="1983378.90625"/>
    <n v="1983378.90625"/>
    <n v="1983378.90625"/>
    <n v="2975068.359375"/>
    <n v="2975068.359375"/>
    <n v="2975068.359375"/>
    <n v="2975068.359375"/>
    <n v="2975068.359375"/>
    <n v="2975068.359375"/>
    <n v="2975068.359375"/>
    <n v="2975068.359375"/>
    <n v="1983378.9062500009"/>
    <n v="31734062.5"/>
    <s v="Develop a comprehensive competitive internal research funding program"/>
    <s v="Quote and supporting docs provided"/>
  </r>
  <r>
    <n v="8471150"/>
    <s v="KUST - Technology Management &amp; Innovation"/>
    <n v="1"/>
    <n v="420900"/>
    <x v="65"/>
    <s v="000000"/>
    <s v="KUST - General"/>
    <n v="847001"/>
    <x v="1"/>
    <n v="200179"/>
    <s v="847.8471150.1.420900.000000.847001.200179"/>
    <n v="2639907.12"/>
    <n v="3332844"/>
    <n v="3500000"/>
    <s v="420900.Legal services-Patent-Number of Patents"/>
    <s v="Number"/>
    <x v="43"/>
    <x v="168"/>
    <x v="333"/>
    <n v="4978500"/>
    <s v="KU Regular operations"/>
    <s v="Recurring"/>
    <n v="4480650"/>
    <n v="3982800"/>
    <n v="3484950"/>
    <s v="Some impact to the IP filing and strategy but will not affect increasing the IP Portfolio"/>
    <s v="Invention Disclosure received may not be assessed and filing may not occur if funds are not available for paying the costs associated with filing"/>
    <s v="May be devastating to KU as many inventions with commercial value may not be filed or jurisdictions were IP protection is necessary may be let unprotected.  This  will affect the value of the University's Portfolio which creates lost licensing opportunities and possible revenues. "/>
    <n v="414875"/>
    <n v="414875"/>
    <n v="414875"/>
    <n v="414875"/>
    <n v="414875"/>
    <n v="414875"/>
    <n v="414875"/>
    <n v="414875"/>
    <n v="414875"/>
    <n v="414875"/>
    <n v="414875"/>
    <n v="414875"/>
    <n v="4978500"/>
    <s v="Develop the university innovation and entrepreneurship system"/>
    <s v="Quote and supporting docs provided"/>
  </r>
  <r>
    <n v="8471150"/>
    <s v="KUST - Technology Management &amp; Innovation"/>
    <n v="1"/>
    <n v="425510"/>
    <x v="23"/>
    <s v="000000"/>
    <s v="KUST - General"/>
    <n v="847001"/>
    <x v="1"/>
    <n v="200179"/>
    <s v="847.8471150.1.425510.000000.847001.200179"/>
    <n v="10137.75"/>
    <n v="100002"/>
    <n v="10000"/>
    <s v="425510.Conferences, seminars and exhibitions and other events: - Local Events-The area of rented halls for events, seminars, and exhibition.-2m"/>
    <s v="Number"/>
    <x v="44"/>
    <x v="178"/>
    <x v="334"/>
    <n v="72000"/>
    <s v="KU Regular operations"/>
    <s v="Recurring"/>
    <n v="64800"/>
    <n v="57600"/>
    <n v="50400"/>
    <m/>
    <m/>
    <m/>
    <n v="6000"/>
    <n v="6000"/>
    <n v="6000"/>
    <n v="6000"/>
    <n v="6000"/>
    <n v="6000"/>
    <n v="6000"/>
    <n v="6000"/>
    <n v="6000"/>
    <n v="6000"/>
    <n v="6000"/>
    <n v="6000"/>
    <n v="72000"/>
    <s v="Develop the university innovation and entrepreneurship system"/>
    <s v="Quote and supporting docs provided"/>
  </r>
  <r>
    <n v="8471150"/>
    <s v="KUST - Technology Management &amp; Innovation"/>
    <n v="1"/>
    <n v="425550"/>
    <x v="24"/>
    <s v="000000"/>
    <s v="KUST - General"/>
    <n v="847001"/>
    <x v="1"/>
    <n v="200179"/>
    <s v="847.8471150.1.425550.000000.847001.200179"/>
    <n v="0"/>
    <n v="100002"/>
    <n v="45000"/>
    <s v="425500.Conferences, seminars and exhibitions and other events:-Number of events &amp; attendees-Number of Number of events &amp; attendees"/>
    <s v="Number of Number of events &amp; attendees"/>
    <x v="45"/>
    <x v="178"/>
    <x v="335"/>
    <n v="100002"/>
    <s v="KU Regular operations"/>
    <s v="Recurring"/>
    <n v="90001.8"/>
    <n v="80001.600000000006"/>
    <n v="70001.399999999994"/>
    <m/>
    <m/>
    <m/>
    <n v="8333.5"/>
    <n v="8333.5"/>
    <n v="8333.5"/>
    <n v="8333.5"/>
    <n v="8333.5"/>
    <n v="8333.5"/>
    <n v="8333.5"/>
    <n v="8333.5"/>
    <n v="8333.5"/>
    <n v="8333.5"/>
    <n v="8333.5"/>
    <n v="8333.5"/>
    <n v="100002"/>
    <s v="Develop the university innovation and entrepreneurship system"/>
    <s v="Quote and supporting docs provided"/>
  </r>
  <r>
    <n v="8471150"/>
    <s v="KUST - Technology Management &amp; Innovation"/>
    <n v="1"/>
    <n v="426610"/>
    <x v="4"/>
    <s v="000000"/>
    <s v="KUST - General"/>
    <n v="847001"/>
    <x v="1"/>
    <n v="200179"/>
    <s v="847.8471150.1.426610.000000.847001.200179"/>
    <n v="76378.73"/>
    <n v="120000"/>
    <n v="165000"/>
    <s v="426610.Computer software licenses-Software License Renewal-service level agreement-Service"/>
    <s v="Service"/>
    <x v="46"/>
    <x v="168"/>
    <x v="336"/>
    <n v="165000"/>
    <s v="KU Regular operations"/>
    <s v="Recurring"/>
    <n v="148500"/>
    <n v="132000"/>
    <n v="115499.99999999999"/>
    <s v="Minimal impact on meeting our obligations with software provider"/>
    <s v="We may have to cancel the use of one of the subscription, which may impact our ability to conduct proper assessments of our technologies, especially assessment on prior art and technology landscape. "/>
    <s v="This may cover the License associated with our database, however, the department's ability to keep up with trends in the industry will be greatly impacted.  Technology Transfer is a specialized area of Economic Innovation and staying ahead of the curve places us and the University in a an excellent position in regards to instruct trends and competiveness. "/>
    <n v="13750"/>
    <n v="13750"/>
    <n v="13750"/>
    <n v="13750"/>
    <n v="13750"/>
    <n v="13750"/>
    <n v="13750"/>
    <n v="13750"/>
    <n v="13750"/>
    <n v="13750"/>
    <n v="13750"/>
    <n v="13750"/>
    <n v="165000"/>
    <s v="Utilize state-of-the-art technologies and facilities in an optimal and efficient manner"/>
    <s v="Quote and supporting docs provided"/>
  </r>
  <r>
    <n v="8471150"/>
    <s v="KUST - Technology Management &amp; Innovation"/>
    <n v="1"/>
    <n v="428090"/>
    <x v="7"/>
    <s v="000000"/>
    <s v="KUST - General"/>
    <n v="847001"/>
    <x v="1"/>
    <n v="200179"/>
    <s v="847.8471150.1.428090.000000.847001.200179"/>
    <s v="-"/>
    <n v="50001"/>
    <n v="25000"/>
    <s v="428090.Business Travel - Combined expenses-Number of Staff-Number"/>
    <s v="Number"/>
    <x v="47"/>
    <x v="168"/>
    <x v="335"/>
    <n v="50400"/>
    <s v="KU Regular operations"/>
    <s v="Recurring"/>
    <n v="45360"/>
    <n v="40320"/>
    <n v="35280"/>
    <m/>
    <m/>
    <m/>
    <n v="4200"/>
    <n v="4200"/>
    <n v="4200"/>
    <n v="4200"/>
    <n v="4200"/>
    <n v="4200"/>
    <n v="4200"/>
    <n v="4200"/>
    <n v="4200"/>
    <n v="4200"/>
    <n v="4200"/>
    <n v="4200"/>
    <n v="50400"/>
    <s v="Develop the university innovation and entrepreneurship system"/>
    <s v="Quote and supporting docs provided"/>
  </r>
  <r>
    <n v="8471150"/>
    <s v="KUST - Technology Management &amp; Innovation"/>
    <n v="1"/>
    <n v="435310"/>
    <x v="66"/>
    <s v="000000"/>
    <s v="KUST - General"/>
    <n v="847001"/>
    <x v="1"/>
    <n v="200179"/>
    <s v="847.8471150.1.435310.000000.847001.200179"/>
    <m/>
    <m/>
    <n v="12000"/>
    <s v="427710.Subscriptions and membership fees: Trade organizations-Number  of Memberships-Number"/>
    <s v="Number"/>
    <x v="48"/>
    <x v="168"/>
    <x v="337"/>
    <n v="12000"/>
    <s v="KU Regular operations"/>
    <s v="Recurring"/>
    <n v="10800"/>
    <n v="9600"/>
    <n v="8400"/>
    <m/>
    <m/>
    <m/>
    <n v="1000"/>
    <n v="1000"/>
    <n v="1000"/>
    <n v="1000"/>
    <n v="1000"/>
    <n v="1000"/>
    <n v="1000"/>
    <n v="1000"/>
    <n v="1000"/>
    <n v="1000"/>
    <n v="1000"/>
    <n v="1000"/>
    <n v="12000"/>
    <s v="Develop the university innovation and entrepreneurship system"/>
    <s v="Quote and supporting docs provided"/>
  </r>
  <r>
    <n v="8471170"/>
    <s v="KUST - Research Computing"/>
    <n v="1"/>
    <n v="420811"/>
    <x v="2"/>
    <s v="000000"/>
    <s v="KUST - General"/>
    <n v="847001"/>
    <x v="1"/>
    <n v="200179"/>
    <s v="847.8471170.1.420811.000000.847001.200179"/>
    <s v="-"/>
    <n v="1709607"/>
    <n v="1709607"/>
    <s v="420811.IT Systems &amp; Support expenses-Application/Systems Operation-professional services scope/deliverables-Month"/>
    <s v="Number"/>
    <x v="0"/>
    <x v="179"/>
    <x v="338"/>
    <n v="4937175.18"/>
    <s v="KU Regular operations"/>
    <s v="Recurring"/>
    <n v="4443457.6619999995"/>
    <n v="3949740.1439999999"/>
    <n v="3456022.6259999997"/>
    <s v="This is to host hardware for HPC and IaaS in the Ankabut datacentre, and purchase services required by Reseach Computing. The charges are for actual hardware in the datacentre,  and critical services and systemsl. It will not be possible to give partial payment,as this is should be part of an overall contract"/>
    <s v="This is to host hardware for HPC and IaaS in the Ankabut datacentre, and purchase services required by Reseach Computing. The charges are for actual hardware in the datacentre,  and critical services and systemsl. It will not be possible to give partial payment,as this is should be part of an overall contract"/>
    <s v="This is to host hardware for HPC and IaaS in the Ankabut datacentre, and purchase services required by Reseach Computing. The charges are for actual hardware in the datacentre,  and critical services and systemsl. It will not be possible to give partial payment,as this is should be part of an overall contract"/>
    <m/>
    <m/>
    <m/>
    <n v="4937175.18"/>
    <m/>
    <m/>
    <m/>
    <m/>
    <m/>
    <m/>
    <m/>
    <m/>
    <n v="4937175.18"/>
    <s v="Utilize state-of-the-art technologies and facilities in an optimal and efficient manner"/>
    <s v="Quote and supporting docs provided"/>
  </r>
  <r>
    <n v="8471170"/>
    <s v="KUST - Research Computing"/>
    <n v="1"/>
    <n v="420811"/>
    <x v="2"/>
    <s v="000000"/>
    <s v="KUST - General"/>
    <n v="847001"/>
    <x v="1"/>
    <n v="200179"/>
    <s v="847.8471170.1.420811.000000.847001.200179"/>
    <m/>
    <m/>
    <m/>
    <s v="420811.IT Systems &amp; Support expenses-Application/Systems Operation-professional services scope/deliverables-Month"/>
    <s v="Month"/>
    <x v="0"/>
    <x v="180"/>
    <x v="339"/>
    <n v="500004"/>
    <s v="KU Regular operations"/>
    <s v="Recurring"/>
    <n v="450003.60000000003"/>
    <n v="400003.2"/>
    <n v="350002.8"/>
    <s v="This is to support KU's investment in HPC. Lack of support will compromise how effciently this critical infrastructure can be used.This will be a support contract, so must be paid in full"/>
    <s v="This is to support KU's investment in HPC. Lack of support will compromise how effciently this critical infrastructure can be used.This will be a support contract, so must be paid in full"/>
    <s v="This is to support KU's investment in HPC. Lack of support will compromise how effciently this critical infrastructure can be used.This will be a support contract, so must be paid in full"/>
    <m/>
    <m/>
    <m/>
    <m/>
    <m/>
    <n v="500004"/>
    <m/>
    <m/>
    <m/>
    <m/>
    <m/>
    <m/>
    <n v="500004"/>
    <s v="Utilize state-of-the-art technologies and facilities in an optimal and efficient manner"/>
    <s v="Quote and supporting docs provided"/>
  </r>
  <r>
    <n v="8471170"/>
    <s v="KUST - Research Computing"/>
    <n v="1"/>
    <n v="425900"/>
    <x v="26"/>
    <s v="000000"/>
    <s v="KUST - General"/>
    <n v="847001"/>
    <x v="1"/>
    <n v="200179"/>
    <s v="847.8471170.1.425900.000000.847001.200179"/>
    <s v="-"/>
    <n v="10000"/>
    <n v="10000"/>
    <s v="425900.Entertainment and hospitality-1. No of events/workshops planned-count"/>
    <s v="count"/>
    <x v="11"/>
    <x v="67"/>
    <x v="340"/>
    <n v="10000"/>
    <s v="KU Regular operations"/>
    <s v="Recurring"/>
    <n v="9000"/>
    <n v="8000"/>
    <n v="7000"/>
    <s v="Will organise smaller events"/>
    <s v="Will organise smaller events"/>
    <s v="Will organise a single event"/>
    <m/>
    <m/>
    <m/>
    <m/>
    <m/>
    <n v="5000"/>
    <m/>
    <m/>
    <m/>
    <m/>
    <n v="5000"/>
    <m/>
    <n v="10000"/>
    <s v="Utilize state-of-the-art technologies and facilities in an optimal and efficient manner"/>
    <m/>
  </r>
  <r>
    <n v="8471170"/>
    <s v="KUST - Research Computing"/>
    <n v="1"/>
    <n v="426610"/>
    <x v="4"/>
    <s v="000000"/>
    <s v="KUST - General"/>
    <n v="847001"/>
    <x v="1"/>
    <n v="200179"/>
    <s v="847.8471170.1.426610.000000.847001.200179"/>
    <n v="1268350.46"/>
    <n v="2618576"/>
    <n v="2618576"/>
    <s v="426610.Computer software licenses-Software License Renewal-number of licenses-Number"/>
    <s v="Number"/>
    <x v="49"/>
    <x v="181"/>
    <x v="341"/>
    <n v="5406325.8589999992"/>
    <s v="KU Regular operations"/>
    <s v="Recurring"/>
    <n v="4865693.2730999999"/>
    <n v="4325060.6871999996"/>
    <n v="3784428.1012999993"/>
    <s v="Research projects dependent on this software may be halted or delayed due to unavaiblity of software. Software licnese comes in a bundle and it may not be possible to purchase part of the license. For full list of software see attached excel sheets."/>
    <s v="Research projects dependent on this software may be halted or delayed due to unavaiblity of software. Software licnese comes in a bundle and it may not be possible to purchase part of the license. For full list of software see attached excel sheets."/>
    <s v="Research projects dependent on this software may be halted or delayed due to unavaiblity of software. Software licnese comes in a bundle and it may not be possible to purchase part of the license. For full list of software see attached excel sheets."/>
    <m/>
    <m/>
    <n v="675790.73237499991"/>
    <n v="675790.73237499991"/>
    <n v="675790.73237499991"/>
    <n v="675790.73237499991"/>
    <n v="675790.73237499991"/>
    <n v="675790.73237499991"/>
    <n v="675790.73237499991"/>
    <n v="675790.73237499991"/>
    <m/>
    <m/>
    <n v="5406325.8589999983"/>
    <s v="Utilize state-of-the-art technologies and facilities in an optimal and efficient manner"/>
    <s v="Quote and supporting docs provided"/>
  </r>
  <r>
    <n v="8471170"/>
    <s v="KUST - Research Computing"/>
    <n v="1"/>
    <n v="428090"/>
    <x v="7"/>
    <s v="000000"/>
    <s v="KUST - General"/>
    <n v="847001"/>
    <x v="1"/>
    <n v="200179"/>
    <s v="847.8471170.1.428090.000000.847001.200179"/>
    <s v="-"/>
    <n v="45000"/>
    <n v="45000"/>
    <s v="428090.Business Travel - Combined expenses-Number of Staff-Number"/>
    <s v="Number"/>
    <x v="9"/>
    <x v="62"/>
    <x v="342"/>
    <n v="45000"/>
    <s v="KU Regular operations"/>
    <s v="Recurring"/>
    <n v="40500"/>
    <n v="36000"/>
    <n v="31499.999999999996"/>
    <s v="Will attend fewer conferences. Attend international conferences and skip regional one.  Will affect networking, and keeping up to date with advancements in HPC/tech field"/>
    <s v="Will attend fewer conferences. Attend international conferences and skip regional one.  Will affect networking, and keeping up to date with advancements in HPC/tech field"/>
    <s v="Will attend fewer conferences. Attend one international conference. Will affect networking, and keeping up to date with advancements in HPC/tech field"/>
    <m/>
    <m/>
    <m/>
    <n v="15000"/>
    <n v="15000"/>
    <m/>
    <m/>
    <m/>
    <n v="15000"/>
    <m/>
    <m/>
    <m/>
    <n v="45000"/>
    <s v="Utilize state-of-the-art technologies and facilities in an optimal and efficient manner"/>
    <m/>
  </r>
  <r>
    <n v="8471170"/>
    <s v="KUST - Research Computing"/>
    <n v="1"/>
    <n v="492316"/>
    <x v="19"/>
    <s v="000000"/>
    <s v="KUST - General"/>
    <n v="847001"/>
    <x v="2"/>
    <n v="300180"/>
    <s v="847.8471170.1.492316.000000.847001.300180"/>
    <n v="6593486"/>
    <n v="3308433"/>
    <n v="3308433"/>
    <s v="Computation growth rate"/>
    <s v="Number"/>
    <x v="17"/>
    <x v="182"/>
    <x v="343"/>
    <n v="22181820"/>
    <s v="KU Strategic New Initiative"/>
    <s v="Non-recurring"/>
    <n v="19963638"/>
    <n v="17745456"/>
    <n v="15527273.999999998"/>
    <s v="This may hinder the research output of KU, as the majority of computation based research is carried out on the HPC. Will purchase a smaller number of compute nodes and storage. "/>
    <s v="This may hinder the research output of KU, as the majority of computation based research is carried out on the HPC. Will purchase a smaller number of compute nodes and storage. "/>
    <s v="This may hinder the research output of KU, as the majority of computation based research is carried out on the HPC. Will purchase a smaller number of compute nodes and storage. "/>
    <m/>
    <m/>
    <m/>
    <m/>
    <m/>
    <m/>
    <m/>
    <m/>
    <m/>
    <n v="22181820"/>
    <m/>
    <m/>
    <n v="22181820"/>
    <s v="Utilize state-of-the-art technologies and facilities in an optimal and efficient manner"/>
    <s v="Quote and supporting docs provided"/>
  </r>
  <r>
    <n v="8471170"/>
    <s v="KUST - Research Computing"/>
    <n v="1"/>
    <n v="495113"/>
    <x v="18"/>
    <s v="000000"/>
    <s v="KUST - General"/>
    <n v="847001"/>
    <x v="2"/>
    <n v="300180"/>
    <s v="847.8471170.1.495113.000000.847001.300180"/>
    <s v="-"/>
    <n v="277018"/>
    <n v="277018"/>
    <s v="495113.Computer software-Application, Platform -number of licenses-Number"/>
    <s v="Number"/>
    <x v="9"/>
    <x v="183"/>
    <x v="344"/>
    <n v="300000"/>
    <s v="KU Regular operations"/>
    <s v="Non-recurring"/>
    <n v="270000"/>
    <n v="240000"/>
    <n v="210000"/>
    <s v="Funds requested are in case new software is required by research projects or staff. We do not always know in advance what may be required"/>
    <s v="Will may be able to purchase fewer new pieces of software"/>
    <s v="Will may be able to purchase fewer new pieces of software"/>
    <m/>
    <m/>
    <n v="37500"/>
    <n v="37500"/>
    <n v="37500"/>
    <n v="37500"/>
    <n v="37500"/>
    <n v="37500"/>
    <n v="37500"/>
    <n v="37500"/>
    <m/>
    <m/>
    <n v="300000"/>
    <s v="Utilize state-of-the-art technologies and facilities in an optimal and efficient manner"/>
    <m/>
  </r>
  <r>
    <n v="8471210"/>
    <s v="KUST - SVP/ Academic &amp; Student Services Office"/>
    <n v="1"/>
    <n v="425900"/>
    <x v="26"/>
    <s v="000000"/>
    <s v="KUST - General"/>
    <n v="847001"/>
    <x v="1"/>
    <n v="200179"/>
    <s v="847.8471210.1.425900.000000.847001.200179"/>
    <s v="-"/>
    <n v="15000"/>
    <m/>
    <s v="425900.Entertainment and hospitality-1. No of events/workshops planned-count"/>
    <s v="number"/>
    <x v="7"/>
    <x v="74"/>
    <x v="345"/>
    <n v="15000"/>
    <s v="KU Regular operations"/>
    <s v="Recurring"/>
    <n v="13500"/>
    <n v="12000"/>
    <n v="10500"/>
    <s v="Will affect the VIP visits arrangements. "/>
    <s v="Will affect the VIP visits arrangements. "/>
    <s v="Will affect the VIP visits arrangements. "/>
    <n v="1000"/>
    <n v="2000"/>
    <n v="2000"/>
    <n v="2000"/>
    <n v="0"/>
    <m/>
    <m/>
    <m/>
    <n v="2000"/>
    <n v="2000"/>
    <n v="2000"/>
    <n v="2000"/>
    <n v="15000"/>
    <s v="Widen access to students with outstanding academic potential"/>
    <m/>
  </r>
  <r>
    <n v="8471210"/>
    <s v="KUST - SVP/ Academic &amp; Student Services Office"/>
    <n v="1"/>
    <n v="428090"/>
    <x v="7"/>
    <s v="000000"/>
    <s v="KUST - General"/>
    <n v="847001"/>
    <x v="1"/>
    <n v="200179"/>
    <s v="847.8471210.1.428090.000000.847001.200179"/>
    <s v="-"/>
    <n v="100000"/>
    <m/>
    <s v="428090.Business Travel - Combined expenses-Number of Staff-Number"/>
    <s v="number"/>
    <x v="17"/>
    <x v="63"/>
    <x v="346"/>
    <n v="160000"/>
    <s v="KU Regular operations"/>
    <s v="Recurring"/>
    <n v="144000"/>
    <n v="128000"/>
    <n v="112000"/>
    <s v="Will limit possibility to attend regional conferences related to Student Life. "/>
    <s v="Will constrain ability to participate in international student recruitment exhibitions and fairs."/>
    <s v="Will negatively impact our representation in international meetings with partner universities"/>
    <n v="40000"/>
    <n v="0"/>
    <n v="0"/>
    <n v="0"/>
    <n v="0"/>
    <n v="0"/>
    <n v="40000"/>
    <m/>
    <m/>
    <n v="40000"/>
    <m/>
    <n v="40000"/>
    <n v="160000"/>
    <s v="Develop a multidimensional program to attract and retain diverse outstanding students"/>
    <m/>
  </r>
  <r>
    <n v="8471210"/>
    <s v="KUST - SVP/ Academic &amp; Student Services Office"/>
    <n v="1"/>
    <n v="428640"/>
    <x v="27"/>
    <s v="000000"/>
    <s v="KUST - General"/>
    <n v="847001"/>
    <x v="1"/>
    <n v="200179"/>
    <s v="847.8471210.1.428640.000000.847001.200179"/>
    <s v="-"/>
    <n v="20000"/>
    <m/>
    <s v="428640.Events - Awards, prizes &amp; gifts-Number of Events-count"/>
    <s v="number"/>
    <x v="17"/>
    <x v="67"/>
    <x v="347"/>
    <n v="20000"/>
    <s v="KU Regular operations"/>
    <s v="Recurring"/>
    <n v="18000"/>
    <n v="16000"/>
    <n v="14000"/>
    <s v="Will effect the ability to motivate the students by incentives.  "/>
    <s v="Will limit ability to motivate the students by incentives.  "/>
    <s v="Will limit the ability to motivate the students by incentives.  "/>
    <n v="5000"/>
    <n v="0"/>
    <n v="0"/>
    <n v="0"/>
    <n v="0"/>
    <n v="0"/>
    <n v="5000"/>
    <n v="0"/>
    <m/>
    <n v="5000"/>
    <m/>
    <n v="5000"/>
    <n v="20000"/>
    <s v="Develop a life-long culture of community service beyond the classroom "/>
    <m/>
  </r>
  <r>
    <n v="8471210"/>
    <s v="KUST - SVP/ Academic &amp; Student Services Office"/>
    <n v="1"/>
    <n v="435530"/>
    <x v="55"/>
    <s v="000000"/>
    <s v="KUST - General"/>
    <n v="847001"/>
    <x v="1"/>
    <n v="200179"/>
    <s v="847.8471210.1.435530.000000.847001.200179"/>
    <s v="-"/>
    <n v="20000"/>
    <m/>
    <s v="435530.School consumables, Numbert specifically mentioned elsewhere-Number of Students-Number"/>
    <s v="number"/>
    <x v="7"/>
    <x v="38"/>
    <x v="348"/>
    <n v="20000"/>
    <s v="KU Regular operations"/>
    <s v="Recurring"/>
    <n v="18000"/>
    <n v="16000"/>
    <n v="14000"/>
    <s v="Will limit ability to provide all the required supplies and materials needed for the office"/>
    <s v="Will limit ability to provide all the required supplies and materials needed for the office"/>
    <s v="Will limit ability to provide all the required supplies and materials needed for the office"/>
    <n v="5000"/>
    <m/>
    <m/>
    <n v="5000"/>
    <m/>
    <m/>
    <n v="5000"/>
    <m/>
    <m/>
    <n v="5000"/>
    <m/>
    <m/>
    <n v="20000"/>
    <s v="Develop a life-long culture of community service beyond the classroom "/>
    <m/>
  </r>
  <r>
    <n v="8471240"/>
    <s v="KUST - Student Success"/>
    <n v="1"/>
    <n v="425510"/>
    <x v="23"/>
    <s v="000000"/>
    <s v="KUST - General"/>
    <n v="847001"/>
    <x v="1"/>
    <n v="200179"/>
    <s v="847.8471240.1.425510.000000.847001.200179"/>
    <n v="2887.5"/>
    <n v="220000"/>
    <m/>
    <s v="425510.Conferences, seminars and exhibitions and other events: - Local Events-Events-Number of Events"/>
    <s v="Number of Events"/>
    <x v="1"/>
    <x v="20"/>
    <x v="349"/>
    <n v="45000"/>
    <s v="KU Regular operations"/>
    <s v="Non-recurring"/>
    <n v="40500"/>
    <n v="36000"/>
    <n v="31499.999999999996"/>
    <s v="Downsize event, catering, and marketing collateral"/>
    <s v="Downsize event, catering, and marketing collateral"/>
    <s v="Downsize event, catering, and marketing collateral"/>
    <m/>
    <m/>
    <m/>
    <n v="45000"/>
    <m/>
    <m/>
    <m/>
    <m/>
    <m/>
    <m/>
    <m/>
    <m/>
    <n v="45000"/>
    <s v="Develop a career guidance system"/>
    <m/>
  </r>
  <r>
    <n v="8471240"/>
    <s v="KUST - Student Success"/>
    <n v="1"/>
    <n v="425510"/>
    <x v="23"/>
    <s v="000000"/>
    <s v="KUST - General"/>
    <n v="847001"/>
    <x v="1"/>
    <n v="200179"/>
    <s v="847.8471240.1.425510.000000.847001.200179"/>
    <m/>
    <m/>
    <m/>
    <s v="425510.Conferences, seminars and exhibitions and other events: - Local Events-Events-Number of Events"/>
    <s v="Number of Events"/>
    <x v="1"/>
    <x v="31"/>
    <x v="350"/>
    <n v="20000"/>
    <s v="KU Regular operations"/>
    <s v="Non-recurring"/>
    <n v="18000"/>
    <n v="16000"/>
    <n v="14000"/>
    <s v="Downsize event, catering, and marketing collateral"/>
    <s v="Downsize event, catering, and marketing collateral"/>
    <s v="Downsize event, catering, and marketing collateral"/>
    <m/>
    <m/>
    <m/>
    <m/>
    <m/>
    <m/>
    <m/>
    <m/>
    <m/>
    <n v="20000"/>
    <m/>
    <m/>
    <n v="20000"/>
    <s v="Develop a life-long culture of community service beyond the classroom "/>
    <s v="new requests"/>
  </r>
  <r>
    <n v="8471240"/>
    <s v="KUST - Student Success"/>
    <n v="1"/>
    <n v="425510"/>
    <x v="23"/>
    <s v="000000"/>
    <s v="KUST - General"/>
    <n v="847001"/>
    <x v="1"/>
    <n v="200179"/>
    <s v="847.8471240.1.425510.000000.847001.200179"/>
    <m/>
    <m/>
    <m/>
    <s v="425510.Conferences, seminars and exhibitions and other events: - Local Events-Events-Number of Events"/>
    <s v="Number of Events"/>
    <x v="1"/>
    <x v="67"/>
    <x v="351"/>
    <n v="5000"/>
    <s v="KU Regular operations"/>
    <s v="Non-recurring"/>
    <n v="4500"/>
    <n v="4000"/>
    <n v="3500"/>
    <s v="Downsize event, catering, and marketing collateral"/>
    <s v="Downsize event, catering, and marketing collateral"/>
    <s v="Downsize event, catering, and marketing collateral"/>
    <m/>
    <m/>
    <m/>
    <m/>
    <m/>
    <m/>
    <m/>
    <m/>
    <n v="5000"/>
    <m/>
    <m/>
    <m/>
    <n v="5000"/>
    <s v="Develop a multidimensional program to attract and retain diverse outstanding students"/>
    <s v="new requests"/>
  </r>
  <r>
    <n v="8471240"/>
    <s v="KUST - Student Success"/>
    <n v="1"/>
    <n v="425510"/>
    <x v="23"/>
    <s v="000000"/>
    <s v="KUST - General"/>
    <n v="847001"/>
    <x v="1"/>
    <n v="200179"/>
    <s v="847.8471240.1.425510.000000.847001.200179"/>
    <m/>
    <m/>
    <m/>
    <s v="425510.Conferences, seminars and exhibitions and other events: - Local Events-Events-Number of Events"/>
    <s v="Number of Events"/>
    <x v="1"/>
    <x v="124"/>
    <x v="352"/>
    <n v="80000"/>
    <s v="KU Regular operations"/>
    <s v="Non-recurring"/>
    <n v="72000"/>
    <n v="64000"/>
    <n v="56000"/>
    <s v="Downsize event, catering, and marketing collateral"/>
    <s v="Downsize event, catering, and marketing collateral"/>
    <s v="Downsize event, catering, and marketing collateral"/>
    <m/>
    <m/>
    <m/>
    <m/>
    <m/>
    <m/>
    <m/>
    <m/>
    <m/>
    <m/>
    <m/>
    <n v="80000"/>
    <n v="80000"/>
    <s v="Widen access to students with outstanding academic potential"/>
    <s v="new requests"/>
  </r>
  <r>
    <n v="8471240"/>
    <s v="KUST - Student Success"/>
    <n v="1"/>
    <n v="425510"/>
    <x v="23"/>
    <s v="000000"/>
    <s v="KUST - General"/>
    <n v="847001"/>
    <x v="1"/>
    <n v="200179"/>
    <s v="847.8471240.1.425510.000000.847001.200179"/>
    <m/>
    <m/>
    <m/>
    <s v="425510.Conferences, seminars and exhibitions and other events: - Local Events-Events-Number of Events"/>
    <s v="Number of Events"/>
    <x v="1"/>
    <x v="63"/>
    <x v="353"/>
    <n v="40000"/>
    <s v="KU Regular operations"/>
    <s v="Non-recurring"/>
    <n v="36000"/>
    <n v="32000"/>
    <n v="28000"/>
    <s v="Downsize event, catering, and marketing collateral"/>
    <s v="Downsize event, catering, and marketing collateral"/>
    <s v="Downsize event, catering, and marketing collateral"/>
    <m/>
    <m/>
    <n v="40000"/>
    <m/>
    <m/>
    <m/>
    <m/>
    <m/>
    <m/>
    <m/>
    <m/>
    <m/>
    <n v="40000"/>
    <s v="Develop a life-long culture of community service beyond the classroom "/>
    <s v="new requests"/>
  </r>
  <r>
    <n v="8471240"/>
    <s v="KUST - Student Success"/>
    <n v="1"/>
    <n v="425510"/>
    <x v="23"/>
    <s v="000000"/>
    <s v="KUST - General"/>
    <n v="847001"/>
    <x v="1"/>
    <n v="200179"/>
    <s v="847.8471240.1.425510.000000.847001.200179"/>
    <m/>
    <m/>
    <m/>
    <s v="425510.Conferences, seminars and exhibitions and other events: - Local Events-Events-Number of Events"/>
    <s v="Number of Events"/>
    <x v="1"/>
    <x v="42"/>
    <x v="354"/>
    <n v="30000"/>
    <s v="KU Regular operations"/>
    <s v="Non-recurring"/>
    <n v="27000"/>
    <n v="24000"/>
    <n v="21000"/>
    <s v="Downsize event, catering, and marketing collateral"/>
    <s v="Downsize event, catering, and marketing collateral"/>
    <s v="Downsize event, catering, and marketing collateral"/>
    <m/>
    <m/>
    <m/>
    <m/>
    <n v="30000"/>
    <m/>
    <m/>
    <m/>
    <m/>
    <m/>
    <m/>
    <m/>
    <n v="30000"/>
    <s v="Develop a multidimensional program to attract and retain diverse outstanding students"/>
    <s v="new requests"/>
  </r>
  <r>
    <n v="8471240"/>
    <s v="KUST - Student Success"/>
    <n v="1"/>
    <n v="425720"/>
    <x v="38"/>
    <s v="000000"/>
    <s v="KUST - General"/>
    <n v="847001"/>
    <x v="1"/>
    <n v="200179"/>
    <s v="847.8471240.1.425720.000000.847001.200179"/>
    <n v="-94.58"/>
    <n v="128000"/>
    <m/>
    <s v="425720.Education-Outsourced training service-Activities-No of Activities"/>
    <s v="No of Activities"/>
    <x v="1"/>
    <x v="109"/>
    <x v="355"/>
    <n v="75000"/>
    <s v="KU Regular operations"/>
    <s v="Non-recurring"/>
    <n v="67500"/>
    <n v="60000"/>
    <n v="52500"/>
    <s v="Downsize event, catering, and marketing collateral"/>
    <s v="Downsize event, catering, and marketing collateral"/>
    <s v="Downsize event, catering, and marketing collateral"/>
    <m/>
    <m/>
    <m/>
    <m/>
    <m/>
    <m/>
    <m/>
    <m/>
    <m/>
    <m/>
    <n v="75000"/>
    <m/>
    <n v="75000"/>
    <s v="Develop a multidimensional program to attract and retain diverse outstanding students"/>
    <m/>
  </r>
  <r>
    <n v="8471240"/>
    <s v="KUST - Student Success"/>
    <n v="1"/>
    <n v="425720"/>
    <x v="38"/>
    <s v="000000"/>
    <s v="KUST - General"/>
    <n v="847001"/>
    <x v="1"/>
    <n v="200179"/>
    <s v="847.8471240.1.425720.000000.847001.200179"/>
    <m/>
    <m/>
    <m/>
    <s v="425720.Education-Outsourced training service-Activities-No of Activities"/>
    <s v="No of Activities"/>
    <x v="1"/>
    <x v="42"/>
    <x v="356"/>
    <n v="30000"/>
    <s v="KU Regular operations"/>
    <s v="Non-recurring"/>
    <n v="27000"/>
    <n v="24000"/>
    <n v="21000"/>
    <s v="Membership rate is fixed by the vendor"/>
    <s v="Membership rate is fixed by the vendor"/>
    <s v="Membership rate is fixed by the vendor"/>
    <m/>
    <m/>
    <m/>
    <m/>
    <m/>
    <m/>
    <m/>
    <m/>
    <m/>
    <n v="30000"/>
    <m/>
    <m/>
    <n v="30000"/>
    <s v="Widen access to students with outstanding academic potential"/>
    <s v="new requests"/>
  </r>
  <r>
    <n v="8471240"/>
    <s v="KUST - Student Success"/>
    <n v="1"/>
    <n v="425720"/>
    <x v="38"/>
    <s v="000000"/>
    <s v="KUST - General"/>
    <n v="847001"/>
    <x v="1"/>
    <n v="200179"/>
    <s v="847.8471240.1.425720.000000.847001.200179"/>
    <m/>
    <m/>
    <m/>
    <s v="425720.Education-Outsourced training service-Activities-No of Activities"/>
    <s v="No of Activities"/>
    <x v="9"/>
    <x v="88"/>
    <x v="357"/>
    <n v="18000"/>
    <s v="KU Regular operations"/>
    <s v="Recurring"/>
    <n v="16200"/>
    <n v="14400"/>
    <n v="12600"/>
    <s v="Downsize event, catering, and marketing collateral"/>
    <s v="Downsize event, catering, and marketing collateral"/>
    <s v="Downsize event, catering, and marketing collateral"/>
    <m/>
    <m/>
    <n v="6000"/>
    <m/>
    <m/>
    <n v="6000"/>
    <m/>
    <m/>
    <n v="6000"/>
    <m/>
    <m/>
    <m/>
    <n v="18000"/>
    <s v="Widen access to students with outstanding academic potential"/>
    <s v="new requests"/>
  </r>
  <r>
    <n v="8471240"/>
    <s v="KUST - Student Success"/>
    <n v="1"/>
    <n v="425720"/>
    <x v="38"/>
    <s v="000000"/>
    <s v="KUST - General"/>
    <n v="847001"/>
    <x v="1"/>
    <n v="200179"/>
    <s v="847.8471240.1.425720.000000.847001.200179"/>
    <m/>
    <m/>
    <m/>
    <s v="425720.Education-Outsourced training service-Activities-No of Activities"/>
    <s v="No of Activities"/>
    <x v="14"/>
    <x v="66"/>
    <x v="358"/>
    <n v="5000"/>
    <s v="KU Regular operations"/>
    <s v="Recurring"/>
    <n v="4500"/>
    <n v="4000"/>
    <n v="3500"/>
    <s v="Downsize event, catering, and marketing collateral"/>
    <s v="Downsize event, catering, and marketing collateral"/>
    <s v="Downsize event, catering, and marketing collateral"/>
    <n v="500"/>
    <n v="500"/>
    <n v="500"/>
    <n v="500"/>
    <n v="500"/>
    <m/>
    <m/>
    <n v="500"/>
    <n v="500"/>
    <n v="500"/>
    <n v="500"/>
    <n v="500"/>
    <n v="5000"/>
    <s v="Develop a multidimensional program to attract and retain diverse outstanding students"/>
    <s v="new requests"/>
  </r>
  <r>
    <n v="8471240"/>
    <s v="KUST - Student Success"/>
    <n v="1"/>
    <n v="425750"/>
    <x v="48"/>
    <s v="000000"/>
    <s v="KUST - General"/>
    <n v="847001"/>
    <x v="1"/>
    <n v="200179"/>
    <s v="847.8471240.1.425750.000000.847001.200179"/>
    <s v="-"/>
    <n v="23000"/>
    <m/>
    <s v="425750.Skill assessment service-Participating Students-No of Participating Students"/>
    <s v="No of Participating Students"/>
    <x v="3"/>
    <x v="184"/>
    <x v="359"/>
    <n v="8400"/>
    <s v="KU Regular operations"/>
    <s v="Recurring"/>
    <n v="7560"/>
    <n v="6720"/>
    <n v="5880"/>
    <s v="Downsize event, catering, and marketing collateral"/>
    <s v="Downsize event, catering, and marketing collateral"/>
    <s v="Downsize event, catering, and marketing collateral"/>
    <m/>
    <m/>
    <m/>
    <n v="1400"/>
    <n v="1400"/>
    <n v="1400"/>
    <m/>
    <m/>
    <m/>
    <n v="1400"/>
    <n v="1400"/>
    <n v="1400"/>
    <n v="8400"/>
    <s v="Develop a multidimensional program to attract and retain diverse outstanding students"/>
    <m/>
  </r>
  <r>
    <n v="8471240"/>
    <s v="KUST - Student Success"/>
    <n v="1"/>
    <n v="425750"/>
    <x v="48"/>
    <s v="000000"/>
    <s v="KUST - General"/>
    <n v="847001"/>
    <x v="1"/>
    <n v="200179"/>
    <s v="847.8471240.1.425750.000000.847001.200179"/>
    <m/>
    <m/>
    <m/>
    <s v="425750.Skill assessment service-Events-No of Events"/>
    <s v="No of Events"/>
    <x v="1"/>
    <x v="185"/>
    <x v="360"/>
    <n v="14600"/>
    <s v="KU Regular operations"/>
    <s v="Non-recurring"/>
    <n v="13140"/>
    <n v="11680"/>
    <n v="10220"/>
    <s v="Downsize event, catering, and marketing collateral"/>
    <s v="Downsize event, catering, and marketing collateral"/>
    <s v="Downsize event, catering, and marketing collateral"/>
    <m/>
    <m/>
    <m/>
    <m/>
    <m/>
    <m/>
    <m/>
    <n v="14600"/>
    <m/>
    <m/>
    <m/>
    <m/>
    <n v="14600"/>
    <s v="Develop a multidimensional program to attract and retain diverse outstanding students"/>
    <s v="new requests"/>
  </r>
  <r>
    <n v="8471240"/>
    <s v="KUST - Student Success"/>
    <n v="1"/>
    <n v="425761"/>
    <x v="67"/>
    <s v="000000"/>
    <s v="KUST - General"/>
    <n v="847001"/>
    <x v="1"/>
    <n v="200179"/>
    <s v="847.8471240.1.425761.000000.847001.200179"/>
    <n v="236379.63"/>
    <n v="800000"/>
    <m/>
    <s v="425761.Student Field trips-Number of Students UG-Month"/>
    <s v="No of Events"/>
    <x v="1"/>
    <x v="170"/>
    <x v="361"/>
    <n v="1000000"/>
    <s v="KU Regular operations"/>
    <s v="Recurring"/>
    <n v="900000"/>
    <n v="800000"/>
    <n v="700000"/>
    <s v="Downsize student exchange and studying abroad educational experience"/>
    <s v="Downsize student exchange and studying abroad educational experience"/>
    <s v="Downsize student exchange and studying abroad educational experience"/>
    <m/>
    <m/>
    <m/>
    <m/>
    <m/>
    <n v="500000"/>
    <m/>
    <m/>
    <m/>
    <m/>
    <m/>
    <n v="500000"/>
    <n v="1000000"/>
    <s v="Widen access to students with outstanding academic potential"/>
    <m/>
  </r>
  <r>
    <n v="8471240"/>
    <s v="KUST - Student Success"/>
    <n v="1"/>
    <n v="425900"/>
    <x v="26"/>
    <s v="000000"/>
    <s v="KUST - General"/>
    <n v="847001"/>
    <x v="1"/>
    <n v="200179"/>
    <s v="847.8471240.1.425900.000000.847001.200179"/>
    <s v="-"/>
    <n v="24000"/>
    <m/>
    <s v="425900.Entertainment and hospitality-1. No of events/workshops planned-count"/>
    <s v="count"/>
    <x v="11"/>
    <x v="186"/>
    <x v="362"/>
    <n v="14500"/>
    <s v="KU Regular operations"/>
    <s v="Recurring"/>
    <n v="13050"/>
    <n v="11600"/>
    <n v="10150"/>
    <s v="Downsize event, catering, and marketing collateral"/>
    <s v="Downsize event, catering, and marketing collateral"/>
    <s v="Downsize event, catering, and marketing collateral"/>
    <m/>
    <m/>
    <m/>
    <n v="7250"/>
    <m/>
    <m/>
    <m/>
    <m/>
    <m/>
    <n v="7250"/>
    <m/>
    <m/>
    <n v="14500"/>
    <m/>
    <m/>
  </r>
  <r>
    <n v="8471240"/>
    <s v="KUST - Student Success"/>
    <n v="1"/>
    <n v="425900"/>
    <x v="26"/>
    <s v="000000"/>
    <s v="KUST - General"/>
    <n v="847001"/>
    <x v="1"/>
    <n v="200179"/>
    <s v="847.8471240.1.425900.000000.847001.200179"/>
    <m/>
    <m/>
    <m/>
    <s v="425900.Entertainment and hospitality-1. No of events/workshops planned-count"/>
    <s v="count"/>
    <x v="9"/>
    <x v="79"/>
    <x v="363"/>
    <n v="4500"/>
    <s v="KU Regular operations"/>
    <s v="Recurring"/>
    <n v="4050"/>
    <n v="3600"/>
    <n v="3150"/>
    <s v="Downsize event, catering, and marketing collateral"/>
    <s v="Downsize event, catering, and marketing collateral"/>
    <s v="Downsize event, catering, and marketing collateral"/>
    <m/>
    <m/>
    <n v="1500"/>
    <m/>
    <m/>
    <m/>
    <m/>
    <m/>
    <n v="1500"/>
    <m/>
    <n v="1500"/>
    <m/>
    <n v="4500"/>
    <m/>
    <s v="new requests"/>
  </r>
  <r>
    <n v="8471240"/>
    <s v="KUST - Student Success"/>
    <n v="1"/>
    <n v="425900"/>
    <x v="26"/>
    <s v="000000"/>
    <s v="KUST - General"/>
    <n v="847001"/>
    <x v="1"/>
    <n v="200179"/>
    <s v="847.8471240.1.425900.000000.847001.200179"/>
    <m/>
    <m/>
    <m/>
    <s v="425900.Entertainment and hospitality-1. No of events/workshops planned-count"/>
    <s v="count"/>
    <x v="14"/>
    <x v="66"/>
    <x v="364"/>
    <n v="5000"/>
    <s v="KU Regular operations"/>
    <s v="Recurring"/>
    <n v="4500"/>
    <n v="4000"/>
    <n v="3500"/>
    <s v="Downsize event, catering, and marketing collateral"/>
    <s v="Downsize event, catering, and marketing collateral"/>
    <s v="Downsize event, catering, and marketing collateral"/>
    <n v="500"/>
    <n v="500"/>
    <n v="500"/>
    <n v="500"/>
    <n v="500"/>
    <m/>
    <m/>
    <n v="500"/>
    <n v="500"/>
    <n v="500"/>
    <n v="500"/>
    <n v="500"/>
    <n v="5000"/>
    <m/>
    <s v="new requests"/>
  </r>
  <r>
    <n v="8471240"/>
    <s v="KUST - Student Success"/>
    <n v="1"/>
    <n v="426610"/>
    <x v="4"/>
    <s v="000000"/>
    <s v="KUST - General"/>
    <n v="847001"/>
    <x v="1"/>
    <n v="200179"/>
    <s v="847.8471240.1.426610.000000.847001.200179"/>
    <n v="495462"/>
    <n v="353000"/>
    <n v="363000"/>
    <s v="426610.Computer software licenses-Software License Renewal-duration of license maintenance/support period-Month"/>
    <s v="Month"/>
    <x v="1"/>
    <x v="10"/>
    <x v="365"/>
    <n v="400000"/>
    <s v="KU Regular operations"/>
    <s v="Non-recurring"/>
    <n v="360000"/>
    <n v="320000"/>
    <n v="280000"/>
    <s v="Rate is fixed per the contract"/>
    <s v="Rate is fixed per the contract"/>
    <s v="Rate is fixed per the contract"/>
    <m/>
    <m/>
    <m/>
    <m/>
    <m/>
    <n v="400000"/>
    <m/>
    <m/>
    <m/>
    <m/>
    <m/>
    <m/>
    <n v="400000"/>
    <s v="Widen access to students with outstanding academic potential"/>
    <m/>
  </r>
  <r>
    <n v="8471240"/>
    <s v="KUST - Student Success"/>
    <n v="1"/>
    <n v="428090"/>
    <x v="7"/>
    <s v="000000"/>
    <s v="KUST - General"/>
    <n v="847001"/>
    <x v="1"/>
    <n v="200179"/>
    <s v="847.8471240.1.428090.000000.847001.200179"/>
    <s v="-"/>
    <n v="60000"/>
    <m/>
    <s v="428090.Business Travel - Combined expenses-Number of Staff-Number"/>
    <s v="Number"/>
    <x v="11"/>
    <x v="42"/>
    <x v="366"/>
    <n v="60000"/>
    <s v="KU Regular operations"/>
    <s v="Recurring"/>
    <n v="54000"/>
    <n v="48000"/>
    <n v="42000"/>
    <s v="Reduce travel expenses"/>
    <s v="Reduce travel expenses"/>
    <s v="Reduce travel expenses"/>
    <m/>
    <m/>
    <m/>
    <n v="30000"/>
    <m/>
    <m/>
    <m/>
    <m/>
    <m/>
    <n v="30000"/>
    <m/>
    <m/>
    <n v="60000"/>
    <s v="Establish a mobility program for students, faculty, researchers and staff"/>
    <m/>
  </r>
  <r>
    <n v="8471240"/>
    <s v="KUST - Student Success"/>
    <n v="1"/>
    <n v="428640"/>
    <x v="27"/>
    <s v="000000"/>
    <s v="KUST - General"/>
    <n v="847001"/>
    <x v="1"/>
    <n v="200179"/>
    <s v="847.8471240.1.428640.000000.847001.200179"/>
    <s v="-"/>
    <n v="14000"/>
    <m/>
    <s v="428640.Events - Awards, prizes &amp; gifts-Number of Events-count"/>
    <s v="count"/>
    <x v="11"/>
    <x v="67"/>
    <x v="367"/>
    <n v="10000"/>
    <s v="KU Regular operations"/>
    <s v="Recurring"/>
    <n v="9000"/>
    <n v="8000"/>
    <n v="7000"/>
    <s v="Downsize event and marketing collateral"/>
    <s v="Downsize event and marketing collateral"/>
    <s v="Downsize event and marketing collateral"/>
    <m/>
    <m/>
    <m/>
    <n v="5000"/>
    <n v="5000"/>
    <m/>
    <m/>
    <m/>
    <m/>
    <m/>
    <m/>
    <m/>
    <n v="10000"/>
    <m/>
    <m/>
  </r>
  <r>
    <n v="8471240"/>
    <s v="KUST - Student Success"/>
    <n v="1"/>
    <n v="428640"/>
    <x v="27"/>
    <s v="000000"/>
    <s v="KUST - General"/>
    <n v="847001"/>
    <x v="1"/>
    <n v="200179"/>
    <s v="847.8471240.1.428640.000000.847001.200179"/>
    <m/>
    <m/>
    <m/>
    <s v="428640.Events - Awards, prizes &amp; gifts-Number of Prizes-count"/>
    <s v="count"/>
    <x v="14"/>
    <x v="187"/>
    <x v="368"/>
    <n v="2000"/>
    <s v="KU Regular operations"/>
    <s v="Non-recurring"/>
    <n v="1800"/>
    <n v="1600"/>
    <n v="1400"/>
    <s v="Downsize event and marketing collateral"/>
    <s v="Downsize event and marketing collateral"/>
    <s v="Downsize event and marketing collateral"/>
    <m/>
    <m/>
    <m/>
    <m/>
    <m/>
    <m/>
    <m/>
    <m/>
    <m/>
    <m/>
    <m/>
    <n v="2000"/>
    <n v="2000"/>
    <m/>
    <s v="new requests"/>
  </r>
  <r>
    <n v="8471240"/>
    <s v="KUST - Student Success"/>
    <n v="1"/>
    <n v="428640"/>
    <x v="27"/>
    <s v="000000"/>
    <s v="KUST - General"/>
    <n v="847001"/>
    <x v="1"/>
    <n v="200179"/>
    <s v="847.8471240.1.428640.000000.847001.200179"/>
    <m/>
    <m/>
    <m/>
    <s v="428640.Events - Awards, prizes &amp; gifts-Number of Prizes-count"/>
    <s v="count"/>
    <x v="14"/>
    <x v="187"/>
    <x v="369"/>
    <n v="2000"/>
    <s v="KU Regular operations"/>
    <s v="Non-recurring"/>
    <n v="1800"/>
    <n v="1600"/>
    <n v="1400"/>
    <s v="Downsize event and marketing collateral"/>
    <s v="Downsize event and marketing collateral"/>
    <s v="Downsize event and marketing collateral"/>
    <m/>
    <m/>
    <m/>
    <m/>
    <m/>
    <m/>
    <m/>
    <n v="2000"/>
    <m/>
    <m/>
    <m/>
    <m/>
    <n v="2000"/>
    <m/>
    <s v="new requests"/>
  </r>
  <r>
    <n v="8471240"/>
    <s v="KUST - Student Success"/>
    <n v="1"/>
    <n v="435330"/>
    <x v="54"/>
    <s v="000000"/>
    <s v="KUST - General"/>
    <n v="847001"/>
    <x v="1"/>
    <n v="200179"/>
    <s v="847.8471240.1.435330.000000.847001.200179"/>
    <s v="-"/>
    <n v="4750"/>
    <m/>
    <s v="435330.Library books-Number of Students-Number"/>
    <s v="Number"/>
    <x v="22"/>
    <x v="188"/>
    <x v="370"/>
    <n v="4750"/>
    <s v="KU Regular operations"/>
    <s v="Non-recurring"/>
    <n v="4275"/>
    <n v="3800"/>
    <n v="3325"/>
    <s v="Downsize event and marketing collateral"/>
    <s v="Downsize event and marketing collateral"/>
    <s v="Downsize event and marketing collateral"/>
    <m/>
    <m/>
    <m/>
    <m/>
    <m/>
    <m/>
    <m/>
    <n v="4750"/>
    <m/>
    <m/>
    <m/>
    <m/>
    <n v="4750"/>
    <m/>
    <m/>
  </r>
  <r>
    <n v="8471240"/>
    <s v="KUST - Student Success"/>
    <n v="1"/>
    <n v="436110"/>
    <x v="12"/>
    <s v="000000"/>
    <s v="KUST - General"/>
    <n v="847001"/>
    <x v="1"/>
    <n v="200179"/>
    <s v="847.8471240.1.436110.000000.847001.200179"/>
    <s v="-"/>
    <n v="42000"/>
    <m/>
    <s v="436110.Printing supplies-Number of Student-Number"/>
    <s v="Number"/>
    <x v="50"/>
    <x v="189"/>
    <x v="371"/>
    <n v="35000"/>
    <s v="KU Regular operations"/>
    <s v="Non-recurring"/>
    <n v="31500"/>
    <n v="28000"/>
    <n v="24500"/>
    <s v="Downsize event and marketing collateral"/>
    <s v="Downsize event and marketing collateral"/>
    <s v="Downsize event and marketing collateral"/>
    <m/>
    <m/>
    <m/>
    <m/>
    <m/>
    <m/>
    <m/>
    <n v="35000"/>
    <m/>
    <m/>
    <m/>
    <m/>
    <n v="35000"/>
    <m/>
    <m/>
  </r>
  <r>
    <n v="8471240"/>
    <s v="KUST - Student Success"/>
    <n v="1"/>
    <n v="436110"/>
    <x v="12"/>
    <s v="000000"/>
    <s v="KUST - General"/>
    <n v="847001"/>
    <x v="1"/>
    <n v="200179"/>
    <s v="847.8471240.1.436110.000000.847001.200179"/>
    <m/>
    <m/>
    <m/>
    <s v="436110.Printing supplies-Number of Student-Number"/>
    <s v="Number"/>
    <x v="14"/>
    <x v="66"/>
    <x v="372"/>
    <n v="5000"/>
    <s v="KU Regular operations"/>
    <s v="Recurring"/>
    <n v="4500"/>
    <n v="4000"/>
    <n v="3500"/>
    <s v="Downsize event and marketing collateral"/>
    <s v="Downsize event and marketing collateral"/>
    <s v="Downsize event and marketing collateral"/>
    <m/>
    <m/>
    <m/>
    <m/>
    <m/>
    <m/>
    <m/>
    <m/>
    <m/>
    <m/>
    <n v="5000"/>
    <m/>
    <n v="5000"/>
    <m/>
    <s v="new requests"/>
  </r>
  <r>
    <n v="8471240"/>
    <s v="KUST - Student Success"/>
    <n v="1"/>
    <n v="436110"/>
    <x v="12"/>
    <s v="000000"/>
    <s v="KUST - General"/>
    <n v="847001"/>
    <x v="1"/>
    <n v="200179"/>
    <s v="847.8471240.1.436110.000000.847001.200179"/>
    <m/>
    <m/>
    <m/>
    <s v="436110.Printing supplies-Number of Student-Number"/>
    <s v="Number"/>
    <x v="51"/>
    <x v="190"/>
    <x v="373"/>
    <n v="2000"/>
    <s v="KU Regular operations"/>
    <s v="Non-recurring"/>
    <n v="1800"/>
    <n v="1600"/>
    <n v="1400"/>
    <s v="Downsize event and marketing collateral"/>
    <s v="Downsize event and marketing collateral"/>
    <s v="Downsize event and marketing collateral"/>
    <m/>
    <m/>
    <m/>
    <m/>
    <m/>
    <m/>
    <m/>
    <m/>
    <m/>
    <m/>
    <m/>
    <n v="2000"/>
    <n v="2000"/>
    <m/>
    <s v="new requests"/>
  </r>
  <r>
    <n v="8471240"/>
    <s v="KUST - Student Success"/>
    <n v="1"/>
    <n v="436120"/>
    <x v="28"/>
    <s v="000000"/>
    <s v="KUST - General"/>
    <n v="847001"/>
    <x v="1"/>
    <n v="200179"/>
    <s v="847.8471240.1.436120.000000.847001.200179"/>
    <s v="-"/>
    <n v="35000"/>
    <m/>
    <s v="436120.Stationery-Number of Staff-Number"/>
    <s v="Number"/>
    <x v="14"/>
    <x v="191"/>
    <x v="374"/>
    <n v="34000"/>
    <s v="KU Regular operations"/>
    <s v="Recurring"/>
    <n v="30600"/>
    <n v="27200"/>
    <n v="23800"/>
    <s v="Downsize event and marketing collateral"/>
    <s v="Downsize event and marketing collateral"/>
    <s v="Downsize event and marketing collateral"/>
    <m/>
    <m/>
    <m/>
    <m/>
    <m/>
    <m/>
    <m/>
    <m/>
    <m/>
    <m/>
    <n v="34000"/>
    <m/>
    <n v="34000"/>
    <m/>
    <m/>
  </r>
  <r>
    <n v="8471240"/>
    <s v="KUST - Student Success"/>
    <n v="1"/>
    <n v="436120"/>
    <x v="28"/>
    <s v="000000"/>
    <s v="KUST - General"/>
    <n v="847001"/>
    <x v="1"/>
    <n v="200179"/>
    <s v="847.8471240.1.436120.000000.847001.200179"/>
    <m/>
    <m/>
    <m/>
    <s v="436120.Stationery-Number of Staff-Number"/>
    <s v="Number"/>
    <x v="14"/>
    <x v="171"/>
    <x v="375"/>
    <n v="1000"/>
    <s v="KU Regular operations"/>
    <s v="Non-recurring"/>
    <n v="900"/>
    <n v="800"/>
    <n v="700"/>
    <m/>
    <m/>
    <m/>
    <m/>
    <m/>
    <m/>
    <m/>
    <m/>
    <m/>
    <m/>
    <m/>
    <m/>
    <m/>
    <n v="1000"/>
    <m/>
    <n v="1000"/>
    <m/>
    <s v="new requests"/>
  </r>
  <r>
    <n v="8471260"/>
    <s v="KUST - Student Life"/>
    <n v="1"/>
    <n v="425510"/>
    <x v="23"/>
    <s v="000000"/>
    <s v="KUST - General"/>
    <n v="847001"/>
    <x v="1"/>
    <n v="200179"/>
    <s v="847.8471260.1.425510.000000.847001.200179"/>
    <m/>
    <m/>
    <m/>
    <s v="425510.Conferences, seminars and exhibitions and other events: - Local Events-Number of attendees-count"/>
    <s v="count"/>
    <x v="52"/>
    <x v="171"/>
    <x v="376"/>
    <n v="125000"/>
    <s v="KU Regular operations"/>
    <s v="Recurring"/>
    <n v="112500"/>
    <n v="100000"/>
    <n v="87500"/>
    <s v="Moderate Impact - we will have to reduce the number of activities"/>
    <s v="Moderate Impact - we will have to reduce the number of activities"/>
    <s v="We will have to reduce the number of activities. This may negatively impact the overall experience of the new students"/>
    <n v="45000"/>
    <m/>
    <m/>
    <m/>
    <m/>
    <m/>
    <m/>
    <n v="80000"/>
    <m/>
    <m/>
    <m/>
    <m/>
    <n v="125000"/>
    <s v="Develop a multidimensional program to attract and retain diverse outstanding students"/>
    <s v="new requests"/>
  </r>
  <r>
    <n v="8471260"/>
    <s v="KUST - Student Life"/>
    <n v="1"/>
    <n v="425510"/>
    <x v="23"/>
    <s v="000000"/>
    <s v="KUST - General"/>
    <n v="847001"/>
    <x v="1"/>
    <n v="200179"/>
    <s v="847.8471260.1.425510.000000.847001.200179"/>
    <m/>
    <m/>
    <m/>
    <s v="425510.Conferences, seminars and exhibitions and other events: - Local Events-Number of attendees-count"/>
    <s v="count"/>
    <x v="53"/>
    <x v="192"/>
    <x v="377"/>
    <n v="75000"/>
    <s v="KU Regular operations"/>
    <s v="Recurring"/>
    <n v="67500"/>
    <n v="60000"/>
    <n v="52500"/>
    <s v="Moderate Impact - we will have to reduce the number of activities"/>
    <s v="Moderate Impact - we will have to reduce the number of activities"/>
    <s v="We will have to reduce the number of activities. This may negatively impact the student's level of satisfaction with KU National Celebrations and festivities "/>
    <m/>
    <m/>
    <m/>
    <m/>
    <m/>
    <m/>
    <m/>
    <m/>
    <m/>
    <m/>
    <n v="75000"/>
    <m/>
    <n v="75000"/>
    <s v="Develop a multidimensional program to attract and retain diverse outstanding students"/>
    <s v="new requests"/>
  </r>
  <r>
    <n v="8471260"/>
    <s v="KUST - Student Life"/>
    <n v="1"/>
    <n v="425510"/>
    <x v="23"/>
    <s v="000000"/>
    <s v="KUST - General"/>
    <n v="847001"/>
    <x v="1"/>
    <n v="200179"/>
    <s v="847.8471260.1.425510.000000.847001.200179"/>
    <m/>
    <m/>
    <m/>
    <s v="425510.Conferences, seminars and exhibitions and other events: - Local Events-Number of attendees-count"/>
    <s v="count"/>
    <x v="42"/>
    <x v="193"/>
    <x v="378"/>
    <n v="10000"/>
    <s v="KU Regular operations"/>
    <s v="Recurring"/>
    <n v="9000"/>
    <n v="8000"/>
    <n v="7000"/>
    <s v="Moderate Impact - we will have to reduce the number of activities"/>
    <s v="Moderate Impact - we will have to reduce the number of activities"/>
    <s v="We will have to reduce the number of activities. This may negatively impact the student's level of satisfaction with Sports activities"/>
    <m/>
    <m/>
    <n v="10000"/>
    <m/>
    <m/>
    <m/>
    <m/>
    <m/>
    <m/>
    <m/>
    <m/>
    <m/>
    <n v="10000"/>
    <s v="Develop a multidimensional program to attract and retain diverse outstanding students"/>
    <s v="new requests"/>
  </r>
  <r>
    <n v="8471260"/>
    <s v="KUST - Student Life"/>
    <n v="1"/>
    <n v="425510"/>
    <x v="23"/>
    <s v="000000"/>
    <s v="KUST - General"/>
    <n v="847001"/>
    <x v="1"/>
    <n v="200179"/>
    <s v="847.8471260.1.425510.000000.847001.200179"/>
    <m/>
    <m/>
    <m/>
    <s v="425510.Conferences, seminars and exhibitions and other events: - Local Events-Number of attendees-count"/>
    <s v="count"/>
    <x v="54"/>
    <x v="193"/>
    <x v="379"/>
    <n v="24000"/>
    <s v="KU Regular operations"/>
    <s v="Recurring"/>
    <n v="21600"/>
    <n v="19200"/>
    <n v="16800"/>
    <s v="Moderate Impact - we will have to reduce the number of activities"/>
    <s v="Moderate Impact - we will have to reduce the number of activities"/>
    <s v="We will have to reduce the number of activities. This may negatively impact the student's level of satisfaction with KU events &amp; activities"/>
    <m/>
    <m/>
    <m/>
    <n v="24000"/>
    <m/>
    <m/>
    <m/>
    <m/>
    <m/>
    <m/>
    <m/>
    <m/>
    <n v="24000"/>
    <s v="Develop a multidimensional program to attract and retain diverse outstanding students"/>
    <s v="new requests"/>
  </r>
  <r>
    <n v="8471260"/>
    <s v="KUST - Student Life"/>
    <n v="1"/>
    <n v="425510"/>
    <x v="23"/>
    <s v="000000"/>
    <s v="KUST - General"/>
    <n v="847001"/>
    <x v="1"/>
    <n v="200179"/>
    <s v="847.8471260.1.425510.000000.847001.200179"/>
    <s v="-"/>
    <n v="205000"/>
    <n v="205000"/>
    <s v="425510.Conferences, seminars and exhibitions and other events: - Local Events-Number of attendees-count"/>
    <s v="count"/>
    <x v="50"/>
    <x v="194"/>
    <x v="380"/>
    <n v="40000"/>
    <s v="KU Regular operations"/>
    <s v="Recurring"/>
    <n v="36000"/>
    <n v="32000"/>
    <n v="28000"/>
    <s v="Low Impact - we will have to reduce the number of activities"/>
    <s v="Moderate Impact - we will have to reduce the number of activities"/>
    <s v="We will have to reduce the number of activities. This may negatively impact the student's level of satisfaction with KU's engagements in events and activities "/>
    <m/>
    <m/>
    <m/>
    <m/>
    <m/>
    <m/>
    <m/>
    <m/>
    <m/>
    <m/>
    <n v="40000"/>
    <m/>
    <n v="40000"/>
    <s v="Develop a multidimensional program to attract and retain diverse outstanding students"/>
    <m/>
  </r>
  <r>
    <n v="8471260"/>
    <s v="KUST - Student Life"/>
    <n v="1"/>
    <n v="425746"/>
    <x v="46"/>
    <s v="000000"/>
    <s v="KUST - General"/>
    <n v="847001"/>
    <x v="1"/>
    <n v="200179"/>
    <s v="847.8471260.1.425746.000000.847001.200179"/>
    <m/>
    <m/>
    <m/>
    <s v="425746.Student Transport-Students_x000a_-No of Students "/>
    <s v="Number of TBD"/>
    <x v="55"/>
    <x v="195"/>
    <x v="381"/>
    <n v="3196050"/>
    <s v="KU Regular operations"/>
    <m/>
    <n v="2876445"/>
    <n v="2556840"/>
    <n v="2237235"/>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n v="319605"/>
    <n v="319605"/>
    <n v="319605"/>
    <n v="319605"/>
    <n v="319605"/>
    <n v="319605"/>
    <m/>
    <m/>
    <n v="319605"/>
    <n v="319605"/>
    <n v="319605"/>
    <n v="319605"/>
    <n v="3196050"/>
    <s v="Utilize state-of-the-art technologies and facilities in an optimal and efficient manner"/>
    <s v="new requests"/>
  </r>
  <r>
    <n v="8471260"/>
    <s v="KUST - Student Life"/>
    <n v="1"/>
    <n v="425746"/>
    <x v="46"/>
    <s v="000000"/>
    <s v="KUST - General"/>
    <n v="847001"/>
    <x v="1"/>
    <n v="200179"/>
    <s v="847.8471260.1.425746.000000.847001.200179"/>
    <m/>
    <m/>
    <m/>
    <s v="425746.Student Transport-Students_x000a_-No of Students "/>
    <s v="Number of TBD"/>
    <x v="22"/>
    <x v="196"/>
    <x v="382"/>
    <n v="571750"/>
    <s v="KU Regular operations"/>
    <m/>
    <n v="514575"/>
    <n v="457400"/>
    <n v="400225"/>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n v="57175"/>
    <n v="57175"/>
    <n v="57175"/>
    <n v="57175"/>
    <n v="57175"/>
    <n v="57175"/>
    <m/>
    <m/>
    <n v="57175"/>
    <n v="57175"/>
    <n v="57175"/>
    <n v="57175"/>
    <n v="571750"/>
    <s v="Utilize state-of-the-art technologies and facilities in an optimal and efficient manner"/>
    <s v="new requests"/>
  </r>
  <r>
    <n v="8471260"/>
    <s v="KUST - Student Life"/>
    <n v="1"/>
    <n v="425746"/>
    <x v="46"/>
    <s v="000000"/>
    <s v="KUST - General"/>
    <n v="847001"/>
    <x v="1"/>
    <n v="200179"/>
    <s v="847.8471260.1.425746.000000.847001.200179"/>
    <m/>
    <m/>
    <m/>
    <s v="425746.Student Transport-Students_x000a_-No of Students "/>
    <s v="Number of TBD"/>
    <x v="56"/>
    <x v="197"/>
    <x v="383"/>
    <n v="2009150"/>
    <s v="KU Regular operations"/>
    <m/>
    <n v="1808235"/>
    <n v="1607320"/>
    <n v="1406405"/>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n v="200915"/>
    <n v="200915"/>
    <n v="200915"/>
    <n v="200915"/>
    <n v="200915"/>
    <n v="200915"/>
    <m/>
    <m/>
    <n v="200915"/>
    <n v="200915"/>
    <n v="200915"/>
    <n v="200915"/>
    <n v="2009150"/>
    <s v="Utilize state-of-the-art technologies and facilities in an optimal and efficient manner"/>
    <s v="new requests"/>
  </r>
  <r>
    <n v="8471260"/>
    <s v="KUST - Student Life"/>
    <n v="1"/>
    <n v="425746"/>
    <x v="46"/>
    <s v="000000"/>
    <s v="KUST - General"/>
    <n v="847001"/>
    <x v="1"/>
    <n v="200179"/>
    <s v="847.8471260.1.425746.000000.847001.200179"/>
    <m/>
    <m/>
    <m/>
    <s v="425746.Student Transport-Students_x000a_-No of Students "/>
    <s v="Number of Number of employees and type of service provided"/>
    <x v="57"/>
    <x v="198"/>
    <x v="384"/>
    <n v="4797268"/>
    <s v="KU Regular operations"/>
    <m/>
    <n v="4317541.2"/>
    <n v="3837814.4000000004"/>
    <n v="3358087.5999999996"/>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n v="399772.33"/>
    <n v="399772.33"/>
    <n v="399772.33"/>
    <n v="399772.33"/>
    <n v="399772.33"/>
    <n v="399772.33"/>
    <n v="399772.33"/>
    <n v="399772.33"/>
    <n v="399772.33"/>
    <n v="399772.33"/>
    <n v="399772.33"/>
    <n v="399772.37"/>
    <n v="4797268"/>
    <s v="Utilize state-of-the-art technologies and facilities in an optimal and efficient manner"/>
    <s v="new requests"/>
  </r>
  <r>
    <n v="8471260"/>
    <s v="KUST - Student Life"/>
    <n v="1"/>
    <n v="425746"/>
    <x v="46"/>
    <s v="000000"/>
    <s v="KUST - General"/>
    <n v="847001"/>
    <x v="1"/>
    <n v="200179"/>
    <s v="847.8471260.1.425746.000000.847001.200179"/>
    <m/>
    <m/>
    <m/>
    <s v="425746.Student Transport-Students_x000a_-No of Students "/>
    <s v="Number of TBD"/>
    <x v="1"/>
    <x v="199"/>
    <x v="385"/>
    <n v="142085"/>
    <s v="KU Regular operations"/>
    <m/>
    <n v="127876.5"/>
    <n v="113668"/>
    <n v="99459.5"/>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n v="14208.5"/>
    <n v="14208.5"/>
    <n v="14208.5"/>
    <n v="14208.5"/>
    <n v="14208.5"/>
    <n v="14208.5"/>
    <m/>
    <m/>
    <n v="14208.5"/>
    <n v="14208.5"/>
    <n v="14208.5"/>
    <n v="14208.5"/>
    <n v="142085"/>
    <s v="Utilize state-of-the-art technologies and facilities in an optimal and efficient manner"/>
    <s v="new requests"/>
  </r>
  <r>
    <n v="8471260"/>
    <s v="KUST - Student Life"/>
    <n v="1"/>
    <n v="425746"/>
    <x v="46"/>
    <s v="000000"/>
    <s v="KUST - General"/>
    <n v="847001"/>
    <x v="1"/>
    <n v="200179"/>
    <s v="847.8471260.1.425746.000000.847001.200179"/>
    <m/>
    <m/>
    <m/>
    <s v="425746.Student Transport-Students_x000a_-No of Students "/>
    <s v="Number of TBD"/>
    <x v="1"/>
    <x v="200"/>
    <x v="386"/>
    <n v="525"/>
    <s v="KU Regular operations"/>
    <m/>
    <n v="472.5"/>
    <n v="420"/>
    <n v="367.5"/>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n v="525"/>
    <m/>
    <m/>
    <m/>
    <m/>
    <m/>
    <m/>
    <m/>
    <m/>
    <m/>
    <m/>
    <m/>
    <n v="525"/>
    <s v="Utilize state-of-the-art technologies and facilities in an optimal and efficient manner"/>
    <s v="new requests"/>
  </r>
  <r>
    <n v="8471260"/>
    <s v="KUST - Student Life"/>
    <n v="1"/>
    <n v="425746"/>
    <x v="46"/>
    <s v="000000"/>
    <s v="KUST - General"/>
    <n v="847001"/>
    <x v="1"/>
    <n v="200179"/>
    <s v="847.8471260.1.425746.000000.847001.200179"/>
    <m/>
    <m/>
    <m/>
    <s v="425746.Student Transport-Students_x000a_-No of Students "/>
    <s v="Number of TBD"/>
    <x v="14"/>
    <x v="87"/>
    <x v="387"/>
    <n v="600000"/>
    <s v="KU Regular operations"/>
    <m/>
    <n v="540000"/>
    <n v="480000"/>
    <n v="420000"/>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n v="60000"/>
    <n v="60000"/>
    <n v="60000"/>
    <n v="60000"/>
    <n v="60000"/>
    <n v="60000"/>
    <m/>
    <m/>
    <n v="60000"/>
    <n v="60000"/>
    <n v="60000"/>
    <n v="60000"/>
    <n v="600000"/>
    <s v="Utilize state-of-the-art technologies and facilities in an optimal and efficient manner"/>
    <s v="new requests"/>
  </r>
  <r>
    <n v="8471260"/>
    <s v="KUST - Student Life"/>
    <n v="1"/>
    <n v="425746"/>
    <x v="46"/>
    <s v="000000"/>
    <s v="KUST - General"/>
    <n v="847001"/>
    <x v="1"/>
    <n v="200179"/>
    <s v="847.8471260.1.425746.000000.847001.200179"/>
    <n v="8221710.8799999999"/>
    <n v="9349361"/>
    <n v="12000000"/>
    <s v="425746.Student Transport-Students_x000a_-No of Students "/>
    <s v="Number of TBD"/>
    <x v="14"/>
    <x v="42"/>
    <x v="388"/>
    <n v="300000"/>
    <s v="KU Regular operations"/>
    <m/>
    <n v="270000"/>
    <n v="240000"/>
    <n v="210000"/>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s v="Student Transportation Services is a critical services, any budget reduction will have significant impact in the service provided which will negatively impact the logistics and affect the mobility of students"/>
    <n v="30000"/>
    <n v="30000"/>
    <n v="30000"/>
    <n v="30000"/>
    <n v="30000"/>
    <n v="30000"/>
    <m/>
    <m/>
    <n v="30000"/>
    <n v="30000"/>
    <n v="30000"/>
    <n v="30000"/>
    <n v="300000"/>
    <s v="Utilize state-of-the-art technologies and facilities in an optimal and efficient manner"/>
    <m/>
  </r>
  <r>
    <n v="8471260"/>
    <s v="KUST - Student Life"/>
    <n v="1"/>
    <n v="425760"/>
    <x v="29"/>
    <s v="000000"/>
    <s v="KUST - General"/>
    <n v="847001"/>
    <x v="1"/>
    <n v="200179"/>
    <s v="847.8471260.1.425760.000000.847001.200179"/>
    <m/>
    <m/>
    <m/>
    <s v="425760.Student activities &amp; field trip expenses-Students-No of Students"/>
    <s v="No of Students"/>
    <x v="31"/>
    <x v="201"/>
    <x v="389"/>
    <n v="40000"/>
    <s v="KU Regular operations"/>
    <s v="Recurring"/>
    <n v="36000"/>
    <n v="32000"/>
    <n v="28000"/>
    <s v="Low Impact - we will have to reduce the number of participating groups."/>
    <s v="Moderate Impact - we will have to reduce the number of participating groups."/>
    <s v="We will have to reduce the number of participating groups. This may negatively impact the student's level of satisfaction on KU's engagements in events and activities "/>
    <m/>
    <m/>
    <m/>
    <m/>
    <m/>
    <m/>
    <m/>
    <m/>
    <n v="40000"/>
    <m/>
    <m/>
    <m/>
    <n v="40000"/>
    <s v="Develop a multidimensional program to attract and retain diverse outstanding students"/>
    <s v="new requests"/>
  </r>
  <r>
    <n v="8471260"/>
    <s v="KUST - Student Life"/>
    <n v="1"/>
    <n v="425760"/>
    <x v="29"/>
    <s v="000000"/>
    <s v="KUST - General"/>
    <n v="847001"/>
    <x v="1"/>
    <n v="200179"/>
    <s v="847.8471260.1.425760.000000.847001.200179"/>
    <m/>
    <m/>
    <m/>
    <s v="425760.Student activities &amp; field trip expenses-Students-No of Students"/>
    <s v="No of Students"/>
    <x v="18"/>
    <x v="202"/>
    <x v="390"/>
    <n v="70020"/>
    <s v="KU Regular operations"/>
    <s v="Recurring"/>
    <n v="63018"/>
    <n v="56016"/>
    <n v="49014"/>
    <s v="Low Impact - we will have to reduce the number of participating groups."/>
    <s v="Moderate Impact - we will have to reduce the number of participating groups."/>
    <s v="We will have to reduce the number of participating groups. This may negatively impact the student's level of satisfaction with KU's engagements in events and activities "/>
    <m/>
    <n v="70020"/>
    <m/>
    <m/>
    <m/>
    <m/>
    <m/>
    <m/>
    <m/>
    <m/>
    <m/>
    <m/>
    <n v="70020"/>
    <s v="Develop a multidimensional program to attract and retain diverse outstanding students"/>
    <s v="new requests"/>
  </r>
  <r>
    <n v="8471260"/>
    <s v="KUST - Student Life"/>
    <n v="1"/>
    <n v="425760"/>
    <x v="29"/>
    <s v="000000"/>
    <s v="KUST - General"/>
    <n v="847001"/>
    <x v="1"/>
    <n v="200179"/>
    <s v="847.8471260.1.425760.000000.847001.200179"/>
    <m/>
    <m/>
    <m/>
    <s v="425760.Student activities &amp; field trip expenses-Students-No of Students"/>
    <s v="No of Students"/>
    <x v="12"/>
    <x v="38"/>
    <x v="391"/>
    <n v="60000"/>
    <s v="KU Regular operations"/>
    <s v="Recurring"/>
    <n v="54000"/>
    <n v="48000"/>
    <n v="42000"/>
    <s v="Low Impact - we will have to reduce the number of participating groups."/>
    <s v="Moderate Impact - we will have to reduce the number of participating groups."/>
    <s v="We will have to reduce the number of participating groups. This may negatively impact the student's level of satisfaction with KU's engagements in events and activities "/>
    <m/>
    <m/>
    <m/>
    <n v="60000"/>
    <m/>
    <m/>
    <m/>
    <m/>
    <m/>
    <m/>
    <m/>
    <m/>
    <n v="60000"/>
    <s v="Develop a multidimensional program to attract and retain diverse outstanding students"/>
    <s v="new requests"/>
  </r>
  <r>
    <n v="8471260"/>
    <s v="KUST - Student Life"/>
    <n v="1"/>
    <n v="425760"/>
    <x v="29"/>
    <s v="000000"/>
    <s v="KUST - General"/>
    <n v="847001"/>
    <x v="1"/>
    <n v="200179"/>
    <s v="847.8471260.1.425760.000000.847001.200179"/>
    <m/>
    <m/>
    <m/>
    <s v="425760.Student activities &amp; field trip expenses-Students-No of Students"/>
    <s v="No of Students"/>
    <x v="18"/>
    <x v="103"/>
    <x v="392"/>
    <n v="60000"/>
    <s v="KU Regular operations"/>
    <s v="Recurring"/>
    <n v="54000"/>
    <n v="48000"/>
    <n v="42000"/>
    <s v="Low Impact - we will have to reduce the number of participating groups."/>
    <s v="Moderate Impact - we will have to reduce the number of participating groups."/>
    <s v="We will have to reduce the number of participating groups. This may negatively impact the student's level of satisfaction with KU's engagements in events and activities "/>
    <m/>
    <n v="60000"/>
    <m/>
    <m/>
    <m/>
    <m/>
    <m/>
    <m/>
    <m/>
    <m/>
    <m/>
    <m/>
    <n v="60000"/>
    <s v="Develop the university innovation and entrepreneurship system"/>
    <s v="new requests"/>
  </r>
  <r>
    <n v="8471260"/>
    <s v="KUST - Student Life"/>
    <n v="1"/>
    <n v="425760"/>
    <x v="29"/>
    <s v="000000"/>
    <s v="KUST - General"/>
    <n v="847001"/>
    <x v="1"/>
    <n v="200179"/>
    <s v="847.8471260.1.425760.000000.847001.200179"/>
    <m/>
    <m/>
    <m/>
    <s v="425760.Student activities &amp; field trip expenses-Events-No of Events"/>
    <s v="No of Events"/>
    <x v="19"/>
    <x v="90"/>
    <x v="393"/>
    <n v="87500"/>
    <s v="KU Regular operations"/>
    <s v="Recurring"/>
    <n v="78750"/>
    <n v="70000"/>
    <n v="61249.999999999993"/>
    <s v="Low Impact - we will have to reduce the number of trips."/>
    <s v="Moderate Impact - we will have to reduce the number of trips"/>
    <s v="We will have to reduce the number of trips. This may negatively impact the student's level of satisfaction with KU's engagements in recreational trips"/>
    <n v="8750"/>
    <n v="8750"/>
    <n v="8750"/>
    <n v="8750"/>
    <n v="8750"/>
    <n v="8750"/>
    <m/>
    <m/>
    <n v="8750"/>
    <n v="8750"/>
    <n v="8750"/>
    <n v="8750"/>
    <n v="87500"/>
    <s v="Develop a multidimensional program to attract and retain diverse outstanding students"/>
    <s v="new requests"/>
  </r>
  <r>
    <n v="8471260"/>
    <s v="KUST - Student Life"/>
    <n v="1"/>
    <n v="425760"/>
    <x v="29"/>
    <s v="000000"/>
    <s v="KUST - General"/>
    <n v="847001"/>
    <x v="1"/>
    <n v="200179"/>
    <s v="847.8471260.1.425760.000000.847001.200179"/>
    <m/>
    <m/>
    <m/>
    <s v="425760.Student activities &amp; field trip expenses-Events-No of Events"/>
    <s v="No of Events"/>
    <x v="20"/>
    <x v="79"/>
    <x v="394"/>
    <n v="30000"/>
    <s v="KU Regular operations"/>
    <s v="Recurring"/>
    <n v="27000"/>
    <n v="24000"/>
    <n v="21000"/>
    <s v="Low Impact - we will have to reduce the number of trips."/>
    <s v="Moderate Impact - we will have to reduce the number of trips"/>
    <s v="We will have to reduce the number of trips. This may negatively impact the student's level of satisfaction with KU's engagements in recreational trips"/>
    <n v="2000"/>
    <n v="4000"/>
    <n v="4000"/>
    <n v="3000"/>
    <n v="3000"/>
    <n v="1000"/>
    <m/>
    <m/>
    <n v="3000"/>
    <n v="4000"/>
    <n v="3000"/>
    <n v="3000"/>
    <n v="30000"/>
    <s v="Develop a multidimensional program to attract and retain diverse outstanding students"/>
    <s v="new requests"/>
  </r>
  <r>
    <n v="8471260"/>
    <s v="KUST - Student Life"/>
    <n v="1"/>
    <n v="425760"/>
    <x v="29"/>
    <s v="000000"/>
    <s v="KUST - General"/>
    <n v="847001"/>
    <x v="1"/>
    <n v="200179"/>
    <s v="847.8471260.1.425760.000000.847001.200179"/>
    <n v="229618.26"/>
    <n v="936870"/>
    <n v="700000"/>
    <s v="425760.Student activities &amp; field trip expenses-Events-No of Events"/>
    <s v="No of Events"/>
    <x v="20"/>
    <x v="30"/>
    <x v="395"/>
    <n v="500000"/>
    <s v="KU Regular operations"/>
    <s v="Recurring"/>
    <n v="450000"/>
    <n v="400000"/>
    <n v="350000"/>
    <s v="Low Impact - we will have to reduce the number of trips."/>
    <s v="Moderate Impact - we will have to reduce the number of trips"/>
    <s v="We will have to reduce the number of trips. This may negatively impact the student's level of satisfaction on KU's support in international trips"/>
    <m/>
    <n v="200000"/>
    <m/>
    <m/>
    <n v="150000"/>
    <m/>
    <m/>
    <n v="150000"/>
    <m/>
    <m/>
    <m/>
    <m/>
    <n v="500000"/>
    <s v="Develop a multidimensional program to attract and retain diverse outstanding students"/>
    <m/>
  </r>
  <r>
    <n v="8471260"/>
    <s v="KUST - Student Life"/>
    <n v="1"/>
    <n v="425900"/>
    <x v="26"/>
    <s v="000000"/>
    <s v="KUST - General"/>
    <n v="847001"/>
    <x v="1"/>
    <n v="200179"/>
    <s v="847.8471260.1.425900.000000.847001.200179"/>
    <m/>
    <m/>
    <m/>
    <s v="425900.Entertainment and hospitality-1. No of events/workshops planned-count"/>
    <s v="count"/>
    <x v="58"/>
    <x v="203"/>
    <x v="396"/>
    <n v="51000"/>
    <s v="KU Regular operations"/>
    <s v="Recurring"/>
    <n v="45900"/>
    <n v="40800"/>
    <n v="35700"/>
    <s v="Low Impact - we will have to reduce the quantity in the menu"/>
    <s v="Moderate Impact -  we will have to further reduce the quantity in the menu"/>
    <s v="We will have to reduce the quantity in the menu. This may negatively impact the student's level of satisfaction with KU's Major  events and activities "/>
    <n v="18000"/>
    <m/>
    <m/>
    <m/>
    <m/>
    <m/>
    <m/>
    <n v="33000"/>
    <m/>
    <m/>
    <m/>
    <m/>
    <n v="51000"/>
    <s v="Develop a multidimensional program to attract and retain diverse outstanding students"/>
    <s v="new requests"/>
  </r>
  <r>
    <n v="8471260"/>
    <s v="KUST - Student Life"/>
    <n v="1"/>
    <n v="425900"/>
    <x v="26"/>
    <s v="000000"/>
    <s v="KUST - General"/>
    <n v="847001"/>
    <x v="1"/>
    <n v="200179"/>
    <s v="847.8471260.1.425900.000000.847001.200179"/>
    <m/>
    <m/>
    <m/>
    <s v="425900.Entertainment and hospitality-1. No of events/workshops planned-count"/>
    <s v="count"/>
    <x v="50"/>
    <x v="193"/>
    <x v="397"/>
    <n v="20000"/>
    <s v="KU Regular operations"/>
    <s v="Recurring"/>
    <n v="18000"/>
    <n v="16000"/>
    <n v="14000"/>
    <s v="Low Impact - we will have to reduce the quantity in the menu"/>
    <s v="Moderate Impact -  we will have to further reduce the quantity in the menu"/>
    <s v="We will have to reduce the quantity in the menu. This may negatively impact the student's level of satisfaction with KU's Major  events and activities "/>
    <m/>
    <m/>
    <m/>
    <m/>
    <m/>
    <m/>
    <m/>
    <m/>
    <m/>
    <m/>
    <n v="20000"/>
    <m/>
    <n v="20000"/>
    <s v="Develop a multidimensional program to attract and retain diverse outstanding students"/>
    <s v="new requests"/>
  </r>
  <r>
    <n v="8471260"/>
    <s v="KUST - Student Life"/>
    <n v="1"/>
    <n v="425900"/>
    <x v="26"/>
    <s v="000000"/>
    <s v="KUST - General"/>
    <n v="847001"/>
    <x v="1"/>
    <n v="200179"/>
    <s v="847.8471260.1.425900.000000.847001.200179"/>
    <m/>
    <m/>
    <m/>
    <s v="425900.Entertainment and hospitality-1. No of events/workshops planned-count"/>
    <s v="count"/>
    <x v="50"/>
    <x v="204"/>
    <x v="398"/>
    <n v="15000"/>
    <s v="KU Regular operations"/>
    <s v="Recurring"/>
    <n v="13500"/>
    <n v="12000"/>
    <n v="10500"/>
    <s v="Low Impact - we will have to reduce the quantity in the menu"/>
    <s v="Moderate Impact -  we will have to further reduce the quantity in the menu"/>
    <s v="We will have to reduce the quantity in the menu. This may negatively impact the student's level of satisfaction with KU's Major  events and activities "/>
    <m/>
    <n v="15000"/>
    <m/>
    <m/>
    <m/>
    <m/>
    <m/>
    <m/>
    <m/>
    <m/>
    <m/>
    <m/>
    <n v="15000"/>
    <s v="Develop a multidimensional program to attract and retain diverse outstanding students"/>
    <s v="new requests"/>
  </r>
  <r>
    <n v="8471260"/>
    <s v="KUST - Student Life"/>
    <n v="1"/>
    <n v="425900"/>
    <x v="26"/>
    <s v="000000"/>
    <s v="KUST - General"/>
    <n v="847001"/>
    <x v="1"/>
    <n v="200179"/>
    <s v="847.8471260.1.425900.000000.847001.200179"/>
    <m/>
    <m/>
    <m/>
    <s v="425900.Entertainment and hospitality-1. No of events/workshops planned-count"/>
    <s v="count"/>
    <x v="59"/>
    <x v="193"/>
    <x v="399"/>
    <n v="32000"/>
    <s v="KU Regular operations"/>
    <s v="Recurring"/>
    <n v="28800"/>
    <n v="25600"/>
    <n v="22400"/>
    <s v="Low Impact - we will have to reduce the quantity in the menu"/>
    <s v="Moderate Impact -  we will have to further reduce the quantity in the menu"/>
    <s v="We will have to reduce the quantity in the menu. This may negatively impact the student's level of satisfaction with KU's Major  events and activities "/>
    <m/>
    <m/>
    <m/>
    <m/>
    <m/>
    <m/>
    <m/>
    <m/>
    <m/>
    <m/>
    <n v="32000"/>
    <m/>
    <n v="32000"/>
    <s v="Develop a multidimensional program to attract and retain diverse outstanding students"/>
    <s v="new requests"/>
  </r>
  <r>
    <n v="8471260"/>
    <s v="KUST - Student Life"/>
    <n v="1"/>
    <n v="425900"/>
    <x v="26"/>
    <s v="000000"/>
    <s v="KUST - General"/>
    <n v="847001"/>
    <x v="1"/>
    <n v="200179"/>
    <s v="847.8471260.1.425900.000000.847001.200179"/>
    <m/>
    <m/>
    <m/>
    <s v="425900.Entertainment and hospitality-1. No of events/workshops planned-count"/>
    <s v="count"/>
    <x v="60"/>
    <x v="204"/>
    <x v="400"/>
    <n v="12000"/>
    <s v="KU Regular operations"/>
    <s v="Recurring"/>
    <n v="10800"/>
    <n v="9600"/>
    <n v="8400"/>
    <s v="Low Impact - we will have to reduce the quantity in the menu"/>
    <s v="Moderate Impact -  we will have to further reduce the quantity in the menu"/>
    <s v="We will have to reduce the quantity in the menu. This may negatively impact the student's level of satisfaction with KU's Major  events and activities "/>
    <n v="1200"/>
    <n v="1200"/>
    <n v="1200"/>
    <n v="1200"/>
    <n v="1200"/>
    <n v="1200"/>
    <m/>
    <m/>
    <n v="1200"/>
    <n v="1200"/>
    <n v="1200"/>
    <n v="1200"/>
    <n v="12000"/>
    <s v="Develop a multidimensional program to attract and retain diverse outstanding students"/>
    <s v="new requests"/>
  </r>
  <r>
    <n v="8471260"/>
    <s v="KUST - Student Life"/>
    <n v="1"/>
    <n v="425900"/>
    <x v="26"/>
    <s v="000000"/>
    <s v="KUST - General"/>
    <n v="847001"/>
    <x v="1"/>
    <n v="200179"/>
    <s v="847.8471260.1.425900.000000.847001.200179"/>
    <n v="7085.98"/>
    <n v="70800"/>
    <n v="70800"/>
    <s v="425900.Entertainment and hospitality-1. No of events/workshops planned-count"/>
    <s v="count"/>
    <x v="61"/>
    <x v="193"/>
    <x v="379"/>
    <n v="40000"/>
    <s v="KU Regular operations"/>
    <s v="Recurring"/>
    <n v="36000"/>
    <n v="32000"/>
    <n v="28000"/>
    <s v="Low Impact - we will have to reduce the quantity in the menu"/>
    <s v="Moderate Impact -  we will have to further reduce the quantity in the menu"/>
    <s v="We will have to reduce the quantity in the menu. This may negatively impact the student's level of satisfaction with KU's Major  events and activities "/>
    <m/>
    <m/>
    <m/>
    <n v="40000"/>
    <m/>
    <m/>
    <m/>
    <m/>
    <m/>
    <m/>
    <m/>
    <m/>
    <n v="40000"/>
    <s v="Develop a multidimensional program to attract and retain diverse outstanding students"/>
    <m/>
  </r>
  <r>
    <n v="8471260"/>
    <s v="KUST - Student Life"/>
    <n v="1"/>
    <n v="428640"/>
    <x v="27"/>
    <s v="000000"/>
    <s v="KUST - General"/>
    <n v="847001"/>
    <x v="1"/>
    <n v="200179"/>
    <s v="847.8471260.1.428640.000000.847001.200179"/>
    <m/>
    <m/>
    <m/>
    <s v="428640.Events - Awards, prizes &amp; gifts-Number of gifts-count"/>
    <s v="count"/>
    <x v="23"/>
    <x v="205"/>
    <x v="401"/>
    <n v="10000"/>
    <m/>
    <m/>
    <n v="9000"/>
    <n v="8000"/>
    <n v="7000"/>
    <s v="Low Impact "/>
    <s v="Moderate Impact "/>
    <s v="Significant Impact "/>
    <m/>
    <n v="5000"/>
    <m/>
    <m/>
    <m/>
    <m/>
    <m/>
    <m/>
    <m/>
    <m/>
    <n v="5000"/>
    <m/>
    <n v="10000"/>
    <s v="Develop a multidimensional program to attract and retain diverse outstanding students"/>
    <s v="new requests"/>
  </r>
  <r>
    <n v="8471260"/>
    <s v="KUST - Student Life"/>
    <n v="1"/>
    <n v="428640"/>
    <x v="27"/>
    <s v="000000"/>
    <s v="KUST - General"/>
    <n v="847001"/>
    <x v="1"/>
    <n v="200179"/>
    <s v="847.8471260.1.428640.000000.847001.200179"/>
    <m/>
    <m/>
    <m/>
    <s v="428640.Events - Awards, prizes &amp; gifts-Number of gifts-count"/>
    <s v="count"/>
    <x v="18"/>
    <x v="206"/>
    <x v="402"/>
    <n v="12000"/>
    <m/>
    <m/>
    <n v="10800"/>
    <n v="9600"/>
    <n v="8400"/>
    <s v="Low Impact "/>
    <s v="Moderate Impact "/>
    <s v="Significant Impact "/>
    <m/>
    <m/>
    <n v="3000"/>
    <m/>
    <n v="3000"/>
    <m/>
    <m/>
    <m/>
    <n v="3000"/>
    <m/>
    <n v="3000"/>
    <m/>
    <n v="12000"/>
    <s v="Develop a multidimensional program to attract and retain diverse outstanding students"/>
    <s v="new requests"/>
  </r>
  <r>
    <n v="8471260"/>
    <s v="KUST - Student Life"/>
    <n v="1"/>
    <n v="428640"/>
    <x v="27"/>
    <s v="000000"/>
    <s v="KUST - General"/>
    <n v="847001"/>
    <x v="1"/>
    <n v="200179"/>
    <s v="847.8471260.1.428640.000000.847001.200179"/>
    <n v="10810.35"/>
    <n v="32500"/>
    <n v="32500"/>
    <s v="428640.Events - Awards, prizes &amp; gifts-Number of gifts-count"/>
    <s v="count"/>
    <x v="23"/>
    <x v="205"/>
    <x v="403"/>
    <n v="10000"/>
    <m/>
    <m/>
    <n v="9000"/>
    <n v="8000"/>
    <n v="7000"/>
    <s v="Low Impact "/>
    <s v="Moderate Impact "/>
    <s v="Significant Impact "/>
    <m/>
    <n v="3000"/>
    <m/>
    <n v="4000"/>
    <m/>
    <m/>
    <m/>
    <m/>
    <m/>
    <n v="3000"/>
    <m/>
    <m/>
    <n v="10000"/>
    <s v="Develop a multidimensional program to attract and retain diverse outstanding students"/>
    <m/>
  </r>
  <r>
    <n v="8471260"/>
    <s v="KUST - Student Life"/>
    <n v="1"/>
    <n v="435530"/>
    <x v="55"/>
    <s v="000000"/>
    <s v="KUST - General"/>
    <n v="847001"/>
    <x v="1"/>
    <n v="200179"/>
    <s v="847.8471260.1.435530.000000.847001.200179"/>
    <m/>
    <m/>
    <m/>
    <s v="435530.School consumables, Numbert specifically mentioned elsewhere-Number of Students-Number"/>
    <s v="Number"/>
    <x v="62"/>
    <x v="194"/>
    <x v="404"/>
    <n v="14000"/>
    <s v="KU Regular operations"/>
    <s v="Recurring"/>
    <n v="12600"/>
    <n v="11200"/>
    <n v="9800"/>
    <s v="Low Impact - we will have to reduce the number of items."/>
    <s v="Moderate Impact - we will have to reduce the number of items"/>
    <s v="We will have to reduce the number of items per team member. This may impact the student's participation in sports tournaments and competitions happening on and off campus"/>
    <m/>
    <m/>
    <m/>
    <m/>
    <m/>
    <m/>
    <n v="14000"/>
    <m/>
    <m/>
    <m/>
    <m/>
    <m/>
    <n v="14000"/>
    <s v="Develop a multidimensional program to attract and retain diverse outstanding students"/>
    <s v="new requests"/>
  </r>
  <r>
    <n v="8471260"/>
    <s v="KUST - Student Life"/>
    <n v="1"/>
    <n v="435530"/>
    <x v="55"/>
    <s v="000000"/>
    <s v="KUST - General"/>
    <n v="847001"/>
    <x v="1"/>
    <n v="200179"/>
    <s v="847.8471260.1.435530.000000.847001.200179"/>
    <m/>
    <m/>
    <m/>
    <s v="435530.School consumables, Numbert specifically mentioned elsewhere-Number of Students-Number"/>
    <s v="Number"/>
    <x v="62"/>
    <x v="194"/>
    <x v="405"/>
    <n v="14000"/>
    <s v="KU Regular operations"/>
    <s v="Recurring"/>
    <n v="12600"/>
    <n v="11200"/>
    <n v="9800"/>
    <s v="Low Impact - we will have to reduce the number of items."/>
    <s v="Moderate Impact - we will have to reduce the number of items."/>
    <s v="We will have to reduce the number of items per team member. This may impact the student's participation in sports tournaments and competitions happening on and off campus"/>
    <m/>
    <m/>
    <m/>
    <m/>
    <m/>
    <m/>
    <n v="14000"/>
    <m/>
    <m/>
    <m/>
    <m/>
    <m/>
    <n v="14000"/>
    <s v="Develop a multidimensional program to attract and retain diverse outstanding students"/>
    <s v="new requests"/>
  </r>
  <r>
    <n v="8471260"/>
    <s v="KUST - Student Life"/>
    <n v="1"/>
    <n v="435530"/>
    <x v="55"/>
    <s v="000000"/>
    <s v="KUST - General"/>
    <n v="847001"/>
    <x v="1"/>
    <n v="200179"/>
    <s v="847.8471260.1.435530.000000.847001.200179"/>
    <n v="31417"/>
    <n v="12000"/>
    <n v="12000"/>
    <s v="435530.School consumables, Numbert specifically mentioned elsewhere-Number of Students-Number"/>
    <s v="Number"/>
    <x v="63"/>
    <x v="207"/>
    <x v="406"/>
    <n v="52350"/>
    <s v="KU Regular operations"/>
    <s v="Recurring"/>
    <n v="47115"/>
    <n v="41880"/>
    <n v="36645"/>
    <s v="Low Impact - we will have to reduce the number of uniforms per player."/>
    <s v="Moderate Impact - we will have to reduce the number of uniform per player."/>
    <s v="We will have to reduce the number of uniforms per team member. This may impact the student's participation in sports tournaments and competitions happening on and off campus"/>
    <m/>
    <m/>
    <m/>
    <m/>
    <m/>
    <m/>
    <n v="52350"/>
    <m/>
    <m/>
    <m/>
    <m/>
    <m/>
    <n v="52350"/>
    <s v="Develop a multidimensional program to attract and retain diverse outstanding students"/>
    <m/>
  </r>
  <r>
    <n v="8471260"/>
    <s v="KUST - Student Life"/>
    <n v="1"/>
    <n v="436110"/>
    <x v="12"/>
    <s v="000000"/>
    <s v="KUST - General"/>
    <n v="847001"/>
    <x v="1"/>
    <n v="200179"/>
    <s v="847.8471260.1.436110.000000.847001.200179"/>
    <m/>
    <m/>
    <m/>
    <s v="436110.Printing supplies-Number of Student-Number"/>
    <s v="Number"/>
    <x v="51"/>
    <x v="208"/>
    <x v="407"/>
    <n v="4800"/>
    <s v="KU Regular operations"/>
    <s v="Recurring"/>
    <n v="4320"/>
    <n v="3840"/>
    <n v="3360"/>
    <s v="low impact "/>
    <s v="moderate impact"/>
    <s v="moderate impact "/>
    <m/>
    <m/>
    <m/>
    <m/>
    <n v="1600"/>
    <n v="1600"/>
    <m/>
    <m/>
    <m/>
    <m/>
    <n v="1600"/>
    <m/>
    <n v="4800"/>
    <s v="Develop a multidimensional program to attract and retain diverse outstanding students"/>
    <s v="new requests"/>
  </r>
  <r>
    <n v="8471260"/>
    <s v="KUST - Student Life"/>
    <n v="1"/>
    <n v="436110"/>
    <x v="12"/>
    <s v="000000"/>
    <s v="KUST - General"/>
    <n v="847001"/>
    <x v="1"/>
    <n v="200179"/>
    <s v="847.8471260.1.436110.000000.847001.200179"/>
    <s v="-"/>
    <n v="13500"/>
    <n v="13500"/>
    <s v="436110.Printing supplies-Number of Student-Number"/>
    <s v="No of Events"/>
    <x v="18"/>
    <x v="209"/>
    <x v="408"/>
    <n v="4800"/>
    <s v="KU Regular operations"/>
    <s v="Recurring"/>
    <n v="4320"/>
    <n v="3840"/>
    <n v="3360"/>
    <s v="low impact "/>
    <s v="moderate impact"/>
    <s v="moderate impact "/>
    <m/>
    <n v="1000"/>
    <n v="800"/>
    <n v="1000"/>
    <m/>
    <m/>
    <m/>
    <n v="1000"/>
    <m/>
    <n v="1000"/>
    <m/>
    <m/>
    <n v="4800"/>
    <s v="Develop a multidimensional program to attract and retain diverse outstanding students"/>
    <m/>
  </r>
  <r>
    <n v="8471260"/>
    <s v="KUST - Student Life"/>
    <n v="1"/>
    <n v="421600"/>
    <x v="68"/>
    <s v="000000"/>
    <s v="KUST - General"/>
    <n v="847001"/>
    <x v="1"/>
    <n v="200179"/>
    <s v="847.8471260.1.421600.000000.847001.200179"/>
    <n v="1750.45"/>
    <s v="-"/>
    <m/>
    <m/>
    <s v="-_"/>
    <x v="2"/>
    <x v="1"/>
    <x v="1"/>
    <n v="0"/>
    <m/>
    <m/>
    <n v="0"/>
    <n v="0"/>
    <n v="0"/>
    <m/>
    <m/>
    <m/>
    <m/>
    <m/>
    <m/>
    <m/>
    <m/>
    <m/>
    <m/>
    <m/>
    <m/>
    <m/>
    <m/>
    <m/>
    <n v="0"/>
    <m/>
    <m/>
  </r>
  <r>
    <n v="8471260"/>
    <s v="KUST - Student Life"/>
    <n v="1"/>
    <n v="422400"/>
    <x v="69"/>
    <s v="000000"/>
    <s v="KUST - General"/>
    <n v="847001"/>
    <x v="1"/>
    <n v="200179"/>
    <s v="847.8471260.1.422400.000000.847001.200179"/>
    <n v="1240"/>
    <s v="-"/>
    <m/>
    <m/>
    <s v="-_"/>
    <x v="2"/>
    <x v="1"/>
    <x v="1"/>
    <n v="0"/>
    <m/>
    <m/>
    <n v="0"/>
    <n v="0"/>
    <n v="0"/>
    <m/>
    <m/>
    <m/>
    <m/>
    <m/>
    <m/>
    <m/>
    <m/>
    <m/>
    <m/>
    <m/>
    <m/>
    <m/>
    <m/>
    <m/>
    <n v="0"/>
    <m/>
    <m/>
  </r>
  <r>
    <n v="8471260"/>
    <s v="KUST - Student Life"/>
    <n v="1"/>
    <n v="425750"/>
    <x v="48"/>
    <s v="000000"/>
    <s v="KUST - General"/>
    <n v="847001"/>
    <x v="1"/>
    <n v="200179"/>
    <s v="847.8471260.1.425750.000000.847001.200179"/>
    <n v="25000"/>
    <s v="-"/>
    <m/>
    <m/>
    <s v="-_"/>
    <x v="2"/>
    <x v="1"/>
    <x v="1"/>
    <n v="0"/>
    <m/>
    <m/>
    <n v="0"/>
    <n v="0"/>
    <n v="0"/>
    <m/>
    <m/>
    <m/>
    <m/>
    <m/>
    <m/>
    <m/>
    <m/>
    <m/>
    <m/>
    <m/>
    <m/>
    <m/>
    <m/>
    <m/>
    <n v="0"/>
    <m/>
    <m/>
  </r>
  <r>
    <n v="8471260"/>
    <s v="KUST - Student Life"/>
    <n v="1"/>
    <n v="426220"/>
    <x v="70"/>
    <s v="000000"/>
    <s v="KUST - General"/>
    <n v="847001"/>
    <x v="1"/>
    <n v="200179"/>
    <s v="847.8471260.1.426220.000000.847001.200179"/>
    <n v="7904.54000000001"/>
    <s v="-"/>
    <m/>
    <m/>
    <s v="-_"/>
    <x v="2"/>
    <x v="1"/>
    <x v="1"/>
    <n v="0"/>
    <m/>
    <m/>
    <n v="0"/>
    <n v="0"/>
    <n v="0"/>
    <m/>
    <m/>
    <m/>
    <m/>
    <m/>
    <m/>
    <m/>
    <m/>
    <m/>
    <m/>
    <m/>
    <m/>
    <m/>
    <m/>
    <m/>
    <n v="0"/>
    <m/>
    <m/>
  </r>
  <r>
    <n v="8471260"/>
    <s v="KUST - Student Life"/>
    <n v="1"/>
    <n v="428111"/>
    <x v="71"/>
    <s v="000000"/>
    <s v="KUST - General"/>
    <n v="847001"/>
    <x v="1"/>
    <n v="200179"/>
    <s v="847.8471260.1.428111.000000.847001.200179"/>
    <n v="506184.86"/>
    <s v="-"/>
    <m/>
    <m/>
    <s v="-_"/>
    <x v="2"/>
    <x v="1"/>
    <x v="1"/>
    <n v="0"/>
    <m/>
    <m/>
    <n v="0"/>
    <n v="0"/>
    <n v="0"/>
    <m/>
    <m/>
    <m/>
    <m/>
    <m/>
    <m/>
    <m/>
    <m/>
    <m/>
    <m/>
    <m/>
    <m/>
    <m/>
    <m/>
    <m/>
    <n v="0"/>
    <m/>
    <m/>
  </r>
  <r>
    <n v="8471260"/>
    <s v="KUST - Student Life"/>
    <n v="1"/>
    <n v="428112"/>
    <x v="72"/>
    <s v="000000"/>
    <s v="KUST - General"/>
    <n v="847001"/>
    <x v="1"/>
    <n v="200179"/>
    <s v="847.8471260.1.428112.000000.847001.200179"/>
    <n v="166804.99"/>
    <s v="-"/>
    <m/>
    <m/>
    <s v="-_"/>
    <x v="2"/>
    <x v="1"/>
    <x v="1"/>
    <n v="0"/>
    <m/>
    <m/>
    <n v="0"/>
    <n v="0"/>
    <n v="0"/>
    <m/>
    <m/>
    <m/>
    <m/>
    <m/>
    <m/>
    <m/>
    <m/>
    <m/>
    <m/>
    <m/>
    <m/>
    <m/>
    <m/>
    <m/>
    <n v="0"/>
    <m/>
    <m/>
  </r>
  <r>
    <n v="8471260"/>
    <s v="KUST - Student Life"/>
    <n v="1"/>
    <n v="430230"/>
    <x v="8"/>
    <s v="000000"/>
    <s v="KUST - General"/>
    <n v="847001"/>
    <x v="1"/>
    <n v="200179"/>
    <s v="847.8471260.1.430230.000000.847001.200179"/>
    <n v="5500"/>
    <s v="-"/>
    <m/>
    <m/>
    <s v="-_"/>
    <x v="2"/>
    <x v="1"/>
    <x v="1"/>
    <n v="0"/>
    <m/>
    <m/>
    <n v="0"/>
    <n v="0"/>
    <n v="0"/>
    <m/>
    <m/>
    <m/>
    <m/>
    <m/>
    <m/>
    <m/>
    <m/>
    <m/>
    <m/>
    <m/>
    <m/>
    <m/>
    <m/>
    <m/>
    <n v="0"/>
    <m/>
    <m/>
  </r>
  <r>
    <n v="8471260"/>
    <s v="KUST - Student Life"/>
    <n v="1"/>
    <n v="432120"/>
    <x v="73"/>
    <s v="000000"/>
    <s v="KUST - General"/>
    <n v="847001"/>
    <x v="1"/>
    <n v="200179"/>
    <s v="847.8471260.1.432120.000000.847001.200179"/>
    <n v="118836.36"/>
    <s v="-"/>
    <m/>
    <m/>
    <s v="-_"/>
    <x v="2"/>
    <x v="1"/>
    <x v="1"/>
    <n v="0"/>
    <m/>
    <m/>
    <n v="0"/>
    <n v="0"/>
    <n v="0"/>
    <m/>
    <m/>
    <m/>
    <m/>
    <m/>
    <m/>
    <m/>
    <m/>
    <m/>
    <m/>
    <m/>
    <m/>
    <m/>
    <m/>
    <m/>
    <n v="0"/>
    <m/>
    <m/>
  </r>
  <r>
    <n v="8471220"/>
    <s v="KUST - Registrar"/>
    <n v="1"/>
    <n v="425510"/>
    <x v="23"/>
    <s v="000000"/>
    <s v="KUST - General"/>
    <n v="847001"/>
    <x v="1"/>
    <n v="200179"/>
    <s v="847.8471220.1.425510.000000.847001.200179"/>
    <n v="0"/>
    <n v="2200"/>
    <m/>
    <s v="425510.Conferences, seminars and exhibitions and other events: - Local Events-Events-Number of Events"/>
    <s v="Number of Events"/>
    <x v="11"/>
    <x v="103"/>
    <x v="409"/>
    <n v="4000"/>
    <s v="Regular operations"/>
    <s v="Recurring"/>
    <n v="3600"/>
    <n v="3200"/>
    <n v="2800"/>
    <s v="Affect student education progression"/>
    <s v="Affect student education progression"/>
    <s v="Affect student education progression"/>
    <n v="4000"/>
    <m/>
    <m/>
    <m/>
    <m/>
    <m/>
    <m/>
    <m/>
    <m/>
    <m/>
    <m/>
    <m/>
    <n v="4000"/>
    <m/>
    <m/>
  </r>
  <r>
    <n v="8471220"/>
    <s v="KUST - Registrar"/>
    <n v="1"/>
    <n v="425741"/>
    <x v="74"/>
    <s v="000000"/>
    <s v="KUST - General"/>
    <n v="847001"/>
    <x v="1"/>
    <n v="200179"/>
    <s v="847.8471220.1.425741.000000.847001.200179"/>
    <n v="40250800"/>
    <n v="80501600"/>
    <m/>
    <s v="425741.Student stipend-Students-No of Students"/>
    <s v="No of Students"/>
    <x v="1"/>
    <x v="210"/>
    <x v="410"/>
    <n v="98652604.176784843"/>
    <s v="Regular operations"/>
    <s v="Recurring"/>
    <n v="88787343.759106368"/>
    <n v="78922083.341427878"/>
    <n v="69056822.923749387"/>
    <s v="Affect student education progression"/>
    <s v="Affect student education progression"/>
    <s v="Affect student education progression"/>
    <n v="6165787.7610490527"/>
    <n v="12331575.522098105"/>
    <n v="12331575.522098105"/>
    <n v="12331575.522098105"/>
    <n v="12331575.522098105"/>
    <m/>
    <m/>
    <m/>
    <n v="12331575.522098105"/>
    <n v="12331575.522098105"/>
    <n v="12331575.522098105"/>
    <n v="6165787.7610490527"/>
    <n v="98652604.176784843"/>
    <m/>
    <s v="increase number of students? Is it the same as planned?"/>
  </r>
  <r>
    <n v="8471220"/>
    <s v="KUST - Registrar"/>
    <n v="1"/>
    <n v="426900"/>
    <x v="50"/>
    <s v="000000"/>
    <s v="KUST - General"/>
    <n v="847001"/>
    <x v="1"/>
    <n v="200179"/>
    <s v="847.8471220.1.426900.000000.847001.200179"/>
    <n v="0"/>
    <n v="11000"/>
    <m/>
    <s v="426900.Postal, courier and other document delivery expenses-Number of Staff-Number"/>
    <s v="Number"/>
    <x v="64"/>
    <x v="168"/>
    <x v="411"/>
    <n v="5190"/>
    <s v="Regular operations"/>
    <s v="Recurring"/>
    <n v="4671"/>
    <n v="4152"/>
    <n v="3632.9999999999995"/>
    <s v="Affect student education progression"/>
    <s v="Affect student education progression"/>
    <s v="Affect student education progression"/>
    <n v="5190"/>
    <m/>
    <m/>
    <m/>
    <m/>
    <m/>
    <m/>
    <m/>
    <m/>
    <m/>
    <m/>
    <m/>
    <n v="5190"/>
    <m/>
    <m/>
  </r>
  <r>
    <n v="8471220"/>
    <s v="KUST - Registrar"/>
    <n v="1"/>
    <n v="435340"/>
    <x v="40"/>
    <s v="000000"/>
    <s v="KUST - General"/>
    <n v="847001"/>
    <x v="1"/>
    <n v="200179"/>
    <s v="847.8471220.1.435340.000000.847001.200179"/>
    <n v="9483734.2200000007"/>
    <n v="9500000"/>
    <m/>
    <s v="435340.Text books and library books-Students-Number of students"/>
    <s v="Number of students"/>
    <x v="1"/>
    <x v="211"/>
    <x v="412"/>
    <n v="11400000"/>
    <s v="Regular operations"/>
    <s v="Recurring"/>
    <n v="10260000"/>
    <n v="9120000"/>
    <n v="7979999.9999999991"/>
    <s v="Affect student education progression"/>
    <s v="Affect student education progression"/>
    <s v="Affect student education progression"/>
    <n v="11400000"/>
    <m/>
    <m/>
    <m/>
    <m/>
    <m/>
    <m/>
    <m/>
    <m/>
    <m/>
    <m/>
    <m/>
    <n v="11400000"/>
    <m/>
    <s v="this is increased with the increase number of students"/>
  </r>
  <r>
    <n v="8471220"/>
    <s v="KUST - Registrar"/>
    <n v="1"/>
    <n v="436110"/>
    <x v="12"/>
    <s v="000000"/>
    <s v="KUST - General"/>
    <n v="847001"/>
    <x v="1"/>
    <n v="200179"/>
    <s v="847.8471220.1.436110.000000.847001.200179"/>
    <n v="21820"/>
    <n v="300000"/>
    <m/>
    <s v="436110.Printing supplies-Number of Student-Number"/>
    <s v="Number"/>
    <x v="1"/>
    <x v="212"/>
    <x v="413"/>
    <n v="361000"/>
    <s v="Regular operations"/>
    <s v="Recurring"/>
    <n v="324900"/>
    <n v="288800"/>
    <n v="252699.99999999997"/>
    <s v="Affect student education progression"/>
    <s v="Affect student education progression"/>
    <s v="Affect student education progression"/>
    <n v="361000"/>
    <m/>
    <m/>
    <m/>
    <m/>
    <m/>
    <m/>
    <m/>
    <m/>
    <m/>
    <m/>
    <m/>
    <n v="361000"/>
    <m/>
    <m/>
  </r>
  <r>
    <n v="8471220"/>
    <s v="KUST - Registrar"/>
    <n v="1"/>
    <n v="436120"/>
    <x v="28"/>
    <s v="000000"/>
    <s v="KUST - General"/>
    <n v="847001"/>
    <x v="1"/>
    <n v="200179"/>
    <s v="847.8471220.1.436120.000000.847001.200179"/>
    <n v="0"/>
    <n v="6000"/>
    <m/>
    <s v="436120.Stationery-Number of Staff-Number"/>
    <s v="Number"/>
    <x v="0"/>
    <x v="187"/>
    <x v="414"/>
    <n v="2400"/>
    <s v="Regular operations"/>
    <s v="Recurring"/>
    <n v="2160"/>
    <n v="1920"/>
    <n v="1680"/>
    <s v="Affect student education progression"/>
    <s v="Affect student education progression"/>
    <s v="Affect student education progression"/>
    <n v="2400"/>
    <m/>
    <m/>
    <m/>
    <m/>
    <m/>
    <m/>
    <m/>
    <m/>
    <m/>
    <m/>
    <m/>
    <n v="2400"/>
    <m/>
    <m/>
  </r>
  <r>
    <n v="8471270"/>
    <s v="KUST - Libraries"/>
    <n v="1"/>
    <n v="425900"/>
    <x v="26"/>
    <s v="000000"/>
    <s v="KUST - General"/>
    <n v="847001"/>
    <x v="1"/>
    <n v="200179"/>
    <s v="847.8471270.1.425900.000000.847001.200179"/>
    <s v="-"/>
    <n v="50000"/>
    <n v="50000"/>
    <s v="425900.Entertainment and hospitality-1. No of events/workshops planned-count"/>
    <s v="Number"/>
    <x v="1"/>
    <x v="27"/>
    <x v="415"/>
    <n v="50000"/>
    <s v="KU Regular operations"/>
    <s v="Recurring"/>
    <n v="45000"/>
    <n v="40000"/>
    <n v="35000"/>
    <s v="It would reduce the awarenewss, library instuction, visibility and marketing of library services among the KU community "/>
    <s v="It would reduce the awarenewss of library services among the KU community"/>
    <s v="It would reduce the awarenewss of library services among the KU community"/>
    <n v="15000"/>
    <m/>
    <m/>
    <m/>
    <n v="15000"/>
    <m/>
    <m/>
    <m/>
    <n v="20000"/>
    <m/>
    <m/>
    <m/>
    <n v="50000"/>
    <s v="Widen access to students with outstanding academic potential"/>
    <m/>
  </r>
  <r>
    <n v="8471270"/>
    <s v="KUST - Libraries"/>
    <n v="1"/>
    <n v="428090"/>
    <x v="7"/>
    <s v="000000"/>
    <s v="KUST - General"/>
    <n v="847001"/>
    <x v="1"/>
    <n v="200179"/>
    <s v="847.8471270.1.428090.000000.847001.200179"/>
    <s v="-"/>
    <n v="300000"/>
    <n v="300000"/>
    <s v="428090.Business Travel - Combined expenses-Number of Staff-Number"/>
    <s v="Number"/>
    <x v="16"/>
    <x v="213"/>
    <x v="416"/>
    <n v="300000"/>
    <s v="KU Regular operations"/>
    <s v="Recurring"/>
    <n v="270000"/>
    <n v="240000"/>
    <n v="210000"/>
    <s v="Less participation in professional development programes will effect the chance for improving library staff skills and career path."/>
    <s v="Lesser participation in professional development programes will effect the chance for improving library staff skills and career path."/>
    <s v="Severly reduced participation in professional development programes will effect the chance for improving library staff skills and career path."/>
    <m/>
    <n v="100000"/>
    <m/>
    <m/>
    <m/>
    <n v="100000"/>
    <m/>
    <m/>
    <n v="100000"/>
    <m/>
    <m/>
    <m/>
    <n v="300000"/>
    <s v="Design and implement professional development programs for researchers, faculty, and  staff to contribute to the university strategic plan"/>
    <m/>
  </r>
  <r>
    <n v="8471270"/>
    <s v="KUST - Libraries"/>
    <n v="1"/>
    <n v="435330"/>
    <x v="54"/>
    <s v="000000"/>
    <s v="KUST - General"/>
    <n v="847001"/>
    <x v="1"/>
    <n v="200179"/>
    <s v="847.8471270.1.435330.000000.847001.200179"/>
    <n v="13236762.58"/>
    <n v="15199430"/>
    <n v="15199430"/>
    <s v="435330.Library books-Number of Students-Number"/>
    <s v="Number"/>
    <x v="41"/>
    <x v="214"/>
    <x v="1"/>
    <n v="15564000"/>
    <s v="KU Regular operations"/>
    <s v="Recurring"/>
    <n v="14007600"/>
    <n v="12451200"/>
    <n v="10894800"/>
    <s v="These resources are vital for the faculty, researchers and students to accomplish their accademic and research goals. Cutting the budget for these resources would require the library to cancel database subscriptions. This would impact research output, University's academic  ranking and accreditaion for academic programs"/>
    <s v="These resources are vital for the faculty, researchers and students to accomplish their accademic and research goals. Cutting the budget for these resources would require the library to cancel database subscriptions. This would impact research output, University's academic  ranking and accreditaion for academic programs"/>
    <s v="These resources are vital for the faculty, researchers and students to accomplish their accademic and research goals. Cutting the budget for these resources would require the library to cancel database subscriptions. This would impact research output, University's academic  ranking and accreditaion for academic programs"/>
    <n v="10000000"/>
    <m/>
    <m/>
    <m/>
    <m/>
    <n v="5564000"/>
    <m/>
    <m/>
    <m/>
    <m/>
    <m/>
    <m/>
    <n v="15564000"/>
    <s v="Widen access to students with outstanding academic potential"/>
    <m/>
  </r>
  <r>
    <n v="8471270"/>
    <s v="KUST - Libraries"/>
    <n v="1"/>
    <n v="436110"/>
    <x v="12"/>
    <s v="000000"/>
    <s v="KUST - General"/>
    <n v="847001"/>
    <x v="1"/>
    <n v="200179"/>
    <s v="847.8471270.1.436110.000000.847001.200179"/>
    <s v="-"/>
    <n v="50000"/>
    <n v="50000"/>
    <s v="436110.Printing supplies-Number of Student-Number"/>
    <s v="Number"/>
    <x v="41"/>
    <x v="215"/>
    <x v="1"/>
    <n v="48000"/>
    <m/>
    <m/>
    <n v="43200"/>
    <n v="38400"/>
    <n v="33600"/>
    <s v="It would affect studets to relay on the library printers for their academic work "/>
    <s v="It would affect studets to relay on the library printers for their academic work "/>
    <s v="It would affect studets to relay on the library printers for their academic work "/>
    <n v="24000"/>
    <m/>
    <m/>
    <m/>
    <m/>
    <n v="24000"/>
    <m/>
    <m/>
    <m/>
    <m/>
    <m/>
    <m/>
    <n v="48000"/>
    <s v="Widen access to students with outstanding academic potential"/>
    <m/>
  </r>
  <r>
    <n v="8471230"/>
    <s v="KUST - Student Enrollment"/>
    <n v="1"/>
    <n v="425742"/>
    <x v="44"/>
    <s v="000000"/>
    <s v="KUST - General"/>
    <n v="847001"/>
    <x v="1"/>
    <n v="200179"/>
    <s v="847.8471230.1.425742.000000.847001.200179"/>
    <m/>
    <m/>
    <m/>
    <s v="425510.Conferences, seminars and exhibitions and other events: - Local Events-Conferences-Number of Conferences"/>
    <s v="Number of Conferences"/>
    <x v="21"/>
    <x v="27"/>
    <x v="417"/>
    <n v="550000"/>
    <s v="KU Regular operations"/>
    <s v="Recurring"/>
    <n v="495000"/>
    <n v="440000"/>
    <n v="385000"/>
    <s v=" Reducing number of leads. ( Prospective Students)"/>
    <s v=" Reducing number of leads. ( Prospective Students)"/>
    <s v=" Reducing number of leads. ( Prospective Students)"/>
    <n v="50000"/>
    <n v="50000"/>
    <n v="50000"/>
    <n v="50000"/>
    <n v="50000"/>
    <n v="50000"/>
    <m/>
    <n v="50000"/>
    <n v="50000"/>
    <n v="50000"/>
    <n v="50000"/>
    <n v="50000"/>
    <n v="550000"/>
    <s v="Develop a multidimensional program to attract and retain diverse outstanding students"/>
    <s v="new requests"/>
  </r>
  <r>
    <n v="8471230"/>
    <s v="KUST - Student Enrollment"/>
    <n v="1"/>
    <n v="425742"/>
    <x v="44"/>
    <s v="000000"/>
    <s v="KUST - General"/>
    <n v="847001"/>
    <x v="1"/>
    <n v="200179"/>
    <s v="847.8471230.1.425742.000000.847001.200179"/>
    <m/>
    <m/>
    <m/>
    <s v="425550.Conferences, seminars and exhibitions and other events: - Overseas event-Conferences-Number of Conferences"/>
    <s v="Number of Conferences"/>
    <x v="14"/>
    <x v="27"/>
    <x v="418"/>
    <n v="500000"/>
    <s v="KU Regular operations"/>
    <s v="Recurring"/>
    <n v="450000"/>
    <n v="400000"/>
    <n v="350000"/>
    <s v=" Reducing number of leads. ( Prospective Interntional Students) "/>
    <s v=" Reducing number of leads. ( Prospective Interntional Students) "/>
    <s v=" Reducing number of leads. ( Prospective Interntional Students) "/>
    <n v="80000"/>
    <n v="80000"/>
    <n v="80000"/>
    <m/>
    <m/>
    <m/>
    <m/>
    <m/>
    <m/>
    <n v="100000"/>
    <n v="80000"/>
    <n v="80000"/>
    <n v="500000"/>
    <s v="Develop a multidimensional program to attract and retain diverse outstanding students"/>
    <s v="new requests"/>
  </r>
  <r>
    <n v="8471230"/>
    <s v="KUST - Student Enrollment"/>
    <n v="1"/>
    <n v="425742"/>
    <x v="44"/>
    <s v="000000"/>
    <s v="KUST - General"/>
    <n v="847001"/>
    <x v="1"/>
    <n v="200179"/>
    <s v="847.8471230.1.425742.000000.847001.200179"/>
    <m/>
    <m/>
    <m/>
    <s v="428640.Events - Awards, prizes &amp; gifts-Number of gifts-count"/>
    <s v="count"/>
    <x v="65"/>
    <x v="216"/>
    <x v="419"/>
    <n v="300000"/>
    <s v="KU Regular operations"/>
    <s v="Recurring"/>
    <n v="270000"/>
    <n v="240000"/>
    <n v="210000"/>
    <s v="Low Impact"/>
    <s v="Moderate Impact"/>
    <s v="Moderate Impact"/>
    <m/>
    <m/>
    <m/>
    <m/>
    <m/>
    <n v="150000"/>
    <m/>
    <m/>
    <n v="150000"/>
    <m/>
    <m/>
    <m/>
    <n v="300000"/>
    <s v="Develop a multidimensional program to attract and retain diverse outstanding students"/>
    <s v="new requests"/>
  </r>
  <r>
    <n v="8471230"/>
    <s v="KUST - Student Enrollment"/>
    <n v="1"/>
    <n v="425742"/>
    <x v="44"/>
    <s v="000000"/>
    <s v="KUST - General"/>
    <n v="847001"/>
    <x v="1"/>
    <n v="200179"/>
    <s v="847.8471230.1.425742.000000.847001.200179"/>
    <n v="967573.09"/>
    <n v="1647000"/>
    <m/>
    <s v="425742.Enrollment expenses-Number of Students-Number"/>
    <s v="Number"/>
    <x v="26"/>
    <x v="94"/>
    <x v="420"/>
    <n v="630000"/>
    <s v="KU Regular operations"/>
    <s v="Recurring"/>
    <n v="567000"/>
    <n v="504000"/>
    <n v="441000"/>
    <s v="Moderate Impact"/>
    <s v="Moderate Impact"/>
    <s v="High Impact"/>
    <m/>
    <m/>
    <m/>
    <m/>
    <m/>
    <n v="90000"/>
    <n v="90000"/>
    <n v="90000"/>
    <n v="90000"/>
    <n v="90000"/>
    <n v="90000"/>
    <n v="90000"/>
    <n v="630000"/>
    <s v="Develop a multidimensional program to attract and retain diverse outstanding students"/>
    <m/>
  </r>
  <r>
    <n v="8471230"/>
    <s v="KUST - Student Enrollment"/>
    <n v="1"/>
    <n v="426610"/>
    <x v="4"/>
    <s v="000000"/>
    <s v="KUST - General"/>
    <n v="847001"/>
    <x v="1"/>
    <n v="200179"/>
    <s v="847.8471230.1.426610.000000.847001.200179"/>
    <n v="95604.5"/>
    <n v="120000"/>
    <m/>
    <s v="426610.Computer software licenses-Software License Renewal-number of licenses-Number"/>
    <s v="Number"/>
    <x v="50"/>
    <x v="171"/>
    <x v="421"/>
    <n v="100000"/>
    <s v="KU Regular operations"/>
    <s v="Recurring"/>
    <n v="90000"/>
    <n v="80000"/>
    <n v="70000"/>
    <s v="High Impact toward quality of students"/>
    <s v="High Impact toward qualified students"/>
    <s v="High Impact toward qualified students"/>
    <m/>
    <m/>
    <m/>
    <n v="20000"/>
    <m/>
    <m/>
    <m/>
    <n v="40000"/>
    <m/>
    <m/>
    <m/>
    <n v="40000"/>
    <n v="100000"/>
    <s v="Develop a multidimensional program to attract and retain diverse outstanding students"/>
    <m/>
  </r>
  <r>
    <n v="8471280"/>
    <s v="KUST - Center for Teaching &amp; Learning"/>
    <n v="1"/>
    <n v="425100"/>
    <x v="75"/>
    <s v="000000"/>
    <s v="KUST - General"/>
    <n v="847001"/>
    <x v="1"/>
    <n v="200179"/>
    <s v="847.8471280.1.425100.000000.847001.200179"/>
    <s v="-"/>
    <n v="2500"/>
    <n v="2500"/>
    <s v="425100.Advertising Services (General)-Branding -count"/>
    <s v="count"/>
    <x v="28"/>
    <x v="203"/>
    <x v="422"/>
    <n v="3000"/>
    <s v="KU Regular operations"/>
    <s v="Recurring"/>
    <n v="2700"/>
    <n v="2400"/>
    <n v="2100"/>
    <n v="2250"/>
    <n v="2000"/>
    <n v="1750"/>
    <n v="250"/>
    <n v="250"/>
    <n v="250"/>
    <n v="250"/>
    <n v="250"/>
    <n v="250"/>
    <n v="250"/>
    <n v="250"/>
    <n v="250"/>
    <n v="250"/>
    <n v="250"/>
    <n v="250"/>
    <n v="3000"/>
    <s v="Widen access to students with outstanding academic potential"/>
    <m/>
  </r>
  <r>
    <n v="8471280"/>
    <s v="KUST - Center for Teaching &amp; Learning"/>
    <n v="1"/>
    <n v="425510"/>
    <x v="23"/>
    <s v="000000"/>
    <s v="KUST - General"/>
    <n v="847001"/>
    <x v="1"/>
    <n v="200179"/>
    <s v="847.8471280.1.425510.000000.847001.200179"/>
    <n v="14261"/>
    <n v="30000"/>
    <n v="30000"/>
    <s v="425510.Conferences, seminars and exhibitions and other events: - Local Events-Events-Number of Events"/>
    <s v="Number of Events"/>
    <x v="18"/>
    <x v="75"/>
    <x v="423"/>
    <n v="36000"/>
    <s v="KU Regular operations"/>
    <s v="Recurring"/>
    <n v="32400"/>
    <n v="28800"/>
    <n v="25200"/>
    <n v="27000"/>
    <n v="24000"/>
    <n v="21000"/>
    <n v="9000"/>
    <m/>
    <m/>
    <n v="9000"/>
    <m/>
    <m/>
    <m/>
    <n v="9000"/>
    <m/>
    <m/>
    <n v="9000"/>
    <m/>
    <n v="36000"/>
    <s v="Design and implement professional development programs for researchers, faculty, and  staff to contribute to the university strategic plan"/>
    <m/>
  </r>
  <r>
    <n v="8471280"/>
    <s v="KUST - Center for Teaching &amp; Learning"/>
    <n v="1"/>
    <n v="425550"/>
    <x v="24"/>
    <s v="000000"/>
    <s v="KUST - General"/>
    <n v="847001"/>
    <x v="1"/>
    <n v="200179"/>
    <s v="847.8471280.1.425550.000000.847001.200179"/>
    <n v="7346"/>
    <n v="60000"/>
    <n v="60000"/>
    <s v="425550.Conferences, seminars and exhibitions and other events: - Overseas event-Conferences-Number of Conferences"/>
    <s v="Number of Conferences"/>
    <x v="17"/>
    <x v="93"/>
    <x v="424"/>
    <n v="72000"/>
    <s v="KU Regular operations"/>
    <s v="Recurring"/>
    <n v="64800"/>
    <n v="57600"/>
    <n v="50400"/>
    <n v="54000"/>
    <n v="48000"/>
    <n v="42000"/>
    <m/>
    <n v="18000"/>
    <m/>
    <m/>
    <n v="18000"/>
    <m/>
    <m/>
    <m/>
    <n v="18000"/>
    <m/>
    <m/>
    <n v="18000"/>
    <n v="72000"/>
    <s v="Build partnerships with local and international universities"/>
    <m/>
  </r>
  <r>
    <n v="8471280"/>
    <s v="KUST - Center for Teaching &amp; Learning"/>
    <n v="1"/>
    <n v="425710"/>
    <x v="76"/>
    <s v="000000"/>
    <s v="KUST - General"/>
    <n v="847001"/>
    <x v="1"/>
    <n v="200179"/>
    <s v="847.8471280.1.425710.000000.847001.200179"/>
    <s v="-"/>
    <n v="300000"/>
    <n v="300000"/>
    <s v="425710.Higher education and specialisation incentives-number of faculty-number"/>
    <s v="number"/>
    <x v="11"/>
    <x v="217"/>
    <x v="425"/>
    <n v="360000"/>
    <s v="KU Regular operations"/>
    <s v="Recurring"/>
    <n v="324000"/>
    <n v="288000"/>
    <n v="251999.99999999997"/>
    <n v="270000"/>
    <n v="240000"/>
    <n v="210000"/>
    <n v="120000"/>
    <m/>
    <m/>
    <m/>
    <m/>
    <n v="120000"/>
    <m/>
    <m/>
    <m/>
    <m/>
    <m/>
    <n v="120000"/>
    <n v="360000"/>
    <s v="Develop a new learning outcomes assessment framework at the course, programs, and institutional levels"/>
    <m/>
  </r>
  <r>
    <n v="8471280"/>
    <s v="KUST - Center for Teaching &amp; Learning"/>
    <n v="1"/>
    <n v="425760"/>
    <x v="29"/>
    <s v="000000"/>
    <s v="KUST - General"/>
    <n v="847001"/>
    <x v="1"/>
    <n v="200179"/>
    <s v="847.8471280.1.425760.000000.847001.200179"/>
    <s v="-"/>
    <n v="30000"/>
    <n v="30000"/>
    <s v="425760.Student activities &amp; field trip expenses-Events-No of Events"/>
    <s v="No of Events"/>
    <x v="11"/>
    <x v="93"/>
    <x v="426"/>
    <n v="36000"/>
    <s v="KU Regular operations"/>
    <s v="Recurring"/>
    <n v="32400"/>
    <n v="28800"/>
    <n v="25200"/>
    <n v="27000"/>
    <n v="24000"/>
    <n v="21000"/>
    <m/>
    <n v="9000"/>
    <m/>
    <n v="9000"/>
    <m/>
    <m/>
    <n v="9000"/>
    <m/>
    <m/>
    <n v="9000"/>
    <m/>
    <m/>
    <n v="36000"/>
    <s v="Develop a life-long culture of community service beyond the classroom "/>
    <m/>
  </r>
  <r>
    <n v="8471280"/>
    <s v="KUST - Center for Teaching &amp; Learning"/>
    <n v="1"/>
    <n v="425770"/>
    <x v="31"/>
    <s v="000000"/>
    <s v="KUST - General"/>
    <n v="847001"/>
    <x v="1"/>
    <n v="200179"/>
    <s v="847.8471280.1.425770.000000.847001.200179"/>
    <n v="30906.93"/>
    <n v="200000"/>
    <n v="200000"/>
    <s v="425770.Academic Missions - Combined expenses-Number of Conference-Number"/>
    <s v="Number"/>
    <x v="17"/>
    <x v="87"/>
    <x v="427"/>
    <n v="240000"/>
    <s v="KU Regular operations"/>
    <s v="Recurring"/>
    <n v="216000"/>
    <n v="192000"/>
    <n v="168000"/>
    <n v="180000"/>
    <n v="160000"/>
    <n v="140000"/>
    <n v="40000"/>
    <m/>
    <n v="40000"/>
    <m/>
    <m/>
    <n v="40000"/>
    <m/>
    <n v="40000"/>
    <m/>
    <n v="40000"/>
    <m/>
    <n v="40000"/>
    <n v="240000"/>
    <s v="Attract and organize international conferences and summits"/>
    <m/>
  </r>
  <r>
    <n v="8471280"/>
    <s v="KUST - Center for Teaching &amp; Learning"/>
    <n v="1"/>
    <n v="426610"/>
    <x v="4"/>
    <s v="000000"/>
    <s v="KUST - General"/>
    <n v="847001"/>
    <x v="1"/>
    <n v="200179"/>
    <s v="847.8471280.1.426610.000000.847001.200179"/>
    <n v="117689.83"/>
    <n v="321000"/>
    <n v="321000"/>
    <s v="426610.Computer software licenses-Software License Renewal-number of licenses-Number"/>
    <s v="Number"/>
    <x v="20"/>
    <x v="218"/>
    <x v="428"/>
    <n v="1585200"/>
    <s v="KU Regular operations"/>
    <s v="Recurring"/>
    <n v="1426680"/>
    <n v="1268160"/>
    <n v="1109640"/>
    <n v="324000"/>
    <n v="288000"/>
    <n v="252000"/>
    <n v="96300"/>
    <n v="1200000"/>
    <m/>
    <n v="96300"/>
    <m/>
    <m/>
    <n v="96300"/>
    <m/>
    <m/>
    <n v="96300"/>
    <m/>
    <m/>
    <n v="1585200"/>
    <s v="Utilize state-of-the-art technologies and facilities in an optimal and efficient manner"/>
    <s v="tools and software requested from IT"/>
  </r>
  <r>
    <n v="8471280"/>
    <s v="KUST - Center for Teaching &amp; Learning"/>
    <n v="1"/>
    <n v="428640"/>
    <x v="27"/>
    <s v="000000"/>
    <s v="KUST - General"/>
    <n v="847001"/>
    <x v="1"/>
    <n v="200179"/>
    <s v="847.8471280.1.428640.000000.847001.200179"/>
    <n v="866.25"/>
    <n v="15000"/>
    <n v="15000"/>
    <s v="428640.Events - Awards, prizes &amp; gifts-Number of prizes-count"/>
    <s v="count"/>
    <x v="3"/>
    <x v="74"/>
    <x v="429"/>
    <n v="18000"/>
    <s v="KU Regular operations"/>
    <s v="Recurring"/>
    <n v="16200"/>
    <n v="14400"/>
    <n v="12600"/>
    <n v="13500"/>
    <n v="12000"/>
    <n v="10500"/>
    <n v="1800"/>
    <n v="1800"/>
    <n v="1800"/>
    <n v="1800"/>
    <n v="1800"/>
    <m/>
    <n v="1800"/>
    <n v="1800"/>
    <n v="1800"/>
    <n v="1800"/>
    <n v="1800"/>
    <m/>
    <n v="18000"/>
    <s v="Enhance the communication plan and outreach activities"/>
    <m/>
  </r>
  <r>
    <n v="8471280"/>
    <s v="KUST - Center for Teaching &amp; Learning"/>
    <n v="1"/>
    <n v="432170"/>
    <x v="77"/>
    <s v="000000"/>
    <s v="KUST - General"/>
    <n v="847001"/>
    <x v="1"/>
    <n v="200179"/>
    <s v="847.8471280.1.432170.000000.847001.200179"/>
    <s v="-"/>
    <n v="200000"/>
    <n v="200000"/>
    <s v="432170.Bldg decoration &amp; miNumberr improvements-Number of Buildings-Number"/>
    <s v="Number"/>
    <x v="9"/>
    <x v="124"/>
    <x v="430"/>
    <n v="240000"/>
    <s v="KU Regular operations"/>
    <s v="Recurring"/>
    <n v="216000"/>
    <n v="192000"/>
    <n v="168000"/>
    <n v="202500"/>
    <n v="180000"/>
    <n v="157500"/>
    <n v="60000"/>
    <m/>
    <m/>
    <n v="60000"/>
    <m/>
    <m/>
    <m/>
    <n v="60000"/>
    <n v="60000"/>
    <m/>
    <m/>
    <m/>
    <n v="240000"/>
    <s v="Utilize state-of-the-art technologies and facilities in an optimal and efficient manner"/>
    <m/>
  </r>
  <r>
    <n v="8471280"/>
    <s v="KUST - Center for Teaching &amp; Learning"/>
    <n v="1"/>
    <n v="435340"/>
    <x v="40"/>
    <s v="000000"/>
    <s v="KUST - General"/>
    <n v="847001"/>
    <x v="1"/>
    <n v="200179"/>
    <s v="847.8471280.1.435340.000000.847001.200179"/>
    <s v="-"/>
    <n v="10000"/>
    <n v="10000"/>
    <s v="435340.Text books and library books-Design cost of the book-Number of pages"/>
    <s v="Number of pages"/>
    <x v="23"/>
    <x v="69"/>
    <x v="431"/>
    <n v="12000"/>
    <s v="KU Regular operations"/>
    <s v="Recurring"/>
    <n v="10800"/>
    <n v="9600"/>
    <n v="8400"/>
    <n v="9000"/>
    <n v="8000"/>
    <n v="7000"/>
    <n v="1000"/>
    <n v="1000"/>
    <n v="1000"/>
    <n v="1000"/>
    <n v="1000"/>
    <n v="1000"/>
    <n v="1000"/>
    <n v="1000"/>
    <n v="1000"/>
    <n v="1000"/>
    <n v="1000"/>
    <n v="1000"/>
    <n v="12000"/>
    <s v="Establish a mobility program for students, faculty, researchers and staff"/>
    <m/>
  </r>
  <r>
    <n v="8471280"/>
    <s v="KUST - Center for Teaching &amp; Learning"/>
    <n v="1"/>
    <n v="435530"/>
    <x v="55"/>
    <s v="000000"/>
    <s v="KUST - General"/>
    <n v="847001"/>
    <x v="1"/>
    <n v="200179"/>
    <s v="847.8471280.1.435530.000000.847001.200179"/>
    <s v="-"/>
    <n v="5000"/>
    <n v="5000"/>
    <s v="435530.School consumables, Numbert specifically mentioned elsewhere-Number of Faculty-Number"/>
    <s v="Number"/>
    <x v="22"/>
    <x v="219"/>
    <x v="432"/>
    <n v="6000"/>
    <s v="KU Regular operations"/>
    <s v="Recurring"/>
    <n v="5400"/>
    <n v="4800"/>
    <n v="4200"/>
    <n v="4500"/>
    <n v="4000"/>
    <n v="3500"/>
    <m/>
    <n v="2000"/>
    <m/>
    <m/>
    <n v="2000"/>
    <m/>
    <m/>
    <m/>
    <m/>
    <n v="2000"/>
    <m/>
    <m/>
    <n v="6000"/>
    <s v="Ensure the university sustainability "/>
    <m/>
  </r>
  <r>
    <n v="8471280"/>
    <s v="KUST - Center for Teaching &amp; Learning"/>
    <n v="1"/>
    <n v="492316"/>
    <x v="19"/>
    <s v="000000"/>
    <s v="KUST - General"/>
    <n v="847001"/>
    <x v="2"/>
    <n v="300180"/>
    <s v="847.8471280.1.492316.000000.847001.300180"/>
    <s v="-"/>
    <n v="6879"/>
    <n v="6879"/>
    <s v="492316.Laboratory equipment-Number of Students-Number"/>
    <s v="Number"/>
    <x v="3"/>
    <x v="220"/>
    <x v="433"/>
    <n v="8250"/>
    <s v="KU Regular operations"/>
    <s v="Recurring"/>
    <n v="7425"/>
    <n v="6600"/>
    <n v="5775"/>
    <n v="4500"/>
    <n v="4000"/>
    <n v="3500"/>
    <n v="1375"/>
    <m/>
    <n v="1375"/>
    <m/>
    <n v="1375"/>
    <m/>
    <m/>
    <m/>
    <m/>
    <n v="1375"/>
    <n v="1375"/>
    <n v="1375"/>
    <n v="8250"/>
    <s v="Utilize state-of-the-art technologies and facilities in an optimal and efficient manner"/>
    <m/>
  </r>
  <r>
    <n v="8471280"/>
    <s v="KUST - Center for Teaching &amp; Learning"/>
    <n v="1"/>
    <n v="428090"/>
    <x v="7"/>
    <s v="000000"/>
    <s v="KUST - General"/>
    <n v="847001"/>
    <x v="1"/>
    <n v="200179"/>
    <s v="847.8471280.1.428090.000000.847001.200179"/>
    <n v="2200"/>
    <m/>
    <m/>
    <s v="428090.Business Travel - Combined expenses-Number of Staff-Number"/>
    <s v="Number"/>
    <x v="9"/>
    <x v="221"/>
    <x v="434"/>
    <n v="2640"/>
    <s v="KU Regular operations"/>
    <s v="Recurring"/>
    <n v="2376"/>
    <n v="2112"/>
    <n v="1847.9999999999998"/>
    <n v="27000"/>
    <n v="24000"/>
    <n v="21000"/>
    <n v="880"/>
    <m/>
    <m/>
    <n v="880"/>
    <m/>
    <m/>
    <m/>
    <m/>
    <n v="880"/>
    <m/>
    <m/>
    <m/>
    <n v="2640"/>
    <s v="Align academic programs with the local and global labor market needs"/>
    <s v="new requests"/>
  </r>
  <r>
    <n v="8471250"/>
    <s v="KUST - Career Services"/>
    <n v="1"/>
    <n v="425510"/>
    <x v="23"/>
    <s v="000000"/>
    <s v="KUST - General"/>
    <n v="847001"/>
    <x v="1"/>
    <n v="200179"/>
    <s v="847.8471250.1.425510.000000.847001.200179"/>
    <n v="255064.92"/>
    <n v="317500"/>
    <n v="317500"/>
    <s v="425510.Conferences, seminars and exhibitions and other events: - Local Events-Number of Event-Number"/>
    <s v="Number"/>
    <x v="7"/>
    <x v="77"/>
    <x v="435"/>
    <n v="1000000"/>
    <s v="KU Strategic New Initiative"/>
    <m/>
    <n v="900000"/>
    <n v="800000"/>
    <n v="700000"/>
    <s v="Venue setup and planning will be affected- might not be able to meet all KU, employer, alumni and students Expectations and requirements"/>
    <s v="Will not meet our target of 65 employers, so number of employers participating will decrease"/>
    <s v="Will not meet our target of 65 employers, so number of employers participating will decrease"/>
    <m/>
    <n v="80000"/>
    <m/>
    <m/>
    <m/>
    <m/>
    <m/>
    <n v="70000"/>
    <n v="300000"/>
    <n v="300000"/>
    <n v="250000"/>
    <m/>
    <n v="1000000"/>
    <s v="Develop a career guidance system"/>
    <s v="new events ( alumni reunion 300 k in hotel)  waiting for supporting document"/>
  </r>
  <r>
    <n v="8471250"/>
    <s v="KUST - Career Services"/>
    <n v="1"/>
    <n v="425720"/>
    <x v="38"/>
    <s v="000000"/>
    <s v="KUST - General"/>
    <n v="847001"/>
    <x v="1"/>
    <n v="200179"/>
    <s v="847.8471250.1.425720.000000.847001.200179"/>
    <n v="370000"/>
    <n v="550000"/>
    <n v="550000"/>
    <s v="425720.Education-Outsourced training service-Activities-No of Activities"/>
    <s v="No of Activities"/>
    <x v="11"/>
    <x v="222"/>
    <x v="436"/>
    <n v="560000"/>
    <s v="KU Strategic New Initiative"/>
    <m/>
    <n v="504000"/>
    <n v="448000"/>
    <n v="392000"/>
    <s v="Quality of courses content and development will be affected"/>
    <s v="Quality of courses content and development will be affected"/>
    <s v="Might not be able to meet the expectation of the courses "/>
    <m/>
    <n v="560000"/>
    <m/>
    <m/>
    <m/>
    <m/>
    <m/>
    <m/>
    <m/>
    <m/>
    <m/>
    <m/>
    <n v="560000"/>
    <s v="Develop a career guidance system"/>
    <m/>
  </r>
  <r>
    <n v="8471250"/>
    <s v="KUST - Career Services"/>
    <n v="1"/>
    <n v="425762"/>
    <x v="37"/>
    <s v="000000"/>
    <s v="KUST - General"/>
    <n v="847001"/>
    <x v="1"/>
    <n v="200179"/>
    <s v="847.8471250.1.425762.000000.847001.200179"/>
    <n v="0"/>
    <n v="520000"/>
    <n v="520000"/>
    <s v="425762.Student Internship-Number of Students UG-Month"/>
    <s v="Month"/>
    <x v="51"/>
    <x v="223"/>
    <x v="437"/>
    <n v="2144000"/>
    <s v="KU Strategic New Initiative"/>
    <m/>
    <n v="1929600"/>
    <n v="1715200"/>
    <n v="1500800"/>
    <s v="Number of students on international internship will be impacted"/>
    <s v="Number of students on international internship will be impacted"/>
    <s v="Number of students on international internship will be impacted"/>
    <m/>
    <n v="2144000"/>
    <m/>
    <m/>
    <m/>
    <m/>
    <m/>
    <m/>
    <m/>
    <m/>
    <m/>
    <m/>
    <n v="2144000"/>
    <s v="Develop holistic internship programs "/>
    <s v="international internship and exchange program related to strategic project"/>
  </r>
  <r>
    <n v="8471250"/>
    <s v="KUST - Career Services"/>
    <n v="1"/>
    <n v="425900"/>
    <x v="26"/>
    <s v="000000"/>
    <s v="KUST - General"/>
    <n v="847001"/>
    <x v="1"/>
    <n v="200179"/>
    <s v="847.8471250.1.425900.000000.847001.200179"/>
    <s v="-"/>
    <n v="51000"/>
    <n v="51000"/>
    <s v="425900.Entertainment and hospitality-1. No of events/workshops planned-count"/>
    <s v="count"/>
    <x v="7"/>
    <x v="62"/>
    <x v="438"/>
    <n v="75000"/>
    <s v="KU Regular operations"/>
    <m/>
    <n v="67500"/>
    <n v="60000"/>
    <n v="52500"/>
    <s v="Lower the standard of catering provided"/>
    <s v="Lower the standard of catering provided"/>
    <s v="Will affect number of invited guests - selected menu will be affected"/>
    <m/>
    <n v="15000"/>
    <m/>
    <m/>
    <m/>
    <m/>
    <m/>
    <n v="10000"/>
    <n v="15000"/>
    <n v="20000"/>
    <n v="15000"/>
    <m/>
    <n v="75000"/>
    <m/>
    <m/>
  </r>
  <r>
    <n v="8471250"/>
    <s v="KUST - Career Services"/>
    <n v="1"/>
    <n v="426610"/>
    <x v="4"/>
    <s v="000000"/>
    <s v="KUST - General"/>
    <n v="847001"/>
    <x v="1"/>
    <n v="200179"/>
    <s v="847.8471250.1.426610.000000.847001.200179"/>
    <n v="0"/>
    <n v="60608"/>
    <n v="60605"/>
    <s v="426610.Computer software licenses-Software License Renewal-number of licenses-Number"/>
    <s v="Number"/>
    <x v="9"/>
    <x v="224"/>
    <x v="439"/>
    <n v="373152"/>
    <s v="KU Regular operations"/>
    <m/>
    <n v="335836.8"/>
    <n v="298521.60000000003"/>
    <n v="261206.39999999999"/>
    <s v="Systems cost should be paid in full"/>
    <s v="Systems cost should be paid in full"/>
    <s v="Systems cost should be paid in full"/>
    <m/>
    <n v="373152"/>
    <m/>
    <m/>
    <m/>
    <m/>
    <m/>
    <m/>
    <m/>
    <m/>
    <m/>
    <m/>
    <n v="373152"/>
    <m/>
    <s v="ADDA IT "/>
  </r>
  <r>
    <n v="8471250"/>
    <s v="KUST - Career Services"/>
    <n v="1"/>
    <n v="428090"/>
    <x v="7"/>
    <s v="000000"/>
    <s v="KUST - General"/>
    <n v="847001"/>
    <x v="1"/>
    <n v="200179"/>
    <s v="847.8471250.1.428090.000000.847001.200179"/>
    <n v="0"/>
    <n v="10000"/>
    <n v="10000"/>
    <s v="428090.Business Travel - Combined expenses-Number of Staff-Number"/>
    <s v="Number"/>
    <x v="2"/>
    <x v="1"/>
    <x v="1"/>
    <n v="0"/>
    <m/>
    <m/>
    <n v="0"/>
    <n v="0"/>
    <n v="0"/>
    <m/>
    <m/>
    <m/>
    <m/>
    <m/>
    <m/>
    <m/>
    <m/>
    <m/>
    <m/>
    <m/>
    <m/>
    <m/>
    <m/>
    <m/>
    <n v="0"/>
    <m/>
    <m/>
  </r>
  <r>
    <n v="8471250"/>
    <s v="KUST - Career Services"/>
    <n v="1"/>
    <n v="428640"/>
    <x v="27"/>
    <s v="000000"/>
    <s v="KUST - General"/>
    <n v="847001"/>
    <x v="1"/>
    <n v="200179"/>
    <s v="847.8471250.1.428640.000000.847001.200179"/>
    <s v="-"/>
    <n v="46500"/>
    <n v="46500"/>
    <s v="428640.Events - Awards, prizes &amp; gifts-Number of gifts-count"/>
    <s v="count"/>
    <x v="66"/>
    <x v="206"/>
    <x v="440"/>
    <n v="80000"/>
    <s v="KU Regular operations"/>
    <m/>
    <n v="72000"/>
    <n v="64000"/>
    <n v="56000"/>
    <s v="Quality of the gifts will be impacted"/>
    <s v="Quality of the gifts will be impacted - not all events/employers will be covered"/>
    <s v="Quality and quantity will be impacted"/>
    <m/>
    <n v="15000"/>
    <m/>
    <m/>
    <m/>
    <m/>
    <m/>
    <n v="5000"/>
    <n v="40000"/>
    <n v="10000"/>
    <n v="10000"/>
    <m/>
    <n v="80000"/>
    <m/>
    <s v="quality of gifts"/>
  </r>
  <r>
    <n v="8471250"/>
    <s v="KUST - Career Services"/>
    <n v="1"/>
    <n v="436110"/>
    <x v="12"/>
    <s v="000000"/>
    <s v="KUST - General"/>
    <n v="847001"/>
    <x v="1"/>
    <n v="200179"/>
    <s v="847.8471250.1.436110.000000.847001.200179"/>
    <n v="-5910"/>
    <n v="10000"/>
    <n v="10000"/>
    <s v="436110.Printing supplies-Number of Employees-Number"/>
    <s v="Number"/>
    <x v="7"/>
    <x v="103"/>
    <x v="441"/>
    <n v="10000"/>
    <s v="KU Regular operations"/>
    <m/>
    <n v="9000"/>
    <n v="8000"/>
    <n v="7000"/>
    <s v="Number/quality of printed material will be impacted"/>
    <s v="Number/quality of printed material will be impacted"/>
    <s v="Number/quality of printed material will be impacted"/>
    <m/>
    <n v="10000"/>
    <m/>
    <m/>
    <m/>
    <m/>
    <m/>
    <m/>
    <m/>
    <m/>
    <m/>
    <m/>
    <n v="10000"/>
    <m/>
    <m/>
  </r>
  <r>
    <n v="8471010"/>
    <s v="KUST - Continuing Education Office"/>
    <n v="1"/>
    <n v="425510"/>
    <x v="23"/>
    <s v="000000"/>
    <s v="KUST - General"/>
    <n v="847001"/>
    <x v="1"/>
    <n v="200179"/>
    <s v="847.8471010.1.425510.000000.847001.200179"/>
    <n v="0"/>
    <n v="100000"/>
    <m/>
    <s v="425510.Conferences, seminars and exhibitions and other events: - Local Events-Events-Number of Events"/>
    <s v="Number of Events"/>
    <x v="11"/>
    <x v="27"/>
    <x v="442"/>
    <n v="100000"/>
    <s v="KU Regular operations"/>
    <s v="Recurring"/>
    <n v="90000"/>
    <n v="80000"/>
    <n v="70000"/>
    <s v="Reduce the the number of activities  by 10%"/>
    <s v="Reduce the the number of activities  by 20%"/>
    <s v="Reduce the the number of activities  by 30%"/>
    <m/>
    <m/>
    <m/>
    <n v="50000"/>
    <m/>
    <m/>
    <m/>
    <m/>
    <n v="50000"/>
    <m/>
    <m/>
    <m/>
    <n v="100000"/>
    <s v="Attract and organize international conferences and summits"/>
    <m/>
  </r>
  <r>
    <n v="8471010"/>
    <s v="KUST - Continuing Education Office"/>
    <n v="1"/>
    <n v="425720"/>
    <x v="38"/>
    <s v="000000"/>
    <s v="KUST - General"/>
    <n v="847001"/>
    <x v="1"/>
    <n v="200179"/>
    <s v="847.8471010.1.425720.000000.847001.200179"/>
    <n v="23528"/>
    <n v="76120"/>
    <m/>
    <s v="425720.Education-Outsourced training service-Activities-No of Activities"/>
    <s v="No of Activities"/>
    <x v="21"/>
    <x v="225"/>
    <x v="443"/>
    <n v="76120"/>
    <s v="KU Regular operations"/>
    <s v="Recurring"/>
    <n v="68508"/>
    <n v="60896"/>
    <n v="53284"/>
    <s v="This will affect the regular operation "/>
    <s v="This will affect the regular operation "/>
    <s v="This will affect the regular operation "/>
    <m/>
    <m/>
    <n v="6920"/>
    <m/>
    <n v="6920"/>
    <n v="13840"/>
    <n v="13840"/>
    <m/>
    <n v="13840"/>
    <n v="13840"/>
    <n v="6920"/>
    <m/>
    <n v="76120"/>
    <s v="Build partnerships with local and international universities"/>
    <m/>
  </r>
  <r>
    <n v="8471010"/>
    <s v="KUST - Continuing Education Office"/>
    <n v="1"/>
    <n v="425900"/>
    <x v="26"/>
    <s v="000000"/>
    <s v="KUST - General"/>
    <n v="847001"/>
    <x v="1"/>
    <n v="200179"/>
    <s v="847.8471010.1.425900.000000.847001.200179"/>
    <n v="26586"/>
    <n v="162500"/>
    <m/>
    <s v="425900.Entertainment and hospitality-1. No of events/workshops planned-count"/>
    <s v="count"/>
    <x v="20"/>
    <x v="226"/>
    <x v="444"/>
    <n v="88400"/>
    <s v="KU Regular operations"/>
    <s v="Recurring"/>
    <n v="79560"/>
    <n v="70720"/>
    <n v="61879.999999999993"/>
    <s v="This will affect the regular operation "/>
    <s v="This will affect the regular operation "/>
    <s v="This will affect the regular operation "/>
    <n v="6500"/>
    <n v="6500"/>
    <n v="6500"/>
    <n v="9100"/>
    <m/>
    <n v="36400"/>
    <n v="10400"/>
    <m/>
    <n v="6500"/>
    <n v="6500"/>
    <m/>
    <m/>
    <n v="88400"/>
    <s v="Ensure the university sustainability "/>
    <m/>
  </r>
  <r>
    <n v="8471010"/>
    <s v="KUST - Continuing Education Office"/>
    <n v="1"/>
    <n v="436110"/>
    <x v="12"/>
    <s v="000000"/>
    <s v="KUST - General"/>
    <n v="847001"/>
    <x v="1"/>
    <n v="200179"/>
    <s v="847.8471010.1.436110.000000.847001.200179"/>
    <n v="0"/>
    <n v="50625"/>
    <m/>
    <s v="436110.Printing supplies-Number of Student-Number"/>
    <s v="Number"/>
    <x v="14"/>
    <x v="103"/>
    <x v="445"/>
    <n v="20000"/>
    <s v="KU Regular operations"/>
    <s v="Recurring"/>
    <n v="18000"/>
    <n v="16000"/>
    <n v="14000"/>
    <s v="This will affect the regular operation "/>
    <s v="This will affect the regular operation "/>
    <s v="This will affect the regular operation "/>
    <n v="2000"/>
    <n v="2000"/>
    <n v="2000"/>
    <n v="2000"/>
    <m/>
    <n v="2000"/>
    <n v="2000"/>
    <n v="2000"/>
    <n v="2000"/>
    <n v="2000"/>
    <n v="2000"/>
    <m/>
    <n v="20000"/>
    <s v="Ensure the university sustainability "/>
    <m/>
  </r>
  <r>
    <n v="8471010"/>
    <s v="KUST - Continuing Education Office"/>
    <n v="1"/>
    <n v="436120"/>
    <x v="28"/>
    <s v="000000"/>
    <s v="KUST - General"/>
    <n v="847001"/>
    <x v="1"/>
    <n v="200179"/>
    <s v="847.8471010.1.436120.000000.847001.200179"/>
    <n v="0"/>
    <n v="5625"/>
    <m/>
    <s v="436120.Stationery-Number of Employees-Number"/>
    <s v="Number"/>
    <x v="0"/>
    <x v="66"/>
    <x v="446"/>
    <n v="6000"/>
    <s v="KU Regular operations"/>
    <s v="Recurring"/>
    <n v="5400"/>
    <n v="4800"/>
    <n v="4200"/>
    <s v="This will affect the regular operation "/>
    <s v="This will affect the regular operation "/>
    <s v="This will affect the regular operation "/>
    <n v="500"/>
    <n v="500"/>
    <n v="500"/>
    <n v="500"/>
    <m/>
    <n v="1000"/>
    <n v="1000"/>
    <n v="500"/>
    <n v="500"/>
    <n v="500"/>
    <n v="500"/>
    <m/>
    <n v="6000"/>
    <s v="Ensure the university sustainability "/>
    <m/>
  </r>
  <r>
    <n v="8471010"/>
    <s v="KUST - Continuing Education Office"/>
    <n v="1"/>
    <n v="425100"/>
    <x v="62"/>
    <s v="000000"/>
    <s v="KUST - General"/>
    <n v="847001"/>
    <x v="1"/>
    <n v="200179"/>
    <s v="847.8471010.1.425100.000000.847001.200179"/>
    <m/>
    <m/>
    <m/>
    <s v="425100.Advertising Services (General)-Digital Marketing Campaigns-count"/>
    <s v="count"/>
    <x v="20"/>
    <x v="88"/>
    <x v="447"/>
    <n v="120000"/>
    <s v="KU Regular operations"/>
    <s v="Recurring"/>
    <n v="108000"/>
    <n v="96000"/>
    <n v="84000"/>
    <s v="This will affect the regular operation "/>
    <s v="This will affect the regular operation "/>
    <s v="This will affect the regular operation "/>
    <m/>
    <m/>
    <m/>
    <n v="120000"/>
    <m/>
    <m/>
    <m/>
    <m/>
    <m/>
    <m/>
    <m/>
    <m/>
    <n v="120000"/>
    <s v="Enhance the communication plan and outreach activities"/>
    <s v="new requests"/>
  </r>
  <r>
    <n v="8470230"/>
    <s v="KUST - Graduate Studies"/>
    <n v="1"/>
    <n v="420550"/>
    <x v="20"/>
    <s v="000000"/>
    <s v="KUST - General"/>
    <n v="847001"/>
    <x v="1"/>
    <n v="200179"/>
    <s v="847.8470230.1.420550.000000.847001.200179"/>
    <n v="56949.06"/>
    <n v="1020620"/>
    <n v="1020620"/>
    <s v="420550.Academic Advisory Service-Number of Students-Number"/>
    <s v="Number"/>
    <x v="25"/>
    <x v="227"/>
    <x v="448"/>
    <n v="2009826"/>
    <s v="KU Regular operations"/>
    <s v="Recurring"/>
    <n v="1808843.4000000001"/>
    <n v="1607860.8"/>
    <n v="1406878.2"/>
    <s v="Every PhD student's final defense committee requires an independent external examiner, as per KU policy. It will be diffcult to find external examiners who are willing to serve for free."/>
    <s v="Every PhD student's final defense committee requires an independent external examiner, as per KU policy. It will be diffcult to find external examiners who are willing to serve for free."/>
    <s v="Every PhD student's final defense committee requires an independent external examiner, as per KU policy. It will be diffcult to find external examiners who are willing to serve for free."/>
    <m/>
    <m/>
    <m/>
    <n v="46600"/>
    <n v="366567"/>
    <n v="366567"/>
    <n v="366568"/>
    <m/>
    <m/>
    <n v="272308"/>
    <n v="318908"/>
    <n v="272308"/>
    <n v="2009826"/>
    <s v="Align the postgraduates programs with the research strategy"/>
    <s v="increase number of students? Is it the same as planned?"/>
  </r>
  <r>
    <n v="8470230"/>
    <s v="KUST - Graduate Studies"/>
    <n v="1"/>
    <n v="425100"/>
    <x v="75"/>
    <s v="000000"/>
    <s v="KUST - General"/>
    <n v="847001"/>
    <x v="1"/>
    <n v="200179"/>
    <s v="847.8470230.1.425100.000000.847001.200179"/>
    <n v="0"/>
    <n v="300000"/>
    <n v="300000"/>
    <s v="425100.Advertising Services (General)-Digital Marketing Campaigns-count"/>
    <s v="count"/>
    <x v="10"/>
    <x v="228"/>
    <x v="449"/>
    <n v="300000"/>
    <s v="KU Regular operations"/>
    <s v="Recurring"/>
    <n v="270000"/>
    <n v="240000"/>
    <n v="210000"/>
    <s v="Advertising campaign for KU graduate programs will be shorter."/>
    <s v="Advertising campaign for KU graduate programs will be shorter."/>
    <s v="Advertising campaign for KU graduate programs will be shorter."/>
    <n v="5000"/>
    <n v="5000"/>
    <n v="115000"/>
    <m/>
    <m/>
    <m/>
    <n v="15000"/>
    <n v="140000"/>
    <n v="10000"/>
    <n v="10000"/>
    <m/>
    <m/>
    <n v="300000"/>
    <s v="Increase number of postgraduate students"/>
    <m/>
  </r>
  <r>
    <n v="8470230"/>
    <s v="KUST - Graduate Studies"/>
    <n v="1"/>
    <n v="425510"/>
    <x v="23"/>
    <s v="000000"/>
    <s v="KUST - General"/>
    <n v="847001"/>
    <x v="1"/>
    <n v="200179"/>
    <s v="847.8470230.1.425510.000000.847001.200179"/>
    <n v="3706.11"/>
    <n v="34000"/>
    <n v="34000"/>
    <s v="425510.Conferences, seminars and exhibitions and other events: - Local Events-Number of attendees-count"/>
    <s v="count"/>
    <x v="0"/>
    <x v="229"/>
    <x v="450"/>
    <n v="38400"/>
    <s v="KU Regular operations"/>
    <s v="Recurring"/>
    <n v="34560"/>
    <n v="30720"/>
    <n v="26880"/>
    <s v="The University makes a pledge to support students attending research/study events. Reduction in funds means that GSO can support fewer students and this will have a negative impact on reputation, research."/>
    <s v="The University makes a pledge to support students attending research/study events. Reduction in funds means that GSO can support fewer students and this will have a negative impact on reputation, research."/>
    <s v="The University makes a pledge to support students attending research/study events. Reduction in funds means that GSO can support fewer students and this will have a negative impact on reputation, research."/>
    <n v="3200"/>
    <n v="3200"/>
    <n v="3200"/>
    <n v="3200"/>
    <n v="3200"/>
    <n v="3200"/>
    <n v="3200"/>
    <n v="3200"/>
    <n v="3200"/>
    <n v="3200"/>
    <n v="3200"/>
    <n v="3200"/>
    <n v="38400"/>
    <s v="Increase publications in journals with high impact factor"/>
    <m/>
  </r>
  <r>
    <n v="8470230"/>
    <s v="KUST - Graduate Studies"/>
    <n v="1"/>
    <n v="425550"/>
    <x v="24"/>
    <s v="000000"/>
    <s v="KUST - General"/>
    <n v="847001"/>
    <x v="1"/>
    <n v="200179"/>
    <s v="847.8470230.1.425550.000000.847001.200179"/>
    <n v="3326.03"/>
    <n v="222000"/>
    <n v="222000"/>
    <s v="425550.Conferences, seminars and exhibitions and other events: - Overseas event-Conferences-Number of Conferences"/>
    <s v="Number of Conferences"/>
    <x v="67"/>
    <x v="230"/>
    <x v="450"/>
    <n v="355200"/>
    <s v="KU Regular operations"/>
    <s v="Recurring"/>
    <n v="319680"/>
    <n v="284160"/>
    <n v="248639.99999999997"/>
    <s v="The University makes a pledge to support students attending research/study events. Reduction in funds means that GSO can support fewer students and this will have a negative impact on reputation, research."/>
    <s v="The University makes a pledge to support students attending research/study events. Reduction in funds means that GSO can support fewer students and this will have a negative impact on reputation, research."/>
    <s v="The University makes a pledge to support students attending research/study events. Reduction in funds means that GSO can support fewer students and this will have a negative impact on reputation, research."/>
    <n v="29600"/>
    <n v="29600"/>
    <n v="29600"/>
    <n v="29600"/>
    <n v="29600"/>
    <n v="29600"/>
    <n v="29600"/>
    <n v="29600"/>
    <n v="29600"/>
    <n v="29600"/>
    <n v="29600"/>
    <n v="29600"/>
    <n v="355200"/>
    <s v="Increase publications in journals with high impact factor"/>
    <m/>
  </r>
  <r>
    <n v="8470230"/>
    <s v="KUST - Graduate Studies"/>
    <n v="1"/>
    <n v="425743"/>
    <x v="78"/>
    <s v="000000"/>
    <s v="KUST - General"/>
    <n v="847001"/>
    <x v="1"/>
    <n v="200179"/>
    <s v="847.8470230.1.425743.000000.847001.200179"/>
    <n v="960000"/>
    <n v="240000"/>
    <n v="240000"/>
    <m/>
    <s v="-_"/>
    <x v="2"/>
    <x v="1"/>
    <x v="451"/>
    <n v="0"/>
    <m/>
    <m/>
    <n v="0"/>
    <n v="0"/>
    <n v="0"/>
    <m/>
    <m/>
    <m/>
    <m/>
    <m/>
    <m/>
    <m/>
    <m/>
    <m/>
    <m/>
    <m/>
    <m/>
    <m/>
    <m/>
    <m/>
    <n v="0"/>
    <m/>
    <m/>
  </r>
  <r>
    <n v="8470230"/>
    <s v="KUST - Graduate Studies"/>
    <n v="1"/>
    <n v="425744"/>
    <x v="79"/>
    <s v="000000"/>
    <s v="KUST - General"/>
    <n v="847001"/>
    <x v="1"/>
    <n v="200179"/>
    <s v="847.8470230.1.425744.000000.847001.200179"/>
    <n v="0"/>
    <n v="4816800"/>
    <n v="4816800"/>
    <s v="425744.Student medical insurance-Number Student Phd-Number"/>
    <s v="Number"/>
    <x v="68"/>
    <x v="38"/>
    <x v="452"/>
    <n v="3700000"/>
    <s v="KU Regular operations"/>
    <s v="Recurring"/>
    <n v="3330000"/>
    <n v="2960000"/>
    <n v="2590000"/>
    <s v="The medical insurance package for expat students will have to be reduced to ensure all eligible students have some medical insurance coverage."/>
    <s v="The medical insurance package for expat students will have to be reduced to ensure all eligible students have some medical insurance coverage."/>
    <s v="The medical insurance package for expat students will have to be reduced to ensure all eligible students have some medical insurance coverage."/>
    <n v="2412000"/>
    <n v="428000"/>
    <m/>
    <m/>
    <m/>
    <m/>
    <m/>
    <m/>
    <n v="860000"/>
    <m/>
    <m/>
    <m/>
    <n v="3700000"/>
    <s v="Increase number of postgraduate students"/>
    <m/>
  </r>
  <r>
    <n v="8470230"/>
    <s v="KUST - Graduate Studies"/>
    <n v="1"/>
    <n v="425745"/>
    <x v="45"/>
    <s v="000000"/>
    <s v="KUST - General"/>
    <n v="847001"/>
    <x v="1"/>
    <n v="200179"/>
    <s v="847.8470230.1.425745.000000.847001.200179"/>
    <n v="1286175"/>
    <n v="1971263"/>
    <n v="1971263"/>
    <s v="425745.Student relocation &amp; travel exps-Number of Students Phd-Month"/>
    <s v="Month"/>
    <x v="69"/>
    <x v="231"/>
    <x v="452"/>
    <n v="3104115"/>
    <s v="KU Regular operations"/>
    <s v="Recurring"/>
    <n v="2793703.5"/>
    <n v="2483292"/>
    <n v="2172880.5"/>
    <s v="Fewer graduate students will receive funding to travel from overseas to study at KU - mobilisation flights, visa application, visa medical test, annual airfare allowance."/>
    <s v="Fewer graduate students will receive funding to travel from overseas to study at KU - mobilisation flights, visa application, visa medical test, annual airfare allowance."/>
    <s v="Fewer graduate students will receive funding to travel from overseas to study at KU - mobilisation flights, visa application, visa medical test, annual airfare allowance."/>
    <n v="247815"/>
    <n v="5000"/>
    <n v="5000"/>
    <n v="1150000"/>
    <n v="220500"/>
    <n v="5000"/>
    <n v="5000"/>
    <n v="257500"/>
    <n v="257500"/>
    <n v="5000"/>
    <n v="785300"/>
    <n v="160500"/>
    <n v="3104115"/>
    <s v="Increase number of postgraduate students"/>
    <m/>
  </r>
  <r>
    <n v="8470230"/>
    <s v="KUST - Graduate Studies"/>
    <n v="1"/>
    <n v="425749"/>
    <x v="47"/>
    <s v="000000"/>
    <s v="KUST - General"/>
    <n v="847001"/>
    <x v="1"/>
    <n v="200179"/>
    <s v="847.8470230.1.425749.000000.847001.200179"/>
    <n v="84701166.200000003"/>
    <n v="110824684"/>
    <n v="110824684"/>
    <s v="425749.Postgraduate Student Salaries-Post Graduate students-No of Post Graduate Students"/>
    <s v="No of Post Graduate Students"/>
    <x v="52"/>
    <x v="232"/>
    <x v="453"/>
    <n v="203750000"/>
    <s v="KU Regular operations"/>
    <s v="Recurring"/>
    <n v="183375000"/>
    <n v="163000000"/>
    <n v="142625000"/>
    <s v="Fewer students will be admitted to KU with gradaute scholarships and/or student's stipend rates will have to be reduced. Negative impact on attracting top studnets to KU graduate programs. "/>
    <s v="Fewer students will be admitted to KU with gradaute scholarships and/or student's stipend rates will have to be reduced. Negative impact on attracting top studnets to KU graduate programs. "/>
    <s v="Fewer students will be admitted to KU with gradaute scholarships and/or student's stipend rates will have to be reduced. Negative impact on attracting top studnets to KU graduate programs. "/>
    <n v="15500000"/>
    <n v="15500000"/>
    <n v="15500000"/>
    <n v="15500000"/>
    <n v="15500000"/>
    <n v="15500000"/>
    <n v="13250000"/>
    <n v="19500000"/>
    <n v="19500000"/>
    <n v="19500000"/>
    <n v="19500000"/>
    <n v="19500000"/>
    <n v="203750000"/>
    <s v="Increase number of postgraduate students"/>
    <s v="student number increase?"/>
  </r>
  <r>
    <n v="8470230"/>
    <s v="KUST - Graduate Studies"/>
    <n v="1"/>
    <n v="425761"/>
    <x v="67"/>
    <s v="000000"/>
    <s v="KUST - General"/>
    <n v="847001"/>
    <x v="1"/>
    <n v="200179"/>
    <s v="847.8470230.1.425761.000000.847001.200179"/>
    <s v="-"/>
    <n v="150000"/>
    <n v="100000"/>
    <s v="425761.Student Field trips-Number Student Phd-Number"/>
    <s v="Number"/>
    <x v="0"/>
    <x v="62"/>
    <x v="454"/>
    <n v="180000"/>
    <s v="KU Regular operations"/>
    <s v="Recurring"/>
    <n v="162000"/>
    <n v="144000"/>
    <n v="125999.99999999999"/>
    <s v="Fewer graduate students supported to participate in field trips, resulting in negative impact on research activities."/>
    <s v="Fewer graduate students supported to participate in field trips, resulting in negative impact on research activities."/>
    <s v="Fewer graduate students supported to participate in field trips, resulting in negative impact on research activities."/>
    <n v="15000"/>
    <n v="15000"/>
    <n v="15000"/>
    <n v="15000"/>
    <n v="15000"/>
    <n v="15000"/>
    <n v="15000"/>
    <n v="15000"/>
    <n v="15000"/>
    <n v="15000"/>
    <n v="15000"/>
    <n v="15000"/>
    <n v="180000"/>
    <s v="Establish a mobility program for students, faculty, researchers and staff"/>
    <m/>
  </r>
  <r>
    <n v="8470230"/>
    <s v="KUST - Graduate Studies"/>
    <n v="1"/>
    <n v="425762"/>
    <x v="37"/>
    <s v="000000"/>
    <s v="KUST - General"/>
    <n v="847001"/>
    <x v="1"/>
    <n v="200179"/>
    <s v="847.8470230.1.425762.000000.847001.200179"/>
    <s v="-"/>
    <n v="150000"/>
    <n v="150000"/>
    <s v="425762.Student Internship-Number Student Phd-Number"/>
    <s v="Number"/>
    <x v="0"/>
    <x v="62"/>
    <x v="455"/>
    <n v="180000"/>
    <s v="KU Regular operations"/>
    <s v="Recurring"/>
    <n v="162000"/>
    <n v="144000"/>
    <n v="125999.99999999999"/>
    <s v="Fewer graduate students supported to participate in internships, resulting in negative impact on research activities."/>
    <s v="Fewer graduate students supported to participate in internships, resulting in negative impact on research activities."/>
    <s v="Fewer graduate students supported to participate in internships, resulting in negative impact on research activities."/>
    <n v="15000"/>
    <n v="15000"/>
    <n v="15000"/>
    <n v="15000"/>
    <n v="15000"/>
    <n v="15000"/>
    <n v="15000"/>
    <n v="15000"/>
    <n v="15000"/>
    <n v="15000"/>
    <n v="15000"/>
    <n v="15000"/>
    <n v="180000"/>
    <s v="Develop holistic internship programs "/>
    <m/>
  </r>
  <r>
    <n v="8470230"/>
    <s v="KUST - Graduate Studies"/>
    <n v="1"/>
    <n v="425900"/>
    <x v="26"/>
    <s v="000000"/>
    <s v="KUST - General"/>
    <n v="847001"/>
    <x v="1"/>
    <n v="200179"/>
    <s v="847.8470230.1.425900.000000.847001.200179"/>
    <s v="-"/>
    <n v="45648"/>
    <n v="30000"/>
    <s v="425900.Entertainment and hospitality-1. No of events/workshops planned-count"/>
    <s v="count"/>
    <x v="70"/>
    <x v="233"/>
    <x v="449"/>
    <n v="60078"/>
    <s v="KU Regular operations"/>
    <s v="Recurring"/>
    <n v="54070.200000000004"/>
    <n v="48062.400000000001"/>
    <n v="42054.6"/>
    <s v="Catering for graduate student orientation, external examiner visits and events for graduate studnets will be reduced."/>
    <s v="Catering for graduate student orientation, external examiner visits and events for graduate studnets will be reduced."/>
    <s v="Catering for graduate student orientation, external examiner visits and events for graduate studnets will be reduced."/>
    <n v="25000"/>
    <m/>
    <m/>
    <n v="5250"/>
    <n v="500"/>
    <m/>
    <m/>
    <n v="25000"/>
    <m/>
    <n v="3900"/>
    <n v="428"/>
    <m/>
    <n v="60078"/>
    <m/>
    <m/>
  </r>
  <r>
    <n v="8470230"/>
    <s v="KUST - Graduate Studies"/>
    <n v="1"/>
    <n v="426610"/>
    <x v="4"/>
    <s v="000000"/>
    <s v="KUST - General"/>
    <n v="847001"/>
    <x v="1"/>
    <n v="200179"/>
    <s v="847.8470230.1.426610.000000.847001.200179"/>
    <n v="0"/>
    <n v="10000"/>
    <n v="10000"/>
    <s v="426610.Computer software licenses-Software License Renewal-number of licenses-Number"/>
    <s v="Number"/>
    <x v="1"/>
    <x v="35"/>
    <x v="449"/>
    <n v="10000"/>
    <s v="KU Regular operations"/>
    <s v="Recurring"/>
    <n v="9000"/>
    <n v="8000"/>
    <n v="7000"/>
    <s v="Fewer GSO staff will have access to licensed software."/>
    <s v="Fewer GSO staff will have access to licensed software."/>
    <s v="Fewer GSO staff will have access to licensed software."/>
    <n v="833.33333333333337"/>
    <n v="833.33333333333337"/>
    <n v="833.33333333333337"/>
    <n v="833.33333333333337"/>
    <n v="833.33333333333337"/>
    <n v="833.33333333333337"/>
    <n v="833.33333333333337"/>
    <n v="833.33333333333337"/>
    <n v="833.33333333333337"/>
    <n v="833.33333333333337"/>
    <n v="833.33333333333337"/>
    <n v="833.33333333333337"/>
    <n v="10000"/>
    <m/>
    <m/>
  </r>
  <r>
    <n v="8470230"/>
    <s v="KUST - Graduate Studies"/>
    <n v="1"/>
    <n v="428090"/>
    <x v="7"/>
    <s v="000000"/>
    <s v="KUST - General"/>
    <n v="847001"/>
    <x v="1"/>
    <n v="200179"/>
    <s v="847.8470230.1.428090.000000.847001.200179"/>
    <s v="-"/>
    <n v="97000"/>
    <n v="97000"/>
    <s v="428090.Business Travel - Combined expenses-Number of Staff-Number"/>
    <s v="Number"/>
    <x v="7"/>
    <x v="234"/>
    <x v="456"/>
    <n v="95800"/>
    <s v="KU Regular operations"/>
    <s v="Recurring"/>
    <n v="86220"/>
    <n v="76640"/>
    <n v="67060"/>
    <s v="Fewer GSO staff will be able to attend recruitment / networking / professional development / promotional events to represent KU and promote graduate programs. Number of trips reduced from 5 to 4 (including AVP travel)."/>
    <s v="Fewer GSO staff will be able to attend recruitment / networking / professional development / promotional events to represent KU and promote graduate programs. Number of trips reduced from 4 to 3 (including AVP travel)."/>
    <s v="Fewer GSO staff will be able to attend recruitment / networking / professional development / promotional events to represent KU and promote graduate programs. Number of trips reduced from 3 to 2 (including AVP travel)."/>
    <m/>
    <n v="26000"/>
    <n v="14600"/>
    <n v="14600"/>
    <m/>
    <m/>
    <n v="26000"/>
    <m/>
    <n v="14600"/>
    <m/>
    <m/>
    <m/>
    <n v="95800"/>
    <s v="Increase number of postgraduate students"/>
    <m/>
  </r>
  <r>
    <n v="8470230"/>
    <s v="KUST - Graduate Studies"/>
    <n v="1"/>
    <n v="428640"/>
    <x v="27"/>
    <s v="000000"/>
    <s v="KUST - General"/>
    <n v="847001"/>
    <x v="1"/>
    <n v="200179"/>
    <s v="847.8470230.1.428640.000000.847001.200179"/>
    <s v="-"/>
    <n v="80000"/>
    <n v="40000"/>
    <s v="428640.Events - Awards, prizes &amp; gifts-Number of prizes-count"/>
    <s v="count"/>
    <x v="71"/>
    <x v="235"/>
    <x v="449"/>
    <n v="71221"/>
    <s v="KU Regular operations"/>
    <s v="Recurring"/>
    <n v="64098.9"/>
    <n v="56976.800000000003"/>
    <n v="49854.7"/>
    <s v="Number of gifts and prizes reduced."/>
    <s v="Number of gifts and prizes reduced."/>
    <s v="Number of gifts and prizes reduced."/>
    <m/>
    <n v="71221"/>
    <m/>
    <m/>
    <m/>
    <m/>
    <m/>
    <m/>
    <m/>
    <m/>
    <m/>
    <m/>
    <n v="71221"/>
    <m/>
    <m/>
  </r>
  <r>
    <n v="8470230"/>
    <s v="KUST - Graduate Studies"/>
    <n v="1"/>
    <n v="436110"/>
    <x v="12"/>
    <s v="000000"/>
    <s v="KUST - General"/>
    <n v="847001"/>
    <x v="1"/>
    <n v="200179"/>
    <s v="847.8470230.1.436110.000000.847001.200179"/>
    <n v="0"/>
    <n v="5000"/>
    <n v="5000"/>
    <s v="436110.Printing supplies-Number of Employees-Number"/>
    <s v="Number"/>
    <x v="1"/>
    <x v="67"/>
    <x v="457"/>
    <n v="5000"/>
    <s v="KU Regular operations"/>
    <s v="Recurring"/>
    <n v="4500"/>
    <n v="4000"/>
    <n v="3500"/>
    <s v="GSO staff will be unable to print documents to support office operations."/>
    <s v="GSO staff will be unable to print documents to support office operations."/>
    <s v="GSO staff will be unable to print documents to support office operations."/>
    <n v="416.66666666666669"/>
    <n v="416.66666666666669"/>
    <n v="416.66666666666669"/>
    <n v="416.66666666666669"/>
    <n v="416.66666666666669"/>
    <n v="416.66666666666669"/>
    <n v="416.66666666666669"/>
    <n v="416.66666666666669"/>
    <n v="416.66666666666669"/>
    <n v="416.66666666666669"/>
    <n v="416.66666666666669"/>
    <n v="416.66666666666669"/>
    <n v="5000"/>
    <m/>
    <m/>
  </r>
  <r>
    <n v="8470230"/>
    <s v="KUST - Graduate Studies"/>
    <n v="1"/>
    <n v="492310"/>
    <x v="13"/>
    <s v="000000"/>
    <s v="KUST - General"/>
    <n v="847001"/>
    <x v="2"/>
    <n v="300180"/>
    <s v="847.8470230.1.492310.000000.847001.300180"/>
    <s v="-"/>
    <n v="1380709"/>
    <n v="1380709"/>
    <s v="492310.Hardware &amp; peripherals-number of hardware devices-Month"/>
    <s v="Month"/>
    <x v="72"/>
    <x v="37"/>
    <x v="458"/>
    <n v="1561500"/>
    <s v="KU Regular operations"/>
    <s v="Recurring"/>
    <n v="1405350"/>
    <n v="1249200"/>
    <n v="1093050"/>
    <s v="Not all PhD students will be able to request a laptop for use during their studies."/>
    <s v="Not all PhD students will be able to request a laptop for use during their studies."/>
    <s v="Not all PhD students will be able to request a laptop for use during their studies."/>
    <m/>
    <n v="1561500"/>
    <m/>
    <m/>
    <m/>
    <m/>
    <m/>
    <m/>
    <m/>
    <m/>
    <m/>
    <m/>
    <n v="1561500"/>
    <s v="Increase number of postgraduate students"/>
    <m/>
  </r>
  <r>
    <n v="8470405"/>
    <s v="KUST - Dean Of Arts &amp; Science"/>
    <n v="1"/>
    <n v="420550"/>
    <x v="20"/>
    <s v="000000"/>
    <s v="KUST - General"/>
    <n v="847001"/>
    <x v="1"/>
    <n v="200179"/>
    <s v="847.8470405.1.420550.000000.847001.200179"/>
    <s v="-"/>
    <n v="59692"/>
    <n v="59692"/>
    <s v="420550.Academic Advisory Service-Number of Services-Number"/>
    <s v="count"/>
    <x v="16"/>
    <x v="236"/>
    <x v="459"/>
    <n v="23504"/>
    <s v="KU Regular operations"/>
    <s v="Recurring"/>
    <n v="21153.600000000002"/>
    <n v="18803.2"/>
    <n v="16452.8"/>
    <s v="reduced number of evaluators"/>
    <s v="reduced number of evaluators"/>
    <s v="reduced number of evaluators"/>
    <n v="0"/>
    <n v="0"/>
    <n v="0"/>
    <n v="23504"/>
    <n v="0"/>
    <n v="0"/>
    <n v="0"/>
    <n v="0"/>
    <n v="0"/>
    <n v="0"/>
    <n v="0"/>
    <n v="0"/>
    <n v="23504"/>
    <n v="0"/>
    <s v="Design and implement professional development programs for researchers, faculty, and  staff to contribute to the university strategic plan"/>
  </r>
  <r>
    <n v="8470405"/>
    <s v="KUST - Dean Of Arts &amp; Science"/>
    <n v="1"/>
    <n v="421700"/>
    <x v="22"/>
    <s v="000000"/>
    <s v="KUST - General"/>
    <n v="847001"/>
    <x v="1"/>
    <n v="200179"/>
    <s v="847.8470405.1.421700.000000.847001.200179"/>
    <n v="109525.28"/>
    <n v="500308"/>
    <n v="368363"/>
    <s v="421700.Standards Certification Services (e.g. ISO)-Number of Academic programs-Number"/>
    <s v="count"/>
    <x v="11"/>
    <x v="84"/>
    <x v="459"/>
    <n v="280000"/>
    <s v="KU Strategic New Initiative"/>
    <s v="Non-recurring"/>
    <n v="252000"/>
    <n v="224000"/>
    <n v="196000"/>
    <s v="Standard Rate for CAA visit.  Required for accreditation of new program"/>
    <s v="Failed accreditation of program"/>
    <s v="Failed accreditation of program"/>
    <n v="0"/>
    <n v="140000"/>
    <n v="140000"/>
    <n v="0"/>
    <n v="0"/>
    <n v="0"/>
    <n v="0"/>
    <n v="0"/>
    <n v="0"/>
    <n v="0"/>
    <n v="0"/>
    <n v="0"/>
    <n v="280000"/>
    <n v="0"/>
    <s v="Increase number of postgraduate students"/>
  </r>
  <r>
    <n v="8470405"/>
    <s v="KUST - Dean Of Arts &amp; Science"/>
    <n v="1"/>
    <n v="425510"/>
    <x v="23"/>
    <s v="000000"/>
    <s v="KUST - General"/>
    <n v="847001"/>
    <x v="1"/>
    <n v="200179"/>
    <s v="847.8470405.1.425510.000000.847001.200179"/>
    <n v="4400"/>
    <n v="15000"/>
    <n v="15000"/>
    <s v="425500.Conferences, seminars and exhibitions and other events:-Number of events &amp; attendees-Number of Number of events &amp; attendees"/>
    <s v="count"/>
    <x v="1"/>
    <x v="62"/>
    <x v="459"/>
    <n v="15000"/>
    <s v="KU Regular operations"/>
    <s v="Recurring"/>
    <n v="13500"/>
    <n v="12000"/>
    <n v="10500"/>
    <s v="Less representation and university exposure in local venues"/>
    <s v="Less representation and university exposure in local venues"/>
    <s v="Less representation and university exposure in local venues"/>
    <n v="1000"/>
    <n v="1000"/>
    <n v="1000"/>
    <n v="2000"/>
    <n v="2000"/>
    <m/>
    <m/>
    <m/>
    <n v="2000"/>
    <n v="2000"/>
    <n v="2000"/>
    <n v="2000"/>
    <n v="15000"/>
    <n v="0"/>
    <s v="Increase publications in journals with high impact factor"/>
  </r>
  <r>
    <n v="8470405"/>
    <s v="KUST - Dean Of Arts &amp; Science"/>
    <n v="1"/>
    <n v="425550"/>
    <x v="24"/>
    <s v="000000"/>
    <s v="KUST - General"/>
    <n v="847001"/>
    <x v="1"/>
    <n v="200179"/>
    <s v="847.8470405.1.425550.000000.847001.200179"/>
    <s v="-"/>
    <n v="15000"/>
    <s v="-"/>
    <s v="425550.Conferences, seminars and exhibitions and other events: - Overseas event-Conferences-Number of Conferences"/>
    <s v="count"/>
    <x v="1"/>
    <x v="62"/>
    <x v="459"/>
    <n v="15000"/>
    <s v="KU Regular operations"/>
    <s v="Recurring"/>
    <n v="13500"/>
    <n v="12000"/>
    <n v="10500"/>
    <s v="Less representation and university exposure at international conferences and other venues"/>
    <s v="Less representation and university exposure at international conferences and other venues"/>
    <s v="Impact on global rankings"/>
    <n v="1500"/>
    <n v="1500"/>
    <n v="1500"/>
    <n v="1500"/>
    <n v="1500"/>
    <n v="0"/>
    <n v="0"/>
    <n v="0"/>
    <n v="2000"/>
    <n v="2000"/>
    <n v="2000"/>
    <n v="1500"/>
    <n v="15000"/>
    <n v="0"/>
    <s v="Attract and organize international conferences and summits"/>
  </r>
  <r>
    <n v="8470405"/>
    <s v="KUST - Dean Of Arts &amp; Science"/>
    <n v="1"/>
    <n v="425770"/>
    <x v="31"/>
    <s v="000000"/>
    <s v="KUST - General"/>
    <n v="847001"/>
    <x v="1"/>
    <n v="200179"/>
    <s v="847.8470405.1.425770.000000.847001.200179"/>
    <n v="0"/>
    <n v="41825"/>
    <n v="41825"/>
    <s v="425770.Academic Missions - Combined expenses-Number of Meeting-Number"/>
    <s v="count"/>
    <x v="14"/>
    <x v="67"/>
    <x v="460"/>
    <n v="50000"/>
    <s v="KU Regular operations"/>
    <s v="Recurring"/>
    <n v="45000"/>
    <n v="40000"/>
    <n v="35000"/>
    <s v="Less representation and university exposure at international conferences and other venues"/>
    <s v="Less representation and university exposure at international conferences and other venues"/>
    <s v="Impact on global rankings"/>
    <n v="5000"/>
    <n v="5000"/>
    <n v="5000"/>
    <n v="4000"/>
    <n v="2000"/>
    <n v="2000"/>
    <n v="2000"/>
    <n v="5000"/>
    <n v="5000"/>
    <n v="5000"/>
    <n v="5000"/>
    <n v="5000"/>
    <n v="50000"/>
    <n v="0"/>
    <s v="Recruit and retain high caliber faculty, researchers and staff"/>
  </r>
  <r>
    <n v="8470405"/>
    <s v="KUST - Dean Of Arts &amp; Science"/>
    <n v="1"/>
    <n v="427710"/>
    <x v="52"/>
    <s v="000000"/>
    <s v="KUST - General"/>
    <n v="847001"/>
    <x v="1"/>
    <n v="200179"/>
    <s v="847.8470405.1.427710.000000.847001.200179"/>
    <n v="12539.46"/>
    <n v="20175"/>
    <n v="20175"/>
    <s v="427710.Subscriptions and membership fees: Trade organisations-Number  of Memberships-Number"/>
    <s v="count"/>
    <x v="20"/>
    <x v="237"/>
    <x v="461"/>
    <n v="33620"/>
    <s v="KU Regular operations"/>
    <s v="Recurring"/>
    <n v="30258"/>
    <n v="26896"/>
    <n v="23534"/>
    <s v="Reduced entrance fees to events and subscriptions"/>
    <s v="Reduced entrance fees to events and subscriptions"/>
    <s v="Inadequate  representation in organizations"/>
    <n v="2801.6666666666665"/>
    <n v="2801.6666666666665"/>
    <n v="2801.6666666666665"/>
    <n v="2801.6666666666665"/>
    <n v="2801.6666666666665"/>
    <n v="2801.6666666666665"/>
    <n v="2801.6666666666665"/>
    <n v="2801.6666666666665"/>
    <n v="2801.6666666666665"/>
    <n v="2801.6666666666665"/>
    <n v="2801.6666666666665"/>
    <n v="2801.6666666666665"/>
    <n v="33620"/>
    <n v="0"/>
    <s v="Increase publications in journals with high impact factor"/>
  </r>
  <r>
    <n v="8470405"/>
    <s v="KUST - Dean Of Arts &amp; Science"/>
    <n v="1"/>
    <n v="435508"/>
    <x v="34"/>
    <s v="000000"/>
    <s v="KUST - General"/>
    <n v="847001"/>
    <x v="1"/>
    <n v="200179"/>
    <s v="847.8470405.1.435508.000000.847001.200179"/>
    <n v="152176"/>
    <n v="200000"/>
    <n v="200000"/>
    <s v="435508.Laboratory - Scientific-Number of Students-Number"/>
    <s v="count"/>
    <x v="7"/>
    <x v="63"/>
    <x v="462"/>
    <n v="200000"/>
    <s v="KU Regular operations"/>
    <s v="Recurring"/>
    <n v="180000"/>
    <n v="160000"/>
    <n v="140000"/>
    <s v="Diminished student resources"/>
    <s v="Diminished student resources"/>
    <s v="Inadequate lab resources"/>
    <m/>
    <m/>
    <n v="50000"/>
    <m/>
    <m/>
    <n v="50000"/>
    <m/>
    <m/>
    <n v="50000"/>
    <m/>
    <m/>
    <n v="50000"/>
    <n v="200000"/>
    <n v="0"/>
    <s v="Align the postgraduates programs with the research strategy"/>
  </r>
  <r>
    <n v="8470405"/>
    <s v="KUST - Dean Of Arts &amp; Science"/>
    <n v="1"/>
    <n v="435350"/>
    <x v="33"/>
    <s v="000000"/>
    <s v="KUST - General"/>
    <n v="847001"/>
    <x v="1"/>
    <n v="200179"/>
    <s v="847.8470405.1.435350.000000.847001.200179"/>
    <n v="65753.490000000005"/>
    <n v="30000"/>
    <n v="30000"/>
    <s v="435350.Academic Publications-Number of Publications-Number"/>
    <s v="count"/>
    <x v="20"/>
    <x v="79"/>
    <x v="463"/>
    <n v="30000"/>
    <s v="KU Regular operations"/>
    <s v="Recurring"/>
    <n v="27000"/>
    <n v="24000"/>
    <n v="21000"/>
    <s v="Reduced access to academic journals"/>
    <s v="Reduced access to academic journals"/>
    <s v="Reduced publications and impact on academic ranking"/>
    <n v="3000"/>
    <n v="3000"/>
    <n v="2000"/>
    <n v="2000"/>
    <n v="2000"/>
    <n v="2000"/>
    <n v="2000"/>
    <n v="2000"/>
    <n v="3000"/>
    <n v="3000"/>
    <n v="3000"/>
    <n v="3000"/>
    <n v="30000"/>
    <n v="0"/>
    <s v="Increase publications in journals with high impact factor"/>
  </r>
  <r>
    <n v="8470405"/>
    <s v="KUST - Dean Of Arts &amp; Science"/>
    <n v="1"/>
    <n v="425720"/>
    <x v="38"/>
    <s v="000000"/>
    <s v="KUST - General"/>
    <n v="847001"/>
    <x v="1"/>
    <n v="200179"/>
    <s v="847.8470405.1.425720.000000.847001.200179"/>
    <s v="-"/>
    <s v="-"/>
    <m/>
    <s v="425720.Education-Outsourced training service-Students-No of Students"/>
    <s v="count"/>
    <x v="18"/>
    <x v="72"/>
    <x v="464"/>
    <n v="210000"/>
    <s v="KU Regular operations"/>
    <s v="Recurring"/>
    <n v="189000"/>
    <n v="168000"/>
    <n v="147000"/>
    <s v="Mandatory requirement and the budget cannot be reduced as it is a pre- quisite to join the medical college"/>
    <s v="Mandatory requirement and the budget cannot be reduced as it is a pre- quisite to join the medical college"/>
    <s v="Mandatory requirement and the budget cannot be reduced as it is a pre- quisite to join the medical college"/>
    <m/>
    <n v="105000"/>
    <n v="105000"/>
    <m/>
    <m/>
    <m/>
    <m/>
    <m/>
    <m/>
    <m/>
    <m/>
    <m/>
    <n v="210000"/>
    <n v="0"/>
    <s v="Develop competitive fellowship programs for students"/>
  </r>
  <r>
    <n v="8470405"/>
    <s v="KUST - Dean Of Arts &amp; Science"/>
    <n v="1"/>
    <n v="425720"/>
    <x v="38"/>
    <s v="000000"/>
    <s v="KUST - General"/>
    <n v="847001"/>
    <x v="1"/>
    <n v="200179"/>
    <s v="847.8470405.1.425720.000000.847001.200179"/>
    <m/>
    <s v="-"/>
    <m/>
    <s v="425720.Education-Outsourced training service-Students-No of Students"/>
    <s v="count"/>
    <x v="1"/>
    <x v="63"/>
    <x v="465"/>
    <n v="40000"/>
    <s v="KU Regular operations"/>
    <s v="Recurring"/>
    <n v="36000"/>
    <n v="32000"/>
    <n v="28000"/>
    <s v="Reduced number of resources"/>
    <s v="Reduced number of resources"/>
    <s v="Reduced number of resources"/>
    <n v="0"/>
    <n v="40000"/>
    <n v="0"/>
    <n v="0"/>
    <n v="0"/>
    <n v="0"/>
    <n v="0"/>
    <n v="0"/>
    <n v="0"/>
    <n v="0"/>
    <n v="0"/>
    <n v="0"/>
    <n v="40000"/>
    <n v="0"/>
    <s v="Develop a multidimensional program to attract and retain diverse outstanding students"/>
  </r>
  <r>
    <n v="8470405"/>
    <s v="KUST - Dean Of Arts &amp; Science"/>
    <n v="1"/>
    <n v="425763"/>
    <x v="30"/>
    <s v="000000"/>
    <s v="KUST - General"/>
    <n v="847001"/>
    <x v="1"/>
    <n v="200179"/>
    <s v="847.8470405.1.425763.000000.847001.200179"/>
    <s v="-"/>
    <s v="-"/>
    <m/>
    <s v="425763.Student Project Expenses-Number of Students UG-Month"/>
    <s v="count"/>
    <x v="12"/>
    <x v="35"/>
    <x v="466"/>
    <n v="150000"/>
    <s v="KU Regular operations"/>
    <s v="Recurring"/>
    <n v="135000"/>
    <n v="120000"/>
    <n v="105000"/>
    <s v="Reduced number of PMB students Research"/>
    <s v="Reduced number of PMB students Research"/>
    <s v="Reduced number of PMB students Research"/>
    <n v="0"/>
    <n v="0"/>
    <n v="50000"/>
    <n v="50000"/>
    <n v="50000"/>
    <n v="0"/>
    <n v="0"/>
    <n v="0"/>
    <n v="0"/>
    <n v="0"/>
    <n v="0"/>
    <n v="0"/>
    <n v="150000"/>
    <n v="0"/>
    <s v="Strengthen research ethical culture framework across the university"/>
  </r>
  <r>
    <n v="8470405"/>
    <s v="KUST - Dean Of Arts &amp; Science"/>
    <n v="1"/>
    <n v="425720"/>
    <x v="38"/>
    <s v="000000"/>
    <s v="KUST - General"/>
    <n v="847001"/>
    <x v="1"/>
    <n v="200179"/>
    <s v="847.8470405.1.425720.000000.847001.200179"/>
    <s v="-"/>
    <s v="-"/>
    <m/>
    <s v="425720.Education-Outsourced training service-Students-No of Students"/>
    <s v="count"/>
    <x v="1"/>
    <x v="46"/>
    <x v="467"/>
    <n v="300000"/>
    <s v="KU Regular operations"/>
    <s v="Recurring"/>
    <n v="270000"/>
    <n v="240000"/>
    <n v="210000"/>
    <s v="Required amount for one year renewal as of May 2023"/>
    <s v="Required amount for one year renewal as of May 2023"/>
    <s v="Required amount for one year renewal as of May 2023"/>
    <n v="0"/>
    <n v="0"/>
    <n v="0"/>
    <n v="0"/>
    <n v="300000"/>
    <n v="0"/>
    <n v="0"/>
    <n v="0"/>
    <n v="0"/>
    <n v="0"/>
    <n v="0"/>
    <n v="0"/>
    <n v="300000"/>
    <n v="0"/>
    <s v="Develop a multidimensional program to attract and retain diverse outstanding students"/>
  </r>
  <r>
    <n v="8470410"/>
    <s v="KUST - Institute of International &amp; Civil Security"/>
    <n v="1"/>
    <n v="425761"/>
    <x v="67"/>
    <s v="000000"/>
    <s v="KUST - General"/>
    <n v="847001"/>
    <x v="1"/>
    <n v="200179"/>
    <s v="847.8470410.1.425761.000000.847001.200179"/>
    <s v="-"/>
    <n v="162000"/>
    <n v="1000"/>
    <s v="425761.Student Field trips-Number of Students UG-Month"/>
    <s v="Month"/>
    <x v="7"/>
    <x v="187"/>
    <x v="468"/>
    <n v="1000"/>
    <s v="KU Regular operations"/>
    <s v="Non-recurring"/>
    <n v="900"/>
    <n v="800"/>
    <n v="700"/>
    <s v="we hire taxis"/>
    <s v="we hire taxis"/>
    <s v="we hire taxis"/>
    <n v="0"/>
    <n v="500"/>
    <m/>
    <m/>
    <m/>
    <m/>
    <m/>
    <m/>
    <n v="500"/>
    <m/>
    <m/>
    <m/>
    <n v="1000"/>
    <n v="0"/>
    <s v="Widen access to students with outstanding academic potential"/>
  </r>
  <r>
    <n v="8470410"/>
    <s v="KUST - Institute of International &amp; Civil Security"/>
    <n v="1"/>
    <n v="425770"/>
    <x v="31"/>
    <s v="000000"/>
    <s v="KUST - General"/>
    <n v="847001"/>
    <x v="1"/>
    <n v="200179"/>
    <s v="847.8470410.1.425770.000000.847001.200179"/>
    <n v="2513.17"/>
    <n v="120000"/>
    <n v="120000"/>
    <s v="425770.Academic Missions - Combined expenses-Number of Conference-Number"/>
    <s v="Number"/>
    <x v="0"/>
    <x v="40"/>
    <x v="469"/>
    <n v="144000"/>
    <s v="KU Regular operations"/>
    <s v="Non-recurring"/>
    <n v="129600"/>
    <n v="115200"/>
    <n v="100800"/>
    <s v="11 conferences attended"/>
    <s v="10 conferences attended"/>
    <s v="9 conferences attended"/>
    <m/>
    <m/>
    <n v="12000"/>
    <n v="12000"/>
    <n v="24000"/>
    <n v="24000"/>
    <n v="24000"/>
    <m/>
    <n v="12000"/>
    <n v="12000"/>
    <m/>
    <n v="24000"/>
    <n v="144000"/>
    <n v="0"/>
    <s v="Increase publications in journals with high impact factor"/>
  </r>
  <r>
    <n v="8470410"/>
    <s v="KUST - Institute of International &amp; Civil Security"/>
    <n v="1"/>
    <n v="426610"/>
    <x v="4"/>
    <s v="000000"/>
    <s v="KUST - General"/>
    <n v="847001"/>
    <x v="1"/>
    <n v="200179"/>
    <s v="847.8470410.1.426610.000000.847001.200179"/>
    <n v="346.48"/>
    <n v="5600"/>
    <n v="5600"/>
    <s v="426610.Computer software licenses-Software License Renewal-number of licenses-Number"/>
    <s v="Number"/>
    <x v="1"/>
    <x v="238"/>
    <x v="470"/>
    <n v="5600"/>
    <s v="KU Regular operations"/>
    <s v="Recurring"/>
    <n v="5040"/>
    <n v="4480"/>
    <n v="3919.9999999999995"/>
    <s v="software cant be bought"/>
    <s v="software cant be bought"/>
    <s v="software cant be bought"/>
    <m/>
    <m/>
    <n v="5600"/>
    <m/>
    <m/>
    <m/>
    <m/>
    <m/>
    <m/>
    <m/>
    <m/>
    <m/>
    <n v="5600"/>
    <n v="0"/>
    <s v="Increase publications in journals with high impact factor"/>
  </r>
  <r>
    <n v="8470410"/>
    <s v="KUST - Institute of International &amp; Civil Security"/>
    <n v="1"/>
    <n v="435310"/>
    <x v="80"/>
    <s v="000000"/>
    <s v="KUST - General"/>
    <n v="847001"/>
    <x v="1"/>
    <n v="200179"/>
    <s v="847.8470410.1.435310.000000.847001.200179"/>
    <n v="85229"/>
    <n v="85229"/>
    <n v="85229"/>
    <s v="435310.Newspapers, magazines, journals, etc-Number of Staff-Number"/>
    <s v="Number"/>
    <x v="17"/>
    <x v="239"/>
    <x v="471"/>
    <n v="85228"/>
    <s v="KU Regular operations"/>
    <s v="Recurring"/>
    <n v="76705.2"/>
    <n v="68182.400000000009"/>
    <n v="59659.6"/>
    <s v="3 journal subscriptions"/>
    <s v="3 journal subscriptions"/>
    <s v="3 journal subscriptions"/>
    <m/>
    <m/>
    <n v="85228"/>
    <m/>
    <m/>
    <m/>
    <m/>
    <m/>
    <m/>
    <m/>
    <m/>
    <m/>
    <n v="85228"/>
    <n v="0"/>
    <s v="Increase publications in journals with high impact factor"/>
  </r>
  <r>
    <n v="8470410"/>
    <s v="KUST - Institute of International &amp; Civil Security"/>
    <n v="1"/>
    <n v="435350"/>
    <x v="33"/>
    <s v="000000"/>
    <s v="KUST - General"/>
    <n v="847001"/>
    <x v="1"/>
    <n v="200179"/>
    <s v="847.8470410.1.435350.000000.847001.200179"/>
    <n v="4800"/>
    <n v="17900"/>
    <n v="17900"/>
    <s v="435350.Academic Publications-Number of Publications-Number"/>
    <s v="Number"/>
    <x v="14"/>
    <x v="35"/>
    <x v="472"/>
    <n v="100000"/>
    <s v="KU Regular operations"/>
    <s v="Non-recurring"/>
    <n v="90000"/>
    <n v="80000"/>
    <n v="70000"/>
    <s v="9 publications"/>
    <s v="8 publiations"/>
    <s v="7 publications"/>
    <m/>
    <m/>
    <n v="30000"/>
    <m/>
    <m/>
    <m/>
    <n v="30000"/>
    <m/>
    <m/>
    <m/>
    <n v="40000"/>
    <m/>
    <n v="100000"/>
    <n v="0"/>
    <s v="Increase publications in journals with high impact factor"/>
  </r>
  <r>
    <n v="8470415"/>
    <s v="KUST - Chemistry"/>
    <n v="1"/>
    <n v="421700"/>
    <x v="22"/>
    <s v="000000"/>
    <s v="KUST - General"/>
    <n v="847001"/>
    <x v="1"/>
    <n v="200179"/>
    <s v="847.8470415.1.421700.000000.847001.200179"/>
    <s v="-"/>
    <n v="150000"/>
    <n v="0"/>
    <s v="420130.External Audit service-Audit type-Number of Audit type"/>
    <s v="count"/>
    <x v="1"/>
    <x v="59"/>
    <x v="473"/>
    <n v="150000"/>
    <s v="KU Strategic New Initiative"/>
    <s v="Non-recurring"/>
    <n v="135000"/>
    <n v="120000"/>
    <n v="105000"/>
    <s v="New programme not accredited"/>
    <s v="New programme not accredited"/>
    <s v="New programme not accredited"/>
    <m/>
    <m/>
    <m/>
    <m/>
    <n v="150000"/>
    <m/>
    <m/>
    <m/>
    <m/>
    <m/>
    <m/>
    <m/>
    <n v="150000"/>
    <n v="0"/>
    <s v="Align academic programs with the local and global labor market needs"/>
  </r>
  <r>
    <n v="8470415"/>
    <s v="KUST - Chemistry"/>
    <n v="1"/>
    <n v="425510"/>
    <x v="23"/>
    <s v="000000"/>
    <s v="KUST - General"/>
    <n v="847001"/>
    <x v="1"/>
    <n v="200179"/>
    <s v="847.8470415.1.425510.000000.847001.200179"/>
    <m/>
    <n v="0"/>
    <m/>
    <s v="425500.Conferences, seminars and exhibitions and other events:-Number of events &amp; attendees-Number of Number of events &amp; attendees"/>
    <s v="count"/>
    <x v="11"/>
    <x v="27"/>
    <x v="474"/>
    <n v="100000"/>
    <s v="KU Strategic New Initiative"/>
    <s v="Non-recurring"/>
    <n v="90000"/>
    <n v="80000"/>
    <n v="70000"/>
    <s v="Scvope of conference (e.g. invited speaker(s) may be limited"/>
    <s v="Scvope of conference (e.g. invited speaker(s) may be limited"/>
    <s v="Scvope of conference (e.g. invited speaker(s) may be severly limited"/>
    <m/>
    <m/>
    <m/>
    <m/>
    <n v="50000"/>
    <m/>
    <m/>
    <m/>
    <n v="50000"/>
    <m/>
    <m/>
    <m/>
    <n v="100000"/>
    <n v="0"/>
    <s v="Attract and organize international conferences and summits"/>
  </r>
  <r>
    <n v="8470415"/>
    <s v="KUST - Chemistry"/>
    <n v="1"/>
    <n v="425100"/>
    <x v="75"/>
    <s v="000000"/>
    <s v="KUST - General"/>
    <n v="847001"/>
    <x v="1"/>
    <n v="200179"/>
    <s v="847.8470415.1.425100.000000.847001.200179"/>
    <s v="-"/>
    <n v="50000"/>
    <n v="30000"/>
    <s v="425100.Advertising Services (General)-International Publicity-count"/>
    <s v="count"/>
    <x v="1"/>
    <x v="27"/>
    <x v="475"/>
    <n v="50000"/>
    <s v="KU Regular operations"/>
    <s v="Recurring"/>
    <n v="45000"/>
    <n v="40000"/>
    <n v="35000"/>
    <s v="Less effective advertisment = fewer applications"/>
    <s v="Less effective advertisment = fewer applications"/>
    <s v="Less effective advertisment = fewer applications"/>
    <m/>
    <n v="25000"/>
    <m/>
    <m/>
    <m/>
    <m/>
    <m/>
    <m/>
    <n v="25000"/>
    <m/>
    <m/>
    <m/>
    <n v="50000"/>
    <n v="0"/>
    <s v="Increase number of postgraduate students"/>
  </r>
  <r>
    <n v="8470415"/>
    <s v="KUST - Chemistry"/>
    <n v="1"/>
    <n v="428090"/>
    <x v="7"/>
    <s v="000000"/>
    <s v="KUST - General"/>
    <n v="847001"/>
    <x v="1"/>
    <n v="200179"/>
    <s v="847.8470415.1.428090.000000.847001.200179"/>
    <m/>
    <m/>
    <m/>
    <s v="428000.Travel expenses - business-related-Number of eligible employees: (tickets, hotels, per diem, visa fees)-count"/>
    <s v="count"/>
    <x v="14"/>
    <x v="69"/>
    <x v="476"/>
    <n v="3000"/>
    <s v="KU Regular operations"/>
    <s v="Recurring"/>
    <n v="2700"/>
    <n v="2400"/>
    <n v="2100"/>
    <s v="Impact Dept. run operation"/>
    <s v="Impact Dept. run operation"/>
    <s v="Impact Dept. run operation"/>
    <m/>
    <n v="300"/>
    <n v="300"/>
    <n v="300"/>
    <n v="300"/>
    <m/>
    <m/>
    <n v="600"/>
    <n v="600"/>
    <n v="600"/>
    <m/>
    <m/>
    <n v="3000"/>
    <n v="0"/>
    <s v="Widen access to students with outstanding academic potential"/>
  </r>
  <r>
    <n v="8470415"/>
    <s v="KUST - Chemistry"/>
    <n v="1"/>
    <n v="427200"/>
    <x v="51"/>
    <s v="000000"/>
    <s v="KUST - General"/>
    <n v="847001"/>
    <x v="1"/>
    <n v="200179"/>
    <s v="847.8470415.1.427200.000000.847001.200179"/>
    <m/>
    <m/>
    <m/>
    <s v="427200.Printing and publishing-The printing cost of the department's publications-count"/>
    <s v="count"/>
    <x v="20"/>
    <x v="66"/>
    <x v="477"/>
    <n v="10000"/>
    <s v="KU Regular operations"/>
    <s v="Recurring"/>
    <n v="9000"/>
    <n v="8000"/>
    <n v="7000"/>
    <s v="Impact Dept. run operation"/>
    <s v="Impact Dept. run operation"/>
    <s v="Impact Dept. run operation"/>
    <m/>
    <n v="2000"/>
    <n v="1000"/>
    <m/>
    <m/>
    <n v="2500"/>
    <m/>
    <n v="1500"/>
    <m/>
    <n v="2000"/>
    <n v="1000"/>
    <m/>
    <n v="10000"/>
    <n v="0"/>
    <s v="Build partnerships with local and international universities"/>
  </r>
  <r>
    <n v="8470415"/>
    <s v="KUST - Chemistry"/>
    <n v="1"/>
    <n v="425760"/>
    <x v="29"/>
    <s v="000000"/>
    <s v="KUST - General"/>
    <n v="847001"/>
    <x v="1"/>
    <n v="200179"/>
    <s v="847.8470415.1.425760.000000.847001.200179"/>
    <s v="-"/>
    <n v="5000"/>
    <n v="5000"/>
    <s v="425760.Student activities &amp; field trip expenses-Events-No of Events"/>
    <s v="No of Events"/>
    <x v="10"/>
    <x v="90"/>
    <x v="478"/>
    <n v="20000"/>
    <s v="KU Regular operations"/>
    <s v="Recurring"/>
    <n v="18000"/>
    <n v="16000"/>
    <n v="14000"/>
    <s v="Fewer trips, lower level of activity"/>
    <s v="Fewer trips, lower level of activity"/>
    <s v="Fewer trips, lower level of activity"/>
    <m/>
    <n v="5000"/>
    <n v="5000"/>
    <m/>
    <m/>
    <m/>
    <m/>
    <m/>
    <m/>
    <n v="5000"/>
    <n v="5000"/>
    <m/>
    <n v="20000"/>
    <n v="0"/>
    <s v="Develop the university innovation and entrepreneurship system"/>
  </r>
  <r>
    <n v="8470415"/>
    <s v="KUST - Chemistry"/>
    <n v="1"/>
    <n v="425763"/>
    <x v="30"/>
    <s v="000000"/>
    <s v="KUST - General"/>
    <n v="847001"/>
    <x v="1"/>
    <n v="200179"/>
    <s v="847.8470415.1.425763.000000.847001.200179"/>
    <s v="-"/>
    <n v="80000"/>
    <n v="75000"/>
    <s v="425763.Student Project Expenses-Number Student Phd-Number"/>
    <s v="Number"/>
    <x v="11"/>
    <x v="40"/>
    <x v="479"/>
    <n v="24000"/>
    <s v="KU Regular operations"/>
    <s v="Recurring"/>
    <n v="21600"/>
    <n v="19200"/>
    <n v="16800"/>
    <s v="Less funding available or only one project funded"/>
    <s v="Less funding available or only one project funded"/>
    <s v="Less funding available or only one project funded"/>
    <n v="2000"/>
    <n v="2000"/>
    <n v="2000"/>
    <n v="2000"/>
    <n v="2000"/>
    <n v="2000"/>
    <n v="2000"/>
    <n v="2000"/>
    <n v="2000"/>
    <n v="2000"/>
    <n v="2000"/>
    <n v="2000"/>
    <n v="24000"/>
    <n v="0"/>
    <s v="Recruit and retain high caliber faculty, researchers and staff"/>
  </r>
  <r>
    <n v="8470415"/>
    <s v="KUST - Chemistry"/>
    <n v="1"/>
    <n v="425763"/>
    <x v="30"/>
    <s v="000000"/>
    <s v="KUST - General"/>
    <n v="847001"/>
    <x v="1"/>
    <n v="200179"/>
    <s v="847.8470415.1.425763.000000.847001.200179"/>
    <m/>
    <m/>
    <m/>
    <s v="425763.Student Project Expenses-Number of Students Master-Month"/>
    <s v="Month"/>
    <x v="20"/>
    <x v="65"/>
    <x v="480"/>
    <n v="20000"/>
    <s v="KU Regular operations"/>
    <s v="Recurring"/>
    <n v="18000"/>
    <n v="16000"/>
    <n v="14000"/>
    <s v="Less funding for projects - limits the work to be done."/>
    <s v="Less funding for projects - limits the work to be done."/>
    <s v="Severly limits the qunatity and quality of work to be done."/>
    <m/>
    <n v="2000"/>
    <n v="2000"/>
    <n v="2000"/>
    <n v="2000"/>
    <n v="2000"/>
    <n v="2000"/>
    <n v="2000"/>
    <n v="2000"/>
    <n v="2000"/>
    <m/>
    <n v="2000"/>
    <n v="20000"/>
    <n v="0"/>
    <s v="Recruit and retain high caliber faculty, researchers and staff"/>
  </r>
  <r>
    <n v="8470415"/>
    <s v="KUST - Chemistry"/>
    <n v="1"/>
    <n v="425763"/>
    <x v="30"/>
    <s v="000000"/>
    <s v="KUST - General"/>
    <n v="847001"/>
    <x v="1"/>
    <n v="200179"/>
    <s v="847.8470415.1.425763.000000.847001.200179"/>
    <m/>
    <m/>
    <m/>
    <s v="425763.Student Project Expenses-Number of Students UG-Month"/>
    <s v="Month"/>
    <x v="24"/>
    <x v="65"/>
    <x v="481"/>
    <n v="60000"/>
    <s v="KU Regular operations"/>
    <s v="Recurring"/>
    <n v="54000"/>
    <n v="48000"/>
    <n v="42000"/>
    <s v="Less innovative projects to be conducted"/>
    <s v="Less innovative projects to be conducted"/>
    <s v="Less innovative projects to be conducted"/>
    <m/>
    <n v="15000"/>
    <n v="15000"/>
    <m/>
    <m/>
    <m/>
    <m/>
    <m/>
    <n v="15000"/>
    <n v="15000"/>
    <m/>
    <m/>
    <n v="60000"/>
    <n v="0"/>
    <s v="Develop the university innovation and entrepreneurship system"/>
  </r>
  <r>
    <n v="8470415"/>
    <s v="KUST - Chemistry"/>
    <n v="1"/>
    <n v="425770"/>
    <x v="31"/>
    <s v="000000"/>
    <s v="KUST - General"/>
    <n v="847001"/>
    <x v="1"/>
    <n v="200179"/>
    <s v="847.8470415.1.425770.000000.847001.200179"/>
    <n v="6028.16"/>
    <n v="285000"/>
    <n v="220000"/>
    <s v="425770.Academic Missions - Combined expenses-Number of Conference-Number"/>
    <s v="Number"/>
    <x v="67"/>
    <x v="62"/>
    <x v="482"/>
    <n v="360000"/>
    <s v="KU Regular operations"/>
    <s v="Recurring"/>
    <n v="324000"/>
    <n v="288000"/>
    <n v="251999.99999999997"/>
    <s v="Fewer or less prestigious conferences attended - limits high quality research dissemination and reputation building. Less impact"/>
    <s v="Fewer or less prestigious conferences attended - limits high quality research dissemination and reputation building. Less impact."/>
    <s v="Fewer or less prestigious conferences attended - limits high quality research dissemination and reputation building. Much less impact."/>
    <m/>
    <m/>
    <m/>
    <n v="30000"/>
    <m/>
    <n v="90000"/>
    <n v="120000"/>
    <m/>
    <n v="90000"/>
    <m/>
    <m/>
    <n v="30000"/>
    <n v="360000"/>
    <n v="0"/>
    <s v="Recruit and retain high caliber faculty, researchers and staff"/>
  </r>
  <r>
    <n v="8470415"/>
    <s v="KUST - Chemistry"/>
    <n v="1"/>
    <n v="425770"/>
    <x v="31"/>
    <s v="000000"/>
    <s v="KUST - General"/>
    <n v="847001"/>
    <x v="1"/>
    <n v="200179"/>
    <s v="847.8470415.1.425770.000000.847001.200179"/>
    <m/>
    <m/>
    <m/>
    <s v="425770.Academic Missions - Combined expenses-Number of Meeting-Number"/>
    <s v="Number"/>
    <x v="7"/>
    <x v="62"/>
    <x v="483"/>
    <n v="75000"/>
    <s v="KU Regular operations"/>
    <s v="Recurring"/>
    <n v="67500"/>
    <n v="60000"/>
    <n v="52500"/>
    <s v="Fewer visits - limits work on building collaborations"/>
    <s v="Fewer visits - limits work on building collaborations"/>
    <s v="Fewer visits - limits work on building collaborations"/>
    <m/>
    <m/>
    <n v="15000"/>
    <m/>
    <m/>
    <n v="30000"/>
    <m/>
    <m/>
    <m/>
    <m/>
    <m/>
    <n v="30000"/>
    <n v="75000"/>
    <n v="0"/>
    <s v="Build partnerships with local and international universities"/>
  </r>
  <r>
    <n v="8470415"/>
    <s v="KUST - Chemistry"/>
    <n v="1"/>
    <n v="425900"/>
    <x v="26"/>
    <s v="000000"/>
    <m/>
    <n v="847001"/>
    <x v="1"/>
    <n v="200179"/>
    <s v="847.8470415.1.425900.000000.847001.200179"/>
    <m/>
    <m/>
    <m/>
    <s v="425900.Entertainment and hospitality-1. No of events/workshops planned-count"/>
    <s v="count"/>
    <x v="10"/>
    <x v="40"/>
    <x v="484"/>
    <n v="96000"/>
    <s v="KU Regular operations"/>
    <s v="Recurring"/>
    <n v="86400"/>
    <n v="76800"/>
    <n v="67200"/>
    <s v="Fewer seminars/less distinguished speakers"/>
    <s v="Fewer seminars/less distinguished speakers"/>
    <s v="Fewer seminars/less distinguished speakers"/>
    <m/>
    <n v="12000"/>
    <n v="12000"/>
    <n v="12000"/>
    <n v="12000"/>
    <m/>
    <m/>
    <m/>
    <n v="12000"/>
    <n v="12000"/>
    <n v="12000"/>
    <n v="12000"/>
    <n v="96000"/>
    <n v="0"/>
    <s v="Build partnerships with local and international universities"/>
  </r>
  <r>
    <n v="8470415"/>
    <s v="KUST - Chemistry"/>
    <n v="1"/>
    <n v="425900"/>
    <x v="26"/>
    <s v="000000"/>
    <s v="KUST - General"/>
    <n v="847001"/>
    <x v="1"/>
    <n v="200179"/>
    <s v="847.8470415.1.425900.000000.847001.200179"/>
    <n v="0"/>
    <n v="140000"/>
    <n v="0"/>
    <s v="425900.Entertainment and hospitality-1. No of events/workshops planned-count"/>
    <s v="count"/>
    <x v="1"/>
    <x v="84"/>
    <x v="485"/>
    <n v="140000"/>
    <s v="KU Regular operations"/>
    <s v="Recurring"/>
    <n v="126000"/>
    <n v="112000"/>
    <n v="98000"/>
    <s v="Limit on board activity"/>
    <s v="Limit on board activity"/>
    <s v="Limit on board activity"/>
    <m/>
    <m/>
    <n v="140000"/>
    <m/>
    <m/>
    <m/>
    <m/>
    <m/>
    <m/>
    <m/>
    <m/>
    <m/>
    <n v="140000"/>
    <n v="0"/>
    <s v="Align academic programs with the local and global labor market needs"/>
  </r>
  <r>
    <n v="8470415"/>
    <s v="KUST - Chemistry"/>
    <n v="1"/>
    <n v="425900"/>
    <x v="26"/>
    <s v="000000"/>
    <s v="KUST - General"/>
    <n v="847001"/>
    <x v="1"/>
    <n v="200179"/>
    <s v="847.8470415.1.425900.000000.847001.200179"/>
    <m/>
    <m/>
    <m/>
    <s v="425900.Entertainment and hospitality-1. No of events/workshops planned-count"/>
    <s v="count"/>
    <x v="1"/>
    <x v="84"/>
    <x v="486"/>
    <n v="140000"/>
    <s v="KU Regular operations"/>
    <s v="Recurring"/>
    <n v="126000"/>
    <n v="112000"/>
    <n v="98000"/>
    <s v="Limit on board activity"/>
    <s v="Limit on board activity"/>
    <s v="Limit on board activity"/>
    <m/>
    <n v="140000"/>
    <m/>
    <m/>
    <m/>
    <m/>
    <m/>
    <m/>
    <m/>
    <m/>
    <m/>
    <m/>
    <n v="140000"/>
    <n v="0"/>
    <s v="Increase publications in journals with high impact factor"/>
  </r>
  <r>
    <n v="8470415"/>
    <s v="KUST - Chemistry"/>
    <n v="1"/>
    <n v="426610"/>
    <x v="4"/>
    <s v="000000"/>
    <s v="KUST - General"/>
    <n v="847001"/>
    <x v="1"/>
    <n v="200179"/>
    <s v="847.8470415.1.426610.000000.847001.200179"/>
    <n v="35235.129999999997"/>
    <n v="229511"/>
    <n v="165000"/>
    <s v="426610.Computer software licenses-Software License Renewal-number of licenses-Number"/>
    <s v="Number"/>
    <x v="1"/>
    <x v="240"/>
    <x v="487"/>
    <n v="97617"/>
    <s v="KU Regular operations"/>
    <s v="Recurring"/>
    <n v="87855.3"/>
    <n v="78093.600000000006"/>
    <n v="68331.899999999994"/>
    <s v="Negotiations needed with vendor. May not be posssible to purchase so will have to be removed from teaching. Teaching will be less effective"/>
    <s v="Negotiations needed with vendor. May not be posssible to purchase so will have to be removed from teaching. Teaching will be less effective"/>
    <s v="Will probably not be posssible to purchase so will have to be removed from teaching. Teaching will be less effective."/>
    <m/>
    <n v="97617"/>
    <m/>
    <m/>
    <m/>
    <m/>
    <m/>
    <m/>
    <m/>
    <m/>
    <s v=" "/>
    <m/>
    <n v="97617"/>
    <n v="0"/>
    <s v="Align academic programs with the local and global labor market needs"/>
  </r>
  <r>
    <n v="8470415"/>
    <s v="KUST - Chemistry"/>
    <n v="1"/>
    <n v="426610"/>
    <x v="4"/>
    <s v="000000"/>
    <s v="KUST - General"/>
    <n v="847001"/>
    <x v="1"/>
    <n v="200179"/>
    <s v="847.8470415.1.426610.000000.847001.200179"/>
    <m/>
    <m/>
    <m/>
    <s v="426610.Computer software licenses-Software License Renewal-number of licenses-Number"/>
    <s v="Number"/>
    <x v="1"/>
    <x v="42"/>
    <x v="488"/>
    <n v="30000"/>
    <s v="KU Regular operations"/>
    <s v="Recurring"/>
    <n v="27000"/>
    <n v="24000"/>
    <n v="21000"/>
    <s v="Negotiations needed with vendor. May not be posssible to purchase so will have to limit some research and publications as well as activities of Chemical Crystallography laboratory."/>
    <s v="Negotiations needed with vendor. May not be posssible to purchase so will have to limit some research and publications as well as activities of Chemical Crystallography laboratory."/>
    <s v="Negotiations needed with vendor. May not be posssible to purchase so will have to limit or restrict some research and publications as well as activities of Chemical crystallography laboratory."/>
    <m/>
    <m/>
    <n v="30000"/>
    <m/>
    <m/>
    <m/>
    <m/>
    <m/>
    <m/>
    <m/>
    <m/>
    <m/>
    <n v="30000"/>
    <n v="0"/>
    <s v="Increase publications in journals with high impact factor"/>
  </r>
  <r>
    <n v="8470415"/>
    <s v="KUST - Chemistry"/>
    <n v="1"/>
    <n v="426610"/>
    <x v="4"/>
    <s v="000000"/>
    <s v="KUST - General"/>
    <n v="847001"/>
    <x v="1"/>
    <n v="200179"/>
    <s v="847.8470415.1.426610.000000.847001.200179"/>
    <m/>
    <m/>
    <m/>
    <s v="426610.Computer software licenses-Software License Renewal-number of licenses-Number"/>
    <s v="Number"/>
    <x v="1"/>
    <x v="241"/>
    <x v="489"/>
    <n v="31195"/>
    <s v="KU Regular operations"/>
    <s v="Recurring"/>
    <n v="28075.5"/>
    <n v="24956"/>
    <n v="21836.5"/>
    <s v="Negotiations needed with vendor. May not be posssible to purchase so will have to be removed from teaching. Teaching will be less effective, publication of high quality research papers will be compromised."/>
    <s v="Negotiations needed with vendor. May not be posssible to purchase so will have to be removed from teaching. Teaching will be less effective, publication of high quality research papers will be compromised."/>
    <s v="Negotiations needed with vendor. May not be posssible to purchase so will have to be removed from teaching. Teaching will be less effective, publication of high quality research papers will be compromised."/>
    <m/>
    <m/>
    <m/>
    <m/>
    <m/>
    <m/>
    <n v="31195"/>
    <m/>
    <m/>
    <m/>
    <m/>
    <m/>
    <n v="31195"/>
    <n v="0"/>
    <s v="Align academic programs with the local and global labor market needs"/>
  </r>
  <r>
    <n v="8470415"/>
    <s v="KUST - Chemistry"/>
    <n v="1"/>
    <n v="426610"/>
    <x v="4"/>
    <s v="000000"/>
    <s v="KUST - General"/>
    <n v="847001"/>
    <x v="1"/>
    <n v="200179"/>
    <s v="847.8470415.1.426610.000000.847001.200179"/>
    <m/>
    <m/>
    <m/>
    <s v="426610.Computer software licenses-Software License Renewal-number of licenses-Number"/>
    <s v="Number"/>
    <x v="1"/>
    <x v="242"/>
    <x v="490"/>
    <n v="25323"/>
    <s v="KU Strategic New Initiative"/>
    <s v="Non-recurring"/>
    <n v="22790.7"/>
    <n v="20258.400000000001"/>
    <n v="17726.099999999999"/>
    <s v="Negotiations needed with vendor. May not be posssible to purchase so will have to limit some research and publications as well as activities of Chemical Crystallography laboratory."/>
    <s v="Negotiations needed with vendor. May not be posssible to purchase so will have to limit some research and publications as well as activities of Chemical Crystallography laboratory."/>
    <s v="Negotiations needed with vendor. May not be posssible to purchase so will have to limit or restrict some research and publications as well as activities of Chemical crystallography laboratory."/>
    <m/>
    <n v="25323"/>
    <m/>
    <m/>
    <m/>
    <m/>
    <m/>
    <m/>
    <m/>
    <m/>
    <m/>
    <m/>
    <n v="25323"/>
    <n v="0"/>
    <s v="Increase publications in journals with high impact factor"/>
  </r>
  <r>
    <n v="8470415"/>
    <s v="KUST - Chemistry"/>
    <n v="1"/>
    <n v="426610"/>
    <x v="4"/>
    <s v="000000"/>
    <s v="KUST - General"/>
    <n v="847001"/>
    <x v="1"/>
    <n v="200179"/>
    <s v="847.8470415.1.426610.000000.847001.200179"/>
    <m/>
    <m/>
    <m/>
    <s v="426610.Computer software licenses-Software License Renewal-number of licenses-Number"/>
    <s v="Number"/>
    <x v="1"/>
    <x v="243"/>
    <x v="491"/>
    <n v="10827"/>
    <s v="KU Strategic New Initiative"/>
    <s v="Non-recurring"/>
    <n v="9744.3000000000011"/>
    <n v="8661.6"/>
    <n v="7578.9"/>
    <s v="Negotiations needed with vendor. May not be posssible to purchase so will have to limit some research and publications as well as activities of Chemical Crystallography laboratory."/>
    <s v="Negotiations needed with vendor. May not be posssible to purchase so will have to limit some research and publications as well as activities of Chemical Crystallography laboratory."/>
    <s v="Negotiations needed with vendor. May not be posssible to purchase so will have to limit or restrict some research and publications as well as activities of Chemical crystallography laboratory."/>
    <m/>
    <n v="10827"/>
    <m/>
    <m/>
    <m/>
    <m/>
    <m/>
    <m/>
    <m/>
    <m/>
    <m/>
    <m/>
    <n v="10827"/>
    <n v="0"/>
    <s v="Increase publications in journals with high impact factor"/>
  </r>
  <r>
    <n v="8470415"/>
    <s v="KUST - Chemistry"/>
    <n v="1"/>
    <n v="428640"/>
    <x v="27"/>
    <s v="000000"/>
    <s v="KUST - General"/>
    <n v="847001"/>
    <x v="1"/>
    <n v="200179"/>
    <s v="847.8470415.1.428640.000000.847001.200179"/>
    <s v="-"/>
    <n v="15000"/>
    <n v="10000"/>
    <s v="428640.Events - Awards, prizes &amp; gifts-Number of awards-count"/>
    <s v="count"/>
    <x v="1"/>
    <x v="31"/>
    <x v="492"/>
    <n v="20000"/>
    <s v="KU Regular operations"/>
    <s v="Recurring"/>
    <n v="18000"/>
    <n v="16000"/>
    <n v="14000"/>
    <s v="Fewer available - limit on publicity etc."/>
    <s v="Fewer available - limit on publicity etc."/>
    <s v="Fewer available - limit on publicity etc."/>
    <m/>
    <n v="2000"/>
    <m/>
    <n v="5000"/>
    <m/>
    <n v="5000"/>
    <m/>
    <m/>
    <n v="3000"/>
    <m/>
    <m/>
    <n v="5000"/>
    <n v="20000"/>
    <n v="0"/>
    <s v="Enhance the communication plan and outreach activities"/>
  </r>
  <r>
    <n v="8470415"/>
    <s v="KUST - Chemistry"/>
    <n v="1"/>
    <n v="432209"/>
    <x v="32"/>
    <s v="000000"/>
    <s v="KUST - General"/>
    <n v="847001"/>
    <x v="1"/>
    <n v="200179"/>
    <s v="847.8470415.1.432209.000000.847001.200179"/>
    <n v="85887.1"/>
    <n v="301000"/>
    <n v="300000"/>
    <s v="432209.Laboratory equipment-Number of Students-Number"/>
    <s v="Number"/>
    <x v="1"/>
    <x v="244"/>
    <x v="493"/>
    <n v="435000"/>
    <s v="KU Regular operations"/>
    <s v="Recurring"/>
    <n v="391500"/>
    <n v="348000"/>
    <n v="304500"/>
    <s v="Broken instruments may not be replaced. Quality of student education will be compromised somewhat."/>
    <s v="Broken instruments may not be replaced. Quality of student education will be compromised."/>
    <s v="Broken instruments may not be replaced. Quality of student education will be seriously compromised."/>
    <m/>
    <m/>
    <n v="50000"/>
    <m/>
    <n v="150000"/>
    <m/>
    <m/>
    <n v="200000"/>
    <m/>
    <m/>
    <m/>
    <n v="35000"/>
    <n v="435000"/>
    <n v="0"/>
    <s v="Align academic programs with the local and global labor market needs"/>
  </r>
  <r>
    <n v="8470415"/>
    <s v="KUST - Chemistry"/>
    <n v="1"/>
    <n v="432209"/>
    <x v="32"/>
    <s v="000000"/>
    <s v="KUST - General"/>
    <n v="847001"/>
    <x v="1"/>
    <n v="200179"/>
    <s v="847.8470415.1.432209.000000.847001.200179"/>
    <m/>
    <m/>
    <m/>
    <s v="432209.Laboratory equipment-Number of Faculty-Number"/>
    <s v="Number"/>
    <x v="3"/>
    <x v="109"/>
    <x v="494"/>
    <n v="450000"/>
    <s v="KU Strategic New Initiative"/>
    <s v="Non-recurring"/>
    <n v="405000"/>
    <n v="360000"/>
    <n v="315000"/>
    <s v="Progress and start-up will be slower."/>
    <s v="Progress and start-up will be slower."/>
    <s v="Progress and start-up will be slower."/>
    <m/>
    <m/>
    <n v="150000"/>
    <m/>
    <n v="150000"/>
    <m/>
    <m/>
    <n v="150000"/>
    <m/>
    <m/>
    <m/>
    <m/>
    <n v="450000"/>
    <n v="0"/>
    <s v="Recruit and retain high caliber faculty, researchers and staff"/>
  </r>
  <r>
    <n v="8470415"/>
    <s v="KUST - Chemistry"/>
    <n v="1"/>
    <n v="432209"/>
    <x v="32"/>
    <s v="000000"/>
    <s v="KUST - General"/>
    <n v="847001"/>
    <x v="1"/>
    <n v="200179"/>
    <s v="847.8470415.1.432209.000000.847001.200179"/>
    <m/>
    <m/>
    <m/>
    <s v="432209.Laboratory equipment-Number of Faculty-Number"/>
    <s v="Number"/>
    <x v="1"/>
    <x v="106"/>
    <x v="495"/>
    <n v="95000"/>
    <s v="KU Strategic New Initiative"/>
    <s v="Non-recurring"/>
    <n v="85500"/>
    <n v="76000"/>
    <n v="66500"/>
    <s v="May only be able to keep two instruments in operation"/>
    <s v="May only be able to keep two instruments in operation"/>
    <s v="May only be able to keep one or two instruments in operation"/>
    <m/>
    <n v="95000"/>
    <m/>
    <m/>
    <m/>
    <m/>
    <m/>
    <m/>
    <m/>
    <m/>
    <m/>
    <m/>
    <n v="95000"/>
    <n v="0"/>
    <s v="Increase publications in journals with high impact factor"/>
  </r>
  <r>
    <n v="8470415"/>
    <s v="KUST - Chemistry"/>
    <n v="1"/>
    <n v="435350"/>
    <x v="33"/>
    <s v="000000"/>
    <s v="KUST - General"/>
    <n v="847001"/>
    <x v="1"/>
    <n v="200179"/>
    <s v="847.8470415.1.435350.000000.847001.200179"/>
    <n v="15797.82"/>
    <n v="70000"/>
    <n v="50000"/>
    <s v="435350.Academic Publications-Number of Publications-Number"/>
    <s v="Number"/>
    <x v="12"/>
    <x v="40"/>
    <x v="496"/>
    <n v="180000"/>
    <s v="KU Regular operations"/>
    <s v="Recurring"/>
    <n v="162000"/>
    <n v="144000"/>
    <n v="125999.99999999999"/>
    <s v="Fewer high quality papers published or publication delayed/in lower ranked journals"/>
    <s v="Fewer high quality papers published or publication delayed/in lower ranked journals"/>
    <s v="Fewer high quality papers published or publication delayed/in lower ranked journals"/>
    <m/>
    <n v="36000"/>
    <m/>
    <n v="36000"/>
    <m/>
    <s v=" "/>
    <n v="36000"/>
    <s v=" "/>
    <n v="36000"/>
    <m/>
    <n v="36000"/>
    <m/>
    <n v="180000"/>
    <n v="0"/>
    <s v="Increase publications in journals with high impact factor"/>
  </r>
  <r>
    <n v="8470415"/>
    <s v="KUST - Chemistry"/>
    <n v="1"/>
    <n v="435508"/>
    <x v="34"/>
    <s v="000000"/>
    <s v="KUST - General"/>
    <n v="847001"/>
    <x v="1"/>
    <n v="200179"/>
    <s v="847.8470415.1.435508.000000.847001.200179"/>
    <n v="146217.29999999999"/>
    <n v="525000"/>
    <n v="500000"/>
    <s v="435508.Laboratory - Scientific-Number of Students-Number"/>
    <s v="Number"/>
    <x v="1"/>
    <x v="245"/>
    <x v="497"/>
    <n v="750000"/>
    <s v="KU Regular operations"/>
    <s v="Recurring"/>
    <n v="675000"/>
    <n v="600000"/>
    <n v="525000"/>
    <s v="Quality of student education will be compromised somewhat."/>
    <s v="Quality of student education will be compromised."/>
    <s v=" Quality of student education will be seriously compromised."/>
    <m/>
    <n v="150000"/>
    <m/>
    <m/>
    <n v="200000"/>
    <m/>
    <m/>
    <n v="200000"/>
    <m/>
    <m/>
    <n v="200000"/>
    <m/>
    <n v="750000"/>
    <n v="0"/>
    <s v="Align academic programs with the local and global labor market needs"/>
  </r>
  <r>
    <n v="8470415"/>
    <s v="KUST - Chemistry"/>
    <n v="1"/>
    <n v="435508"/>
    <x v="34"/>
    <s v="000000"/>
    <s v="KUST - General"/>
    <n v="847001"/>
    <x v="1"/>
    <n v="200179"/>
    <s v="847.8470415.1.435508.000000.847001.200179"/>
    <m/>
    <m/>
    <m/>
    <s v="435508.Laboratory - Scientific-Number of Students-Number"/>
    <s v="Number"/>
    <x v="1"/>
    <x v="161"/>
    <x v="498"/>
    <n v="250000"/>
    <s v="KU Strategic New Initiative"/>
    <s v="Non-recurring"/>
    <n v="225000"/>
    <n v="200000"/>
    <n v="175000"/>
    <s v="Some students will work in larger groups - not industry standard education."/>
    <s v="Students will work in larger groups - not industry standard education."/>
    <s v="Students will work in larger groups - not industry standard education."/>
    <m/>
    <n v="200000"/>
    <m/>
    <m/>
    <n v="50000"/>
    <m/>
    <m/>
    <m/>
    <m/>
    <m/>
    <m/>
    <m/>
    <n v="250000"/>
    <n v="0"/>
    <s v="Recruit and retain high caliber faculty, researchers and staff"/>
  </r>
  <r>
    <n v="8470415"/>
    <s v="KUST - Chemistry"/>
    <n v="1"/>
    <n v="435508"/>
    <x v="34"/>
    <s v="000000"/>
    <s v="KUST - General"/>
    <n v="847001"/>
    <x v="1"/>
    <n v="200179"/>
    <s v="847.8470415.1.435508.000000.847001.200179"/>
    <m/>
    <m/>
    <m/>
    <s v="435508.Laboratory - Scientific-Number of Faculty-Number"/>
    <s v="Number"/>
    <x v="3"/>
    <x v="30"/>
    <x v="494"/>
    <n v="150000"/>
    <s v="KU Strategic New Initiative"/>
    <s v="Non-recurring"/>
    <n v="135000"/>
    <n v="120000"/>
    <n v="105000"/>
    <s v="Progress and start-up will be slower."/>
    <s v="Progress and start-up will be slower."/>
    <s v="Progress and start-up will be slower."/>
    <m/>
    <s v=" "/>
    <n v="50000"/>
    <m/>
    <n v="50000"/>
    <m/>
    <m/>
    <n v="50000"/>
    <m/>
    <m/>
    <m/>
    <m/>
    <n v="150000"/>
    <n v="0"/>
    <s v="Align academic programs with the local and global labor market needs"/>
  </r>
  <r>
    <n v="8470415"/>
    <s v="KUST - Chemistry"/>
    <n v="1"/>
    <n v="435508"/>
    <x v="34"/>
    <s v="000000"/>
    <s v="KUST - General"/>
    <n v="847001"/>
    <x v="1"/>
    <n v="200179"/>
    <s v="847.8470415.1.435508.000000.847001.200179"/>
    <m/>
    <m/>
    <m/>
    <s v="435508.Laboratory - Scientific-Number of Faculty-Number"/>
    <s v="Number"/>
    <x v="1"/>
    <x v="27"/>
    <x v="499"/>
    <n v="50000"/>
    <s v="KU Strategic New Initiative"/>
    <s v="Non-recurring"/>
    <n v="45000"/>
    <n v="40000"/>
    <n v="35000"/>
    <s v="Less will be available. May not be able to service all demands."/>
    <s v="Less will be available. May not be able to service all demands."/>
    <s v="May not be able to service all demands so customer service is threatened and the KPIs of CCL may not be delivered."/>
    <m/>
    <m/>
    <n v="20000"/>
    <m/>
    <m/>
    <m/>
    <n v="20000"/>
    <m/>
    <m/>
    <m/>
    <n v="10000"/>
    <m/>
    <n v="50000"/>
    <n v="0"/>
    <s v="Increase publications in journals with high impact factor"/>
  </r>
  <r>
    <n v="8470415"/>
    <s v="KUST - Chemistry"/>
    <n v="1"/>
    <n v="492316"/>
    <x v="19"/>
    <s v="000000"/>
    <s v="KUST - General"/>
    <n v="847001"/>
    <x v="2"/>
    <n v="300180"/>
    <s v="847.8470415.1.492316.000000.847001.300180"/>
    <n v="751050"/>
    <n v="1891417"/>
    <n v="1891400"/>
    <s v="492316.Laboratory equipment-Number of Faculty-Number"/>
    <s v="Number"/>
    <x v="1"/>
    <x v="246"/>
    <x v="500"/>
    <n v="115395"/>
    <s v="KU Strategic New Initiative"/>
    <s v="Non-recurring"/>
    <n v="103855.5"/>
    <n v="92316"/>
    <n v="80776.5"/>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m/>
    <n v="115395"/>
    <m/>
    <m/>
    <m/>
    <m/>
    <n v="115395"/>
    <n v="0"/>
    <s v="Align academic programs with the local and global labor market needs"/>
  </r>
  <r>
    <n v="8470415"/>
    <s v="KUST - Chemistry"/>
    <n v="1"/>
    <n v="492316"/>
    <x v="19"/>
    <s v="000000"/>
    <s v="KUST - General"/>
    <n v="847001"/>
    <x v="2"/>
    <n v="300180"/>
    <s v="847.8470415.1.492316.000000.847001.300180"/>
    <m/>
    <m/>
    <m/>
    <s v="492316.Laboratory equipment-Number of Faculty-Number"/>
    <s v="Number"/>
    <x v="1"/>
    <x v="247"/>
    <x v="501"/>
    <n v="138600"/>
    <s v="KU Strategic New Initiative"/>
    <s v="Non-recurring"/>
    <n v="124740"/>
    <n v="110880"/>
    <n v="97020"/>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m/>
    <n v="138600"/>
    <m/>
    <m/>
    <m/>
    <m/>
    <n v="138600"/>
    <n v="0"/>
    <s v="Increase publications in journals with high impact factor"/>
  </r>
  <r>
    <n v="8470415"/>
    <s v="KUST - Chemistry"/>
    <n v="1"/>
    <n v="492316"/>
    <x v="19"/>
    <s v="000000"/>
    <s v="KUST - General"/>
    <n v="847001"/>
    <x v="2"/>
    <n v="300180"/>
    <s v="847.8470415.1.492316.000000.847001.300180"/>
    <m/>
    <m/>
    <m/>
    <s v="492316.Laboratory equipment-Number of Faculty-Number"/>
    <s v="Number"/>
    <x v="1"/>
    <x v="248"/>
    <x v="502"/>
    <n v="391000"/>
    <s v="KU Strategic New Initiative"/>
    <s v="Non-recurring"/>
    <n v="351900"/>
    <n v="312800"/>
    <n v="273700"/>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m/>
    <n v="391000"/>
    <m/>
    <m/>
    <m/>
    <m/>
    <n v="391000"/>
    <n v="0"/>
    <s v="Increase publications in journals with high impact factor"/>
  </r>
  <r>
    <n v="8470415"/>
    <s v="KUST - Chemistry"/>
    <n v="1"/>
    <n v="492316"/>
    <x v="19"/>
    <s v="000000"/>
    <s v="KUST - General"/>
    <n v="847001"/>
    <x v="2"/>
    <n v="300180"/>
    <s v="847.8470415.1.492316.000000.847001.300180"/>
    <m/>
    <m/>
    <m/>
    <s v="492316.Laboratory equipment-Number of Faculty-Number"/>
    <s v="Number"/>
    <x v="1"/>
    <x v="249"/>
    <x v="503"/>
    <n v="567000"/>
    <s v="KU Strategic New Initiative"/>
    <s v="Non-recurring"/>
    <n v="510300"/>
    <n v="453600"/>
    <n v="396900"/>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m/>
    <n v="567000"/>
    <m/>
    <m/>
    <m/>
    <m/>
    <n v="567000"/>
    <n v="0"/>
    <s v="Align academic programs with the local and global labor market needs"/>
  </r>
  <r>
    <n v="8470415"/>
    <s v="KUST - Chemistry"/>
    <n v="1"/>
    <n v="492316"/>
    <x v="19"/>
    <s v="000000"/>
    <s v="KUST - General"/>
    <n v="847001"/>
    <x v="2"/>
    <n v="300180"/>
    <s v="847.8470415.1.492316.000000.847001.300180"/>
    <m/>
    <m/>
    <m/>
    <s v="492316.Laboratory equipment-Number of Faculty-Number"/>
    <s v="Number"/>
    <x v="1"/>
    <x v="250"/>
    <x v="504"/>
    <n v="376771"/>
    <s v="KU Strategic New Initiative"/>
    <s v="Non-recurring"/>
    <n v="339093.9"/>
    <n v="301416.8"/>
    <n v="263739.7"/>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m/>
    <n v="376771"/>
    <m/>
    <m/>
    <m/>
    <m/>
    <n v="376771"/>
    <n v="0"/>
    <s v="Increase publications in journals with high impact factor"/>
  </r>
  <r>
    <n v="8470415"/>
    <s v="KUST - Chemistry"/>
    <n v="1"/>
    <n v="492316"/>
    <x v="19"/>
    <s v="000000"/>
    <s v="KUST - General"/>
    <n v="847001"/>
    <x v="2"/>
    <n v="300180"/>
    <s v="847.8470415.1.492316.000000.847001.300180"/>
    <m/>
    <m/>
    <m/>
    <s v="492316.Laboratory equipment-Number of Faculty-Number"/>
    <s v="Number"/>
    <x v="1"/>
    <x v="251"/>
    <x v="505"/>
    <n v="27914"/>
    <s v="KU Strategic New Initiative"/>
    <s v="Non-recurring"/>
    <n v="25122.600000000002"/>
    <n v="22331.200000000001"/>
    <n v="19539.8"/>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m/>
    <n v="27914"/>
    <m/>
    <m/>
    <m/>
    <m/>
    <n v="27914"/>
    <n v="0"/>
    <s v="Increase publications in journals with high impact factor"/>
  </r>
  <r>
    <n v="8470415"/>
    <s v="KUST - Chemistry"/>
    <n v="1"/>
    <n v="492316"/>
    <x v="19"/>
    <s v="000000"/>
    <s v="KUST - General"/>
    <n v="847001"/>
    <x v="2"/>
    <n v="300180"/>
    <s v="847.8470415.1.492316.000000.847001.300180"/>
    <m/>
    <m/>
    <m/>
    <s v="492316.Laboratory equipment-Number of Faculty-Number"/>
    <s v="Number"/>
    <x v="1"/>
    <x v="252"/>
    <x v="506"/>
    <n v="139734"/>
    <s v="KU Strategic New Initiative"/>
    <s v="Non-recurring"/>
    <n v="125760.6"/>
    <n v="111787.20000000001"/>
    <n v="97813.799999999988"/>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m/>
    <n v="139734"/>
    <m/>
    <m/>
    <m/>
    <m/>
    <n v="139734"/>
    <n v="0"/>
    <s v="Increase publications in journals with high impact factor"/>
  </r>
  <r>
    <n v="8470415"/>
    <s v="KUST - Chemistry"/>
    <n v="1"/>
    <n v="492316"/>
    <x v="19"/>
    <s v="000000"/>
    <s v="KUST - General"/>
    <n v="847001"/>
    <x v="2"/>
    <n v="300180"/>
    <s v="847.8470415.1.492316.000000.847001.300180"/>
    <m/>
    <m/>
    <m/>
    <s v="492316.Laboratory equipment-Number of Faculty-Number"/>
    <s v="Number"/>
    <x v="11"/>
    <x v="253"/>
    <x v="507"/>
    <n v="715408"/>
    <s v="KU Strategic New Initiative"/>
    <s v="Non-recurring"/>
    <n v="643867.20000000007"/>
    <n v="572326.40000000002"/>
    <n v="500785.6"/>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m/>
    <n v="715408"/>
    <m/>
    <m/>
    <m/>
    <m/>
    <n v="715408"/>
    <n v="0"/>
    <s v="Increase publications in journals with high impact factor"/>
  </r>
  <r>
    <n v="8470415"/>
    <s v="KUST - Chemistry"/>
    <n v="1"/>
    <n v="492316"/>
    <x v="19"/>
    <s v="000000"/>
    <s v="KUST - General"/>
    <n v="847001"/>
    <x v="2"/>
    <n v="300180"/>
    <s v="847.8470415.1.492316.000000.847001.300180"/>
    <m/>
    <m/>
    <m/>
    <s v="492316.Laboratory equipment-Number of Faculty-Number"/>
    <s v="Number"/>
    <x v="1"/>
    <x v="254"/>
    <x v="508"/>
    <n v="41177"/>
    <s v="KU Strategic New Initiative"/>
    <s v="Non-recurring"/>
    <n v="37059.300000000003"/>
    <n v="32941.599999999999"/>
    <n v="28823.899999999998"/>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n v="41177"/>
    <m/>
    <m/>
    <m/>
    <m/>
    <m/>
    <n v="41177"/>
    <n v="0"/>
    <s v="Increase publications in journals with high impact factor"/>
  </r>
  <r>
    <n v="8470415"/>
    <s v="KUST - Chemistry"/>
    <n v="1"/>
    <n v="492316"/>
    <x v="19"/>
    <s v="000000"/>
    <s v="KUST - General"/>
    <n v="847001"/>
    <x v="2"/>
    <n v="300180"/>
    <s v="847.8470415.1.492316.000000.847001.300180"/>
    <s v="-"/>
    <s v="-"/>
    <m/>
    <s v="492316.Laboratory equipment-Number of Faculty-Number"/>
    <s v="Number"/>
    <x v="1"/>
    <x v="255"/>
    <x v="509"/>
    <n v="85027"/>
    <s v="KU Strategic New Initiative"/>
    <s v="Non-recurring"/>
    <n v="76524.3"/>
    <n v="68021.600000000006"/>
    <n v="59518.899999999994"/>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n v="85027"/>
    <m/>
    <m/>
    <m/>
    <m/>
    <m/>
    <n v="85027"/>
    <n v="0"/>
    <s v="Increase publications in journals with high impact factor"/>
  </r>
  <r>
    <n v="8470415"/>
    <s v="KUST - Chemistry"/>
    <n v="1"/>
    <n v="492316"/>
    <x v="19"/>
    <s v="000000"/>
    <s v="KUST - General"/>
    <n v="847001"/>
    <x v="2"/>
    <n v="300180"/>
    <s v="847.8470415.1.492316.000000.847001.300180"/>
    <m/>
    <m/>
    <m/>
    <s v="492316.Laboratory equipment-Number of Faculty-Number"/>
    <s v="Number"/>
    <x v="11"/>
    <x v="256"/>
    <x v="510"/>
    <n v="272742"/>
    <s v="KU Strategic New Initiative"/>
    <s v="Non-recurring"/>
    <n v="245467.80000000002"/>
    <n v="218193.6"/>
    <n v="190919.4"/>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n v="272742"/>
    <m/>
    <m/>
    <m/>
    <m/>
    <m/>
    <n v="272742"/>
    <n v="0"/>
    <s v="Align academic programs with the local and global labor market needs"/>
  </r>
  <r>
    <n v="8470415"/>
    <s v="KUST - Chemistry"/>
    <n v="1"/>
    <n v="492316"/>
    <x v="19"/>
    <s v="000000"/>
    <s v="KUST - General"/>
    <n v="847001"/>
    <x v="2"/>
    <n v="300180"/>
    <s v="847.8470415.1.492316.000000.847001.300180"/>
    <s v="-"/>
    <s v="-"/>
    <m/>
    <s v="492316.Laboratory equipment-Number of Faculty-Number"/>
    <s v="Number"/>
    <x v="1"/>
    <x v="257"/>
    <x v="511"/>
    <n v="142462"/>
    <s v="KU Strategic New Initiative"/>
    <s v="Non-recurring"/>
    <n v="128215.8"/>
    <n v="113969.60000000001"/>
    <n v="99723.4"/>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n v="142462"/>
    <m/>
    <m/>
    <m/>
    <m/>
    <m/>
    <n v="142462"/>
    <n v="0"/>
    <s v="Increase publications in journals with high impact factor"/>
  </r>
  <r>
    <n v="8470415"/>
    <s v="KUST - Chemistry"/>
    <n v="1"/>
    <n v="492316"/>
    <x v="19"/>
    <s v="000000"/>
    <s v="KUST - General"/>
    <n v="847001"/>
    <x v="2"/>
    <n v="300180"/>
    <s v="847.8470415.1.492316.000000.847001.300180"/>
    <m/>
    <m/>
    <m/>
    <s v="492316.Laboratory equipment-Number of Faculty-Number"/>
    <s v="Number"/>
    <x v="1"/>
    <x v="258"/>
    <x v="512"/>
    <n v="36272"/>
    <s v="KU Strategic New Initiative"/>
    <s v="Non-recurring"/>
    <n v="32644.799999999999"/>
    <n v="29017.600000000002"/>
    <n v="25390.399999999998"/>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n v="36272"/>
    <m/>
    <m/>
    <m/>
    <m/>
    <m/>
    <n v="36272"/>
    <n v="0"/>
    <s v="Increase publications in journals with high impact factor"/>
  </r>
  <r>
    <n v="8470415"/>
    <s v="KUST - Chemistry"/>
    <n v="1"/>
    <n v="492316"/>
    <x v="19"/>
    <s v="000000"/>
    <s v="KUST - General"/>
    <n v="847001"/>
    <x v="2"/>
    <n v="300180"/>
    <s v="847.8470415.1.492316.000000.847001.300180"/>
    <m/>
    <m/>
    <m/>
    <s v="492316.Laboratory equipment-Number of Faculty-Number"/>
    <s v="Number"/>
    <x v="1"/>
    <x v="259"/>
    <x v="513"/>
    <n v="32778"/>
    <s v="KU Strategic New Initiative"/>
    <s v="Non-recurring"/>
    <n v="29500.2"/>
    <n v="26222.400000000001"/>
    <n v="22944.6"/>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n v="32778"/>
    <m/>
    <m/>
    <m/>
    <m/>
    <m/>
    <n v="32778"/>
    <n v="0"/>
    <s v="Increase publications in journals with high impact factor"/>
  </r>
  <r>
    <n v="8470415"/>
    <s v="KUST - Chemistry"/>
    <n v="1"/>
    <n v="492316"/>
    <x v="19"/>
    <s v="000000"/>
    <s v="KUST - General"/>
    <n v="847001"/>
    <x v="2"/>
    <n v="300180"/>
    <s v="847.8470415.1.492316.000000.847001.300180"/>
    <m/>
    <m/>
    <m/>
    <s v="492316.Laboratory equipment-Number of Faculty-Number"/>
    <s v="Number"/>
    <x v="1"/>
    <x v="260"/>
    <x v="514"/>
    <n v="304500"/>
    <s v="KU Strategic New Initiative"/>
    <s v="Non-recurring"/>
    <n v="274050"/>
    <n v="243600"/>
    <n v="213150"/>
    <s v="Negotiations needed with vendor. May be posssible to reduce cost."/>
    <s v="Unlikely to purchase - opportunity lost and research and teaching will be restricted, slowed and adversely affected."/>
    <s v="No purchase - opportunity lost and research and teaching will be restricted, slowed and adversely affected."/>
    <m/>
    <m/>
    <m/>
    <m/>
    <m/>
    <m/>
    <n v="304500"/>
    <m/>
    <m/>
    <m/>
    <m/>
    <m/>
    <n v="304500"/>
    <n v="0"/>
    <s v="Increase publications in journals with high impact factor"/>
  </r>
  <r>
    <n v="8470425"/>
    <s v="KUST - Physics"/>
    <n v="1"/>
    <n v="425510"/>
    <x v="23"/>
    <s v="000000"/>
    <s v="KUST - General"/>
    <n v="847001"/>
    <x v="1"/>
    <n v="200179"/>
    <s v="847.8470425.1.425510.000000.847001.200179"/>
    <n v="0"/>
    <n v="45000"/>
    <m/>
    <s v="425510.Conferences, seminars and exhibitions and other events: - Local Events-Number of attendees-count"/>
    <s v="count"/>
    <x v="26"/>
    <x v="67"/>
    <x v="515"/>
    <n v="45000"/>
    <s v="KU Regular operations"/>
    <s v="Recurring"/>
    <n v="40500"/>
    <n v="36000"/>
    <n v="31499.999999999996"/>
    <s v="Impact Dept. run operation"/>
    <s v="Impact Dept. run operation"/>
    <s v="Impact Dept. run operation"/>
    <n v="5000"/>
    <m/>
    <n v="10000"/>
    <m/>
    <m/>
    <m/>
    <n v="10000"/>
    <m/>
    <m/>
    <m/>
    <n v="5000"/>
    <n v="15000"/>
    <n v="45000"/>
    <n v="0"/>
    <s v="Establish a mobility program for students, faculty, researchers and staff"/>
  </r>
  <r>
    <n v="8470425"/>
    <s v="KUST - Physics"/>
    <n v="1"/>
    <n v="425510"/>
    <x v="23"/>
    <s v="000000"/>
    <s v="KUST - General"/>
    <n v="847001"/>
    <x v="1"/>
    <n v="200179"/>
    <s v="847.8470425.1.425510.000000.847001.200179"/>
    <m/>
    <m/>
    <m/>
    <s v="425510.Conferences, seminars and exhibitions and other events: - Local Events-Conferences-Number of Conferences"/>
    <s v="Number of Conferences"/>
    <x v="1"/>
    <x v="261"/>
    <x v="516"/>
    <n v="245000"/>
    <s v="KU Strategic New Initiative"/>
    <s v="Non-recurring"/>
    <n v="220500"/>
    <n v="196000"/>
    <n v="171500"/>
    <s v="Impact Dept. run operation"/>
    <s v="Impact Dept. run operation"/>
    <s v="Impact Dept. run operation"/>
    <m/>
    <m/>
    <n v="245000"/>
    <m/>
    <m/>
    <m/>
    <m/>
    <m/>
    <m/>
    <m/>
    <m/>
    <m/>
    <n v="245000"/>
    <n v="0"/>
    <s v="Attract and organize international conferences and summits"/>
  </r>
  <r>
    <n v="8470425"/>
    <s v="KUST - Physics"/>
    <n v="1"/>
    <n v="425550"/>
    <x v="24"/>
    <s v="000000"/>
    <s v="KUST - General"/>
    <n v="847001"/>
    <x v="1"/>
    <n v="200179"/>
    <s v="847.8470425.1.425550.000000.847001.200179"/>
    <s v="-"/>
    <n v="225000"/>
    <m/>
    <s v="425550.Conferences, seminars and exhibitions and other events: - Overseas event-Conferences-Number of Conferences"/>
    <s v="count"/>
    <x v="21"/>
    <x v="160"/>
    <x v="517"/>
    <n v="247500"/>
    <s v="KU Regular operations"/>
    <s v="Recurring"/>
    <n v="222750"/>
    <n v="198000"/>
    <n v="173250"/>
    <s v="Impact Dept. run operation"/>
    <s v="Impact Dept. run operation"/>
    <s v="Impact Dept. run operation"/>
    <n v="45000"/>
    <m/>
    <n v="45000"/>
    <m/>
    <m/>
    <m/>
    <n v="60000"/>
    <m/>
    <m/>
    <n v="30000"/>
    <m/>
    <n v="67500"/>
    <n v="247500"/>
    <n v="0"/>
    <s v="Establish a mobility program for students, faculty, researchers and staff"/>
  </r>
  <r>
    <n v="8470425"/>
    <s v="KUST - Physics"/>
    <n v="1"/>
    <n v="425770"/>
    <x v="31"/>
    <s v="000000"/>
    <s v="KUST - General"/>
    <n v="847001"/>
    <x v="1"/>
    <n v="200179"/>
    <s v="847.8470425.1.425770.000000.847001.200179"/>
    <n v="717"/>
    <n v="60000"/>
    <m/>
    <s v="425770.Academic Missions - Combined expenses-Number of Meeting-Number"/>
    <s v="Number"/>
    <x v="9"/>
    <x v="160"/>
    <x v="518"/>
    <n v="67500"/>
    <s v="KU Regular operations"/>
    <s v="Recurring"/>
    <n v="60750"/>
    <n v="54000"/>
    <n v="47250"/>
    <s v="Impact Dept. run operation"/>
    <s v="Impact Dept. run operation"/>
    <s v="Impact Dept. run operation"/>
    <n v="22500"/>
    <m/>
    <m/>
    <m/>
    <m/>
    <m/>
    <n v="22500"/>
    <m/>
    <m/>
    <m/>
    <m/>
    <n v="22500"/>
    <n v="67500"/>
    <n v="0"/>
    <s v="Enhance the communication plan and outreach activities"/>
  </r>
  <r>
    <n v="8470425"/>
    <s v="KUST - Physics"/>
    <n v="1"/>
    <n v="425900"/>
    <x v="26"/>
    <s v="000000"/>
    <s v="KUST - General"/>
    <n v="847001"/>
    <x v="1"/>
    <n v="200179"/>
    <s v="847.8470425.1.425900.000000.847001.200179"/>
    <m/>
    <m/>
    <m/>
    <s v="425900.Entertainment and hospitality-1. No of events/workshops planned-count"/>
    <s v="count"/>
    <x v="7"/>
    <x v="30"/>
    <x v="519"/>
    <n v="125000"/>
    <s v="KU Regular operations"/>
    <s v="Recurring"/>
    <n v="112500"/>
    <n v="100000"/>
    <n v="87500"/>
    <s v="Impact Dept. run operation"/>
    <s v="Impact Dept. run operation"/>
    <s v="Impact Dept. run operation"/>
    <m/>
    <n v="50000"/>
    <m/>
    <m/>
    <n v="25000"/>
    <m/>
    <m/>
    <m/>
    <n v="50000"/>
    <m/>
    <m/>
    <m/>
    <n v="125000"/>
    <n v="0"/>
    <s v="Enhance the communication plan and outreach activities"/>
  </r>
  <r>
    <n v="8470425"/>
    <s v="KUST - Physics"/>
    <n v="1"/>
    <n v="425900"/>
    <x v="26"/>
    <s v="000000"/>
    <s v="KUST - General"/>
    <n v="847001"/>
    <x v="1"/>
    <n v="200179"/>
    <s v="847.8470425.1.425900.000000.847001.200179"/>
    <s v="-"/>
    <n v="10116"/>
    <m/>
    <s v="425900.Entertainment and hospitality-1. No of events/workshops planned-count"/>
    <s v="count"/>
    <x v="11"/>
    <x v="35"/>
    <x v="520"/>
    <n v="20000"/>
    <s v="KU Regular operations"/>
    <s v="Recurring"/>
    <n v="18000"/>
    <n v="16000"/>
    <n v="14000"/>
    <s v="Impact Dept. run operation"/>
    <s v="Impact Dept. run operation"/>
    <s v="Impact Dept. run operation"/>
    <n v="10000"/>
    <m/>
    <m/>
    <m/>
    <m/>
    <m/>
    <m/>
    <n v="10000"/>
    <m/>
    <m/>
    <m/>
    <m/>
    <n v="20000"/>
    <n v="0"/>
    <s v="Design and implement professional development programs for researchers, faculty, and  staff to contribute to the university strategic plan"/>
  </r>
  <r>
    <n v="8470425"/>
    <s v="KUST - Physics"/>
    <n v="1"/>
    <n v="426610"/>
    <x v="4"/>
    <s v="000000"/>
    <s v="KUST - General"/>
    <n v="847001"/>
    <x v="1"/>
    <n v="200179"/>
    <s v="847.8470425.1.426610.000000.847001.200179"/>
    <n v="0"/>
    <n v="212000"/>
    <m/>
    <s v="426610.Computer software licenses-Software License Renewal-number of licenses-Number"/>
    <s v="Number"/>
    <x v="7"/>
    <x v="63"/>
    <x v="521"/>
    <n v="200000"/>
    <s v="KU Regular operations"/>
    <s v="Recurring"/>
    <n v="180000"/>
    <n v="160000"/>
    <n v="140000"/>
    <s v="Impact Dept. run operation"/>
    <s v="Impact Dept. run operation"/>
    <s v="Impact Dept. run operation"/>
    <n v="50000"/>
    <m/>
    <m/>
    <n v="50000"/>
    <n v="50000"/>
    <m/>
    <n v="50000"/>
    <m/>
    <m/>
    <m/>
    <m/>
    <m/>
    <n v="200000"/>
    <n v="0"/>
    <s v="Increase number of postgraduate students"/>
  </r>
  <r>
    <n v="8470425"/>
    <s v="KUST - Physics"/>
    <n v="1"/>
    <n v="428090"/>
    <x v="7"/>
    <s v="000000"/>
    <s v="KUST - General"/>
    <n v="847001"/>
    <x v="1"/>
    <n v="200179"/>
    <s v="847.8470425.1.428090.000000.847001.200179"/>
    <s v="-"/>
    <n v="128000"/>
    <m/>
    <s v="428090.Business Travel - Combined expenses-Number of Faculty-Number"/>
    <s v="Number"/>
    <x v="11"/>
    <x v="262"/>
    <x v="522"/>
    <n v="128000"/>
    <s v="KU Regular operations"/>
    <s v="Recurring"/>
    <n v="115200"/>
    <n v="102400"/>
    <n v="89600"/>
    <s v="Impact Dept. run operation"/>
    <s v="Impact Dept. run operation"/>
    <s v="Impact Dept. run operation"/>
    <n v="64000"/>
    <m/>
    <m/>
    <m/>
    <m/>
    <m/>
    <m/>
    <m/>
    <n v="64000"/>
    <m/>
    <m/>
    <m/>
    <n v="128000"/>
    <n v="0"/>
    <s v="Enhance the communication plan and outreach activities"/>
  </r>
  <r>
    <n v="8470425"/>
    <s v="KUST - Physics"/>
    <n v="1"/>
    <n v="435350"/>
    <x v="33"/>
    <s v="000000"/>
    <s v="KUST - General"/>
    <n v="847001"/>
    <x v="1"/>
    <n v="200179"/>
    <s v="847.8470425.1.435350.000000.847001.200179"/>
    <n v="31871.4"/>
    <n v="120000"/>
    <m/>
    <s v="435350.Academic Publications-Number of Publications-Number"/>
    <s v="Number"/>
    <x v="12"/>
    <x v="35"/>
    <x v="523"/>
    <n v="150000"/>
    <s v="KU Regular operations"/>
    <s v="Recurring"/>
    <n v="135000"/>
    <n v="120000"/>
    <n v="105000"/>
    <s v="Impact Dept. run operation"/>
    <s v="Impact Dept. run operation"/>
    <s v="Impact Dept. run operation"/>
    <n v="10000"/>
    <n v="10000"/>
    <n v="10000"/>
    <n v="10000"/>
    <n v="10000"/>
    <n v="10000"/>
    <n v="10000"/>
    <n v="20000"/>
    <n v="10000"/>
    <n v="20000"/>
    <n v="10000"/>
    <n v="20000"/>
    <n v="150000"/>
    <n v="0"/>
    <s v="Increase publications in journals with high impact factor"/>
  </r>
  <r>
    <n v="8470425"/>
    <s v="KUST - Physics"/>
    <n v="1"/>
    <n v="435508"/>
    <x v="34"/>
    <s v="000000"/>
    <s v="KUST - General"/>
    <n v="847001"/>
    <x v="1"/>
    <n v="200179"/>
    <s v="847.8470425.1.435508.000000.847001.200179"/>
    <m/>
    <m/>
    <m/>
    <s v="435508.Laboratory - Scientific-Number of Faculty-Number"/>
    <s v="Number"/>
    <x v="1"/>
    <x v="263"/>
    <x v="524"/>
    <n v="39000"/>
    <s v="KU Regular operations"/>
    <s v="Recurring"/>
    <n v="35100"/>
    <n v="31200"/>
    <n v="27300"/>
    <s v="Impact Dept. run operation"/>
    <s v="Impact Dept. run operation"/>
    <s v="Impact Dept. run operation"/>
    <m/>
    <m/>
    <n v="39000"/>
    <m/>
    <m/>
    <m/>
    <m/>
    <m/>
    <m/>
    <m/>
    <m/>
    <m/>
    <n v="39000"/>
    <n v="0"/>
    <s v="Increase number of postgraduate students"/>
  </r>
  <r>
    <n v="8470425"/>
    <s v="KUST - Physics"/>
    <n v="1"/>
    <n v="435508"/>
    <x v="34"/>
    <s v="000000"/>
    <s v="KUST - General"/>
    <n v="847001"/>
    <x v="1"/>
    <n v="200179"/>
    <s v="847.8470425.1.435508.000000.847001.200179"/>
    <m/>
    <m/>
    <m/>
    <s v="435508.Laboratory - Scientific-Number of Faculty-Number"/>
    <s v="Number"/>
    <x v="1"/>
    <x v="264"/>
    <x v="525"/>
    <n v="5700"/>
    <s v="KU Regular operations"/>
    <s v="Recurring"/>
    <n v="5130"/>
    <n v="4560"/>
    <n v="3989.9999999999995"/>
    <s v="Impact Dept. run operation"/>
    <s v="Impact Dept. run operation"/>
    <s v="Impact Dept. run operation"/>
    <m/>
    <m/>
    <m/>
    <m/>
    <n v="5700"/>
    <m/>
    <m/>
    <m/>
    <m/>
    <m/>
    <m/>
    <m/>
    <n v="5700"/>
    <n v="0"/>
    <s v="Increase number of postgraduate students"/>
  </r>
  <r>
    <n v="8470425"/>
    <s v="KUST - Physics"/>
    <n v="1"/>
    <n v="435508"/>
    <x v="34"/>
    <s v="000000"/>
    <s v="KUST - General"/>
    <n v="847001"/>
    <x v="1"/>
    <n v="200179"/>
    <s v="847.8470425.1.435508.000000.847001.200179"/>
    <m/>
    <m/>
    <m/>
    <s v="435508.Laboratory - Scientific-Number of Faculty-Number"/>
    <s v="Number"/>
    <x v="1"/>
    <x v="62"/>
    <x v="526"/>
    <n v="15000"/>
    <s v="KU Regular operations"/>
    <s v="Recurring"/>
    <n v="13500"/>
    <n v="12000"/>
    <n v="10500"/>
    <s v="Impact Dept. run operation"/>
    <s v="Impact Dept. run operation"/>
    <s v="Impact Dept. run operation"/>
    <m/>
    <m/>
    <m/>
    <n v="15000"/>
    <m/>
    <m/>
    <m/>
    <m/>
    <m/>
    <m/>
    <m/>
    <m/>
    <n v="15000"/>
    <n v="0"/>
    <s v="Increase number of postgraduate students"/>
  </r>
  <r>
    <n v="8470425"/>
    <s v="KUST - Physics"/>
    <n v="1"/>
    <n v="435508"/>
    <x v="34"/>
    <s v="000000"/>
    <s v="KUST - General"/>
    <n v="847001"/>
    <x v="1"/>
    <n v="200179"/>
    <s v="847.8470425.1.435508.000000.847001.200179"/>
    <m/>
    <m/>
    <m/>
    <s v="435508.Laboratory - Scientific-Number of Students-Number"/>
    <s v="Number"/>
    <x v="17"/>
    <x v="42"/>
    <x v="527"/>
    <n v="120000"/>
    <s v="KU Regular operations"/>
    <s v="Recurring"/>
    <n v="108000"/>
    <n v="96000"/>
    <n v="84000"/>
    <s v="Impact Dept. run operation"/>
    <s v="Impact Dept. run operation"/>
    <s v="Impact Dept. run operation"/>
    <m/>
    <m/>
    <n v="30000"/>
    <n v="60000"/>
    <m/>
    <n v="30000"/>
    <m/>
    <m/>
    <m/>
    <m/>
    <m/>
    <m/>
    <n v="120000"/>
    <n v="0"/>
    <s v="Increase number of postgraduate students"/>
  </r>
  <r>
    <n v="8470425"/>
    <s v="KUST - Physics"/>
    <n v="1"/>
    <n v="435508"/>
    <x v="34"/>
    <s v="000000"/>
    <s v="KUST - General"/>
    <n v="847001"/>
    <x v="1"/>
    <n v="200179"/>
    <s v="847.8470425.1.435508.000000.847001.200179"/>
    <m/>
    <m/>
    <m/>
    <s v="435508.Laboratory - Scientific-Number of Students-Number"/>
    <s v="Number"/>
    <x v="9"/>
    <x v="30"/>
    <x v="528"/>
    <n v="75000"/>
    <s v="KU Regular operations"/>
    <s v="Recurring"/>
    <n v="67500"/>
    <n v="60000"/>
    <n v="52500"/>
    <s v="Impact Dept. run operation"/>
    <s v="Impact Dept. run operation"/>
    <s v="Impact Dept. run operation"/>
    <m/>
    <m/>
    <m/>
    <n v="50000"/>
    <n v="25000"/>
    <m/>
    <m/>
    <m/>
    <m/>
    <m/>
    <m/>
    <m/>
    <n v="75000"/>
    <n v="0"/>
    <s v="Increase number of postgraduate students"/>
  </r>
  <r>
    <n v="8470425"/>
    <s v="KUST - Physics"/>
    <n v="1"/>
    <n v="435508"/>
    <x v="34"/>
    <s v="000000"/>
    <s v="KUST - General"/>
    <n v="847001"/>
    <x v="1"/>
    <n v="200179"/>
    <s v="847.8470425.1.435508.000000.847001.200179"/>
    <n v="227.28"/>
    <n v="551566"/>
    <m/>
    <s v="435508.Laboratory - Scientific-Number of Faculty-Number"/>
    <s v="Number"/>
    <x v="0"/>
    <x v="27"/>
    <x v="529"/>
    <n v="600000"/>
    <s v="KU Regular operations"/>
    <s v="Recurring"/>
    <n v="540000"/>
    <n v="480000"/>
    <n v="420000"/>
    <s v="Impact Dept. run operation"/>
    <s v="Impact Dept. run operation"/>
    <s v="Impact Dept. run operation"/>
    <m/>
    <n v="200000"/>
    <m/>
    <n v="200000"/>
    <m/>
    <n v="200000"/>
    <m/>
    <m/>
    <m/>
    <m/>
    <m/>
    <m/>
    <n v="600000"/>
    <n v="0"/>
    <s v="Increase number of postgraduate students"/>
  </r>
  <r>
    <n v="8470425"/>
    <s v="KUST - Physics"/>
    <n v="1"/>
    <n v="492310"/>
    <x v="13"/>
    <s v="000000"/>
    <s v="KUST - General"/>
    <n v="847001"/>
    <x v="2"/>
    <n v="300180"/>
    <s v="847.8470425.1.492310.000000.847001.300180"/>
    <s v="-"/>
    <n v="151348"/>
    <m/>
    <s v="492310.Hardware &amp; peripherals-number of hardware devices-Month"/>
    <s v="Month"/>
    <x v="14"/>
    <x v="124"/>
    <x v="530"/>
    <n v="800000"/>
    <s v="KU Regular operations"/>
    <s v="Recurring"/>
    <n v="720000"/>
    <n v="640000"/>
    <n v="560000"/>
    <s v="Impact Dept. run operation"/>
    <s v="Impact Dept. run operation"/>
    <s v="Impact Dept. run operation"/>
    <m/>
    <n v="400000"/>
    <m/>
    <m/>
    <n v="400000"/>
    <m/>
    <m/>
    <m/>
    <m/>
    <m/>
    <m/>
    <m/>
    <n v="800000"/>
    <n v="0"/>
    <s v="Increase number of postgraduate students"/>
  </r>
  <r>
    <n v="8470425"/>
    <s v="KUST - Physics"/>
    <n v="1"/>
    <n v="492316"/>
    <x v="19"/>
    <s v="000000"/>
    <s v="KUST - General"/>
    <n v="847001"/>
    <x v="2"/>
    <n v="300180"/>
    <s v="847.8470425.1.492316.000000.847001.300180"/>
    <n v="1788235.67"/>
    <n v="1551340"/>
    <m/>
    <s v="492316.Laboratory equipment-Number of Faculty-Number"/>
    <s v="Number"/>
    <x v="3"/>
    <x v="161"/>
    <x v="529"/>
    <n v="1500000"/>
    <s v="KU Regular operations"/>
    <s v="Recurring"/>
    <n v="1350000"/>
    <n v="1200000"/>
    <n v="1050000"/>
    <s v="Impact Dept. run operation"/>
    <s v="Impact Dept. run operation"/>
    <s v="Impact Dept. run operation"/>
    <m/>
    <m/>
    <n v="250000"/>
    <n v="250000"/>
    <n v="500000"/>
    <n v="500000"/>
    <m/>
    <m/>
    <m/>
    <m/>
    <m/>
    <m/>
    <n v="1500000"/>
    <n v="0"/>
    <s v="Increase number of postgraduate students"/>
  </r>
  <r>
    <n v="8470425"/>
    <s v="KUST - Physics"/>
    <n v="1"/>
    <n v="492316"/>
    <x v="19"/>
    <s v="000000"/>
    <s v="KUST - General"/>
    <n v="847001"/>
    <x v="2"/>
    <n v="300180"/>
    <s v="847.8470425.1.492316.000000.847001.300180"/>
    <s v="-"/>
    <s v="-"/>
    <m/>
    <s v="492316.Laboratory equipment-Number of Faculty-Number"/>
    <s v="count"/>
    <x v="1"/>
    <x v="161"/>
    <x v="531"/>
    <n v="250000"/>
    <s v="KU Regular operations"/>
    <s v="Recurring"/>
    <n v="225000"/>
    <n v="200000"/>
    <n v="175000"/>
    <s v="Impact Dept. run operation"/>
    <s v="Impact Dept. run operation"/>
    <s v="Impact Dept. run operation"/>
    <m/>
    <m/>
    <m/>
    <n v="250000"/>
    <m/>
    <m/>
    <m/>
    <m/>
    <m/>
    <m/>
    <m/>
    <m/>
    <n v="250000"/>
    <n v="0"/>
    <s v="Increase number of postgraduate students"/>
  </r>
  <r>
    <n v="8470425"/>
    <s v="KUST - Physics"/>
    <n v="1"/>
    <n v="492316"/>
    <x v="19"/>
    <s v="000000"/>
    <s v="KUST - General"/>
    <n v="847001"/>
    <x v="2"/>
    <n v="300180"/>
    <s v="847.8470425.1.492316.000000.847001.300180"/>
    <m/>
    <m/>
    <m/>
    <s v="492316.Laboratory equipment-Number of Faculty-Number"/>
    <s v="Number"/>
    <x v="1"/>
    <x v="95"/>
    <x v="532"/>
    <n v="135000"/>
    <s v="KU Regular operations"/>
    <s v="Recurring"/>
    <n v="121500"/>
    <n v="108000"/>
    <n v="94500"/>
    <s v="Impact Dept. run operation"/>
    <s v="Impact Dept. run operation"/>
    <s v="Impact Dept. run operation"/>
    <m/>
    <m/>
    <m/>
    <m/>
    <n v="135000"/>
    <m/>
    <m/>
    <m/>
    <m/>
    <m/>
    <m/>
    <m/>
    <n v="135000"/>
    <n v="0"/>
    <s v="Increase number of postgraduate students"/>
  </r>
  <r>
    <n v="8470425"/>
    <s v="KUST - Physics"/>
    <n v="1"/>
    <n v="492316"/>
    <x v="19"/>
    <s v="000000"/>
    <s v="KUST - General"/>
    <n v="847001"/>
    <x v="2"/>
    <n v="300180"/>
    <s v="847.8470425.1.492316.000000.847001.300180"/>
    <s v="-"/>
    <s v="-"/>
    <m/>
    <s v="492316.Laboratory equipment-Number of Faculty-Number"/>
    <s v="Number"/>
    <x v="1"/>
    <x v="161"/>
    <x v="533"/>
    <n v="250000"/>
    <s v="KU Regular operations"/>
    <s v="Recurring"/>
    <n v="225000"/>
    <n v="200000"/>
    <n v="175000"/>
    <s v="Impact Dept. run operation"/>
    <s v="Impact Dept. run operation"/>
    <s v="Impact Dept. run operation"/>
    <m/>
    <m/>
    <m/>
    <n v="250000"/>
    <m/>
    <m/>
    <m/>
    <m/>
    <m/>
    <m/>
    <m/>
    <m/>
    <n v="250000"/>
    <n v="0"/>
    <s v="Increase number of postgraduate students"/>
  </r>
  <r>
    <n v="8470425"/>
    <s v="KUST - Physics"/>
    <n v="1"/>
    <n v="492316"/>
    <x v="19"/>
    <s v="000000"/>
    <s v="KUST - General"/>
    <n v="847001"/>
    <x v="2"/>
    <n v="300180"/>
    <s v="847.8470425.1.492316.000000.847001.300180"/>
    <s v="-"/>
    <s v="-"/>
    <m/>
    <s v="492316.Laboratory equipment-Number of Faculty-Number"/>
    <s v="Number"/>
    <x v="1"/>
    <x v="183"/>
    <x v="534"/>
    <n v="100000"/>
    <s v="KU Regular operations"/>
    <s v="Recurring"/>
    <n v="90000"/>
    <n v="80000"/>
    <n v="70000"/>
    <s v="Impact Dept. run operation"/>
    <s v="Impact Dept. run operation"/>
    <s v="Impact Dept. run operation"/>
    <m/>
    <m/>
    <m/>
    <m/>
    <n v="100000"/>
    <m/>
    <m/>
    <m/>
    <m/>
    <m/>
    <m/>
    <m/>
    <n v="100000"/>
    <n v="0"/>
    <s v="Increase number of postgraduate students"/>
  </r>
  <r>
    <n v="8470430"/>
    <s v="KUST - Preparatory Program"/>
    <n v="1"/>
    <n v="425761"/>
    <x v="67"/>
    <s v="000000"/>
    <s v="KUST - General"/>
    <n v="847001"/>
    <x v="1"/>
    <n v="200179"/>
    <s v="847.8470430.1.425761.000000.847001.200179"/>
    <s v="-"/>
    <n v="8500"/>
    <n v="8500"/>
    <s v="425761.Student Field trips-Number of Students UG-Month"/>
    <s v="Month"/>
    <x v="11"/>
    <x v="265"/>
    <x v="535"/>
    <n v="8500"/>
    <s v="KU Regular operations"/>
    <s v="Recurring"/>
    <n v="7650"/>
    <n v="6800"/>
    <n v="5950"/>
    <s v="reduced quality of trip"/>
    <s v="Impact Dept. run operation"/>
    <s v="reduced quality of trip"/>
    <m/>
    <n v="4250"/>
    <m/>
    <m/>
    <m/>
    <m/>
    <m/>
    <m/>
    <m/>
    <n v="4250"/>
    <m/>
    <m/>
    <n v="8500"/>
    <n v="0"/>
    <s v="Widen access to students with outstanding academic potential"/>
  </r>
  <r>
    <n v="8470430"/>
    <s v="KUST - Preparatory Program"/>
    <n v="1"/>
    <n v="425770"/>
    <x v="31"/>
    <s v="000000"/>
    <s v="KUST - General"/>
    <n v="847001"/>
    <x v="1"/>
    <n v="200179"/>
    <s v="847.8470430.1.425770.000000.847001.200179"/>
    <n v="-3393"/>
    <n v="373425"/>
    <n v="150000"/>
    <s v="425770.Academic Missions - Combined expenses-Number of Conference-Number"/>
    <s v="Number"/>
    <x v="14"/>
    <x v="266"/>
    <x v="536"/>
    <n v="373425"/>
    <s v="KU Regular operations"/>
    <s v="Recurring"/>
    <n v="336082.5"/>
    <n v="298740"/>
    <n v="261397.49999999997"/>
    <s v="fewer staff presenting at conferences"/>
    <s v="fewer staff presenting at conferences"/>
    <s v="fewer staff presenting at conferences"/>
    <n v="37342.5"/>
    <m/>
    <n v="37342.5"/>
    <n v="37342.5"/>
    <n v="37342.5"/>
    <n v="37342.5"/>
    <n v="37342.5"/>
    <m/>
    <n v="74685"/>
    <n v="74685"/>
    <m/>
    <m/>
    <n v="373425"/>
    <n v="0"/>
    <s v="Increase publications in journals with high impact factor"/>
  </r>
  <r>
    <n v="8470430"/>
    <s v="KUST - Preparatory Program"/>
    <n v="1"/>
    <n v="425900"/>
    <x v="26"/>
    <s v="000000"/>
    <s v="KUST - General"/>
    <n v="847001"/>
    <x v="1"/>
    <n v="200179"/>
    <s v="847.8470430.1.425900.000000.847001.200179"/>
    <s v="-"/>
    <n v="12000"/>
    <n v="12000"/>
    <s v="425900.Entertainment and hospitality-1. No of events/workshops planned-count"/>
    <s v="count"/>
    <x v="17"/>
    <x v="74"/>
    <x v="537"/>
    <n v="12000"/>
    <s v="KU Regular operations"/>
    <s v="Recurring"/>
    <n v="10800"/>
    <n v="9600"/>
    <n v="8400"/>
    <s v="less food"/>
    <s v="less food"/>
    <s v="less food"/>
    <n v="3000"/>
    <m/>
    <m/>
    <m/>
    <n v="3000"/>
    <m/>
    <m/>
    <n v="3000"/>
    <m/>
    <m/>
    <m/>
    <n v="3000"/>
    <n v="12000"/>
    <n v="0"/>
    <s v="Ensure the university sustainability "/>
  </r>
  <r>
    <n v="8470430"/>
    <s v="KUST - Preparatory Program"/>
    <n v="1"/>
    <n v="426610"/>
    <x v="4"/>
    <s v="000000"/>
    <s v="KUST - General"/>
    <n v="847001"/>
    <x v="1"/>
    <n v="200179"/>
    <s v="847.8470430.1.426610.000000.847001.200179"/>
    <n v="21822.22"/>
    <n v="26152"/>
    <n v="26152"/>
    <s v="426610.Computer software licenses-Software License Renewal-number of licenses-Number"/>
    <s v="Number"/>
    <x v="9"/>
    <x v="267"/>
    <x v="538"/>
    <n v="26152"/>
    <s v="KU Regular operations"/>
    <s v="Recurring"/>
    <n v="23536.799999999999"/>
    <n v="20921.600000000002"/>
    <n v="18306.399999999998"/>
    <s v="not able to support students adequately"/>
    <s v="not able to support students adequately"/>
    <s v="not able to support students adequately"/>
    <n v="13076"/>
    <m/>
    <m/>
    <m/>
    <m/>
    <m/>
    <m/>
    <n v="13076"/>
    <m/>
    <m/>
    <m/>
    <s v=" "/>
    <n v="26152"/>
    <n v="0"/>
    <s v="Ensure the university sustainability "/>
  </r>
  <r>
    <n v="8470430"/>
    <s v="KUST - Preparatory Program"/>
    <n v="1"/>
    <n v="432209"/>
    <x v="32"/>
    <s v="000000"/>
    <s v="KUST - General"/>
    <n v="847001"/>
    <x v="1"/>
    <n v="200179"/>
    <s v="847.8470430.1.432209.000000.847001.200179"/>
    <s v="-"/>
    <n v="1575"/>
    <n v="1575"/>
    <s v="432209.Laboratory equipment-Number of Students-Number"/>
    <s v="Number"/>
    <x v="1"/>
    <x v="268"/>
    <x v="539"/>
    <n v="1575"/>
    <s v="KU Regular operations"/>
    <s v="Recurring"/>
    <n v="1417.5"/>
    <n v="1260"/>
    <n v="1102.5"/>
    <s v="unable to maintain/install equipment"/>
    <s v="unable to maintain/install equipment"/>
    <s v="unable to maintain/install equipment"/>
    <m/>
    <m/>
    <m/>
    <m/>
    <m/>
    <m/>
    <m/>
    <n v="1575"/>
    <m/>
    <m/>
    <m/>
    <m/>
    <n v="1575"/>
    <n v="0"/>
    <s v="Utilize state-of-the-art technologies and facilities in an optimal and efficient manner"/>
  </r>
  <r>
    <n v="8470430"/>
    <s v="KUST - Preparatory Program"/>
    <n v="1"/>
    <n v="435508"/>
    <x v="34"/>
    <s v="000000"/>
    <s v="KUST - General"/>
    <n v="847001"/>
    <x v="1"/>
    <n v="200179"/>
    <s v="847.8470430.1.435508.000000.847001.200179"/>
    <n v="0"/>
    <n v="84600"/>
    <n v="42000"/>
    <s v="435508.Laboratory - Scientific-Number of Students-Number"/>
    <s v="Number"/>
    <x v="11"/>
    <x v="269"/>
    <x v="540"/>
    <n v="84600"/>
    <s v="KU Regular operations"/>
    <s v="Recurring"/>
    <n v="76140"/>
    <n v="67680"/>
    <n v="59219.999999999993"/>
    <s v="Less equipment support"/>
    <s v="Less equipment support"/>
    <s v="Less equipment support"/>
    <n v="42300"/>
    <m/>
    <m/>
    <m/>
    <m/>
    <m/>
    <m/>
    <n v="42300"/>
    <m/>
    <m/>
    <m/>
    <m/>
    <n v="84600"/>
    <n v="0"/>
    <s v="Ensure the university sustainability "/>
  </r>
  <r>
    <n v="8470435"/>
    <s v="KUST - Department of English"/>
    <n v="1"/>
    <n v="425900"/>
    <x v="26"/>
    <s v="000000"/>
    <s v="KUST - General"/>
    <n v="847001"/>
    <x v="1"/>
    <n v="200179"/>
    <s v="847.8470435.1.425900.000000.847001.200179"/>
    <m/>
    <m/>
    <m/>
    <s v="425900.Entertainment and hospitality-1. No of events/workshops planned-count"/>
    <s v="count"/>
    <x v="20"/>
    <x v="67"/>
    <x v="537"/>
    <n v="100000"/>
    <s v="KU Regular operations"/>
    <s v="Recurring"/>
    <n v="90000"/>
    <n v="80000"/>
    <n v="70000"/>
    <s v="Impact Dept. run operation"/>
    <s v="Impact Dept. run operation"/>
    <s v="Impact Dept. run operation"/>
    <m/>
    <n v="50000"/>
    <m/>
    <m/>
    <m/>
    <m/>
    <m/>
    <n v="50000"/>
    <m/>
    <m/>
    <m/>
    <m/>
    <n v="100000"/>
    <n v="0"/>
    <s v="Align academic programs with the local and global labor market needs"/>
  </r>
  <r>
    <n v="8470435"/>
    <s v="KUST - Department of English"/>
    <n v="1"/>
    <n v="427710"/>
    <x v="52"/>
    <s v="000000"/>
    <s v="KUST - General"/>
    <n v="847001"/>
    <x v="1"/>
    <n v="200179"/>
    <s v="847.8470435.1.427710.000000.847001.200179"/>
    <m/>
    <m/>
    <m/>
    <s v="427710.Subscriptions and membership fees: Trade organisations"/>
    <s v="Number"/>
    <x v="0"/>
    <x v="90"/>
    <x v="538"/>
    <n v="30000"/>
    <s v="KU Regular operations"/>
    <s v="Recurring"/>
    <n v="27000"/>
    <n v="24000"/>
    <n v="21000"/>
    <s v="Impact Dept. run operation"/>
    <s v="Impact Dept. run operation"/>
    <s v="Impact Dept. run operation"/>
    <m/>
    <m/>
    <n v="15000"/>
    <m/>
    <m/>
    <m/>
    <m/>
    <n v="15000"/>
    <m/>
    <m/>
    <m/>
    <m/>
    <n v="30000"/>
    <n v="0"/>
    <s v="Align academic programs with the local and global labor market needs"/>
  </r>
  <r>
    <n v="8470435"/>
    <s v="KUST - Department of English"/>
    <n v="1"/>
    <n v="436600"/>
    <x v="81"/>
    <s v="000000"/>
    <s v="KUST - General"/>
    <n v="847001"/>
    <x v="1"/>
    <n v="200179"/>
    <s v="847.8470435.1.436600.000000.847001.200179"/>
    <m/>
    <m/>
    <m/>
    <s v="436600.Training/Teaching Equipments and Other"/>
    <s v="Number"/>
    <x v="30"/>
    <x v="90"/>
    <x v="539"/>
    <n v="35000"/>
    <s v="KU Regular operations"/>
    <s v="Recurring"/>
    <n v="31500"/>
    <n v="28000"/>
    <n v="24500"/>
    <s v="Impact Dept. run operation"/>
    <s v="Impact Dept. run operation"/>
    <s v="Impact Dept. run operation"/>
    <n v="5000"/>
    <m/>
    <n v="15000"/>
    <m/>
    <m/>
    <m/>
    <m/>
    <m/>
    <m/>
    <n v="15000"/>
    <m/>
    <m/>
    <n v="35000"/>
    <n v="0"/>
    <s v="Align academic programs with the local and global labor market needs"/>
  </r>
  <r>
    <n v="8470435"/>
    <s v="KUST - Department of English"/>
    <n v="1"/>
    <n v="435508"/>
    <x v="34"/>
    <s v="000000"/>
    <s v="KUST - General"/>
    <n v="847001"/>
    <x v="1"/>
    <n v="200179"/>
    <s v="847.8470435.1.435508.000000.847001.200179"/>
    <m/>
    <m/>
    <m/>
    <s v="435508.Laboratory - Scientific-Number of Students-Number"/>
    <s v="Number"/>
    <x v="0"/>
    <x v="90"/>
    <x v="540"/>
    <n v="30000"/>
    <s v="KU Regular operations"/>
    <s v="Recurring"/>
    <n v="27000"/>
    <n v="24000"/>
    <n v="21000"/>
    <s v="Impact Dept. run operation"/>
    <s v="Impact Dept. run operation"/>
    <s v="Impact Dept. run operation"/>
    <n v="5000"/>
    <m/>
    <m/>
    <n v="5000"/>
    <m/>
    <n v="5000"/>
    <m/>
    <n v="5000"/>
    <n v="5000"/>
    <m/>
    <n v="5000"/>
    <m/>
    <n v="30000"/>
    <n v="0"/>
    <s v="Align academic programs with the local and global labor market needs"/>
  </r>
  <r>
    <n v="8470440"/>
    <s v="KUST - Humanities &amp; Social Sciences"/>
    <n v="1"/>
    <n v="420550"/>
    <x v="20"/>
    <s v="000000"/>
    <s v="KUST - General"/>
    <n v="847001"/>
    <x v="1"/>
    <n v="200179"/>
    <s v="847.8470440.1.420550.000000.847001.200179"/>
    <s v="-"/>
    <n v="560000"/>
    <n v="560000"/>
    <s v="420550.Academic Advisory Service-Number of Services-Number"/>
    <m/>
    <x v="17"/>
    <x v="84"/>
    <x v="541"/>
    <n v="560000"/>
    <s v="Regular operations"/>
    <s v="Recurring"/>
    <n v="504000"/>
    <n v="448000"/>
    <n v="392000"/>
    <s v="Result in reduced meetings"/>
    <s v="Result in reduced meetings"/>
    <s v="Negative Impact on program"/>
    <m/>
    <n v="140000"/>
    <n v="0"/>
    <m/>
    <n v="140000"/>
    <m/>
    <m/>
    <m/>
    <n v="140000"/>
    <m/>
    <m/>
    <n v="140000"/>
    <n v="560000"/>
    <n v="0"/>
    <s v="Align academic programs with the local and global labor market needs"/>
  </r>
  <r>
    <n v="8470440"/>
    <s v="KUST - Humanities &amp; Social Sciences"/>
    <n v="1"/>
    <n v="420570"/>
    <x v="21"/>
    <s v="000000"/>
    <s v="KUST - General"/>
    <n v="847001"/>
    <x v="1"/>
    <n v="200179"/>
    <s v="847.8470440.1.420570.000000.847001.200179"/>
    <s v="-"/>
    <n v="150000"/>
    <n v="150000"/>
    <s v="420570.Academic. Collaborative Partnership Services-Partnership Agreement or Academic Collaboration -No of Partneship/collaboration Agreement"/>
    <m/>
    <x v="14"/>
    <x v="62"/>
    <x v="542"/>
    <n v="150000"/>
    <s v="Regular operations"/>
    <s v="Recurring"/>
    <n v="135000"/>
    <n v="120000"/>
    <n v="105000"/>
    <s v="Reduced student opportunities"/>
    <s v="Reduced student opportunities"/>
    <s v="Reduced student opportunities"/>
    <n v="0"/>
    <n v="0"/>
    <n v="0"/>
    <n v="0"/>
    <n v="0"/>
    <n v="20000"/>
    <n v="20000"/>
    <n v="20000"/>
    <n v="25000"/>
    <n v="25000"/>
    <n v="15000"/>
    <n v="25000"/>
    <n v="150000"/>
    <n v="0"/>
    <s v="Align academic programs with the local and global labor market needs"/>
  </r>
  <r>
    <n v="8470440"/>
    <s v="KUST - Humanities &amp; Social Sciences"/>
    <n v="1"/>
    <n v="421700"/>
    <x v="22"/>
    <s v="000000"/>
    <s v="KUST - General"/>
    <n v="847001"/>
    <x v="1"/>
    <n v="200179"/>
    <s v="847.8470440.1.421700.000000.847001.200179"/>
    <s v="-"/>
    <n v="280000"/>
    <n v="280000"/>
    <s v="421700.Standards Certification Services (e.g. ISO)-professional services scope/deliverables-Number"/>
    <m/>
    <x v="11"/>
    <x v="84"/>
    <x v="543"/>
    <n v="280000"/>
    <s v="Regular operations"/>
    <s v="Non-recurring"/>
    <n v="252000"/>
    <n v="224000"/>
    <n v="196000"/>
    <s v="Reduced CAA Accreditation visits"/>
    <s v="Reduced CAA Accreditation visits"/>
    <s v="Unaccredited programs"/>
    <n v="0"/>
    <m/>
    <m/>
    <n v="0"/>
    <m/>
    <m/>
    <m/>
    <m/>
    <n v="140000"/>
    <m/>
    <m/>
    <n v="140000"/>
    <n v="280000"/>
    <n v="0"/>
    <s v="Align academic programs with the local and global labor market needs"/>
  </r>
  <r>
    <n v="8470440"/>
    <s v="KUST - Humanities &amp; Social Sciences"/>
    <n v="1"/>
    <n v="425100"/>
    <x v="75"/>
    <s v="000000"/>
    <s v="KUST - General"/>
    <n v="847001"/>
    <x v="1"/>
    <n v="200179"/>
    <s v="847.8470440.1.425100.000000.847001.200179"/>
    <s v="-"/>
    <n v="10000"/>
    <n v="10000"/>
    <s v="425100.Advertising Services (General)-Advertising through newspapers and other print media-cm2 - Word"/>
    <m/>
    <x v="11"/>
    <x v="67"/>
    <x v="544"/>
    <n v="10000"/>
    <s v="Regular operations"/>
    <s v="Recurring"/>
    <n v="9000"/>
    <n v="8000"/>
    <n v="7000"/>
    <s v="Less advertising"/>
    <s v="Less advertising"/>
    <s v="Reduced enrollment"/>
    <n v="5000"/>
    <m/>
    <m/>
    <m/>
    <m/>
    <m/>
    <n v="5000"/>
    <m/>
    <m/>
    <m/>
    <m/>
    <m/>
    <n v="10000"/>
    <n v="0"/>
    <s v="Align academic programs with the local and global labor market needs"/>
  </r>
  <r>
    <n v="8470440"/>
    <s v="KUST - Humanities &amp; Social Sciences"/>
    <n v="1"/>
    <n v="425510"/>
    <x v="23"/>
    <s v="000000"/>
    <s v="KUST - General"/>
    <n v="847001"/>
    <x v="1"/>
    <n v="200179"/>
    <s v="847.8470440.1.425510.000000.847001.200179"/>
    <s v="-"/>
    <n v="225000"/>
    <n v="225000"/>
    <s v="425510.Conferences, seminars and exhibitions and other events: - Local Events-Number of Event-Number"/>
    <m/>
    <x v="12"/>
    <x v="62"/>
    <x v="545"/>
    <n v="225000"/>
    <s v="Regular operations"/>
    <s v="Recurring"/>
    <n v="202500"/>
    <n v="180000"/>
    <n v="157500"/>
    <s v="losing impotant knowledge"/>
    <s v="losing impotant knowledge"/>
    <s v="Failed networking opportunities, community interaction, positive exposure from branding opportunities"/>
    <n v="18750"/>
    <n v="18750"/>
    <n v="18750"/>
    <n v="18750"/>
    <n v="18750"/>
    <n v="18750"/>
    <n v="18750"/>
    <n v="18750"/>
    <n v="18750"/>
    <n v="18750"/>
    <n v="18750"/>
    <n v="18750"/>
    <n v="225000"/>
    <n v="0"/>
    <s v="Align academic programs with the local and global labor market needs"/>
  </r>
  <r>
    <n v="8470440"/>
    <s v="KUST - Humanities &amp; Social Sciences"/>
    <n v="1"/>
    <n v="425550"/>
    <x v="24"/>
    <s v="000000"/>
    <s v="KUST - General"/>
    <n v="847001"/>
    <x v="1"/>
    <n v="200179"/>
    <s v="847.8470440.1.425550.000000.847001.200179"/>
    <s v="-"/>
    <n v="225000"/>
    <n v="225000"/>
    <s v="425550.Conferences, seminars and exhibitions and other events: - Overseas event-Seminars-Number of Seminars"/>
    <m/>
    <x v="12"/>
    <x v="62"/>
    <x v="546"/>
    <n v="225000"/>
    <s v="Regular operations"/>
    <s v="Recurring"/>
    <n v="202500"/>
    <n v="180000"/>
    <n v="157500"/>
    <s v="losing impotant knowledge"/>
    <s v="losing impotant knowledge"/>
    <s v="Failed networking opportunities and internatinal  interaction and recognition from branding opportunities"/>
    <n v="18750"/>
    <n v="18750"/>
    <n v="18750"/>
    <n v="18750"/>
    <n v="18750"/>
    <n v="18750"/>
    <n v="18750"/>
    <n v="18750"/>
    <n v="18750"/>
    <n v="18750"/>
    <n v="18750"/>
    <n v="18750"/>
    <n v="225000"/>
    <n v="0"/>
    <s v="Align academic programs with the local and global labor market needs"/>
  </r>
  <r>
    <n v="8470440"/>
    <s v="KUST - Humanities &amp; Social Sciences"/>
    <n v="1"/>
    <n v="425761"/>
    <x v="67"/>
    <s v="000000"/>
    <s v="KUST - General"/>
    <n v="847001"/>
    <x v="1"/>
    <n v="200179"/>
    <s v="847.8470440.1.425761.000000.847001.200179"/>
    <n v="0"/>
    <n v="750000"/>
    <n v="750000"/>
    <s v="425761.Student Field trips-Number of Students UG-Month"/>
    <m/>
    <x v="73"/>
    <x v="90"/>
    <x v="547"/>
    <n v="750000"/>
    <s v="Strategic New Initiative"/>
    <s v="Recurring"/>
    <n v="675000"/>
    <n v="600000"/>
    <n v="525000"/>
    <s v="Reduced student opportunities"/>
    <s v="Reduced student opportunities"/>
    <s v="Reduced student opportunities"/>
    <m/>
    <n v="75000"/>
    <n v="150000"/>
    <m/>
    <m/>
    <n v="150000"/>
    <m/>
    <m/>
    <n v="75000"/>
    <n v="150000"/>
    <m/>
    <n v="150000"/>
    <n v="750000"/>
    <n v="0"/>
    <s v="Align academic programs with the local and global labor market needs"/>
  </r>
  <r>
    <n v="8470440"/>
    <s v="KUST - Humanities &amp; Social Sciences"/>
    <n v="1"/>
    <n v="425770"/>
    <x v="31"/>
    <s v="000000"/>
    <s v="KUST - General"/>
    <n v="847001"/>
    <x v="1"/>
    <n v="200179"/>
    <s v="847.8470440.1.425770.000000.847001.200179"/>
    <n v="16120.02"/>
    <n v="300000"/>
    <n v="300000"/>
    <s v="425770.Academic Missions - Combined expenses-Number of Meeting-Number"/>
    <m/>
    <x v="12"/>
    <x v="31"/>
    <x v="548"/>
    <n v="300000"/>
    <s v="Regular operations"/>
    <s v="Recurring"/>
    <n v="270000"/>
    <n v="240000"/>
    <n v="210000"/>
    <s v="losing impotant knowledge"/>
    <s v="Losing major knowledge"/>
    <s v="Reduced opportunities for university"/>
    <n v="10000"/>
    <n v="10000"/>
    <n v="10000"/>
    <n v="10000"/>
    <n v="10000"/>
    <n v="30000"/>
    <n v="30000"/>
    <n v="30000"/>
    <n v="40000"/>
    <n v="40000"/>
    <n v="40000"/>
    <n v="40000"/>
    <n v="300000"/>
    <n v="0"/>
    <s v="Align academic programs with the local and global labor market needs"/>
  </r>
  <r>
    <n v="8470440"/>
    <s v="KUST - Humanities &amp; Social Sciences"/>
    <n v="1"/>
    <n v="425900"/>
    <x v="26"/>
    <s v="000000"/>
    <s v="KUST - General"/>
    <n v="847001"/>
    <x v="1"/>
    <n v="200179"/>
    <s v="847.8470440.1.425900.000000.847001.200179"/>
    <s v="-"/>
    <n v="24000"/>
    <n v="24000"/>
    <s v="425900.Entertainment and hospitality-1. No of events/workshops planned-count"/>
    <m/>
    <x v="17"/>
    <x v="88"/>
    <x v="549"/>
    <n v="24000"/>
    <s v="Regular operations"/>
    <s v="Recurring"/>
    <n v="21600"/>
    <n v="19200"/>
    <n v="16800"/>
    <s v="Less interaction and display of appreciation."/>
    <s v="Less interaction and display of appreciation."/>
    <s v="Less interaction and display of appreciation."/>
    <n v="0"/>
    <n v="6000"/>
    <m/>
    <m/>
    <m/>
    <n v="6000"/>
    <m/>
    <m/>
    <n v="6000"/>
    <m/>
    <m/>
    <n v="6000"/>
    <n v="24000"/>
    <n v="0"/>
    <s v="Align academic programs with the local and global labor market needs"/>
  </r>
  <r>
    <n v="8470440"/>
    <s v="KUST - Humanities &amp; Social Sciences"/>
    <n v="1"/>
    <n v="426610"/>
    <x v="4"/>
    <s v="000000"/>
    <s v="KUST - General"/>
    <n v="847001"/>
    <x v="1"/>
    <n v="200179"/>
    <s v="847.8470440.1.426610.000000.847001.200179"/>
    <n v="6398.78"/>
    <n v="120000"/>
    <n v="120000"/>
    <s v="426610.Computer software licenses-Software License Renewal-number of licenses-Number"/>
    <m/>
    <x v="17"/>
    <x v="42"/>
    <x v="550"/>
    <n v="120000"/>
    <s v="Regular operations"/>
    <s v="Recurring"/>
    <n v="108000"/>
    <n v="96000"/>
    <n v="84000"/>
    <s v="Less ability to perform statistical analysis and modeling"/>
    <s v="Less ability to perform statistical analysis and modeling"/>
    <s v="Less publications due to longer timeframe to provide needed statistical analysis and modeling."/>
    <n v="5000"/>
    <n v="5000"/>
    <n v="5000"/>
    <n v="5000"/>
    <n v="5000"/>
    <n v="10000"/>
    <n v="10000"/>
    <n v="15000"/>
    <n v="15000"/>
    <n v="15000"/>
    <n v="15000"/>
    <n v="15000"/>
    <n v="120000"/>
    <n v="0"/>
    <s v="Align academic programs with the local and global labor market needs"/>
  </r>
  <r>
    <n v="8470440"/>
    <s v="KUST - Humanities &amp; Social Sciences"/>
    <n v="1"/>
    <n v="427710"/>
    <x v="52"/>
    <s v="000000"/>
    <s v="KUST - General"/>
    <n v="847001"/>
    <x v="1"/>
    <n v="200179"/>
    <s v="847.8470440.1.427710.000000.847001.200179"/>
    <s v="-"/>
    <n v="15000"/>
    <n v="15000"/>
    <s v="427710.Subscriptions and membership fees: Trade organisations-Number  of Memberships-Number"/>
    <m/>
    <x v="12"/>
    <x v="65"/>
    <x v="551"/>
    <n v="15000"/>
    <s v="Regular operations"/>
    <s v="Recurring"/>
    <n v="13500"/>
    <n v="12000"/>
    <n v="10500"/>
    <s v="Impact Dept. run operation"/>
    <s v="Impact Dept. run operation"/>
    <s v="Impact Dept. run operation"/>
    <n v="5000"/>
    <m/>
    <m/>
    <m/>
    <n v="2500"/>
    <m/>
    <m/>
    <m/>
    <n v="2500"/>
    <m/>
    <m/>
    <n v="5000"/>
    <n v="15000"/>
    <n v="0"/>
    <s v="Align academic programs with the local and global labor market needs"/>
  </r>
  <r>
    <n v="8470440"/>
    <s v="KUST - Humanities &amp; Social Sciences"/>
    <n v="1"/>
    <n v="428090"/>
    <x v="7"/>
    <s v="000000"/>
    <s v="KUST - General"/>
    <n v="847001"/>
    <x v="1"/>
    <n v="200179"/>
    <s v="847.8470440.1.428090.000000.847001.200179"/>
    <s v="-"/>
    <n v="225000"/>
    <n v="225000"/>
    <s v="428090.Business Travel - Combined expenses-Number of Faculty-Number"/>
    <m/>
    <x v="12"/>
    <x v="62"/>
    <x v="552"/>
    <n v="225000"/>
    <s v="Regular operations"/>
    <s v="Recurring"/>
    <n v="202500"/>
    <n v="180000"/>
    <n v="157500"/>
    <s v="Less networking and opportunities for faculty and staff."/>
    <s v="Less networking and opportunities for faculty and staff."/>
    <s v="Diminished opportunties for exchange of ideas and recruiting top performers"/>
    <n v="25000"/>
    <m/>
    <m/>
    <n v="25000"/>
    <m/>
    <n v="25000"/>
    <n v="25000"/>
    <m/>
    <n v="25000"/>
    <n v="50000"/>
    <n v="25000"/>
    <n v="25000"/>
    <n v="225000"/>
    <n v="0"/>
    <s v="Align academic programs with the local and global labor market needs"/>
  </r>
  <r>
    <n v="8470440"/>
    <s v="KUST - Humanities &amp; Social Sciences"/>
    <n v="1"/>
    <n v="428640"/>
    <x v="27"/>
    <s v="000000"/>
    <s v="KUST - General"/>
    <n v="847001"/>
    <x v="1"/>
    <n v="200179"/>
    <s v="847.8470440.1.428640.000000.847001.200179"/>
    <s v="-"/>
    <n v="100000"/>
    <n v="100000"/>
    <s v="428640.Events - Awards, prizes &amp; gifts-Number of awards-count"/>
    <m/>
    <x v="20"/>
    <x v="67"/>
    <x v="553"/>
    <n v="100000"/>
    <s v="Regular operations"/>
    <s v="Recurring"/>
    <n v="90000"/>
    <n v="80000"/>
    <n v="70000"/>
    <s v="Diminished Moral"/>
    <s v="Diminished Moral"/>
    <s v="Less interaction and team building among staff."/>
    <n v="25000"/>
    <m/>
    <m/>
    <n v="25000"/>
    <m/>
    <m/>
    <m/>
    <n v="25000"/>
    <m/>
    <m/>
    <m/>
    <n v="25000"/>
    <n v="100000"/>
    <n v="0"/>
    <s v="Align academic programs with the local and global labor market needs"/>
  </r>
  <r>
    <n v="8470440"/>
    <s v="KUST - Humanities &amp; Social Sciences"/>
    <n v="1"/>
    <n v="435340"/>
    <x v="40"/>
    <s v="000000"/>
    <s v="KUST - General"/>
    <n v="847001"/>
    <x v="1"/>
    <n v="200179"/>
    <s v="847.8470440.1.435340.000000.847001.200179"/>
    <n v="0"/>
    <n v="120000"/>
    <n v="120000"/>
    <s v="435340.Text books and library books-Faculty-Number oF Faculty"/>
    <m/>
    <x v="17"/>
    <x v="42"/>
    <x v="554"/>
    <n v="120000"/>
    <s v="Regular operations"/>
    <s v="Recurring"/>
    <n v="108000"/>
    <n v="96000"/>
    <n v="84000"/>
    <s v="Less Resources"/>
    <s v="Less Resources"/>
    <s v="Less Resources"/>
    <n v="10000"/>
    <n v="10000"/>
    <n v="10000"/>
    <n v="10000"/>
    <n v="10000"/>
    <n v="10000"/>
    <n v="10000"/>
    <n v="10000"/>
    <n v="10000"/>
    <n v="10000"/>
    <n v="10000"/>
    <n v="10000"/>
    <n v="120000"/>
    <n v="0"/>
    <s v="Align academic programs with the local and global labor market needs"/>
  </r>
  <r>
    <n v="8470440"/>
    <s v="KUST - Humanities &amp; Social Sciences"/>
    <n v="1"/>
    <n v="435350"/>
    <x v="33"/>
    <s v="000000"/>
    <s v="KUST - General"/>
    <n v="847001"/>
    <x v="1"/>
    <n v="200179"/>
    <s v="847.8470440.1.435350.000000.847001.200179"/>
    <n v="11000.64"/>
    <n v="40000"/>
    <n v="40000"/>
    <s v="435350.Academic Publications-Number of Publications-Number"/>
    <m/>
    <x v="20"/>
    <x v="103"/>
    <x v="555"/>
    <n v="40000"/>
    <s v="Regular operations"/>
    <s v="Recurring"/>
    <n v="36000"/>
    <n v="32000"/>
    <n v="28000"/>
    <s v="Less Resources"/>
    <s v="Less Resources"/>
    <s v="Less Resources"/>
    <n v="3000"/>
    <n v="3000"/>
    <n v="3000"/>
    <n v="3000"/>
    <n v="3000"/>
    <n v="3000"/>
    <n v="3000"/>
    <n v="3000"/>
    <n v="5000"/>
    <n v="5000"/>
    <n v="3000"/>
    <n v="3000"/>
    <n v="40000"/>
    <n v="0"/>
    <s v="Align academic programs with the local and global labor market needs"/>
  </r>
  <r>
    <n v="8470440"/>
    <s v="KUST - Humanities &amp; Social Sciences"/>
    <n v="1"/>
    <n v="436600"/>
    <x v="35"/>
    <s v="000000"/>
    <s v="KUST - General"/>
    <n v="847001"/>
    <x v="1"/>
    <n v="200179"/>
    <s v="847.8470440.1.436600.000000.847001.200179"/>
    <n v="0"/>
    <n v="22500"/>
    <n v="22500"/>
    <s v="436600.Training/Teaching equipment and other educational aid-Number of Faculty-Number"/>
    <m/>
    <x v="12"/>
    <x v="79"/>
    <x v="556"/>
    <n v="22500"/>
    <s v="Regular operations"/>
    <s v="Recurring"/>
    <n v="20250"/>
    <n v="18000"/>
    <n v="15749.999999999998"/>
    <s v="Less Resources"/>
    <s v="Less Resources"/>
    <s v="Less Resources"/>
    <n v="5000"/>
    <m/>
    <m/>
    <n v="5000"/>
    <m/>
    <m/>
    <m/>
    <m/>
    <n v="5000"/>
    <m/>
    <m/>
    <n v="7500"/>
    <n v="22500"/>
    <n v="0"/>
    <s v="Align academic programs with the local and global labor market needs"/>
  </r>
  <r>
    <n v="8470445"/>
    <s v="KUST - Mathematics"/>
    <n v="1"/>
    <n v="425100"/>
    <x v="75"/>
    <s v="000000"/>
    <s v="KUST - General"/>
    <n v="847001"/>
    <x v="1"/>
    <n v="200179"/>
    <s v="847.8470445.1.425100.000000.847001.200179"/>
    <s v="-"/>
    <n v="150000"/>
    <n v="150000"/>
    <s v="425100.Advertising Services (General)-International Publicity-count"/>
    <s v="count"/>
    <x v="1"/>
    <x v="183"/>
    <x v="557"/>
    <n v="100000"/>
    <s v="KU Strategic New Initiative"/>
    <s v="Recurring"/>
    <n v="90000"/>
    <n v="80000"/>
    <n v="70000"/>
    <s v="10% less impact"/>
    <s v="20% less impact "/>
    <s v="30% less impact"/>
    <m/>
    <m/>
    <m/>
    <n v="100000"/>
    <m/>
    <m/>
    <m/>
    <m/>
    <m/>
    <m/>
    <m/>
    <m/>
    <n v="100000"/>
    <n v="0"/>
    <s v="Recruit and retain high caliber faculty, researchers and staff"/>
  </r>
  <r>
    <n v="8470445"/>
    <s v="KUST - Mathematics"/>
    <n v="1"/>
    <n v="425720"/>
    <x v="38"/>
    <s v="000000"/>
    <s v="KUST - General"/>
    <n v="847001"/>
    <x v="1"/>
    <n v="200179"/>
    <s v="847.8470445.1.425720.000000.847001.200179"/>
    <s v="-"/>
    <n v="18350"/>
    <n v="18350"/>
    <s v="425720.Education-Outsourced training service-Activities-No of Activities"/>
    <s v="No of Activities"/>
    <x v="1"/>
    <x v="270"/>
    <x v="558"/>
    <n v="36730"/>
    <s v="KU Strategic New Initiative"/>
    <s v="Recurring"/>
    <n v="33057"/>
    <n v="29384"/>
    <n v="25711"/>
    <s v="Not possible, will take this out from other items"/>
    <s v="Not possible, will take this out from other items"/>
    <s v="Not possible, will take this out from other items"/>
    <m/>
    <m/>
    <n v="36730"/>
    <m/>
    <m/>
    <m/>
    <m/>
    <m/>
    <m/>
    <m/>
    <m/>
    <m/>
    <n v="36730"/>
    <n v="0"/>
    <s v="Utilize state-of-the-art technologies and facilities in an optimal and efficient manner"/>
  </r>
  <r>
    <n v="8470445"/>
    <s v="KUST - Mathematics"/>
    <n v="1"/>
    <n v="425760"/>
    <x v="29"/>
    <s v="000000"/>
    <s v="KUST - General"/>
    <n v="847001"/>
    <x v="1"/>
    <n v="200179"/>
    <s v="847.8470445.1.425760.000000.847001.200179"/>
    <s v="-"/>
    <n v="36630"/>
    <n v="15000"/>
    <s v="425760.Student activities &amp; field trip expenses-Events-No of Events"/>
    <s v="No of Events"/>
    <x v="1"/>
    <x v="271"/>
    <x v="559"/>
    <n v="106850"/>
    <s v="KU Strategic New Initiative"/>
    <s v="Recurring"/>
    <n v="96165"/>
    <n v="85480"/>
    <n v="74795"/>
    <s v="impact dept. Running Operation"/>
    <s v="impact dept. Running Operation"/>
    <s v="impact dept. Running Operation"/>
    <m/>
    <n v="1850"/>
    <m/>
    <m/>
    <n v="100000"/>
    <m/>
    <m/>
    <m/>
    <n v="5000"/>
    <m/>
    <m/>
    <m/>
    <n v="106850"/>
    <n v="0"/>
    <s v="Widen access to students with outstanding academic potential"/>
  </r>
  <r>
    <n v="8470445"/>
    <s v="KUST - Mathematics"/>
    <n v="1"/>
    <n v="425763"/>
    <x v="30"/>
    <s v="000000"/>
    <s v="KUST - General"/>
    <n v="847001"/>
    <x v="1"/>
    <n v="200179"/>
    <s v="847.8470445.1.425763.000000.847001.200179"/>
    <s v="-"/>
    <n v="7590"/>
    <n v="5000"/>
    <s v="425763.Student Project Expenses-Number of Students UG-Month"/>
    <s v="Month"/>
    <x v="20"/>
    <x v="66"/>
    <x v="560"/>
    <n v="10000"/>
    <s v="KU Regular operations"/>
    <s v="Recurring"/>
    <n v="9000"/>
    <n v="8000"/>
    <n v="7000"/>
    <s v="impact dept. Running Operation"/>
    <s v="impact dept. Running Operation"/>
    <s v="impact dept. Running Operation"/>
    <s v=" "/>
    <s v=" "/>
    <n v="2000"/>
    <n v="2000"/>
    <n v="2000"/>
    <n v="2000"/>
    <n v="2000"/>
    <m/>
    <m/>
    <m/>
    <m/>
    <m/>
    <n v="10000"/>
    <n v="0"/>
    <s v="Widen access to students with outstanding academic potential"/>
  </r>
  <r>
    <n v="8470445"/>
    <s v="KUST - Mathematics"/>
    <n v="1"/>
    <n v="425770"/>
    <x v="31"/>
    <s v="000000"/>
    <s v="KUST - General"/>
    <n v="847001"/>
    <x v="1"/>
    <n v="200179"/>
    <s v="847.8470445.1.425770.000000.847001.200179"/>
    <n v="6600.06"/>
    <n v="570000"/>
    <n v="400000"/>
    <s v="425770.Academic Missions - Combined expenses-Number of Conference-Number"/>
    <s v="Number"/>
    <x v="23"/>
    <x v="62"/>
    <x v="561"/>
    <n v="600000"/>
    <s v="KU Regular operations"/>
    <s v="Recurring"/>
    <n v="540000"/>
    <n v="480000"/>
    <n v="420000"/>
    <s v="10% Less academic missions"/>
    <s v="20% less  academic missions"/>
    <s v="30% less academic missions"/>
    <m/>
    <n v="25000"/>
    <n v="25000"/>
    <n v="50000"/>
    <n v="100000"/>
    <n v="100000"/>
    <n v="100000"/>
    <n v="50000"/>
    <n v="50000"/>
    <n v="25000"/>
    <n v="25000"/>
    <n v="50000"/>
    <n v="600000"/>
    <n v="0"/>
    <s v="Recruit and retain high caliber faculty, researchers and staff"/>
  </r>
  <r>
    <n v="8470445"/>
    <s v="KUST - Mathematics"/>
    <n v="1"/>
    <n v="426610"/>
    <x v="4"/>
    <s v="000000"/>
    <s v="KUST - General"/>
    <n v="847001"/>
    <x v="1"/>
    <n v="200179"/>
    <s v="847.8470445.1.426610.000000.847001.200179"/>
    <n v="53832"/>
    <n v="37650"/>
    <n v="53832"/>
    <s v="426610.Computer software licenses-Software License Renewal-number of licenses-Number"/>
    <s v="Number"/>
    <x v="1"/>
    <x v="30"/>
    <x v="562"/>
    <n v="25000"/>
    <s v="KU Regular operations"/>
    <s v="Recurring"/>
    <n v="22500"/>
    <n v="20000"/>
    <n v="17500"/>
    <s v="Reduction of licenses"/>
    <s v="Reduction of licenses"/>
    <s v="Reduction of licenses"/>
    <m/>
    <n v="25000"/>
    <m/>
    <m/>
    <m/>
    <m/>
    <m/>
    <m/>
    <m/>
    <m/>
    <m/>
    <m/>
    <n v="25000"/>
    <n v="0"/>
    <s v="Align academic programs with the local and global labor market needs"/>
  </r>
  <r>
    <n v="8470445"/>
    <s v="KUST - Mathematics"/>
    <n v="1"/>
    <n v="435350"/>
    <x v="33"/>
    <s v="000000"/>
    <s v="KUST - General"/>
    <n v="847001"/>
    <x v="1"/>
    <n v="200179"/>
    <s v="847.8470445.1.435350.000000.847001.200179"/>
    <s v="-"/>
    <n v="600000"/>
    <n v="500000"/>
    <s v="435350.Academic Publications-Number of Publications-Number"/>
    <s v="Number"/>
    <x v="37"/>
    <x v="62"/>
    <x v="563"/>
    <n v="675000"/>
    <s v="KU Regular operations"/>
    <s v="Recurring"/>
    <n v="607500"/>
    <n v="540000"/>
    <n v="472499.99999999994"/>
    <s v="Reduction of open access"/>
    <s v="Reduction of open access"/>
    <s v="Reduction of open access"/>
    <n v="50000"/>
    <n v="50000"/>
    <n v="50000"/>
    <n v="50000"/>
    <n v="60000"/>
    <n v="65000"/>
    <n v="60000"/>
    <n v="60000"/>
    <n v="50000"/>
    <n v="60000"/>
    <n v="60000"/>
    <n v="60000"/>
    <n v="675000"/>
    <n v="0"/>
    <s v="Recruit and retain high caliber faculty, researchers and staff"/>
  </r>
  <r>
    <n v="8470445"/>
    <s v="KUST - Mathematics"/>
    <n v="1"/>
    <n v="427710"/>
    <x v="52"/>
    <s v="000000"/>
    <s v="KUST - General"/>
    <n v="847001"/>
    <x v="1"/>
    <n v="200179"/>
    <s v="847.8470445.1.427710.000000.847001.200179"/>
    <s v="-"/>
    <s v="-"/>
    <m/>
    <s v="427710.Subscriptions and membership fees: Trade organisations-Number  of Memberships-Number"/>
    <s v="Number"/>
    <x v="1"/>
    <x v="272"/>
    <x v="564"/>
    <n v="12576"/>
    <s v="KU Regular operations"/>
    <s v="Recurring"/>
    <n v="11318.4"/>
    <n v="10060.800000000001"/>
    <n v="8803.1999999999989"/>
    <s v="less subscriptions"/>
    <s v="less subscriptions"/>
    <s v="less subscriptions"/>
    <m/>
    <n v="12576"/>
    <m/>
    <m/>
    <m/>
    <m/>
    <m/>
    <m/>
    <m/>
    <m/>
    <m/>
    <m/>
    <n v="12576"/>
    <n v="0"/>
    <s v="Build partnerships with local and international universities"/>
  </r>
  <r>
    <n v="8470445"/>
    <s v="KUST - Mathematics"/>
    <n v="1"/>
    <n v="425900"/>
    <x v="26"/>
    <s v="000000"/>
    <s v="KUST - General"/>
    <n v="847001"/>
    <x v="1"/>
    <n v="200179"/>
    <s v="847.8470445.1.425900.000000.847001.200179"/>
    <s v="-"/>
    <s v="-"/>
    <m/>
    <s v="425900.Entertainment and hospitality-1. No of events/workshops planned-count"/>
    <s v="count"/>
    <x v="0"/>
    <x v="35"/>
    <x v="565"/>
    <n v="120000"/>
    <s v="KU Regular operations"/>
    <s v="Recurring"/>
    <n v="108000"/>
    <n v="96000"/>
    <n v="84000"/>
    <s v="less attendance or events"/>
    <s v="less attendance or events"/>
    <s v="less attendance or events"/>
    <m/>
    <m/>
    <m/>
    <m/>
    <n v="120000"/>
    <m/>
    <m/>
    <m/>
    <m/>
    <m/>
    <m/>
    <m/>
    <n v="120000"/>
    <n v="0"/>
    <s v="Attract and organize international conferences and summits"/>
  </r>
  <r>
    <n v="8470445"/>
    <s v="KUST - Mathematics"/>
    <n v="1"/>
    <n v="420550"/>
    <x v="20"/>
    <s v="000000"/>
    <s v="KUST - General"/>
    <n v="847001"/>
    <x v="1"/>
    <n v="200179"/>
    <s v="847.8470445.1.420550.000000.847001.200179"/>
    <m/>
    <s v="-"/>
    <m/>
    <s v="420550.Academic Advisory Service-Number of Services-Number"/>
    <s v="Number"/>
    <x v="1"/>
    <x v="77"/>
    <x v="566"/>
    <n v="200000"/>
    <s v="KU Strategic New Initiative"/>
    <s v="Recurring"/>
    <n v="180000"/>
    <n v="160000"/>
    <n v="140000"/>
    <s v="reduction of visit time"/>
    <s v="reduction of visit time"/>
    <s v="reduction of visit time"/>
    <m/>
    <n v="200000"/>
    <m/>
    <m/>
    <m/>
    <m/>
    <m/>
    <m/>
    <m/>
    <m/>
    <m/>
    <m/>
    <n v="200000"/>
    <n v="0"/>
    <s v="Align the postgraduates programs with the research strategy"/>
  </r>
  <r>
    <n v="8470445"/>
    <s v="KUST - Mathematics"/>
    <n v="1"/>
    <n v="425510"/>
    <x v="23"/>
    <s v="000000"/>
    <s v="KUST - General"/>
    <n v="847001"/>
    <x v="1"/>
    <n v="200179"/>
    <s v="847.8470445.1.425510.000000.847001.200179"/>
    <s v="-"/>
    <s v="-"/>
    <m/>
    <s v="425510.Conferences, seminars and exhibitions and other events: - Local Events-Events-Number of Events"/>
    <s v="Number of Events"/>
    <x v="11"/>
    <x v="59"/>
    <x v="567"/>
    <n v="300000"/>
    <s v="KU Strategic New Initiative"/>
    <s v="Recurring"/>
    <n v="270000"/>
    <n v="240000"/>
    <n v="210000"/>
    <s v="reduction of participants"/>
    <s v="reduction of participants"/>
    <s v="reduction of participants"/>
    <m/>
    <n v="20000"/>
    <n v="20000"/>
    <n v="20000"/>
    <n v="40000"/>
    <n v="50000"/>
    <m/>
    <n v="20000"/>
    <n v="20000"/>
    <n v="20000"/>
    <n v="40000"/>
    <n v="50000"/>
    <n v="300000"/>
    <n v="0"/>
    <s v="Attract and organize international conferences and summits"/>
  </r>
  <r>
    <n v="8470445"/>
    <s v="KUST - Mathematics"/>
    <n v="1"/>
    <n v="492354"/>
    <x v="15"/>
    <s v="000000"/>
    <s v="KUST - General"/>
    <n v="847001"/>
    <x v="2"/>
    <n v="300180"/>
    <s v="847.8470445.1.492354.000000.847001.300180"/>
    <n v="0"/>
    <n v="0"/>
    <m/>
    <s v="492354.Hardware &amp; peripherals-Peripherals &amp; Infrastructure Components-TBD-TBD"/>
    <s v="TBD"/>
    <x v="12"/>
    <x v="87"/>
    <x v="568"/>
    <n v="900000"/>
    <s v="KU Strategic New Initiative"/>
    <s v="Non-recurring"/>
    <n v="810000"/>
    <n v="720000"/>
    <n v="630000"/>
    <s v="PhD 1, or 2 students will not have workstations"/>
    <s v="PhD 2, or 3 students will not have workstations"/>
    <s v="PhD 3 or 4 students will not have workstations"/>
    <m/>
    <m/>
    <n v="900000"/>
    <m/>
    <m/>
    <m/>
    <m/>
    <m/>
    <m/>
    <m/>
    <m/>
    <m/>
    <n v="900000"/>
    <n v="0"/>
    <s v="Align academic programs with the local and global labor market needs"/>
  </r>
  <r>
    <n v="8470445"/>
    <s v="KUST - Mathematics"/>
    <n v="1"/>
    <n v="492354"/>
    <x v="15"/>
    <s v="000000"/>
    <s v="KUST - General"/>
    <n v="847001"/>
    <x v="2"/>
    <n v="300180"/>
    <s v="847.8470445.1.492354.000000.847001.300180"/>
    <s v="-"/>
    <s v="-"/>
    <m/>
    <s v="492354.Hardware &amp; peripherals-Peripherals &amp; Infrastructure Components-TBD-TBD"/>
    <s v="TBD"/>
    <x v="17"/>
    <x v="87"/>
    <x v="568"/>
    <n v="240000"/>
    <s v="KU Strategic New Initiative"/>
    <s v="Non-recurring"/>
    <n v="216000"/>
    <n v="192000"/>
    <n v="168000"/>
    <s v="1 faculty will not be able to have a workstation, or Lower specs that affects the research productivity and teaching homogeneity between workstation"/>
    <s v="1 faculty will not be able to have a workstation, or Lower specs that affects the research productivity and teaching homogeneity between workstation"/>
    <s v="1 faculty will not be able to have a workstation, or Lower specs that affects the research productivity and teaching homogeneity between workstation"/>
    <m/>
    <m/>
    <n v="240000"/>
    <m/>
    <m/>
    <m/>
    <m/>
    <m/>
    <m/>
    <m/>
    <m/>
    <m/>
    <n v="240000"/>
    <n v="0"/>
    <s v="Align the postgraduates programs with the research strategy"/>
  </r>
  <r>
    <n v="8470450"/>
    <s v="KUST - Earth Science"/>
    <n v="1"/>
    <n v="425761"/>
    <x v="67"/>
    <s v="000000"/>
    <s v="KUST - General"/>
    <n v="847001"/>
    <x v="1"/>
    <n v="200179"/>
    <s v="847.8470450.1.425761.000000.847001.200179"/>
    <n v="40740"/>
    <n v="500000"/>
    <m/>
    <s v="425761.Student Field trips-Number of Students UG-Month"/>
    <s v="Month"/>
    <x v="1"/>
    <x v="138"/>
    <x v="569"/>
    <n v="500000"/>
    <s v="KU Regular operations"/>
    <s v="Recurring"/>
    <n v="450000"/>
    <n v="400000"/>
    <n v="350000"/>
    <s v="Local and international field trips can be affected with impact on eduactional objectives of courses and requirements for accreditation."/>
    <s v="Local and international field trips can be affected with impact on eduactional objectives of courses and requirements for accreditation."/>
    <s v="Local and international field trips can be affected with impact on eduactional objectives of courses and requirements for accreditation."/>
    <n v="50000"/>
    <n v="50000"/>
    <n v="50000"/>
    <n v="50000"/>
    <n v="200000"/>
    <m/>
    <m/>
    <m/>
    <m/>
    <n v="100000"/>
    <m/>
    <m/>
    <n v="500000"/>
    <n v="0"/>
    <s v="Increase number of postgraduate students"/>
  </r>
  <r>
    <n v="8470450"/>
    <s v="KUST - Earth Science"/>
    <n v="1"/>
    <n v="425770"/>
    <x v="31"/>
    <s v="000000"/>
    <s v="KUST - General"/>
    <n v="847001"/>
    <x v="1"/>
    <n v="200179"/>
    <s v="847.8470450.1.425770.000000.847001.200179"/>
    <n v="0"/>
    <n v="180000"/>
    <m/>
    <s v="425770.Academic Missions - Combined expenses-Number of Meeting-Number"/>
    <s v="Number"/>
    <x v="30"/>
    <x v="62"/>
    <x v="570"/>
    <n v="210000"/>
    <s v="KU Regular operations"/>
    <s v="Recurring"/>
    <n v="189000"/>
    <n v="168000"/>
    <n v="147000"/>
    <s v="Impact on faculty scholarship and KU visibility and reputation"/>
    <s v="Impact on faculty scholarship and KU visibility and reputation"/>
    <s v="Impact on faculty scholarship and KU visibility and reputation"/>
    <n v="105000"/>
    <n v="105000"/>
    <m/>
    <m/>
    <m/>
    <m/>
    <m/>
    <m/>
    <m/>
    <m/>
    <m/>
    <m/>
    <n v="210000"/>
    <n v="0"/>
    <s v="Recruit and retain high caliber faculty, researchers and staff"/>
  </r>
  <r>
    <n v="8470450"/>
    <s v="KUST - Earth Science"/>
    <n v="1"/>
    <n v="426610"/>
    <x v="4"/>
    <s v="000000"/>
    <s v="KUST - General"/>
    <n v="847001"/>
    <x v="1"/>
    <n v="200179"/>
    <s v="847.8470450.1.426610.000000.847001.200179"/>
    <s v="-"/>
    <n v="313605"/>
    <m/>
    <s v="426610.Computer software licenses-Software License Renewal-number of licenses-Number"/>
    <s v="Number"/>
    <x v="1"/>
    <x v="273"/>
    <x v="571"/>
    <n v="89500"/>
    <s v="KU Regular operations"/>
    <s v="Recurring"/>
    <n v="80550"/>
    <n v="71600"/>
    <n v="62649.999999999993"/>
    <s v="Impact on student teaching"/>
    <s v="Impact on student teaching"/>
    <s v="Impact on student teaching"/>
    <n v="89500"/>
    <m/>
    <m/>
    <m/>
    <m/>
    <m/>
    <m/>
    <m/>
    <m/>
    <m/>
    <m/>
    <m/>
    <n v="89500"/>
    <n v="0"/>
    <s v="Align academic programs with the local and global labor market needs"/>
  </r>
  <r>
    <n v="8470450"/>
    <s v="KUST - Earth Science"/>
    <n v="1"/>
    <n v="428090"/>
    <x v="7"/>
    <s v="000000"/>
    <s v="KUST - General"/>
    <n v="847001"/>
    <x v="1"/>
    <n v="200179"/>
    <s v="847.8470450.1.428090.000000.847001.200179"/>
    <s v="-"/>
    <n v="30000"/>
    <m/>
    <m/>
    <s v="-_"/>
    <x v="2"/>
    <x v="1"/>
    <x v="1"/>
    <n v="0"/>
    <m/>
    <m/>
    <n v="0"/>
    <n v="0"/>
    <n v="0"/>
    <m/>
    <m/>
    <m/>
    <m/>
    <m/>
    <m/>
    <m/>
    <m/>
    <m/>
    <m/>
    <m/>
    <m/>
    <m/>
    <m/>
    <m/>
    <n v="0"/>
    <n v="0"/>
    <m/>
  </r>
  <r>
    <n v="8470450"/>
    <s v="KUST - Earth Science"/>
    <n v="1"/>
    <n v="432209"/>
    <x v="32"/>
    <s v="000000"/>
    <s v="KUST - General"/>
    <n v="847001"/>
    <x v="1"/>
    <n v="200179"/>
    <s v="847.8470450.1.432209.000000.847001.200179"/>
    <n v="-35634.410000000003"/>
    <n v="118157"/>
    <m/>
    <s v="432209.Laboratory equipment-Number of Faculty-Number"/>
    <s v="Number"/>
    <x v="2"/>
    <x v="1"/>
    <x v="1"/>
    <n v="0"/>
    <m/>
    <m/>
    <n v="0"/>
    <n v="0"/>
    <n v="0"/>
    <m/>
    <m/>
    <m/>
    <m/>
    <m/>
    <m/>
    <m/>
    <m/>
    <m/>
    <m/>
    <m/>
    <m/>
    <m/>
    <m/>
    <m/>
    <n v="0"/>
    <n v="0"/>
    <m/>
  </r>
  <r>
    <n v="8470450"/>
    <s v="KUST - Earth Science"/>
    <n v="1"/>
    <n v="435350"/>
    <x v="33"/>
    <s v="000000"/>
    <s v="KUST - General"/>
    <n v="847001"/>
    <x v="1"/>
    <n v="200179"/>
    <s v="847.8470450.1.435350.000000.847001.200179"/>
    <n v="0"/>
    <n v="40000"/>
    <m/>
    <s v="435350.Academic Publications-Number of Publications-Number"/>
    <s v="Number"/>
    <x v="1"/>
    <x v="111"/>
    <x v="572"/>
    <n v="120000"/>
    <s v="KU Regular operations"/>
    <s v="Recurring"/>
    <n v="108000"/>
    <n v="96000"/>
    <n v="84000"/>
    <s v="Impact on faculty scholarship and KU visibility and reputation"/>
    <s v="Impact on faculty scholarship and KU visibility and reputation"/>
    <s v="Impact on faculty scholarship and KU visibility and reputation"/>
    <m/>
    <m/>
    <n v="40000"/>
    <m/>
    <m/>
    <n v="40000"/>
    <m/>
    <m/>
    <n v="40000"/>
    <m/>
    <m/>
    <m/>
    <n v="120000"/>
    <n v="0"/>
    <s v="Increase publications in journals with high impact factor"/>
  </r>
  <r>
    <n v="8470450"/>
    <s v="KUST - Earth Science"/>
    <n v="1"/>
    <n v="435508"/>
    <x v="34"/>
    <s v="000000"/>
    <s v="KUST - General"/>
    <n v="847001"/>
    <x v="1"/>
    <n v="200179"/>
    <s v="847.8470450.1.435508.000000.847001.200179"/>
    <n v="4089.74"/>
    <n v="6500"/>
    <m/>
    <s v="435508.Laboratory - Scientific-Number of Students-Number"/>
    <s v="Number"/>
    <x v="1"/>
    <x v="78"/>
    <x v="573"/>
    <n v="220000"/>
    <s v="KU Regular operations"/>
    <s v="Recurring"/>
    <n v="198000"/>
    <n v="176000"/>
    <n v="154000"/>
    <s v="Impact on laboratory functioning"/>
    <s v="Impact on laboratory functioning"/>
    <s v="Impact on laboratory functioning"/>
    <n v="100000"/>
    <n v="100000"/>
    <n v="20000"/>
    <m/>
    <m/>
    <m/>
    <m/>
    <m/>
    <m/>
    <m/>
    <m/>
    <m/>
    <n v="220000"/>
    <n v="0"/>
    <s v="Utilize state-of-the-art technologies and facilities in an optimal and efficient manner"/>
  </r>
  <r>
    <n v="8470450"/>
    <s v="KUST - Earth Science"/>
    <n v="1"/>
    <n v="492310"/>
    <x v="13"/>
    <s v="000000"/>
    <s v="KUST - General"/>
    <n v="847001"/>
    <x v="2"/>
    <n v="300180"/>
    <s v="847.8470450.1.492310.000000.847001.300180"/>
    <s v="-"/>
    <n v="126346"/>
    <m/>
    <s v="492310.Hardware &amp; peripherals-number of hardware devices-Month"/>
    <s v="Month"/>
    <x v="7"/>
    <x v="31"/>
    <x v="574"/>
    <n v="100000"/>
    <s v="KU Regular operations"/>
    <s v="Non-recurring"/>
    <n v="90000"/>
    <n v="80000"/>
    <n v="70000"/>
    <s v="Impact on student teaching"/>
    <s v="Impact on student teaching"/>
    <s v="Impact on student teaching"/>
    <m/>
    <n v="100000"/>
    <m/>
    <m/>
    <m/>
    <m/>
    <m/>
    <m/>
    <m/>
    <m/>
    <m/>
    <m/>
    <n v="100000"/>
    <n v="0"/>
    <s v="Utilize state-of-the-art technologies and facilities in an optimal and efficient manner"/>
  </r>
  <r>
    <n v="8470450"/>
    <s v="KUST - Earth Science"/>
    <n v="1"/>
    <n v="492316"/>
    <x v="19"/>
    <s v="000000"/>
    <s v="KUST - General"/>
    <n v="847001"/>
    <x v="2"/>
    <n v="300180"/>
    <s v="847.8470450.1.492316.000000.847001.300180"/>
    <s v="-"/>
    <s v="-"/>
    <m/>
    <s v="492316.Laboratory equipment-Number of Research-Number"/>
    <s v="Number"/>
    <x v="1"/>
    <x v="87"/>
    <x v="575"/>
    <n v="60000"/>
    <s v="KU Regular operations"/>
    <s v="Non-recurring"/>
    <n v="54000"/>
    <n v="48000"/>
    <n v="42000"/>
    <s v="Impact on laboratory functioning and teachng activity"/>
    <s v="Impact on laboratory functioning and teachng activity"/>
    <s v="Impact on laboratory functioning and teachng activity"/>
    <n v="60000"/>
    <m/>
    <m/>
    <m/>
    <m/>
    <m/>
    <m/>
    <m/>
    <m/>
    <m/>
    <m/>
    <m/>
    <n v="60000"/>
    <n v="0"/>
    <s v="Utilize state-of-the-art technologies and facilities in an optimal and efficient manner"/>
  </r>
  <r>
    <n v="8470450"/>
    <s v="KUST - Earth Science"/>
    <n v="1"/>
    <n v="492316"/>
    <x v="19"/>
    <s v="000000"/>
    <s v="KUST - General"/>
    <n v="847001"/>
    <x v="2"/>
    <n v="300180"/>
    <s v="847.8470450.1.492316.000000.847001.300180"/>
    <s v="-"/>
    <s v="-"/>
    <m/>
    <s v="492316.Laboratory equipment-Number of Research-Number"/>
    <s v="Number"/>
    <x v="1"/>
    <x v="274"/>
    <x v="576"/>
    <n v="1200000"/>
    <s v="KU Regular operations"/>
    <s v="Non-recurring"/>
    <n v="1080000"/>
    <n v="960000"/>
    <n v="840000"/>
    <s v="Impact on faculty research"/>
    <s v="Impact on faculty research"/>
    <s v="Impact on faculty research"/>
    <m/>
    <n v="1200000"/>
    <m/>
    <m/>
    <m/>
    <m/>
    <m/>
    <m/>
    <m/>
    <m/>
    <m/>
    <m/>
    <n v="1200000"/>
    <n v="0"/>
    <s v="Recruit and retain high caliber faculty, researchers and staff"/>
  </r>
  <r>
    <n v="8470450"/>
    <s v="KUST - Earth Science"/>
    <n v="1"/>
    <n v="492316"/>
    <x v="19"/>
    <s v="000000"/>
    <s v="KUST - General"/>
    <n v="847001"/>
    <x v="2"/>
    <n v="300180"/>
    <s v="847.8470450.1.492316.000000.847001.300180"/>
    <s v="-"/>
    <s v="-"/>
    <m/>
    <s v="492316.Laboratory equipment-Number of Research-Number"/>
    <s v="Number"/>
    <x v="1"/>
    <x v="161"/>
    <x v="577"/>
    <n v="250000"/>
    <s v="KU Regular operations"/>
    <s v="Non-recurring"/>
    <n v="225000"/>
    <n v="200000"/>
    <n v="175000"/>
    <s v="Impact on faculty research"/>
    <s v="Impact on faculty research"/>
    <s v="Impact on faculty research"/>
    <n v="250000"/>
    <m/>
    <m/>
    <m/>
    <m/>
    <m/>
    <m/>
    <m/>
    <m/>
    <m/>
    <m/>
    <m/>
    <n v="250000"/>
    <n v="0"/>
    <s v="Recruit and retain high caliber faculty, researchers and staff"/>
  </r>
  <r>
    <n v="8470450"/>
    <s v="KUST - Earth Science"/>
    <n v="1"/>
    <n v="492316"/>
    <x v="19"/>
    <s v="000000"/>
    <s v="KUST - General"/>
    <n v="847001"/>
    <x v="2"/>
    <n v="300180"/>
    <s v="847.8470450.1.492316.000000.847001.300180"/>
    <s v="-"/>
    <s v="-"/>
    <m/>
    <s v="492316.Laboratory equipment-Number of Research-Number"/>
    <s v="Number"/>
    <x v="1"/>
    <x v="125"/>
    <x v="578"/>
    <n v="185000"/>
    <s v="KU Regular operations"/>
    <s v="Non-recurring"/>
    <n v="166500"/>
    <n v="148000"/>
    <n v="129499.99999999999"/>
    <s v="Impact on faculty research and students teaching"/>
    <s v="Impact on faculty research and students teaching"/>
    <s v="Impact on faculty research and students teaching"/>
    <n v="185000"/>
    <m/>
    <m/>
    <m/>
    <m/>
    <m/>
    <m/>
    <m/>
    <m/>
    <m/>
    <m/>
    <m/>
    <n v="185000"/>
    <n v="0"/>
    <s v="Utilize state-of-the-art technologies and facilities in an optimal and efficient manner"/>
  </r>
  <r>
    <n v="8470450"/>
    <s v="KUST - Earth Science"/>
    <n v="1"/>
    <n v="492316"/>
    <x v="19"/>
    <s v="000000"/>
    <s v="KUST - General"/>
    <n v="847001"/>
    <x v="2"/>
    <n v="300180"/>
    <s v="847.8470450.1.492316.000000.847001.300180"/>
    <s v="-"/>
    <s v="-"/>
    <m/>
    <s v="492316.Laboratory equipment-Number of Research-Number"/>
    <s v="Number"/>
    <x v="1"/>
    <x v="55"/>
    <x v="579"/>
    <n v="320000"/>
    <s v="KU Regular operations"/>
    <s v="Non-recurring"/>
    <n v="288000"/>
    <n v="256000"/>
    <n v="224000"/>
    <s v="Impact on faculty research and students teaching"/>
    <s v="Impact on faculty research and students teaching"/>
    <s v="Impact on faculty research and students teaching"/>
    <n v="320000"/>
    <m/>
    <m/>
    <m/>
    <m/>
    <m/>
    <m/>
    <m/>
    <m/>
    <m/>
    <m/>
    <m/>
    <n v="320000"/>
    <n v="0"/>
    <s v="Utilize state-of-the-art technologies and facilities in an optimal and efficient manner"/>
  </r>
  <r>
    <n v="8470450"/>
    <s v="KUST - Earth Science"/>
    <n v="1"/>
    <n v="492316"/>
    <x v="19"/>
    <s v="000000"/>
    <s v="KUST - General"/>
    <n v="847001"/>
    <x v="2"/>
    <n v="300180"/>
    <s v="847.8470450.1.492316.000000.847001.300180"/>
    <m/>
    <m/>
    <m/>
    <s v="492316.Laboratory equipment-Number of Research-Number"/>
    <s v="Number"/>
    <x v="1"/>
    <x v="27"/>
    <x v="580"/>
    <n v="50000"/>
    <s v="KU Regular operations"/>
    <s v="Non-recurring"/>
    <n v="45000"/>
    <n v="40000"/>
    <n v="35000"/>
    <s v="Impact on faculty research and students teaching"/>
    <s v="Impact on faculty research and students teaching"/>
    <s v="Impact on faculty research and students teaching"/>
    <m/>
    <n v="50000"/>
    <m/>
    <m/>
    <m/>
    <m/>
    <m/>
    <m/>
    <m/>
    <m/>
    <m/>
    <m/>
    <n v="50000"/>
    <n v="0"/>
    <s v="Utilize state-of-the-art technologies and facilities in an optimal and efficient manner"/>
  </r>
  <r>
    <n v="8470450"/>
    <s v="KUST - Earth Science"/>
    <n v="1"/>
    <n v="492316"/>
    <x v="19"/>
    <s v="000000"/>
    <s v="KUST - General"/>
    <n v="847001"/>
    <x v="2"/>
    <n v="300180"/>
    <s v="847.8470450.1.492316.000000.847001.300180"/>
    <s v="-"/>
    <s v="-"/>
    <m/>
    <s v="492316.Laboratory equipment-Number of Research-Number"/>
    <s v="Number"/>
    <x v="1"/>
    <x v="10"/>
    <x v="581"/>
    <n v="400000"/>
    <s v="KU Regular operations"/>
    <s v="Non-recurring"/>
    <n v="360000"/>
    <n v="320000"/>
    <n v="280000"/>
    <s v="Impact on faculty research, departmental operation, and students teaching"/>
    <s v="Impact on faculty research, departmental operation, and students teaching"/>
    <s v="Impact on faculty research, departmental operation, and students teaching"/>
    <n v="200000"/>
    <n v="200000"/>
    <m/>
    <m/>
    <m/>
    <m/>
    <m/>
    <m/>
    <m/>
    <m/>
    <m/>
    <m/>
    <n v="400000"/>
    <n v="0"/>
    <s v="Utilize state-of-the-art technologies and facilities in an optimal and efficient manner"/>
  </r>
  <r>
    <n v="8470450"/>
    <s v="KUST - Earth Science"/>
    <n v="1"/>
    <n v="492316"/>
    <x v="19"/>
    <s v="000000"/>
    <s v="KUST - General"/>
    <n v="847001"/>
    <x v="2"/>
    <n v="300180"/>
    <s v="847.8470450.1.492316.000000.847001.300180"/>
    <s v="-"/>
    <s v="-"/>
    <m/>
    <s v="492316.Laboratory equipment-Number of Research-Number"/>
    <s v="Number"/>
    <x v="1"/>
    <x v="38"/>
    <x v="582"/>
    <n v="4000"/>
    <m/>
    <m/>
    <n v="3600"/>
    <n v="3200"/>
    <n v="2800"/>
    <s v="Impact on faculty research, departmental operation, and students teaching"/>
    <s v="Impact on faculty research, departmental operation, and students teaching"/>
    <s v="Impact on faculty research, departmental operation, and students teaching"/>
    <m/>
    <n v="4000"/>
    <m/>
    <m/>
    <m/>
    <m/>
    <m/>
    <m/>
    <m/>
    <m/>
    <m/>
    <m/>
    <n v="4000"/>
    <n v="0"/>
    <s v="Utilize state-of-the-art technologies and facilities in an optimal and efficient manner"/>
  </r>
  <r>
    <n v="8470455"/>
    <s v="KUST – Biology"/>
    <n v="1"/>
    <n v="425760"/>
    <x v="29"/>
    <s v="000000"/>
    <s v="KUST - General"/>
    <n v="847001"/>
    <x v="1"/>
    <n v="200179"/>
    <s v="847.8470455.1.425760.000000.847001.200179"/>
    <s v="-"/>
    <n v="10000"/>
    <n v="1000"/>
    <s v="425760.Student activities &amp; field trip expenses-Students-No of Students"/>
    <s v="No of Students"/>
    <x v="74"/>
    <x v="207"/>
    <x v="583"/>
    <n v="10500"/>
    <s v="KU Regular operations"/>
    <s v="Recurring"/>
    <n v="9450"/>
    <n v="8400"/>
    <n v="7349.9999999999991"/>
    <s v="Slightly fewer student activities"/>
    <s v="Moderately fewer student activities"/>
    <s v="Significantly fewer student activities"/>
    <m/>
    <m/>
    <n v="5000"/>
    <m/>
    <m/>
    <m/>
    <m/>
    <m/>
    <m/>
    <n v="5500"/>
    <m/>
    <m/>
    <n v="10500"/>
    <n v="0"/>
    <s v="Develop the university innovation and entrepreneurship system"/>
  </r>
  <r>
    <n v="8470455"/>
    <s v="KUST – Biology"/>
    <n v="1"/>
    <n v="425770"/>
    <x v="31"/>
    <s v="000000"/>
    <s v="KUST - General"/>
    <n v="847001"/>
    <x v="1"/>
    <n v="200179"/>
    <s v="847.8470455.1.425770.000000.847001.200179"/>
    <s v="-"/>
    <n v="80000"/>
    <n v="70000"/>
    <s v="425770.Academic Missions - Combined expenses-Number of Conference-Number"/>
    <s v="Number"/>
    <x v="29"/>
    <x v="275"/>
    <x v="584"/>
    <n v="112000"/>
    <s v="KU Regular operations"/>
    <s v="Recurring"/>
    <n v="100800"/>
    <n v="89600"/>
    <n v="78400"/>
    <s v="Slightly fewer conference attendance by faculty members"/>
    <s v="Moderately fewer conference attendance by faculty members"/>
    <s v="Significantly fewer conference attendance by faculty members"/>
    <m/>
    <m/>
    <n v="30000"/>
    <m/>
    <m/>
    <m/>
    <n v="50000"/>
    <m/>
    <m/>
    <n v="32000"/>
    <m/>
    <m/>
    <n v="112000"/>
    <n v="0"/>
    <s v="Recruit and retain high caliber faculty, researchers and staff"/>
  </r>
  <r>
    <n v="8470455"/>
    <s v="KUST – Biology"/>
    <n v="1"/>
    <n v="425900"/>
    <x v="26"/>
    <s v="000000"/>
    <s v="KUST - General"/>
    <n v="847001"/>
    <x v="1"/>
    <n v="200179"/>
    <s v="847.8470455.1.425900.000000.847001.200179"/>
    <s v="-"/>
    <n v="15000"/>
    <n v="10000"/>
    <s v="425900.Entertainment and hospitality-1. No of events/workshops planned-count"/>
    <s v="count"/>
    <x v="11"/>
    <x v="62"/>
    <x v="585"/>
    <n v="30000"/>
    <s v="KU Strategic New Initiative"/>
    <s v="Recurring"/>
    <n v="27000"/>
    <n v="24000"/>
    <n v="21000"/>
    <s v="The quality of the board meetings will be slightly affected"/>
    <s v="The quality of the board meetings will be signficantly affected"/>
    <s v="It will be very difficult to hold the board meeting"/>
    <m/>
    <m/>
    <m/>
    <n v="15000"/>
    <m/>
    <m/>
    <m/>
    <m/>
    <m/>
    <m/>
    <n v="15000"/>
    <m/>
    <n v="30000"/>
    <n v="0"/>
    <s v="Align academic programs with the local and global labor market needs"/>
  </r>
  <r>
    <n v="8470455"/>
    <s v="KUST – Biology"/>
    <n v="1"/>
    <n v="426610"/>
    <x v="4"/>
    <s v="000000"/>
    <s v="KUST - General"/>
    <n v="847001"/>
    <x v="1"/>
    <n v="200179"/>
    <s v="847.8470455.1.426610.000000.847001.200179"/>
    <s v="-"/>
    <n v="50000"/>
    <n v="40000"/>
    <s v="426610.Computer software licenses-Software License Renewal-duration of license maintenance/support period-Month"/>
    <s v="Month"/>
    <x v="29"/>
    <x v="67"/>
    <x v="586"/>
    <n v="35000"/>
    <s v="KU Regular operations"/>
    <s v="Recurring"/>
    <n v="31500"/>
    <n v="28000"/>
    <n v="24500"/>
    <s v="Minor difficulty in drawing graphs for publications"/>
    <s v="Significant difficulty in drawing graphs for publications"/>
    <s v="Major difficulty in drawing graphs for publications"/>
    <m/>
    <n v="35000"/>
    <m/>
    <m/>
    <m/>
    <m/>
    <m/>
    <m/>
    <m/>
    <m/>
    <m/>
    <m/>
    <n v="35000"/>
    <n v="0"/>
    <s v="Increase publications in journals with high impact factor"/>
  </r>
  <r>
    <n v="8470455"/>
    <s v="KUST – Biology"/>
    <n v="1"/>
    <n v="428090"/>
    <x v="7"/>
    <s v="000000"/>
    <s v="KUST - General"/>
    <n v="847001"/>
    <x v="1"/>
    <n v="200179"/>
    <s v="847.8470455.1.428090.000000.847001.200179"/>
    <s v="-"/>
    <n v="50000"/>
    <n v="40000"/>
    <s v="428090.Business Travel - Combined expenses-Number of Staff-Number"/>
    <s v="Number"/>
    <x v="11"/>
    <x v="30"/>
    <x v="587"/>
    <n v="50000"/>
    <s v="KU Strategic New Initiative"/>
    <s v="Recurring"/>
    <n v="45000"/>
    <n v="40000"/>
    <n v="35000"/>
    <s v="The quality of the board meetings will be slightly affected"/>
    <s v="The quality of the board meetings will be signficantly affected"/>
    <s v="It will be very difficult to hold the board meeting"/>
    <m/>
    <m/>
    <m/>
    <n v="25000"/>
    <m/>
    <m/>
    <m/>
    <m/>
    <m/>
    <m/>
    <n v="25000"/>
    <m/>
    <n v="50000"/>
    <n v="0"/>
    <s v="Align academic programs with the local and global labor market needs"/>
  </r>
  <r>
    <n v="8470455"/>
    <s v="KUST – Biology"/>
    <n v="1"/>
    <n v="428640"/>
    <x v="27"/>
    <s v="000000"/>
    <s v="KUST - General"/>
    <n v="847001"/>
    <x v="1"/>
    <n v="200179"/>
    <s v="847.8470455.1.428640.000000.847001.200179"/>
    <s v="-"/>
    <n v="5000"/>
    <n v="5000"/>
    <s v="428640.Events - Awards, prizes &amp; gifts-Number of Prizes-count"/>
    <s v="count"/>
    <x v="7"/>
    <x v="90"/>
    <x v="588"/>
    <n v="12500"/>
    <s v="KU Strategic New Initiative"/>
    <s v="Recurring"/>
    <n v="11250"/>
    <n v="10000"/>
    <n v="8750"/>
    <s v="Slightly fewer student activities"/>
    <s v="Moderately fewer student activities"/>
    <s v="Significantly fewer student activities"/>
    <m/>
    <m/>
    <m/>
    <m/>
    <n v="6250"/>
    <m/>
    <m/>
    <m/>
    <m/>
    <m/>
    <n v="6250"/>
    <m/>
    <n v="12500"/>
    <n v="0"/>
    <s v="Widen access to students with outstanding academic potential"/>
  </r>
  <r>
    <n v="8470455"/>
    <s v="KUST – Biology"/>
    <n v="1"/>
    <n v="432209"/>
    <x v="32"/>
    <s v="000000"/>
    <s v="KUST - General"/>
    <n v="847001"/>
    <x v="1"/>
    <n v="200179"/>
    <s v="847.8470455.1.432209.000000.847001.200179"/>
    <s v="-"/>
    <n v="300000"/>
    <n v="300000"/>
    <s v="432209.Laboratory equipment-Number of Students-Number"/>
    <s v="Number"/>
    <x v="1"/>
    <x v="46"/>
    <x v="589"/>
    <n v="300000"/>
    <s v="KU Regular operations"/>
    <s v="Recurring"/>
    <n v="270000"/>
    <n v="240000"/>
    <n v="210000"/>
    <s v="Minor difficulties in maintaining LCMSMS instrument"/>
    <s v="Significant difficulties in maintaining LCMSMS instrument"/>
    <s v="Not possible to maintain the running of the LCMSMS instrument"/>
    <m/>
    <n v="150000"/>
    <m/>
    <m/>
    <m/>
    <m/>
    <n v="150000"/>
    <m/>
    <m/>
    <m/>
    <m/>
    <m/>
    <n v="300000"/>
    <n v="0"/>
    <s v="Develop the university innovation and entrepreneurship system"/>
  </r>
  <r>
    <n v="8470455"/>
    <s v="KUST – Biology"/>
    <n v="1"/>
    <n v="435350"/>
    <x v="33"/>
    <s v="000000"/>
    <s v="KUST - General"/>
    <n v="847001"/>
    <x v="1"/>
    <n v="200179"/>
    <s v="847.8470455.1.435350.000000.847001.200179"/>
    <s v="-"/>
    <n v="80000"/>
    <n v="70000"/>
    <s v="435350.Academic Publications-Number of Publications-Number"/>
    <s v="Number"/>
    <x v="30"/>
    <x v="35"/>
    <x v="590"/>
    <n v="140000"/>
    <s v="KU Regular operations"/>
    <s v="Recurring"/>
    <n v="126000"/>
    <n v="112000"/>
    <n v="98000"/>
    <s v="10% reduction in Q1 open access publications"/>
    <s v="20% reduction in Q1 open access publications"/>
    <s v="Very significant (30%) reduction in Q1 open access publications"/>
    <m/>
    <n v="35000"/>
    <m/>
    <m/>
    <n v="35000"/>
    <m/>
    <m/>
    <n v="35000"/>
    <m/>
    <m/>
    <n v="35000"/>
    <m/>
    <n v="140000"/>
    <n v="0"/>
    <s v="Increase publications in journals with high impact factor"/>
  </r>
  <r>
    <n v="8470455"/>
    <s v="KUST – Biology"/>
    <n v="1"/>
    <n v="435508"/>
    <x v="34"/>
    <s v="000000"/>
    <s v="KUST - General"/>
    <n v="847001"/>
    <x v="1"/>
    <n v="200179"/>
    <s v="847.8470455.1.435508.000000.847001.200179"/>
    <s v="-"/>
    <n v="675000"/>
    <n v="675000"/>
    <s v="435508.Laboratory - Scientific-Number of Students-Number"/>
    <s v="Number"/>
    <x v="75"/>
    <x v="276"/>
    <x v="591"/>
    <n v="781000"/>
    <s v="KU Regular operations"/>
    <s v="Recurring"/>
    <n v="702900"/>
    <n v="624800"/>
    <n v="546700"/>
    <s v="Some loss in teaching lab skills to students"/>
    <s v="Significant loss in teaching lab skills to students"/>
    <s v="Impossible to deliver appropriate teaching to students"/>
    <n v="250000"/>
    <m/>
    <m/>
    <m/>
    <n v="500000"/>
    <m/>
    <m/>
    <n v="31000"/>
    <m/>
    <m/>
    <m/>
    <m/>
    <n v="781000"/>
    <n v="0"/>
    <s v="Align academic programs with the local and global labor market needs"/>
  </r>
  <r>
    <n v="8470455"/>
    <s v="KUST – Biology"/>
    <n v="1"/>
    <n v="436110"/>
    <x v="12"/>
    <s v="000000"/>
    <s v="KUST - General"/>
    <n v="847001"/>
    <x v="1"/>
    <n v="200179"/>
    <s v="847.8470455.1.436110.000000.847001.200179"/>
    <s v="-"/>
    <n v="5000"/>
    <n v="500"/>
    <s v="436110.Printing supplies-Number of Faculty-Number"/>
    <s v="Number"/>
    <x v="29"/>
    <x v="65"/>
    <x v="592"/>
    <n v="7000"/>
    <s v="KU Regular operations"/>
    <s v="Recurring"/>
    <n v="6300"/>
    <n v="5600"/>
    <n v="4900"/>
    <s v="Minor inconvenience for printing"/>
    <s v="Moderate inconvenience in printing"/>
    <s v="Very significant difficulty for printing"/>
    <n v="2500"/>
    <m/>
    <m/>
    <m/>
    <n v="2500"/>
    <m/>
    <m/>
    <m/>
    <n v="2000"/>
    <m/>
    <m/>
    <m/>
    <n v="7000"/>
    <n v="0"/>
    <s v="Increase publications in journals with high impact factor"/>
  </r>
  <r>
    <n v="8470455"/>
    <s v="KUST – Biology"/>
    <n v="1"/>
    <n v="492316"/>
    <x v="19"/>
    <s v="000000"/>
    <s v="KUST - General"/>
    <n v="847001"/>
    <x v="2"/>
    <n v="300180"/>
    <s v="847.8470455.1.492316.000000.847001.300180"/>
    <s v="-"/>
    <n v="1754263"/>
    <n v="1754263"/>
    <s v="492316.Laboratory equipment-Number of Faculty-Number"/>
    <s v="Number"/>
    <x v="29"/>
    <x v="277"/>
    <x v="593"/>
    <n v="2014622"/>
    <s v="KU Regular operations"/>
    <s v="Non-recurring"/>
    <n v="1813159.8"/>
    <n v="1611697.6"/>
    <n v="1410235.4"/>
    <s v="Some loss in teaching lab skills to students"/>
    <s v="Significant loss in teaching lab skills to students and research output"/>
    <s v="Impossible to deliver appropriate teaching to students and major reduction in resarch output"/>
    <n v="2014622"/>
    <m/>
    <m/>
    <m/>
    <m/>
    <m/>
    <m/>
    <m/>
    <m/>
    <m/>
    <m/>
    <m/>
    <n v="2014622"/>
    <n v="0"/>
    <s v="Develop the university innovation and entrepreneurship system"/>
  </r>
  <r>
    <n v="8470130"/>
    <s v="KUST - Institutional Research &amp; Planning"/>
    <n v="1"/>
    <n v="421000"/>
    <x v="42"/>
    <s v="000000"/>
    <s v="KUST - General"/>
    <n v="847001"/>
    <x v="1"/>
    <n v="200179"/>
    <s v="847.8470130.1.421000.000000.847001.200179"/>
    <n v="690716"/>
    <n v="720000"/>
    <m/>
    <s v="421000.Management consultancy-Number of contracted consultations -count"/>
    <s v="count"/>
    <x v="1"/>
    <x v="278"/>
    <x v="594"/>
    <n v="540000"/>
    <s v="KU Strategic New Initiative"/>
    <s v="Non-recurring"/>
    <n v="486000"/>
    <n v="432000"/>
    <n v="378000"/>
    <s v="The impact will be minor on the publications rates and citations"/>
    <s v="The impact will be major on the publications rates and citations"/>
    <s v="The impact will be major on the publications rates and citations"/>
    <n v="0"/>
    <n v="0"/>
    <n v="0"/>
    <n v="180000"/>
    <n v="180000"/>
    <n v="180000"/>
    <n v="0"/>
    <n v="0"/>
    <n v="0"/>
    <n v="0"/>
    <n v="0"/>
    <n v="0"/>
    <n v="540000"/>
    <m/>
    <m/>
  </r>
  <r>
    <n v="8470130"/>
    <s v="KUST - Institutional Research &amp; Planning"/>
    <n v="1"/>
    <n v="426610"/>
    <x v="4"/>
    <s v="000000"/>
    <s v="KUST - General"/>
    <n v="847001"/>
    <x v="1"/>
    <n v="200179"/>
    <s v="847.8470130.1.426610.000000.847001.200179"/>
    <s v="-"/>
    <n v="735000"/>
    <m/>
    <s v="426610.Computer software licenses-Software License Renewal-number of licenses-Number"/>
    <s v="Number"/>
    <x v="10"/>
    <x v="160"/>
    <x v="595"/>
    <n v="180000"/>
    <s v="KU Regular operations"/>
    <s v="Recurring"/>
    <n v="162000"/>
    <n v="144000"/>
    <n v="125999.99999999999"/>
    <s v="The impact will be minor"/>
    <s v="It will moderately affect the university networking with the ranking bodies, KU reputation and ranking."/>
    <s v="It will have major effect on the university networking with the ranking bodies, KU reputation and ranking."/>
    <n v="45000"/>
    <n v="0"/>
    <n v="45000"/>
    <n v="0"/>
    <n v="45000"/>
    <n v="0"/>
    <n v="0"/>
    <n v="0"/>
    <n v="45000"/>
    <n v="0"/>
    <n v="0"/>
    <n v="0"/>
    <n v="180000"/>
    <s v="Increase publications in journals with high impact factor"/>
    <m/>
  </r>
  <r>
    <n v="8470130"/>
    <s v="KUST - Institutional Research &amp; Planning"/>
    <n v="1"/>
    <n v="428090"/>
    <x v="7"/>
    <s v="000000"/>
    <s v="KUST - General"/>
    <n v="847001"/>
    <x v="1"/>
    <n v="200179"/>
    <s v="847.8470130.1.428090.000000.847001.200179"/>
    <n v="1100"/>
    <n v="180000"/>
    <m/>
    <s v="428090.Business Travel - Combined expenses-Number of Staff-Number"/>
    <s v="Number"/>
    <x v="1"/>
    <x v="279"/>
    <x v="596"/>
    <n v="551250"/>
    <s v="KU Strategic New Initiative"/>
    <s v="Recurring"/>
    <n v="496125"/>
    <n v="441000"/>
    <n v="385875"/>
    <s v="The impact will be minor on the Program quality Assurance and the program accreditation"/>
    <s v="The impact will be moderate on the Program quality Assurance and the  program accreditation"/>
    <s v="The impact will be major on the Program quality Assurance and the program accreditation"/>
    <m/>
    <n v="0"/>
    <n v="275625"/>
    <n v="0"/>
    <n v="0"/>
    <n v="0"/>
    <n v="0"/>
    <n v="0"/>
    <n v="0"/>
    <n v="0"/>
    <n v="0"/>
    <n v="275625"/>
    <n v="551250"/>
    <s v="Build partnerships with local and international universities"/>
    <m/>
  </r>
  <r>
    <n v="8470140"/>
    <s v="KUST - Communication"/>
    <n v="1"/>
    <n v="425100"/>
    <x v="75"/>
    <s v="000000"/>
    <s v="KUST - General"/>
    <n v="847001"/>
    <x v="1"/>
    <n v="200179"/>
    <s v="847.8470140.1.425100.000000.847001.200179"/>
    <n v="1900037.97"/>
    <n v="4578464"/>
    <n v="4578464"/>
    <s v="425100.Advertising Services (General)-Digital Marketing Campaigns-count"/>
    <s v="count"/>
    <x v="17"/>
    <x v="138"/>
    <x v="597"/>
    <n v="2000000"/>
    <s v="KU Regular operations"/>
    <s v="Recurring"/>
    <n v="1800000"/>
    <n v="1600000"/>
    <n v="1400000"/>
    <s v="Minimal impact"/>
    <s v="Moderate - high  impact"/>
    <s v="high impact and will affect local/global visibility"/>
    <n v="166666.66665999999"/>
    <n v="166666.66665999999"/>
    <n v="166666.66665999999"/>
    <n v="166666.66665999999"/>
    <n v="166666.66665999999"/>
    <n v="166666.66665999999"/>
    <n v="166666.66665999999"/>
    <n v="166666.66665999999"/>
    <n v="166666.66665999999"/>
    <n v="166666.66665999999"/>
    <n v="166666.66665999999"/>
    <n v="166666.66665999999"/>
    <n v="1999999.9999200003"/>
    <s v="Enhance the communication plan and outreach activities"/>
    <m/>
  </r>
  <r>
    <n v="8470140"/>
    <s v="KUST - Communication"/>
    <n v="1"/>
    <n v="425100"/>
    <x v="75"/>
    <s v="000000"/>
    <s v="KUST - General"/>
    <s v="847001"/>
    <x v="1"/>
    <n v="200179"/>
    <s v="847.8470140.1.425100.000000.847001.200179"/>
    <m/>
    <m/>
    <m/>
    <s v="425100.Advertising Services (General)-Website Maintenance -count"/>
    <s v="count"/>
    <x v="11"/>
    <x v="138"/>
    <x v="598"/>
    <n v="1000000"/>
    <s v="KU Regular operations"/>
    <s v="Recurring"/>
    <n v="900000"/>
    <n v="800000"/>
    <n v="700000"/>
    <s v="Minimal impact"/>
    <s v="Moderate - high  impact"/>
    <s v="high impact and will affect local/global visibility"/>
    <n v="83333.333329999994"/>
    <n v="83333.333329999994"/>
    <n v="83333.333329999994"/>
    <n v="83333.333329999994"/>
    <n v="83333.333329999994"/>
    <n v="83333.333329999994"/>
    <n v="83333.333329999994"/>
    <n v="83333.333329999994"/>
    <n v="83333.333329999994"/>
    <n v="83333.333329999994"/>
    <n v="83333.333329999994"/>
    <n v="83333.333329999994"/>
    <n v="999999.99996000016"/>
    <s v="Enhance the communication plan and outreach activities"/>
    <m/>
  </r>
  <r>
    <n v="8470140"/>
    <s v="KUST - Communication"/>
    <n v="1"/>
    <n v="425100"/>
    <x v="75"/>
    <s v="000000"/>
    <s v="KUST - General"/>
    <s v="847001"/>
    <x v="1"/>
    <n v="200179"/>
    <s v="847.8470140.1.425100.000000.847001.200179"/>
    <m/>
    <m/>
    <m/>
    <s v="425100.Advertising Services (General)-Animation Videos -count"/>
    <s v="count"/>
    <x v="10"/>
    <x v="183"/>
    <x v="599"/>
    <n v="800000"/>
    <s v="KU Regular operations"/>
    <s v="Recurring"/>
    <n v="720000"/>
    <n v="640000"/>
    <n v="560000"/>
    <s v="Minimal impact"/>
    <s v="Moderate - high  impact"/>
    <s v="high impact and will affect local/global visibility"/>
    <n v="66666.666660000003"/>
    <n v="66666.666660000003"/>
    <n v="66666.666660000003"/>
    <n v="66666.666660000003"/>
    <n v="66666.666660000003"/>
    <n v="66666.666660000003"/>
    <n v="66666.666660000003"/>
    <n v="66666.666660000003"/>
    <n v="66666.666660000003"/>
    <n v="66666.666660000003"/>
    <n v="66666.666660000003"/>
    <n v="66666.666660000003"/>
    <n v="799999.99991999997"/>
    <s v="Enhance the communication plan and outreach activities"/>
    <m/>
  </r>
  <r>
    <n v="8470140"/>
    <s v="KUST - Communication"/>
    <n v="1"/>
    <n v="425100"/>
    <x v="75"/>
    <s v="000000"/>
    <s v="KUST - General"/>
    <s v="847001"/>
    <x v="1"/>
    <n v="200179"/>
    <s v="847.8470140.1.425100.000000.847001.200179"/>
    <m/>
    <m/>
    <m/>
    <s v="425100.Advertising Services (General)-Search Engine Optimization (SEO)-count"/>
    <s v="count"/>
    <x v="11"/>
    <x v="48"/>
    <x v="600"/>
    <n v="1100000"/>
    <s v="KU Regular operations"/>
    <s v="Recurring"/>
    <n v="990000"/>
    <n v="880000"/>
    <n v="770000"/>
    <s v="Minimal impact"/>
    <s v="Moderate - high  impact"/>
    <s v="high impact and will affect local/global visibility"/>
    <n v="91666.666660000003"/>
    <n v="91666.666660000003"/>
    <n v="91666.666660000003"/>
    <n v="91666.666660000003"/>
    <n v="91666.666660000003"/>
    <n v="91666.666660000003"/>
    <n v="91666.666660000003"/>
    <n v="91666.666660000003"/>
    <n v="91666.666660000003"/>
    <n v="91666.666660000003"/>
    <n v="91666.666660000003"/>
    <n v="91666.666660000003"/>
    <n v="1099999.9999200001"/>
    <s v="Enhance the communication plan and outreach activities"/>
    <m/>
  </r>
  <r>
    <n v="8470140"/>
    <s v="KUST - Communication"/>
    <n v="1"/>
    <n v="425100"/>
    <x v="75"/>
    <s v="000000"/>
    <s v="KUST - General"/>
    <s v="847001"/>
    <x v="1"/>
    <n v="200179"/>
    <s v="847.8470140.1.425100.000000.847001.200179"/>
    <m/>
    <m/>
    <m/>
    <s v="425100.Advertising Services (General)-Video production-second "/>
    <s v="second "/>
    <x v="3"/>
    <x v="280"/>
    <x v="601"/>
    <n v="603000"/>
    <s v="KU Regular operations"/>
    <s v="Recurring"/>
    <n v="542700"/>
    <n v="482400"/>
    <n v="422100"/>
    <s v="Minimal impact"/>
    <s v="Moderate - high  impact"/>
    <s v="high impact and will affect local/global visibility"/>
    <n v="50250"/>
    <n v="50250"/>
    <n v="50250"/>
    <n v="50250"/>
    <n v="50250"/>
    <n v="50250"/>
    <n v="50250"/>
    <n v="50250"/>
    <n v="50250"/>
    <n v="50250"/>
    <n v="50250"/>
    <n v="50250"/>
    <n v="603000"/>
    <s v="Enhance the communication plan and outreach activities"/>
    <m/>
  </r>
  <r>
    <n v="8470140"/>
    <s v="KUST - Communication"/>
    <n v="1"/>
    <n v="425100"/>
    <x v="75"/>
    <s v="000000"/>
    <s v="KUST - General"/>
    <s v="847001"/>
    <x v="1"/>
    <n v="200179"/>
    <s v="847.8470140.1.425100.000000.847001.200179"/>
    <m/>
    <m/>
    <m/>
    <s v="425100.Advertising Services (General)-Corporate Photoshoot-count"/>
    <s v="count"/>
    <x v="17"/>
    <x v="281"/>
    <x v="602"/>
    <n v="1680000"/>
    <s v="KU Regular operations"/>
    <s v="Recurring"/>
    <n v="1512000"/>
    <n v="1344000"/>
    <n v="1176000"/>
    <s v="Minimal impact"/>
    <s v="Moderate - high  impact"/>
    <s v="high impact and will affect local/global visibility"/>
    <n v="140000"/>
    <n v="140000"/>
    <n v="140000"/>
    <n v="140000"/>
    <n v="140000"/>
    <n v="140000"/>
    <n v="140000"/>
    <n v="140000"/>
    <n v="140000"/>
    <n v="140000"/>
    <n v="140000"/>
    <n v="140000"/>
    <n v="1680000"/>
    <s v="Enhance the communication plan and outreach activities"/>
    <m/>
  </r>
  <r>
    <n v="8470140"/>
    <s v="KUST - Communication"/>
    <n v="1"/>
    <n v="425100"/>
    <x v="75"/>
    <s v="000000"/>
    <s v="KUST - General"/>
    <s v="847001"/>
    <x v="1"/>
    <n v="200179"/>
    <s v="847.8470140.1.425100.000000.847001.200179"/>
    <m/>
    <m/>
    <m/>
    <s v="425100.Advertising Services (General)-International Publicity-count"/>
    <s v="count"/>
    <x v="17"/>
    <x v="152"/>
    <x v="603"/>
    <n v="2400000"/>
    <s v="KU Regular operations"/>
    <s v="Recurring"/>
    <n v="2160000"/>
    <n v="1920000"/>
    <n v="1680000"/>
    <s v="We have contracts with QS and THE World University Ranking and any cut in the budget will affect our publicity "/>
    <s v="High  impact"/>
    <s v="high impact and will affect local/global visibility"/>
    <n v="200000"/>
    <n v="200000"/>
    <n v="200000"/>
    <n v="200000"/>
    <n v="200000"/>
    <n v="200000"/>
    <n v="200000"/>
    <n v="200000"/>
    <n v="200000"/>
    <n v="200000"/>
    <n v="200000"/>
    <n v="200000"/>
    <n v="2400000"/>
    <s v="Enhance the communication plan and outreach activities"/>
    <m/>
  </r>
  <r>
    <n v="8470140"/>
    <s v="KUST - Communication"/>
    <n v="1"/>
    <n v="425100"/>
    <x v="75"/>
    <s v="000000"/>
    <s v="KUST - General"/>
    <s v="847001"/>
    <x v="1"/>
    <n v="200179"/>
    <s v="847.8470140.1.425100.000000.847001.200179"/>
    <m/>
    <m/>
    <m/>
    <s v="425100.Advertising Services (General)-Branding -count"/>
    <s v="count"/>
    <x v="10"/>
    <x v="138"/>
    <x v="604"/>
    <n v="4000000"/>
    <s v="KU Regular operations"/>
    <s v="Recurring"/>
    <n v="3600000"/>
    <n v="3200000"/>
    <n v="2800000"/>
    <s v="Minimal impact"/>
    <s v="Moderate - high  impact"/>
    <s v="high impact and will affect local/global visibility"/>
    <n v="333333.33332999999"/>
    <n v="333333.33332999999"/>
    <n v="333333.33332999999"/>
    <n v="333333.33332999999"/>
    <n v="333333.33332999999"/>
    <n v="333333.33332999999"/>
    <n v="333333.33332999999"/>
    <n v="333333.33332999999"/>
    <n v="333333.33332999999"/>
    <n v="333333.33332999999"/>
    <n v="333333.33332999999"/>
    <n v="333333.33332999999"/>
    <n v="3999999.9999599992"/>
    <s v="Enhance the communication plan and outreach activities"/>
    <m/>
  </r>
  <r>
    <n v="8470140"/>
    <s v="KUST - Communication"/>
    <n v="1"/>
    <n v="425100"/>
    <x v="75"/>
    <s v="000000"/>
    <s v="KUST - General"/>
    <s v="847001"/>
    <x v="1"/>
    <n v="200179"/>
    <s v="847.8470140.1.425100.000000.847001.200179"/>
    <m/>
    <m/>
    <m/>
    <s v="425100.Advertising Services (General)-Digital advertizing (Radio, TV, Social Media)  -count"/>
    <s v="count"/>
    <x v="30"/>
    <x v="183"/>
    <x v="604"/>
    <n v="1400000"/>
    <s v="KU Regular operations"/>
    <s v="Recurring"/>
    <n v="1260000"/>
    <n v="1120000"/>
    <n v="979999.99999999988"/>
    <s v="Minimal impact"/>
    <s v="Moderate - high  impact"/>
    <s v="high impact and will affect local/global visibility"/>
    <n v="116666.66666"/>
    <n v="116666.66666"/>
    <n v="116666.66666"/>
    <n v="116666.66666"/>
    <n v="116666.66666"/>
    <n v="116666.66666"/>
    <n v="116666.66666"/>
    <n v="116666.66666"/>
    <n v="116666.66666"/>
    <n v="116666.66666"/>
    <n v="116666.66666"/>
    <n v="116666.66666"/>
    <n v="1399999.9999200003"/>
    <s v="Enhance the communication plan and outreach activities"/>
    <m/>
  </r>
  <r>
    <n v="8470140"/>
    <s v="KUST - Communication"/>
    <n v="1"/>
    <n v="425510"/>
    <x v="23"/>
    <s v="000000"/>
    <s v="KUST - General"/>
    <n v="847001"/>
    <x v="1"/>
    <n v="200179"/>
    <s v="847.8470140.1.425510.000000.847001.200179"/>
    <n v="3922844.33"/>
    <n v="5025358"/>
    <n v="5025358"/>
    <s v="425510.Conferences, seminars and exhibitions and other events: - Local Events-Conferences-Number of Conferences"/>
    <s v="Number of Conferences"/>
    <x v="1"/>
    <x v="77"/>
    <x v="605"/>
    <n v="200000"/>
    <s v="KU Regular operations"/>
    <s v="Recurring"/>
    <n v="180000"/>
    <n v="160000"/>
    <n v="140000"/>
    <s v="Minimal impact"/>
    <s v="Moderate - high  impact"/>
    <s v="high impact and will affect local/global visibility"/>
    <m/>
    <m/>
    <m/>
    <m/>
    <m/>
    <m/>
    <m/>
    <m/>
    <n v="200000"/>
    <m/>
    <m/>
    <m/>
    <n v="200000"/>
    <s v="Enhance the communication plan and outreach activities"/>
    <m/>
  </r>
  <r>
    <n v="8470140"/>
    <s v="KUST - Communication"/>
    <n v="1"/>
    <n v="425510"/>
    <x v="23"/>
    <s v="000000"/>
    <s v="KUST - General"/>
    <n v="847001"/>
    <x v="1"/>
    <n v="200179"/>
    <s v="847.8470140.1.425510.000000.847001.200179"/>
    <m/>
    <m/>
    <m/>
    <s v="425510.Conferences, seminars and exhibitions and other events: - Local Events-Exhibitions-Number of Exhibitions"/>
    <s v="Number of Exhibitions"/>
    <x v="14"/>
    <x v="156"/>
    <x v="606"/>
    <n v="1250000"/>
    <s v="KU Regular operations"/>
    <s v="Recurring"/>
    <n v="1125000"/>
    <n v="1000000"/>
    <n v="875000"/>
    <s v="Minimal impact"/>
    <s v="Moderate - high  impact"/>
    <s v="high impact and will affect local/global visibility"/>
    <m/>
    <n v="600000"/>
    <n v="350000"/>
    <m/>
    <n v="200000"/>
    <m/>
    <m/>
    <m/>
    <m/>
    <n v="100000"/>
    <m/>
    <m/>
    <n v="1250000"/>
    <s v="Enhance the communication plan and outreach activities"/>
    <m/>
  </r>
  <r>
    <n v="8470140"/>
    <s v="KUST - Communication"/>
    <n v="1"/>
    <n v="425510"/>
    <x v="23"/>
    <s v="000000"/>
    <s v="KUST - General"/>
    <n v="847001"/>
    <x v="1"/>
    <n v="200179"/>
    <s v="847.8470140.1.425510.000000.847001.200179"/>
    <m/>
    <m/>
    <m/>
    <s v="425510.Conferences, seminars and exhibitions and other events: - Local Events-Events-Number of Events"/>
    <s v="Number of Events"/>
    <x v="3"/>
    <x v="282"/>
    <x v="607"/>
    <n v="5135400"/>
    <s v="KU Regular operations"/>
    <s v="Recurring"/>
    <n v="4621860"/>
    <n v="4108320"/>
    <n v="3594780"/>
    <s v="Minimal impact"/>
    <s v="Moderate - high  impact"/>
    <s v="high impact and will affect local/global visibility"/>
    <m/>
    <n v="200000"/>
    <n v="400000"/>
    <m/>
    <n v="2500000"/>
    <m/>
    <n v="235000"/>
    <n v="350000"/>
    <n v="450000"/>
    <n v="700000"/>
    <n v="300400"/>
    <m/>
    <n v="5135400"/>
    <s v="Enhance the communication plan and outreach activities"/>
    <m/>
  </r>
  <r>
    <n v="8470140"/>
    <s v="KUST - Communication"/>
    <n v="1"/>
    <n v="425550"/>
    <x v="24"/>
    <s v="000000"/>
    <s v="KUST - General"/>
    <n v="847001"/>
    <x v="1"/>
    <n v="200179"/>
    <s v="847.8470140.1.425550.000000.847001.200179"/>
    <n v="0"/>
    <n v="791955"/>
    <n v="791955"/>
    <s v="425550.Conferences, seminars and exhibitions and other events: - Overseas event-Conferences-Number of Conferences"/>
    <s v="Number of Conferences"/>
    <x v="3"/>
    <x v="283"/>
    <x v="608"/>
    <n v="2150328"/>
    <s v="KU Regular operations"/>
    <s v="Recurring"/>
    <n v="1935295.2"/>
    <n v="1720262.4000000001"/>
    <n v="1505229.5999999999"/>
    <s v="Minimal impact"/>
    <s v="Moderate - high  impact"/>
    <s v="high impact and will affect local/global visibility"/>
    <m/>
    <m/>
    <m/>
    <m/>
    <m/>
    <n v="537582"/>
    <m/>
    <n v="537582"/>
    <m/>
    <n v="537582"/>
    <n v="537582"/>
    <m/>
    <n v="2150328"/>
    <s v="Enhance the communication plan and outreach activities"/>
    <m/>
  </r>
  <r>
    <n v="8470140"/>
    <s v="KUST - Communication"/>
    <n v="1"/>
    <n v="425763"/>
    <x v="30"/>
    <s v="000000"/>
    <s v="KUST - CSR Activities"/>
    <n v="847050"/>
    <x v="1"/>
    <n v="200179"/>
    <s v="847.8470140.1.425763.000000.847050.200179"/>
    <s v="-"/>
    <n v="400000"/>
    <n v="400000"/>
    <s v="425763.Student Project Expenses-Number of Students UG-Month"/>
    <s v="Month"/>
    <x v="1"/>
    <x v="10"/>
    <x v="609"/>
    <n v="400000"/>
    <s v="KU Regular operations"/>
    <s v="Recurring"/>
    <n v="360000"/>
    <n v="320000"/>
    <n v="280000"/>
    <s v="Minimal impact"/>
    <s v="Moderate - high  impact"/>
    <s v="high impact and will affect local/global visibility"/>
    <n v="400000"/>
    <m/>
    <m/>
    <m/>
    <m/>
    <m/>
    <m/>
    <m/>
    <m/>
    <m/>
    <m/>
    <m/>
    <n v="400000"/>
    <s v="Enhance the communication plan and outreach activities"/>
    <m/>
  </r>
  <r>
    <n v="8470140"/>
    <s v="KUST - Communication"/>
    <n v="1"/>
    <n v="427100"/>
    <x v="82"/>
    <s v="000000"/>
    <s v="KUST - General"/>
    <n v="847001"/>
    <x v="1"/>
    <n v="200179"/>
    <s v="847.8470140.1.427100.000000.847001.200179"/>
    <n v="-820"/>
    <n v="1157850"/>
    <n v="1157850"/>
    <s v="427100.Public relations-Media Monitoring -count"/>
    <s v="count"/>
    <x v="1"/>
    <x v="183"/>
    <x v="610"/>
    <n v="100000"/>
    <s v="KU Regular operations"/>
    <s v="Recurring"/>
    <n v="90000"/>
    <n v="80000"/>
    <n v="70000"/>
    <s v="Minimal impact"/>
    <s v="Moderate - high  impact"/>
    <s v="high impact and will affect local/global visibility"/>
    <n v="100000"/>
    <m/>
    <m/>
    <m/>
    <m/>
    <m/>
    <m/>
    <m/>
    <m/>
    <m/>
    <m/>
    <m/>
    <n v="100000"/>
    <s v="Enhance the communication plan and outreach activities"/>
    <m/>
  </r>
  <r>
    <n v="8470140"/>
    <s v="KUST - Communication"/>
    <n v="1"/>
    <n v="427100"/>
    <x v="82"/>
    <s v="000000"/>
    <s v="KUST - General"/>
    <n v="847001"/>
    <x v="1"/>
    <n v="200179"/>
    <s v="847.8470140.1.427100.000000.847001.200179"/>
    <m/>
    <m/>
    <m/>
    <s v="427100.Public relations-Media services -count"/>
    <s v="count"/>
    <x v="1"/>
    <x v="284"/>
    <x v="611"/>
    <n v="2400000"/>
    <s v="KU Regular operations"/>
    <s v="Recurring"/>
    <n v="2160000"/>
    <n v="1920000"/>
    <n v="1680000"/>
    <s v="We have contarts with Carma and any cut in the budget will affect our agreement"/>
    <s v="Moderate - high  impact"/>
    <s v="high impact and will affect local/global visibility"/>
    <n v="200000"/>
    <n v="200000"/>
    <n v="200000"/>
    <n v="200000"/>
    <n v="200000"/>
    <n v="200000"/>
    <n v="200000"/>
    <n v="200000"/>
    <n v="200000"/>
    <n v="200000"/>
    <n v="200000"/>
    <n v="200000"/>
    <n v="2400000"/>
    <s v="Enhance the communication plan and outreach activities"/>
    <m/>
  </r>
  <r>
    <n v="8470140"/>
    <s v="KUST - Communication"/>
    <n v="1"/>
    <n v="427200"/>
    <x v="51"/>
    <s v="000000"/>
    <s v="KUST - General"/>
    <n v="847001"/>
    <x v="1"/>
    <n v="200179"/>
    <s v="847.8470140.1.427200.000000.847001.200179"/>
    <n v="-7379"/>
    <n v="750000"/>
    <n v="750000"/>
    <s v="427200.Printing and publishing-The cost of design for the entity's publications to reflect the entity's identity-count"/>
    <s v="count"/>
    <x v="23"/>
    <x v="285"/>
    <x v="612"/>
    <n v="135000"/>
    <s v="KU Regular operations"/>
    <s v="Recurring"/>
    <n v="121500"/>
    <n v="108000"/>
    <n v="94500"/>
    <s v="We have contarts with Edelman comapny and any cut in the budget will affect our agreement"/>
    <s v="Moderate  impact"/>
    <s v="high impact and will affect local/global visibility"/>
    <n v="11250"/>
    <n v="11250"/>
    <n v="11250"/>
    <n v="11250"/>
    <n v="11250"/>
    <n v="11250"/>
    <n v="11250"/>
    <n v="11250"/>
    <n v="11250"/>
    <n v="11250"/>
    <n v="11250"/>
    <n v="11250"/>
    <n v="135000"/>
    <s v="Enhance the communication plan and outreach activities"/>
    <m/>
  </r>
  <r>
    <n v="8470140"/>
    <s v="KUST - Communication"/>
    <n v="1"/>
    <n v="427200"/>
    <x v="51"/>
    <s v="000000"/>
    <s v="KUST - General"/>
    <n v="847001"/>
    <x v="1"/>
    <n v="200179"/>
    <s v="847.8470140.1.427200.000000.847001.200179"/>
    <m/>
    <m/>
    <m/>
    <s v="427200.Printing and publishing-Design cost of the entity's forms-count"/>
    <s v="count"/>
    <x v="18"/>
    <x v="286"/>
    <x v="613"/>
    <n v="80010"/>
    <s v="KU Regular operations"/>
    <s v="Recurring"/>
    <n v="72009"/>
    <n v="64008"/>
    <n v="56007"/>
    <s v="Minimal impact"/>
    <s v="Moderate  impact"/>
    <s v="high impact and will affect local/global visibility"/>
    <n v="6667.5"/>
    <n v="6667.5"/>
    <n v="6667.5"/>
    <n v="6667.5"/>
    <n v="6667.5"/>
    <n v="6667.5"/>
    <n v="6667.5"/>
    <n v="6667.5"/>
    <n v="6667.5"/>
    <n v="6667.5"/>
    <n v="6667.5"/>
    <n v="6667.5"/>
    <n v="80010"/>
    <s v="Enhance the communication plan and outreach activities"/>
    <m/>
  </r>
  <r>
    <n v="8470140"/>
    <s v="KUST - Communication"/>
    <n v="1"/>
    <n v="427200"/>
    <x v="51"/>
    <s v="000000"/>
    <s v="KUST - General"/>
    <n v="847001"/>
    <x v="1"/>
    <n v="200179"/>
    <s v="847.8470140.1.427200.000000.847001.200179"/>
    <m/>
    <m/>
    <m/>
    <s v="427200.Printing and publishing-Design cost of educational publications-count"/>
    <s v="count"/>
    <x v="12"/>
    <x v="287"/>
    <x v="614"/>
    <n v="34995"/>
    <s v="KU Regular operations"/>
    <s v="Recurring"/>
    <n v="31495.5"/>
    <n v="27996"/>
    <n v="24496.5"/>
    <s v="Minimal impact"/>
    <s v="Moderate  impact"/>
    <s v="high impact and will affect local/global visibility"/>
    <n v="2916.25"/>
    <n v="2916.25"/>
    <n v="2916.25"/>
    <n v="2916.25"/>
    <n v="2916.25"/>
    <n v="2916.25"/>
    <n v="2916.25"/>
    <n v="2916.25"/>
    <n v="2916.25"/>
    <n v="2916.25"/>
    <n v="2916.25"/>
    <n v="2916.25"/>
    <n v="34995"/>
    <s v="Enhance the communication plan and outreach activities"/>
    <m/>
  </r>
  <r>
    <n v="8470140"/>
    <s v="KUST - Communication"/>
    <n v="1"/>
    <n v="427200"/>
    <x v="51"/>
    <s v="000000"/>
    <s v="KUST - General"/>
    <n v="847001"/>
    <x v="1"/>
    <n v="200179"/>
    <s v="847.8470140.1.427200.000000.847001.200179"/>
    <m/>
    <m/>
    <m/>
    <s v="427200.Printing and publishing-The printing cost of the department's publications-count"/>
    <s v="count"/>
    <x v="61"/>
    <x v="171"/>
    <x v="615"/>
    <n v="200000"/>
    <s v="KU Regular operations"/>
    <s v="Recurring"/>
    <n v="180000"/>
    <n v="160000"/>
    <n v="140000"/>
    <s v="Minimal impact"/>
    <s v="Moderate  impact"/>
    <s v="high impact and will affect local/global visibility"/>
    <n v="16666.666659999999"/>
    <n v="16666.666659999999"/>
    <n v="16666.666659999999"/>
    <n v="16666.666659999999"/>
    <n v="16666.666659999999"/>
    <n v="16666.666659999999"/>
    <n v="16666.666659999999"/>
    <n v="16666.666659999999"/>
    <n v="16666.666659999999"/>
    <n v="16666.666659999999"/>
    <n v="16666.666659999999"/>
    <n v="16666.666659999999"/>
    <n v="199999.99991999994"/>
    <s v="Enhance the communication plan and outreach activities"/>
    <m/>
  </r>
  <r>
    <n v="8470140"/>
    <s v="KUST - Communication"/>
    <n v="1"/>
    <n v="427200"/>
    <x v="51"/>
    <s v="000000"/>
    <s v="KUST - General"/>
    <n v="847001"/>
    <x v="1"/>
    <n v="200179"/>
    <s v="847.8470140.1.427200.000000.847001.200179"/>
    <m/>
    <m/>
    <m/>
    <s v="427200.Printing and publishing-Cost of printing the entity's paper forms-count"/>
    <m/>
    <x v="76"/>
    <x v="171"/>
    <x v="616"/>
    <n v="300000"/>
    <s v="KU Regular operations"/>
    <s v="Recurring"/>
    <n v="270000"/>
    <n v="240000"/>
    <n v="210000"/>
    <s v="Minimal impact"/>
    <s v="Moderate  impact"/>
    <s v="high impact and will affect local/global visibility"/>
    <n v="25000"/>
    <n v="25000"/>
    <n v="25000"/>
    <n v="25000"/>
    <n v="25000"/>
    <n v="25000"/>
    <n v="25000"/>
    <n v="25000"/>
    <n v="25000"/>
    <n v="25000"/>
    <n v="25000"/>
    <n v="25000"/>
    <n v="300000"/>
    <s v="Enhance the communication plan and outreach activities"/>
    <m/>
  </r>
  <r>
    <n v="8470140"/>
    <s v="KUST - Communication"/>
    <n v="1"/>
    <n v="428640"/>
    <x v="27"/>
    <s v="000000"/>
    <s v="KUST - General"/>
    <n v="847001"/>
    <x v="1"/>
    <n v="200179"/>
    <s v="847.8470140.1.428640.000000.847001.200179"/>
    <s v="-"/>
    <n v="998000"/>
    <n v="998000"/>
    <s v="428640.Events - Awards, prizes &amp; gifts-Number of Events-count"/>
    <s v="count"/>
    <x v="28"/>
    <x v="104"/>
    <x v="617"/>
    <n v="110000"/>
    <s v="KU Regular operations"/>
    <s v="Recurring"/>
    <n v="99000"/>
    <n v="88000"/>
    <n v="77000"/>
    <s v="Minimal impact"/>
    <s v="Moderate  impact"/>
    <s v="high impact and will affect local/global visibility"/>
    <n v="9166.6666600000008"/>
    <n v="9166.6666600000008"/>
    <n v="9166.6666600000008"/>
    <n v="9166.6666600000008"/>
    <n v="9166.6666600000008"/>
    <n v="9166.6666600000008"/>
    <n v="9166.6666600000008"/>
    <n v="9166.6666600000008"/>
    <n v="9166.6666600000008"/>
    <n v="9166.6666600000008"/>
    <n v="9166.6666600000008"/>
    <n v="9166.6666600000008"/>
    <n v="109999.99992000002"/>
    <s v="Enhance the communication plan and outreach activities"/>
    <m/>
  </r>
  <r>
    <n v="8470140"/>
    <s v="KUST - Communication"/>
    <n v="1"/>
    <n v="428640"/>
    <x v="27"/>
    <s v="000000"/>
    <s v="KUST - General"/>
    <n v="847001"/>
    <x v="1"/>
    <n v="200179"/>
    <s v="847.8470140.1.428640.000000.847001.200179"/>
    <m/>
    <m/>
    <m/>
    <s v="428640.Events - Awards, prizes &amp; gifts-Number of awards-count"/>
    <s v="count"/>
    <x v="28"/>
    <x v="288"/>
    <x v="618"/>
    <n v="360000"/>
    <s v="KU Regular operations"/>
    <s v="Recurring"/>
    <n v="324000"/>
    <n v="288000"/>
    <n v="251999.99999999997"/>
    <s v="Minimal impact"/>
    <s v="Moderate  impact"/>
    <s v="high impact and will affect local/global visibility"/>
    <n v="30000"/>
    <n v="30000"/>
    <n v="30000"/>
    <n v="30000"/>
    <n v="30000"/>
    <n v="30000"/>
    <n v="30000"/>
    <n v="30000"/>
    <n v="30000"/>
    <n v="30000"/>
    <n v="30000"/>
    <n v="30000"/>
    <n v="360000"/>
    <s v="Enhance the communication plan and outreach activities"/>
    <m/>
  </r>
  <r>
    <n v="8470140"/>
    <s v="KUST - Communication"/>
    <n v="1"/>
    <n v="428640"/>
    <x v="27"/>
    <s v="000000"/>
    <s v="KUST - General"/>
    <n v="847001"/>
    <x v="1"/>
    <n v="200179"/>
    <s v="847.8470140.1.428640.000000.847001.200179"/>
    <m/>
    <m/>
    <m/>
    <s v="428640.Events - Awards, prizes &amp; gifts-Number of prizes-count"/>
    <s v="count"/>
    <x v="76"/>
    <x v="192"/>
    <x v="619"/>
    <n v="150000"/>
    <s v="KU Regular operations"/>
    <s v="Recurring"/>
    <n v="135000"/>
    <n v="120000"/>
    <n v="105000"/>
    <s v="Minimal impact"/>
    <s v="Moderate  impact"/>
    <s v="high impact and will affect local/global visibility"/>
    <n v="12500"/>
    <n v="12500"/>
    <n v="12500"/>
    <n v="12500"/>
    <n v="12500"/>
    <n v="12500"/>
    <n v="12500"/>
    <n v="12500"/>
    <n v="12500"/>
    <n v="12500"/>
    <n v="12500"/>
    <n v="12500"/>
    <n v="150000"/>
    <s v="Enhance the communication plan and outreach activities"/>
    <m/>
  </r>
  <r>
    <n v="8470140"/>
    <s v="KUST - Communication"/>
    <n v="1"/>
    <n v="428640"/>
    <x v="27"/>
    <s v="000000"/>
    <s v="KUST - General"/>
    <n v="847001"/>
    <x v="1"/>
    <n v="200179"/>
    <s v="847.8470140.1.428640.000000.847001.200179"/>
    <m/>
    <m/>
    <m/>
    <s v="428640.Events - Awards, prizes &amp; gifts-Number of gifts-count"/>
    <s v="count"/>
    <x v="76"/>
    <x v="289"/>
    <x v="620"/>
    <n v="378000"/>
    <s v="KU Regular operations"/>
    <s v="Recurring"/>
    <n v="340200"/>
    <n v="302400"/>
    <n v="264600"/>
    <s v="Minimal impact"/>
    <s v="Moderate  impact"/>
    <s v="high impact and will affect local/global visibility"/>
    <n v="31500"/>
    <n v="31500"/>
    <n v="31500"/>
    <n v="31500"/>
    <n v="31500"/>
    <n v="31500"/>
    <n v="31500"/>
    <n v="31500"/>
    <n v="31500"/>
    <n v="31500"/>
    <n v="31500"/>
    <n v="31500"/>
    <n v="378000"/>
    <s v="Enhance the communication plan and outreach activities"/>
    <m/>
  </r>
  <r>
    <n v="8470140"/>
    <s v="KUST - Communication"/>
    <n v="1"/>
    <n v="435310"/>
    <x v="80"/>
    <s v="000000"/>
    <s v="KUST - General"/>
    <n v="847001"/>
    <x v="1"/>
    <n v="200179"/>
    <s v="847.8470140.1.435310.000000.847001.200179"/>
    <n v="0"/>
    <n v="10000"/>
    <n v="10000"/>
    <s v="435310.Newspapers, magazines, journals, etc-Number of Staff-Number"/>
    <s v="Number"/>
    <x v="11"/>
    <x v="67"/>
    <x v="621"/>
    <n v="10000"/>
    <s v="KU Regular operations"/>
    <s v="Recurring"/>
    <n v="9000"/>
    <n v="8000"/>
    <n v="7000"/>
    <s v="Minimal impact"/>
    <s v="Moderate  impact"/>
    <s v="high impact and will affect local/global visibility"/>
    <m/>
    <m/>
    <m/>
    <m/>
    <m/>
    <m/>
    <m/>
    <m/>
    <m/>
    <m/>
    <m/>
    <n v="10000"/>
    <n v="10000"/>
    <s v="Enhance the communication plan and outreach activities"/>
    <m/>
  </r>
  <r>
    <n v="8470140"/>
    <s v="KUST - Communication"/>
    <n v="1"/>
    <n v="435519"/>
    <x v="83"/>
    <s v="000000"/>
    <s v="KUST - General"/>
    <n v="847001"/>
    <x v="1"/>
    <n v="200179"/>
    <s v="847.8470140.1.435519.000000.847001.200179"/>
    <n v="0"/>
    <n v="135000"/>
    <n v="135000"/>
    <s v="435519.Photography - Consumable materials /Tools-Number of Staff-Number"/>
    <s v="Number"/>
    <x v="1"/>
    <x v="95"/>
    <x v="622"/>
    <n v="135000"/>
    <s v="KU Regular operations"/>
    <s v="Recurring"/>
    <n v="121500"/>
    <n v="108000"/>
    <n v="94500"/>
    <s v="Minimal impact"/>
    <s v="Moderate  impact"/>
    <s v="high impact and will affect local/global visibility"/>
    <m/>
    <m/>
    <m/>
    <m/>
    <m/>
    <m/>
    <m/>
    <m/>
    <m/>
    <m/>
    <m/>
    <n v="135000"/>
    <n v="135000"/>
    <s v="Enhance the communication plan and outreach activities"/>
    <m/>
  </r>
  <r>
    <n v="8470140"/>
    <s v="KUST - Communication"/>
    <n v="1"/>
    <n v="492310"/>
    <x v="13"/>
    <s v="000000"/>
    <s v="KUST - General"/>
    <n v="847001"/>
    <x v="2"/>
    <n v="300180"/>
    <s v="847.8470140.1.492310.000000.847001.300180"/>
    <n v="248690"/>
    <n v="137589"/>
    <n v="137589"/>
    <s v="492310.Hardware &amp; peripherals-number of hardware devices-Month"/>
    <s v="Month"/>
    <x v="11"/>
    <x v="183"/>
    <x v="623"/>
    <n v="200000"/>
    <s v="KU Regular operations"/>
    <s v="Non-recurring"/>
    <n v="180000"/>
    <n v="160000"/>
    <n v="140000"/>
    <s v="Minimal impact"/>
    <s v="Moderate  impact"/>
    <s v="high impact and will affect local/global visibility"/>
    <n v="200000"/>
    <m/>
    <m/>
    <m/>
    <m/>
    <m/>
    <m/>
    <m/>
    <m/>
    <m/>
    <m/>
    <m/>
    <n v="200000"/>
    <s v="Enhance the communication plan and outreach activities"/>
    <m/>
  </r>
  <r>
    <n v="8470910"/>
    <s v="KUST - Executive Vice President Office"/>
    <n v="1"/>
    <n v="425900"/>
    <x v="26"/>
    <s v="000000"/>
    <s v="KUST - General"/>
    <n v="847001"/>
    <x v="1"/>
    <n v="200179"/>
    <s v="847.8470910.1.425900.000000.847001.200179"/>
    <m/>
    <m/>
    <m/>
    <s v="425900.Entertainment and hospitality-1. No of events/workshops planned-count"/>
    <s v="count"/>
    <x v="14"/>
    <x v="67"/>
    <x v="624"/>
    <n v="50000"/>
    <s v="KU Regular operations"/>
    <s v="Recurring"/>
    <n v="45000"/>
    <n v="40000"/>
    <n v="35000"/>
    <s v="Impact run operation of the department "/>
    <s v="Impact run operation of the department "/>
    <s v="Impact run operation of the department "/>
    <m/>
    <n v="10000"/>
    <n v="5000"/>
    <n v="10000"/>
    <m/>
    <n v="5000"/>
    <n v="10000"/>
    <m/>
    <n v="10000"/>
    <n v="0"/>
    <m/>
    <n v="0"/>
    <n v="50000"/>
    <s v="Build partnerships with local and international universities"/>
    <m/>
  </r>
  <r>
    <n v="8470910"/>
    <s v="KUST - Executive Vice President Office"/>
    <n v="1"/>
    <n v="428090"/>
    <x v="7"/>
    <s v="000000"/>
    <s v="KUST - General"/>
    <n v="847001"/>
    <x v="1"/>
    <n v="200179"/>
    <s v="847.8470910.1.428090.000000.847001.200179"/>
    <m/>
    <m/>
    <m/>
    <s v="428090.Business Travel - Combined expenses-Number of Faculty-Number"/>
    <s v="Number"/>
    <x v="14"/>
    <x v="183"/>
    <x v="625"/>
    <n v="1000000"/>
    <s v="KU Strategic New Initiative"/>
    <s v="Recurring"/>
    <n v="900000"/>
    <n v="800000"/>
    <n v="700000"/>
    <s v="Impact run operation of the department "/>
    <s v="Impact run operation of the department "/>
    <s v="Impact run operation of the department "/>
    <m/>
    <n v="100000"/>
    <m/>
    <n v="300000"/>
    <m/>
    <n v="200000"/>
    <m/>
    <m/>
    <n v="100000"/>
    <n v="100000"/>
    <n v="100000"/>
    <n v="100000"/>
    <n v="1000000"/>
    <s v="Build partnerships with local and international universities"/>
    <m/>
  </r>
  <r>
    <n v="8470910"/>
    <s v="KUST - Executive Vice President Office"/>
    <n v="1"/>
    <n v="429900"/>
    <x v="84"/>
    <s v="000000"/>
    <s v="KUST - General"/>
    <n v="847001"/>
    <x v="1"/>
    <n v="200179"/>
    <s v="847.8470910.1.429900.000000.847001.200179"/>
    <m/>
    <m/>
    <m/>
    <s v="429900.Other services, not specifically mentioned elsewhere-TBD-Number of TBD"/>
    <s v="Number of TBD"/>
    <x v="9"/>
    <x v="170"/>
    <x v="626"/>
    <n v="3000000"/>
    <s v="KU Strategic New Initiative"/>
    <s v="Recurring"/>
    <n v="2700000"/>
    <n v="2400000"/>
    <n v="2100000"/>
    <s v="Impact run operation of the department "/>
    <s v="Impact run operation of the department "/>
    <s v="Impact run operation of the department "/>
    <n v="1000000"/>
    <n v="300000"/>
    <n v="300000"/>
    <m/>
    <m/>
    <n v="500000"/>
    <n v="300000"/>
    <m/>
    <m/>
    <n v="100000"/>
    <m/>
    <n v="500000"/>
    <n v="3000000"/>
    <s v="Build partnerships with local and international universities"/>
    <m/>
  </r>
  <r>
    <n v="8470910"/>
    <s v="KUST - Executive Vice President Office"/>
    <n v="1"/>
    <n v="420570"/>
    <x v="21"/>
    <s v="000000"/>
    <s v="KUST - General"/>
    <n v="847001"/>
    <x v="1"/>
    <n v="200179"/>
    <s v="847.8470910.1.420570.000000.847001.200179"/>
    <m/>
    <m/>
    <m/>
    <s v="420570.Academic Collaborative Partnership Services-Partnership Agreement or Academic Collaboration -No of Partneship/collaboration Agreement"/>
    <s v="No of Partneship/collaboration Agreement"/>
    <x v="14"/>
    <x v="290"/>
    <x v="627"/>
    <n v="15000000"/>
    <s v="KU Strategic New Initiative"/>
    <s v="Recurring"/>
    <n v="13500000"/>
    <n v="12000000"/>
    <n v="10500000"/>
    <s v="Impact run operation of the department "/>
    <s v="Impact run operation of the department "/>
    <s v="Impact run operation of the department "/>
    <n v="3000000"/>
    <n v="500000"/>
    <n v="500000"/>
    <n v="500000"/>
    <n v="500000"/>
    <n v="3000000"/>
    <n v="500000"/>
    <n v="500000"/>
    <n v="4000000"/>
    <n v="500000"/>
    <n v="500000"/>
    <n v="1000000"/>
    <n v="15000000"/>
    <s v="Build partnerships with local and international universities"/>
    <m/>
  </r>
  <r>
    <n v="8470510"/>
    <s v="KUST - VP/ Administration, Facilities &amp; EHS Office"/>
    <n v="1"/>
    <n v="425550"/>
    <x v="24"/>
    <s v="000000"/>
    <s v="KUST - General"/>
    <n v="847001"/>
    <x v="1"/>
    <n v="200179"/>
    <s v="847.8470510.1.425550.000000.847001.200179"/>
    <m/>
    <m/>
    <m/>
    <s v="425500.Conferences, seminars and exhibitions and other events:-Number of events &amp; attendees-Number of Number of events &amp; attendees"/>
    <s v="Number of Number of events &amp; attendees"/>
    <x v="1"/>
    <x v="42"/>
    <x v="628"/>
    <n v="30000"/>
    <s v="KU Regular operations"/>
    <s v="Recurring"/>
    <n v="27000"/>
    <n v="24000"/>
    <n v="21000"/>
    <s v="No impact "/>
    <s v="No impact "/>
    <s v="No impact "/>
    <n v="10000"/>
    <m/>
    <m/>
    <m/>
    <n v="10000"/>
    <m/>
    <m/>
    <m/>
    <n v="10000"/>
    <n v="0"/>
    <m/>
    <n v="0"/>
    <n v="30000"/>
    <s v="Realize a sustainable , healthy and safe campus environment for all community members"/>
    <m/>
  </r>
  <r>
    <n v="8470510"/>
    <s v="KUST - VP/ Administration, Facilities &amp; EHS Office"/>
    <n v="1"/>
    <n v="425900"/>
    <x v="26"/>
    <s v="000000"/>
    <s v="KUST - General"/>
    <n v="847001"/>
    <x v="1"/>
    <n v="200179"/>
    <s v="847.8470510.1.425900.000000.847001.200179"/>
    <m/>
    <m/>
    <m/>
    <s v="425900.Entertainment and hospitality-1. No of events/workshops planned-count"/>
    <s v="count"/>
    <x v="1"/>
    <x v="63"/>
    <x v="629"/>
    <n v="40000"/>
    <s v="KU Regular operations"/>
    <s v="Recurring"/>
    <n v="36000"/>
    <n v="32000"/>
    <n v="28000"/>
    <s v="No impact "/>
    <s v="No impact "/>
    <s v="No impact "/>
    <n v="10000"/>
    <m/>
    <m/>
    <m/>
    <n v="10000"/>
    <m/>
    <m/>
    <n v="10000"/>
    <m/>
    <n v="10000"/>
    <m/>
    <m/>
    <n v="40000"/>
    <s v="Realize a sustainable , healthy and safe campus environment for all community members"/>
    <m/>
  </r>
  <r>
    <n v="8470510"/>
    <s v="KUST - VP/ Administration, Facilities &amp; EHS Office"/>
    <n v="1"/>
    <n v="428090"/>
    <x v="7"/>
    <s v="000000"/>
    <s v="KUST - General"/>
    <n v="847001"/>
    <x v="1"/>
    <n v="200179"/>
    <s v="847.8470510.1.428090.000000.847001.200179"/>
    <m/>
    <m/>
    <m/>
    <s v="428090.Business Travel - Combined expenses-Number of Staff-Number"/>
    <s v="Number"/>
    <x v="1"/>
    <x v="183"/>
    <x v="630"/>
    <n v="100000"/>
    <s v="KU Regular operations"/>
    <s v="Recurring"/>
    <n v="90000"/>
    <n v="80000"/>
    <n v="70000"/>
    <s v="No impact "/>
    <s v="No impact "/>
    <s v="No impact "/>
    <n v="25000"/>
    <m/>
    <n v="25000"/>
    <m/>
    <m/>
    <m/>
    <n v="25000"/>
    <m/>
    <n v="25000"/>
    <m/>
    <m/>
    <m/>
    <n v="100000"/>
    <s v="Realize a sustainable , healthy and safe campus environment for all community members"/>
    <m/>
  </r>
  <r>
    <n v="8470520"/>
    <s v="KUST - Environment, Health &amp; Safety"/>
    <n v="1"/>
    <n v="425510"/>
    <x v="23"/>
    <s v="000000"/>
    <s v="KUST - General"/>
    <n v="847001"/>
    <x v="1"/>
    <n v="200179"/>
    <s v="847.8470520.1.425510.000000.847001.200179"/>
    <n v="11357.12"/>
    <n v="29519"/>
    <n v="29519"/>
    <s v="425510.Conferences, seminars and exhibitions and other events: - Local Events-Events-Number of Events"/>
    <s v="Number of Events"/>
    <x v="1"/>
    <x v="291"/>
    <x v="631"/>
    <n v="29500"/>
    <s v="KU Regular operations"/>
    <s v="Recurring"/>
    <n v="26550"/>
    <n v="23600"/>
    <n v="20650"/>
    <s v="Ineffective comminication and Information and awareness"/>
    <s v="Ineffective comminication and Information and awareness"/>
    <s v="Ineffective comminication and Information and awareness"/>
    <m/>
    <m/>
    <m/>
    <m/>
    <m/>
    <m/>
    <m/>
    <m/>
    <m/>
    <n v="29500"/>
    <m/>
    <m/>
    <n v="29500"/>
    <s v="Realize a sustainable , healthy and safe campus environment for all community members"/>
    <m/>
  </r>
  <r>
    <n v="8470520"/>
    <s v="KUST - Environment, Health &amp; Safety"/>
    <n v="1"/>
    <n v="426100"/>
    <x v="49"/>
    <s v="000000"/>
    <s v="KUST - General"/>
    <n v="847001"/>
    <x v="1"/>
    <n v="200179"/>
    <s v="847.8470520.1.426100.000000.847001.200179"/>
    <n v="0"/>
    <n v="20000"/>
    <n v="20000"/>
    <s v="426100.Freight and shipping costs, Numbert included elsewhere under purchase costs-Number of items-Number"/>
    <s v="Number"/>
    <x v="1"/>
    <x v="31"/>
    <x v="632"/>
    <n v="20000"/>
    <s v="KU Regular operations"/>
    <s v="Recurring"/>
    <n v="18000"/>
    <n v="16000"/>
    <n v="14000"/>
    <s v="Purchasing Process"/>
    <s v="Purchasing Process"/>
    <s v="Purchasing Process"/>
    <m/>
    <m/>
    <m/>
    <m/>
    <m/>
    <m/>
    <m/>
    <m/>
    <m/>
    <n v="20000"/>
    <m/>
    <m/>
    <n v="20000"/>
    <s v="Realize a sustainable , healthy and safe campus environment for all community members"/>
    <m/>
  </r>
  <r>
    <n v="8470520"/>
    <s v="KUST - Environment, Health &amp; Safety"/>
    <n v="1"/>
    <n v="427710"/>
    <x v="52"/>
    <s v="000000"/>
    <s v="KUST - General"/>
    <n v="847001"/>
    <x v="1"/>
    <n v="200179"/>
    <s v="847.8470520.1.427710.000000.847001.200179"/>
    <n v="7654.06"/>
    <n v="42000"/>
    <n v="42000"/>
    <s v="427710.Subscriptions and membership fees: Trade organisations-Number  of Memberships-Number"/>
    <s v="Number"/>
    <x v="1"/>
    <x v="1"/>
    <x v="633"/>
    <n v="0"/>
    <m/>
    <m/>
    <n v="0"/>
    <n v="0"/>
    <n v="0"/>
    <s v="Subscriptions and membership"/>
    <s v="Subscriptions and membership"/>
    <s v="Subscriptions and membership"/>
    <m/>
    <m/>
    <m/>
    <m/>
    <m/>
    <m/>
    <m/>
    <m/>
    <m/>
    <m/>
    <m/>
    <m/>
    <n v="0"/>
    <m/>
    <m/>
  </r>
  <r>
    <n v="8470520"/>
    <s v="KUST - Environment, Health &amp; Safety"/>
    <n v="1"/>
    <n v="427710"/>
    <x v="52"/>
    <s v="000000"/>
    <s v="KUST - General"/>
    <n v="847001"/>
    <x v="1"/>
    <n v="200179"/>
    <s v="847.8470520.1.427710.000000.847001.200179"/>
    <m/>
    <m/>
    <m/>
    <s v="427710.Subscriptions and membership fees: Trade organisations-Number  of Memberships-Number"/>
    <s v="Number"/>
    <x v="1"/>
    <x v="31"/>
    <x v="634"/>
    <n v="20000"/>
    <s v="KU Regular operations"/>
    <s v="Recurring"/>
    <n v="18000"/>
    <n v="16000"/>
    <n v="14000"/>
    <s v="Non-Conformance ISO Surveillance"/>
    <s v="Non-Conformance ISO Surveillance"/>
    <s v="Non-Conformance ISO Surveillance"/>
    <m/>
    <m/>
    <n v="10000"/>
    <m/>
    <m/>
    <m/>
    <m/>
    <n v="10000"/>
    <m/>
    <m/>
    <m/>
    <m/>
    <n v="20000"/>
    <s v="Realize a sustainable , healthy and safe campus environment for all community members"/>
    <m/>
  </r>
  <r>
    <n v="8470520"/>
    <s v="KUST - Environment, Health &amp; Safety"/>
    <n v="1"/>
    <n v="428200"/>
    <x v="85"/>
    <s v="000000"/>
    <s v="KUST - General"/>
    <n v="847001"/>
    <x v="1"/>
    <n v="200179"/>
    <s v="847.8470520.1.428200.000000.847001.200179"/>
    <n v="345735.14"/>
    <n v="616900"/>
    <n v="616900"/>
    <s v="428200.Health,safety&amp;environment awareness-Number of Buildings-Number"/>
    <s v="Number"/>
    <x v="2"/>
    <x v="1"/>
    <x v="1"/>
    <n v="0"/>
    <m/>
    <m/>
    <n v="0"/>
    <n v="0"/>
    <n v="0"/>
    <m/>
    <m/>
    <m/>
    <m/>
    <m/>
    <m/>
    <m/>
    <m/>
    <m/>
    <m/>
    <m/>
    <m/>
    <m/>
    <m/>
    <m/>
    <n v="0"/>
    <m/>
    <m/>
  </r>
  <r>
    <n v="8470520"/>
    <s v="KUST - Environment, Health &amp; Safety"/>
    <n v="1"/>
    <n v="428200"/>
    <x v="85"/>
    <s v="000000"/>
    <s v="KUST - General"/>
    <n v="847001"/>
    <x v="1"/>
    <n v="200179"/>
    <s v="847.8470520.1.428200.000000.847001.200179"/>
    <m/>
    <m/>
    <m/>
    <s v="428200.Health,safety&amp;environment awareness-Number of Buildings-Number"/>
    <s v="Number"/>
    <x v="1"/>
    <x v="94"/>
    <x v="635"/>
    <n v="70000"/>
    <s v="KU Regular operations"/>
    <s v="Recurring"/>
    <n v="63000"/>
    <n v="56000"/>
    <n v="49000"/>
    <s v="Withdrawal of ISO Certification and OSHAD Accreditation"/>
    <s v="Withdrawal of ISO Certification and OSHAD Accreditation"/>
    <s v="Withdrawal of ISO Certification and OSHAD Accreditation"/>
    <m/>
    <m/>
    <m/>
    <m/>
    <m/>
    <m/>
    <m/>
    <m/>
    <n v="70000"/>
    <m/>
    <m/>
    <m/>
    <n v="70000"/>
    <s v="Realize a sustainable , healthy and safe campus environment for all community members"/>
    <m/>
  </r>
  <r>
    <n v="8470520"/>
    <s v="KUST - Environment, Health &amp; Safety"/>
    <n v="1"/>
    <n v="428200"/>
    <x v="85"/>
    <s v="000000"/>
    <s v="KUST - General"/>
    <n v="847001"/>
    <x v="1"/>
    <n v="200179"/>
    <s v="847.8470520.1.428200.000000.847001.200179"/>
    <m/>
    <m/>
    <m/>
    <s v="428200.Health,safety&amp;environment awareness-Number of Buildings-Number"/>
    <s v="Number"/>
    <x v="1"/>
    <x v="91"/>
    <x v="636"/>
    <n v="115000"/>
    <s v="KU Regular operations"/>
    <s v="Recurring"/>
    <n v="103500"/>
    <n v="92000"/>
    <n v="80500"/>
    <s v="Withdrawal of ISO Certification and OSHAD Accreditation"/>
    <s v="Withdrawal of ISO Certification and OSHAD Accreditation"/>
    <s v="Withdrawal of ISO Certification and OSHAD Accreditation"/>
    <m/>
    <m/>
    <n v="115000"/>
    <m/>
    <m/>
    <m/>
    <m/>
    <m/>
    <m/>
    <m/>
    <m/>
    <m/>
    <n v="115000"/>
    <s v="Realize a sustainable , healthy and safe campus environment for all community members"/>
    <m/>
  </r>
  <r>
    <n v="8470520"/>
    <s v="KUST - Environment, Health &amp; Safety"/>
    <n v="1"/>
    <n v="428200"/>
    <x v="85"/>
    <s v="000000"/>
    <s v="KUST - General"/>
    <n v="847001"/>
    <x v="1"/>
    <n v="200179"/>
    <s v="847.8470520.1.428200.000000.847001.200179"/>
    <m/>
    <m/>
    <m/>
    <s v="428200.Health,safety&amp;environment awareness-Number of Buildings-Number"/>
    <s v="Number"/>
    <x v="1"/>
    <x v="87"/>
    <x v="637"/>
    <n v="60000"/>
    <s v="KU Regular operations"/>
    <s v="Recurring"/>
    <n v="54000"/>
    <n v="48000"/>
    <n v="42000"/>
    <s v="Limited operation of First Aid Clinic"/>
    <s v="Limited operation of First Aid Clinic"/>
    <s v="Limited operation of First Aid Clinic"/>
    <m/>
    <n v="30000"/>
    <m/>
    <m/>
    <m/>
    <m/>
    <n v="30000"/>
    <m/>
    <m/>
    <m/>
    <m/>
    <m/>
    <n v="60000"/>
    <s v="Realize a sustainable , healthy and safe campus environment for all community members"/>
    <m/>
  </r>
  <r>
    <n v="8470520"/>
    <s v="KUST - Environment, Health &amp; Safety"/>
    <n v="1"/>
    <n v="428200"/>
    <x v="85"/>
    <s v="000000"/>
    <s v="KUST - General"/>
    <n v="847001"/>
    <x v="1"/>
    <n v="200179"/>
    <s v="847.8470520.1.428200.000000.847001.200179"/>
    <m/>
    <m/>
    <m/>
    <s v="428200.Health,safety&amp;environment awareness-Number of Buildings-Number"/>
    <s v="Number"/>
    <x v="1"/>
    <x v="41"/>
    <x v="638"/>
    <n v="35000"/>
    <s v="KU Regular operations"/>
    <s v="Recurring"/>
    <n v="31500"/>
    <n v="28000"/>
    <n v="24500"/>
    <s v="Non-Conformance, OSHAD Regulation, Recertification of ISO Standards"/>
    <s v="Non-Conformance, OSHAD Regulation, Recertification of ISO Standards"/>
    <s v="Non-Conformance, OSHAD Regulation, Recertification of ISO Standards"/>
    <m/>
    <m/>
    <m/>
    <m/>
    <m/>
    <m/>
    <m/>
    <m/>
    <n v="35000"/>
    <m/>
    <m/>
    <m/>
    <n v="35000"/>
    <s v="Realize a sustainable , healthy and safe campus environment for all community members"/>
    <m/>
  </r>
  <r>
    <n v="8470520"/>
    <s v="KUST - Environment, Health &amp; Safety"/>
    <n v="1"/>
    <n v="428200"/>
    <x v="85"/>
    <s v="000000"/>
    <s v="KUST - General"/>
    <n v="847001"/>
    <x v="1"/>
    <n v="200179"/>
    <s v="847.8470520.1.428200.000000.847001.200179"/>
    <m/>
    <m/>
    <m/>
    <s v="428200.Health,safety&amp;environment awareness-Number of Buildings-Number"/>
    <s v="Number"/>
    <x v="1"/>
    <x v="42"/>
    <x v="639"/>
    <n v="30000"/>
    <s v="KU Regular operations"/>
    <s v="Recurring"/>
    <n v="27000"/>
    <n v="24000"/>
    <n v="21000"/>
    <s v="Capacity Building as Training Matrix"/>
    <s v="Capacity Building as Training Matrix"/>
    <s v="Capacity Building as Training Matrix"/>
    <m/>
    <m/>
    <n v="15000"/>
    <m/>
    <m/>
    <m/>
    <n v="15000"/>
    <m/>
    <m/>
    <m/>
    <m/>
    <m/>
    <n v="30000"/>
    <s v="Realize a sustainable , healthy and safe campus environment for all community members"/>
    <m/>
  </r>
  <r>
    <n v="8470520"/>
    <s v="KUST - Environment, Health &amp; Safety"/>
    <n v="1"/>
    <n v="428200"/>
    <x v="85"/>
    <s v="000000"/>
    <s v="KUST - General"/>
    <n v="847001"/>
    <x v="1"/>
    <n v="200179"/>
    <s v="847.8470520.1.428200.000000.847001.200179"/>
    <m/>
    <m/>
    <m/>
    <s v="428200.Health,safety&amp;environment awareness-Number of Buildings-Number"/>
    <s v="Number"/>
    <x v="1"/>
    <x v="27"/>
    <x v="640"/>
    <n v="50000"/>
    <s v="KU Regular operations"/>
    <s v="Recurring"/>
    <n v="45000"/>
    <n v="40000"/>
    <n v="35000"/>
    <s v="DoH Regulation; ISO Certification  "/>
    <s v="DoH Regulation; ISO Certification  "/>
    <s v="DoH Regulation; ISO Certification  "/>
    <m/>
    <n v="25000"/>
    <m/>
    <m/>
    <m/>
    <n v="25000"/>
    <m/>
    <m/>
    <m/>
    <m/>
    <m/>
    <m/>
    <n v="50000"/>
    <s v="Realize a sustainable , healthy and safe campus environment for all community members"/>
    <m/>
  </r>
  <r>
    <n v="8470520"/>
    <s v="KUST - Environment, Health &amp; Safety"/>
    <n v="1"/>
    <n v="428200"/>
    <x v="85"/>
    <s v="000000"/>
    <s v="KUST - General"/>
    <n v="847001"/>
    <x v="1"/>
    <n v="200179"/>
    <s v="847.8470520.1.428200.000000.847001.200179"/>
    <m/>
    <m/>
    <m/>
    <s v="428200.Health,safety&amp;environment awareness-Number of Buildings-Number"/>
    <s v="Number"/>
    <x v="1"/>
    <x v="124"/>
    <x v="641"/>
    <n v="80000"/>
    <s v="KU Regular operations"/>
    <s v="Recurring"/>
    <n v="72000"/>
    <n v="64000"/>
    <n v="56000"/>
    <s v="Non-compliance to Legal Requirement "/>
    <s v="Non-compliance to Legal Requirement "/>
    <s v="Non-compliance to Legal Requirement "/>
    <n v="20000"/>
    <m/>
    <m/>
    <n v="20000"/>
    <m/>
    <m/>
    <n v="20000"/>
    <m/>
    <m/>
    <n v="20000"/>
    <m/>
    <m/>
    <n v="80000"/>
    <s v="Realize a sustainable , healthy and safe campus environment for all community members"/>
    <m/>
  </r>
  <r>
    <n v="8470520"/>
    <s v="KUST - Environment, Health &amp; Safety"/>
    <n v="1"/>
    <n v="428200"/>
    <x v="85"/>
    <s v="000000"/>
    <s v="KUST - General"/>
    <n v="847001"/>
    <x v="1"/>
    <n v="200179"/>
    <s v="847.8470520.1.428200.000000.847001.200179"/>
    <m/>
    <m/>
    <m/>
    <s v="428200.Health,safety&amp;environment awareness-Number of Buildings-Number"/>
    <s v="Number"/>
    <x v="1"/>
    <x v="30"/>
    <x v="642"/>
    <n v="25000"/>
    <s v="KU Regular operations"/>
    <s v="Recurring"/>
    <n v="22500"/>
    <n v="20000"/>
    <n v="17500"/>
    <s v="Non-complaince to FNAR Regulation"/>
    <s v="Non-complaince to FNAR Regulation"/>
    <s v="Non-complaince to FNAR Regulation"/>
    <n v="25000"/>
    <m/>
    <m/>
    <m/>
    <m/>
    <m/>
    <m/>
    <m/>
    <m/>
    <m/>
    <m/>
    <m/>
    <n v="25000"/>
    <s v="Realize a sustainable , healthy and safe campus environment for all community members"/>
    <m/>
  </r>
  <r>
    <n v="8470520"/>
    <s v="KUST - Environment, Health &amp; Safety"/>
    <n v="1"/>
    <n v="428200"/>
    <x v="85"/>
    <s v="000000"/>
    <s v="KUST - General"/>
    <n v="847001"/>
    <x v="1"/>
    <n v="200179"/>
    <s v="847.8470520.1.428200.000000.847001.200179"/>
    <m/>
    <m/>
    <m/>
    <s v="428200.Health,safety&amp;environment awareness-Number of Buildings-Number"/>
    <s v="Number"/>
    <x v="1"/>
    <x v="63"/>
    <x v="643"/>
    <n v="40000"/>
    <s v="KU Regular operations"/>
    <s v="Recurring"/>
    <n v="36000"/>
    <n v="32000"/>
    <n v="28000"/>
    <s v="Non-conformance, OSHAD Regulation"/>
    <s v="Non-conformance, OSHAD Regulation"/>
    <s v="Non-conformance, OSHAD Regulation"/>
    <m/>
    <m/>
    <n v="20000"/>
    <m/>
    <m/>
    <m/>
    <m/>
    <n v="20000"/>
    <m/>
    <m/>
    <m/>
    <m/>
    <n v="40000"/>
    <s v="Realize a sustainable , healthy and safe campus environment for all community members"/>
    <m/>
  </r>
  <r>
    <n v="8470520"/>
    <s v="KUST - Environment, Health &amp; Safety"/>
    <n v="1"/>
    <n v="428200"/>
    <x v="85"/>
    <s v="000000"/>
    <s v="KUST - General"/>
    <n v="847001"/>
    <x v="1"/>
    <n v="200179"/>
    <s v="847.8470520.1.428200.000000.847001.200179"/>
    <m/>
    <m/>
    <m/>
    <s v="428200.Health,safety&amp;environment awareness-Number of Buildings-Number"/>
    <s v="Number"/>
    <x v="1"/>
    <x v="27"/>
    <x v="644"/>
    <n v="50000"/>
    <s v="KU Regular operations"/>
    <s v="Recurring"/>
    <n v="45000"/>
    <n v="40000"/>
    <n v="35000"/>
    <s v="Non-conformance, Civil Defense Regulation"/>
    <s v="Non-conformance, Civil Defense Regulation"/>
    <s v="Non-conformance, Civil Defense Regulation"/>
    <m/>
    <m/>
    <m/>
    <m/>
    <n v="50000"/>
    <m/>
    <m/>
    <m/>
    <m/>
    <m/>
    <m/>
    <m/>
    <n v="50000"/>
    <s v="Realize a sustainable , healthy and safe campus environment for all community members"/>
    <m/>
  </r>
  <r>
    <n v="8470520"/>
    <s v="KUST - Environment, Health &amp; Safety"/>
    <n v="1"/>
    <n v="428200"/>
    <x v="85"/>
    <s v="000000"/>
    <s v="KUST - General"/>
    <n v="847001"/>
    <x v="1"/>
    <n v="200179"/>
    <s v="847.8470520.1.428200.000000.847001.200179"/>
    <m/>
    <m/>
    <m/>
    <s v="428200.Health,safety&amp;environment awareness-Number of Buildings-Number"/>
    <s v="Number"/>
    <x v="1"/>
    <x v="62"/>
    <x v="645"/>
    <n v="15000"/>
    <s v="KU Regular operations"/>
    <s v="Recurring"/>
    <n v="13500"/>
    <n v="12000"/>
    <n v="10500"/>
    <s v="Non-Conformance ISO Surveillance"/>
    <s v="Non-Conformance ISO Surveillance"/>
    <s v="Non-Conformance ISO Surveillance"/>
    <m/>
    <m/>
    <n v="15000"/>
    <m/>
    <m/>
    <m/>
    <m/>
    <m/>
    <m/>
    <m/>
    <m/>
    <m/>
    <n v="15000"/>
    <s v="Ensure the university sustainability "/>
    <m/>
  </r>
  <r>
    <n v="8470520"/>
    <s v="KUST - Environment, Health &amp; Safety"/>
    <n v="1"/>
    <n v="428200"/>
    <x v="85"/>
    <s v="000000"/>
    <s v="KUST - General"/>
    <n v="847001"/>
    <x v="1"/>
    <n v="200179"/>
    <s v="847.8470520.1.428200.000000.847001.200179"/>
    <m/>
    <m/>
    <m/>
    <s v="428200.Health,safety&amp;environment awareness-Number of Buildings-Number"/>
    <s v="Number"/>
    <x v="1"/>
    <x v="27"/>
    <x v="646"/>
    <n v="50000"/>
    <s v="KU Regular operations"/>
    <s v="Recurring"/>
    <n v="45000"/>
    <n v="40000"/>
    <n v="35000"/>
    <s v="Emergency Respond Effectiveness"/>
    <s v="Emergency Respond Effectiveness"/>
    <s v="Emergency Respond Effectiveness"/>
    <m/>
    <m/>
    <m/>
    <m/>
    <n v="50000"/>
    <m/>
    <m/>
    <m/>
    <m/>
    <m/>
    <m/>
    <m/>
    <n v="50000"/>
    <s v="Realize a sustainable , healthy and safe campus environment for all community members"/>
    <m/>
  </r>
  <r>
    <n v="8470520"/>
    <s v="KUST - Environment, Health &amp; Safety"/>
    <n v="1"/>
    <n v="428200"/>
    <x v="85"/>
    <s v="000000"/>
    <s v="KUST - General"/>
    <n v="847001"/>
    <x v="1"/>
    <n v="200179"/>
    <s v="847.8470520.1.428200.000000.847001.200179"/>
    <m/>
    <m/>
    <m/>
    <s v="428200.Health,safety&amp;environment awareness-Number of Buildings-Number"/>
    <s v="Number"/>
    <x v="1"/>
    <x v="27"/>
    <x v="647"/>
    <n v="50000"/>
    <s v="KU Regular operations"/>
    <s v="Recurring"/>
    <n v="45000"/>
    <n v="40000"/>
    <n v="35000"/>
    <s v="Lab &amp; Building Safety"/>
    <s v="Lab &amp; Building Safety"/>
    <s v="Lab &amp; Building Safety"/>
    <m/>
    <m/>
    <m/>
    <m/>
    <m/>
    <m/>
    <m/>
    <n v="50000"/>
    <m/>
    <m/>
    <m/>
    <m/>
    <n v="50000"/>
    <s v="Realize a sustainable , healthy and safe campus environment for all community members"/>
    <m/>
  </r>
  <r>
    <n v="8470520"/>
    <s v="KUST - Environment, Health &amp; Safety"/>
    <n v="1"/>
    <n v="428200"/>
    <x v="85"/>
    <s v="000000"/>
    <s v="KUST - General"/>
    <n v="847001"/>
    <x v="1"/>
    <n v="200179"/>
    <s v="847.8470520.1.428200.000000.847001.200179"/>
    <m/>
    <m/>
    <m/>
    <s v="428200.Health,safety&amp;environment awareness-Number of Buildings-Number"/>
    <s v="Number"/>
    <x v="1"/>
    <x v="31"/>
    <x v="648"/>
    <n v="20000"/>
    <s v="KU Regular operations"/>
    <s v="Recurring"/>
    <n v="18000"/>
    <n v="16000"/>
    <n v="14000"/>
    <s v="Emergency Responder OSHAD Requirement"/>
    <s v="Emergency Responder OSHAD Requirement"/>
    <s v="Emergency Responder OSHAD Requirement"/>
    <m/>
    <m/>
    <n v="10000"/>
    <m/>
    <m/>
    <m/>
    <m/>
    <n v="10000"/>
    <m/>
    <m/>
    <m/>
    <m/>
    <n v="20000"/>
    <s v="Realize a sustainable , healthy and safe campus environment for all community members"/>
    <m/>
  </r>
  <r>
    <n v="8470520"/>
    <s v="KUST - Environment, Health &amp; Safety"/>
    <n v="1"/>
    <n v="428200"/>
    <x v="85"/>
    <s v="000000"/>
    <s v="COVID-19 Pandemic"/>
    <n v="847951"/>
    <x v="1"/>
    <n v="200179"/>
    <s v="847.8470520.1.428200.000000.847951.200179"/>
    <n v="276208.98"/>
    <n v="23100"/>
    <m/>
    <m/>
    <s v="-_"/>
    <x v="2"/>
    <x v="1"/>
    <x v="1"/>
    <n v="0"/>
    <m/>
    <m/>
    <n v="0"/>
    <n v="0"/>
    <n v="0"/>
    <m/>
    <m/>
    <m/>
    <m/>
    <m/>
    <m/>
    <m/>
    <m/>
    <m/>
    <m/>
    <m/>
    <m/>
    <m/>
    <m/>
    <m/>
    <n v="0"/>
    <m/>
    <m/>
  </r>
  <r>
    <n v="8470520"/>
    <s v="KUST - Environment, Health &amp; Safety"/>
    <n v="1"/>
    <n v="492316"/>
    <x v="19"/>
    <s v="000000"/>
    <s v="KUST - General"/>
    <n v="847001"/>
    <x v="2"/>
    <n v="300180"/>
    <s v="847.8470520.1.492316.000000.847001.300180"/>
    <s v="-"/>
    <n v="171987"/>
    <m/>
    <m/>
    <s v="-_"/>
    <x v="2"/>
    <x v="1"/>
    <x v="1"/>
    <n v="0"/>
    <m/>
    <m/>
    <n v="0"/>
    <n v="0"/>
    <n v="0"/>
    <m/>
    <m/>
    <m/>
    <m/>
    <m/>
    <m/>
    <m/>
    <m/>
    <m/>
    <m/>
    <m/>
    <m/>
    <m/>
    <m/>
    <m/>
    <n v="0"/>
    <m/>
    <m/>
  </r>
  <r>
    <n v="8470520"/>
    <s v="KUST - Environment, Health &amp; Safety"/>
    <n v="1"/>
    <n v="421600"/>
    <x v="68"/>
    <s v="000000"/>
    <s v="KUST- Masdar city campus"/>
    <n v="847030"/>
    <x v="1"/>
    <n v="200179"/>
    <s v="847.8470520.1.421600.000000.847030.200179"/>
    <n v="74260"/>
    <s v="-"/>
    <m/>
    <m/>
    <s v="-_"/>
    <x v="2"/>
    <x v="1"/>
    <x v="1"/>
    <n v="0"/>
    <m/>
    <m/>
    <n v="0"/>
    <n v="0"/>
    <n v="0"/>
    <m/>
    <m/>
    <m/>
    <m/>
    <m/>
    <m/>
    <m/>
    <m/>
    <m/>
    <m/>
    <m/>
    <m/>
    <m/>
    <m/>
    <m/>
    <n v="0"/>
    <m/>
    <m/>
  </r>
  <r>
    <n v="8470520"/>
    <s v="KUST - Environment, Health &amp; Safety"/>
    <n v="1"/>
    <n v="425510"/>
    <x v="23"/>
    <s v="000000"/>
    <s v="COVID-19 Pandemic"/>
    <n v="847951"/>
    <x v="1"/>
    <n v="200179"/>
    <s v="847.8470520.1.425510.000000.847951.200179"/>
    <n v="4998"/>
    <s v="-"/>
    <m/>
    <m/>
    <s v="-_"/>
    <x v="2"/>
    <x v="1"/>
    <x v="1"/>
    <n v="0"/>
    <m/>
    <m/>
    <n v="0"/>
    <n v="0"/>
    <n v="0"/>
    <m/>
    <m/>
    <m/>
    <m/>
    <m/>
    <m/>
    <m/>
    <m/>
    <m/>
    <m/>
    <m/>
    <m/>
    <m/>
    <m/>
    <m/>
    <n v="0"/>
    <m/>
    <m/>
  </r>
  <r>
    <n v="8470530"/>
    <s v="KUST - Facilities Management"/>
    <n v="1"/>
    <n v="420310"/>
    <x v="86"/>
    <s v="000000"/>
    <s v="KUST - Main Campus"/>
    <n v="847010"/>
    <x v="1"/>
    <n v="200179"/>
    <s v="847.8470530.1.420310.000000.847010.200179"/>
    <n v="3935286.72"/>
    <n v="4056439"/>
    <n v="4056439"/>
    <s v="420310.Cleaning Services: Business premises-1. Size of Premises (Area)-2m"/>
    <s v="2m"/>
    <x v="1"/>
    <x v="292"/>
    <x v="649"/>
    <n v="4056438.64"/>
    <s v="KU Regular operations"/>
    <s v="Recurring"/>
    <n v="3650794.7760000001"/>
    <n v="3245150.9120000005"/>
    <n v="2839507.048"/>
    <s v="Service quality and performance "/>
    <s v="Service quality and performance "/>
    <s v="Service quality and performance "/>
    <n v="338036.55330000003"/>
    <n v="338036.55330000003"/>
    <n v="338036.55330000003"/>
    <n v="338036.55330000003"/>
    <n v="338036.55330000003"/>
    <n v="338036.55330000003"/>
    <n v="338036.55330000003"/>
    <n v="338036.55330000003"/>
    <n v="338036.55330000003"/>
    <n v="338036.55330000003"/>
    <n v="338036.55330000003"/>
    <n v="338036.55330000003"/>
    <n v="4056438.64"/>
    <s v="Realize a sustainable , healthy and safe campus environment for all community members"/>
    <m/>
  </r>
  <r>
    <n v="8470530"/>
    <s v="KUST - Facilities Management"/>
    <n v="1"/>
    <n v="420310"/>
    <x v="86"/>
    <s v="000000"/>
    <s v="Student Related Costs"/>
    <n v="847015"/>
    <x v="1"/>
    <n v="200179"/>
    <s v="847.8470530.1.420310.000000.847015.200179"/>
    <n v="0"/>
    <n v="747242"/>
    <n v="747242"/>
    <s v="420310.Cleaning Services: Business premises-1. Size of Premises (Area)-2m"/>
    <s v="2m"/>
    <x v="1"/>
    <x v="293"/>
    <x v="650"/>
    <n v="747242"/>
    <s v="KU Regular operations"/>
    <s v="Recurring"/>
    <n v="672517.8"/>
    <n v="597793.6"/>
    <n v="523069.39999999997"/>
    <s v="Service quality and performance "/>
    <s v="Service quality and performance "/>
    <s v="Service quality and performance "/>
    <n v="62270.166700000002"/>
    <n v="62270.166700000002"/>
    <n v="62270.166700000002"/>
    <n v="62270.166700000002"/>
    <n v="62270.166700000002"/>
    <n v="62270.166700000002"/>
    <n v="62270.166700000002"/>
    <n v="62270.166700000002"/>
    <n v="62270.166700000002"/>
    <n v="62270.166700000002"/>
    <n v="62270.166700000002"/>
    <n v="62270.166700000002"/>
    <n v="747242"/>
    <s v="Realize a sustainable , healthy and safe campus environment for all community members"/>
    <m/>
  </r>
  <r>
    <n v="8470530"/>
    <s v="KUST - Facilities Management"/>
    <n v="1"/>
    <n v="420310"/>
    <x v="86"/>
    <s v="000000"/>
    <s v="KUST- Sas Al Nakhl Campus"/>
    <n v="847020"/>
    <x v="1"/>
    <n v="200179"/>
    <s v="847.8470530.1.420310.000000.847020.200179"/>
    <n v="4940773.51"/>
    <n v="4118107"/>
    <n v="4118107"/>
    <s v="420310.Cleaning Services: Business premises-1. Size of Premises (Area)-2m"/>
    <s v="2m"/>
    <x v="1"/>
    <x v="294"/>
    <x v="651"/>
    <n v="4118107"/>
    <s v="KU Regular operations"/>
    <s v="Recurring"/>
    <n v="3706296.3000000003"/>
    <n v="3294485.6"/>
    <n v="2882674.9"/>
    <s v="Service quality and performance "/>
    <s v="Service quality and performance "/>
    <s v="Service quality and performance "/>
    <n v="343175.5833"/>
    <n v="343175.5833"/>
    <n v="343175.5833"/>
    <n v="343175.5833"/>
    <n v="343175.5833"/>
    <n v="343175.5833"/>
    <n v="343175.5833"/>
    <n v="343175.5833"/>
    <n v="343175.5833"/>
    <n v="343175.5833"/>
    <n v="343175.5833"/>
    <n v="343175.5833"/>
    <n v="4118107"/>
    <s v="Realize a sustainable , healthy and safe campus environment for all community members"/>
    <m/>
  </r>
  <r>
    <n v="8470530"/>
    <s v="KUST - Facilities Management"/>
    <n v="1"/>
    <n v="429900"/>
    <x v="84"/>
    <s v="000000"/>
    <s v="KUST - Main Campus"/>
    <s v="847010"/>
    <x v="1"/>
    <n v="200179"/>
    <s v="847.8470530.1.429900.000000.847010.200179"/>
    <m/>
    <m/>
    <m/>
    <s v="429900.Other services, not specifically mentioned elsewhere-TBD-Number of TBD"/>
    <s v="Number of TBD"/>
    <x v="1"/>
    <x v="78"/>
    <x v="652"/>
    <n v="220000"/>
    <s v="KU Regular operations"/>
    <s v="Recurring"/>
    <n v="198000"/>
    <n v="176000"/>
    <n v="154000"/>
    <s v="Service quality and performance "/>
    <s v="Service quality and performance "/>
    <s v="Service quality and performance "/>
    <n v="20000"/>
    <n v="20000"/>
    <n v="20000"/>
    <n v="20000"/>
    <n v="20000"/>
    <n v="20000"/>
    <n v="20000"/>
    <n v="20000"/>
    <n v="20000"/>
    <n v="20000"/>
    <n v="20000"/>
    <m/>
    <n v="220000"/>
    <s v="Realize a sustainable , healthy and safe campus environment for all community members"/>
    <m/>
  </r>
  <r>
    <n v="8470530"/>
    <s v="KUST - Facilities Management"/>
    <n v="1"/>
    <n v="421000"/>
    <x v="42"/>
    <s v="000000"/>
    <s v="KUST - Main Campus"/>
    <s v="847010"/>
    <x v="1"/>
    <n v="200179"/>
    <s v="847.8470530.1.421000.000000.847010.200179"/>
    <m/>
    <m/>
    <m/>
    <s v="430120.Rental - Buildings, other than staff residences-Area-2m"/>
    <s v="2m"/>
    <x v="1"/>
    <x v="295"/>
    <x v="653"/>
    <n v="5000000"/>
    <s v="KU Strategic New Initiative"/>
    <s v="Non-recurring"/>
    <n v="4500000"/>
    <n v="4000000"/>
    <n v="3500000"/>
    <s v="Service quality and performance "/>
    <s v="Service quality and performance "/>
    <s v="Service quality and performance "/>
    <m/>
    <m/>
    <n v="5000000"/>
    <m/>
    <m/>
    <m/>
    <m/>
    <m/>
    <m/>
    <m/>
    <m/>
    <m/>
    <n v="5000000"/>
    <s v="Realize a sustainable , healthy and safe campus environment for all community members"/>
    <m/>
  </r>
  <r>
    <n v="8470530"/>
    <s v="KUST - Facilities Management"/>
    <n v="1"/>
    <n v="421000"/>
    <x v="42"/>
    <s v="000000"/>
    <s v="KUST - Main Campus"/>
    <s v="847010"/>
    <x v="1"/>
    <n v="200179"/>
    <s v="847.8470530.1.421000.000000.847010.200179"/>
    <m/>
    <m/>
    <m/>
    <s v="421000.Management consultancy-Number of contracted studies-count"/>
    <s v="count"/>
    <x v="1"/>
    <x v="64"/>
    <x v="654"/>
    <n v="2000000"/>
    <s v="KU Strategic New Initiative"/>
    <s v="Non-recurring"/>
    <n v="1800000"/>
    <n v="1600000"/>
    <n v="1400000"/>
    <s v="Service quality and performance "/>
    <s v="Service quality and performance "/>
    <s v="Service quality and performance "/>
    <m/>
    <m/>
    <n v="2000000"/>
    <m/>
    <m/>
    <m/>
    <m/>
    <m/>
    <m/>
    <m/>
    <m/>
    <m/>
    <n v="2000000"/>
    <s v="Realize a sustainable , healthy and safe campus environment for all community members"/>
    <m/>
  </r>
  <r>
    <n v="8470530"/>
    <s v="KUST - Facilities Management"/>
    <n v="1"/>
    <n v="421000"/>
    <x v="42"/>
    <s v="000000"/>
    <s v="KUST- Sas Al Nakhl Campus"/>
    <s v="847020"/>
    <x v="1"/>
    <n v="200179"/>
    <s v="847.8470530.1.421000.000000.847020.200179"/>
    <m/>
    <m/>
    <m/>
    <s v="430120.Rental - Buildings, other than staff residences-Area-2m"/>
    <s v="2m"/>
    <x v="2"/>
    <x v="1"/>
    <x v="655"/>
    <m/>
    <m/>
    <m/>
    <n v="0"/>
    <n v="0"/>
    <n v="0"/>
    <m/>
    <m/>
    <m/>
    <m/>
    <m/>
    <m/>
    <m/>
    <m/>
    <m/>
    <m/>
    <m/>
    <m/>
    <m/>
    <m/>
    <m/>
    <m/>
    <m/>
    <m/>
  </r>
  <r>
    <n v="8470530"/>
    <s v="KUST - Facilities Management"/>
    <n v="1"/>
    <n v="430110"/>
    <x v="87"/>
    <s v="000000"/>
    <s v="KUST - Main Campus"/>
    <s v="847010"/>
    <x v="1"/>
    <n v="200179"/>
    <s v="847.8470530.1.430110.000000.847010.200179"/>
    <m/>
    <m/>
    <m/>
    <s v="430110.Rental- Land-2m-"/>
    <m/>
    <x v="1"/>
    <x v="296"/>
    <x v="656"/>
    <n v="233000"/>
    <s v="KU Strategic New Initiative"/>
    <s v="Non-recurring"/>
    <n v="209700"/>
    <n v="186400"/>
    <n v="163100"/>
    <s v="Service quality and performance "/>
    <s v="Service quality and performance "/>
    <s v="Service quality and performance "/>
    <m/>
    <m/>
    <m/>
    <m/>
    <m/>
    <m/>
    <m/>
    <m/>
    <m/>
    <m/>
    <m/>
    <n v="233000"/>
    <n v="233000"/>
    <s v="Realize a sustainable , healthy and safe campus environment for all community members"/>
    <m/>
  </r>
  <r>
    <n v="8470530"/>
    <s v="KUST - Facilities Management"/>
    <n v="1"/>
    <n v="430120"/>
    <x v="88"/>
    <s v="000000"/>
    <s v="KUST- Masdar city campus"/>
    <s v="847030"/>
    <x v="1"/>
    <n v="200179"/>
    <s v="847.8470530.1.430120.000000.847030.200179"/>
    <m/>
    <m/>
    <m/>
    <s v="430120.Rental - Buildings, other than staff residences-Area-2m"/>
    <s v="2m"/>
    <x v="1"/>
    <x v="297"/>
    <x v="657"/>
    <n v="4587000"/>
    <s v="KU Regular operations"/>
    <s v="Recurring"/>
    <n v="4128300"/>
    <n v="3669600"/>
    <n v="3210900"/>
    <s v="Service quality and performance "/>
    <s v="Service quality and performance "/>
    <s v="Service quality and performance "/>
    <m/>
    <m/>
    <n v="4587000"/>
    <m/>
    <m/>
    <m/>
    <m/>
    <m/>
    <m/>
    <m/>
    <m/>
    <m/>
    <n v="4587000"/>
    <s v="Realize a sustainable , healthy and safe campus environment for all community members"/>
    <m/>
  </r>
  <r>
    <n v="8470530"/>
    <s v="KUST - Facilities Management"/>
    <n v="1"/>
    <n v="430120"/>
    <x v="88"/>
    <s v="000000"/>
    <s v="KUST- Masdar city campus"/>
    <s v="847030"/>
    <x v="1"/>
    <n v="200179"/>
    <s v="847.8470530.1.430120.000000.847030.200179"/>
    <m/>
    <m/>
    <m/>
    <s v="430120.Rental - Buildings, other than staff residences-Area-2m"/>
    <s v="2m"/>
    <x v="1"/>
    <x v="298"/>
    <x v="658"/>
    <n v="4632870"/>
    <s v="KU Regular operations"/>
    <s v="Recurring"/>
    <n v="4169583"/>
    <n v="3706296"/>
    <n v="3243009"/>
    <s v="Service quality and performance "/>
    <s v="Service quality and performance "/>
    <s v="Service quality and performance "/>
    <m/>
    <m/>
    <m/>
    <m/>
    <m/>
    <m/>
    <m/>
    <m/>
    <m/>
    <m/>
    <m/>
    <n v="4632870"/>
    <n v="4632870"/>
    <s v="Realize a sustainable , healthy and safe campus environment for all community members"/>
    <m/>
  </r>
  <r>
    <n v="8470530"/>
    <s v="KUST - Facilities Management"/>
    <n v="1"/>
    <n v="430120"/>
    <x v="88"/>
    <s v="000000"/>
    <s v="KUST- Masdar city campus"/>
    <n v="847030"/>
    <x v="1"/>
    <n v="200179"/>
    <s v="847.8470530.1.430120.000000.847030.200179"/>
    <m/>
    <m/>
    <m/>
    <s v="430120.Rental - Buildings, other than staff residences-Area-2m"/>
    <s v="2m"/>
    <x v="1"/>
    <x v="295"/>
    <x v="659"/>
    <n v="5000000"/>
    <m/>
    <m/>
    <n v="4500000"/>
    <n v="4000000"/>
    <n v="3500000"/>
    <s v="Service quality and performance "/>
    <s v="Service quality and performance "/>
    <s v="Service quality and performance "/>
    <m/>
    <m/>
    <n v="5000000"/>
    <m/>
    <m/>
    <m/>
    <m/>
    <m/>
    <m/>
    <m/>
    <m/>
    <m/>
    <n v="5000000"/>
    <s v="Realize a sustainable , healthy and safe campus environment for all community members"/>
    <m/>
  </r>
  <r>
    <n v="8470530"/>
    <s v="KUST - Facilities Management"/>
    <n v="1"/>
    <n v="430120"/>
    <x v="88"/>
    <s v="000000"/>
    <s v="KUST- Sas Al Nakhl Campus"/>
    <n v="847020"/>
    <x v="1"/>
    <n v="200179"/>
    <s v="847.8470530.1.430120.000000.847020.200179"/>
    <m/>
    <m/>
    <m/>
    <s v="430120.Rental - Buildings, other than staff residences-Area-2m"/>
    <s v="2m"/>
    <x v="1"/>
    <x v="299"/>
    <x v="660"/>
    <n v="8000000"/>
    <s v="KU Regular operations"/>
    <s v="Recurring"/>
    <n v="7200000"/>
    <n v="6400000"/>
    <n v="5600000"/>
    <s v="Service quality and performance "/>
    <s v="Service quality and performance "/>
    <s v="Service quality and performance "/>
    <m/>
    <m/>
    <n v="8000000"/>
    <m/>
    <m/>
    <m/>
    <m/>
    <m/>
    <m/>
    <m/>
    <m/>
    <m/>
    <n v="8000000"/>
    <s v="Realize a sustainable , healthy and safe campus environment for all community members"/>
    <m/>
  </r>
  <r>
    <n v="8470530"/>
    <s v="KUST - Facilities Management"/>
    <n v="1"/>
    <n v="421600"/>
    <x v="68"/>
    <s v="000000"/>
    <s v="KUST - Main Campus"/>
    <n v="847010"/>
    <x v="1"/>
    <n v="200179"/>
    <s v="847.8470530.1.421600.000000.847010.200179"/>
    <n v="3976041.33"/>
    <n v="3768261"/>
    <n v="3768261"/>
    <s v="421600.Security service-Number of guard workers-count"/>
    <s v="count"/>
    <x v="1"/>
    <x v="300"/>
    <x v="661"/>
    <n v="3986400"/>
    <s v="KU Regular operations"/>
    <s v="Recurring"/>
    <n v="3587760"/>
    <n v="3189120"/>
    <n v="2790480"/>
    <s v="Service quality and performance "/>
    <s v="Service quality and performance "/>
    <s v="Service quality and performance "/>
    <n v="332200"/>
    <n v="332200"/>
    <n v="332200"/>
    <n v="332200"/>
    <n v="332200"/>
    <n v="332200"/>
    <n v="332200"/>
    <n v="332200"/>
    <n v="332200"/>
    <n v="332200"/>
    <n v="332200"/>
    <n v="332200"/>
    <n v="3986400"/>
    <s v="Realize a sustainable , healthy and safe campus environment for all community members"/>
    <m/>
  </r>
  <r>
    <n v="8470530"/>
    <s v="KUST - Facilities Management"/>
    <n v="1"/>
    <n v="421600"/>
    <x v="68"/>
    <s v="000000"/>
    <s v="Student Related Costs"/>
    <n v="847015"/>
    <x v="1"/>
    <n v="200179"/>
    <s v="847.8470530.1.421600.000000.847015.200179"/>
    <n v="1516765.97"/>
    <n v="2649480"/>
    <n v="2649480"/>
    <s v="421600.Security service-Number of guard workers-count"/>
    <s v="count"/>
    <x v="1"/>
    <x v="301"/>
    <x v="662"/>
    <n v="2451960"/>
    <s v="KU Regular operations"/>
    <s v="Recurring"/>
    <n v="2206764"/>
    <n v="1961568"/>
    <n v="1716372"/>
    <s v="Service quality and performance "/>
    <s v="Service quality and performance "/>
    <s v="Service quality and performance "/>
    <n v="204330"/>
    <n v="204330"/>
    <n v="204330"/>
    <n v="204330"/>
    <n v="204330"/>
    <n v="204330"/>
    <n v="204330"/>
    <n v="204330"/>
    <n v="204330"/>
    <n v="204330"/>
    <n v="204330"/>
    <n v="204330"/>
    <n v="2451960"/>
    <s v="Realize a sustainable , healthy and safe campus environment for all community members"/>
    <m/>
  </r>
  <r>
    <n v="8470530"/>
    <s v="KUST - Facilities Management"/>
    <n v="1"/>
    <n v="421600"/>
    <x v="68"/>
    <s v="000000"/>
    <s v="KUST- Sas Al Nakhl Campus"/>
    <n v="847020"/>
    <x v="1"/>
    <n v="200179"/>
    <s v="847.8470530.1.421600.000000.847020.200179"/>
    <n v="3499526.5"/>
    <n v="2601720"/>
    <n v="2601720"/>
    <s v="421600.Security service-Number of guard workers-count"/>
    <s v="count"/>
    <x v="1"/>
    <x v="302"/>
    <x v="663"/>
    <n v="2078580"/>
    <s v="KU Regular operations"/>
    <s v="Recurring"/>
    <n v="1870722"/>
    <n v="1662864"/>
    <n v="1455006"/>
    <s v="Service quality and performance "/>
    <s v="Service quality and performance "/>
    <s v="Service quality and performance "/>
    <n v="173215"/>
    <n v="173215"/>
    <n v="173215"/>
    <n v="173215"/>
    <n v="173215"/>
    <n v="173215"/>
    <n v="173215"/>
    <n v="173215"/>
    <n v="173215"/>
    <n v="173215"/>
    <n v="173215"/>
    <n v="173215"/>
    <n v="2078580"/>
    <s v="Realize a sustainable , healthy and safe campus environment for all community members"/>
    <m/>
  </r>
  <r>
    <n v="8470530"/>
    <s v="KUST - Facilities Management"/>
    <n v="1"/>
    <n v="421600"/>
    <x v="68"/>
    <s v="000000"/>
    <s v="KUST- Masdar city campus"/>
    <n v="847030"/>
    <x v="1"/>
    <n v="200179"/>
    <s v="847.8470530.1.421600.000000.847030.200179"/>
    <n v="843396.09"/>
    <n v="369219"/>
    <n v="369219"/>
    <s v="421600.Security service-Number of guard workers-count"/>
    <s v="count"/>
    <x v="1"/>
    <x v="303"/>
    <x v="664"/>
    <n v="398190"/>
    <s v="KU Regular operations"/>
    <s v="Recurring"/>
    <n v="358371"/>
    <n v="318552"/>
    <n v="278733"/>
    <s v="Service quality and performance "/>
    <s v="Service quality and performance "/>
    <s v="Service quality and performance "/>
    <n v="33182.5"/>
    <n v="33182.5"/>
    <n v="33182.5"/>
    <n v="33182.5"/>
    <n v="33182.5"/>
    <n v="33182.5"/>
    <n v="33182.5"/>
    <n v="33182.5"/>
    <n v="33182.5"/>
    <n v="33182.5"/>
    <n v="33182.5"/>
    <n v="33182.5"/>
    <n v="398190"/>
    <s v="Realize a sustainable , healthy and safe campus environment for all community members"/>
    <m/>
  </r>
  <r>
    <n v="8470530"/>
    <s v="KUST - Facilities Management"/>
    <n v="1"/>
    <n v="421700"/>
    <x v="89"/>
    <s v="000000"/>
    <s v="KUST - Main Campus"/>
    <n v="847010"/>
    <x v="1"/>
    <n v="200179"/>
    <s v="847.8470530.1.421700.000000.847010.200179"/>
    <m/>
    <m/>
    <m/>
    <s v="421700.Standards Certification Services (e.g. ISO)-professional services scope/deliverables-Number"/>
    <s v="Number"/>
    <x v="1"/>
    <x v="161"/>
    <x v="665"/>
    <n v="250000"/>
    <s v="KU Regular operations"/>
    <s v="Recurring"/>
    <n v="225000"/>
    <n v="200000"/>
    <n v="175000"/>
    <s v="Service quality and performance "/>
    <s v="Service quality and performance "/>
    <s v="Service quality and performance "/>
    <m/>
    <m/>
    <m/>
    <m/>
    <m/>
    <m/>
    <m/>
    <m/>
    <m/>
    <m/>
    <m/>
    <n v="250000"/>
    <n v="250000"/>
    <s v="Realize a sustainable , healthy and safe campus environment for all community members"/>
    <m/>
  </r>
  <r>
    <n v="8470530"/>
    <s v="KUST - Facilities Management"/>
    <n v="1"/>
    <n v="425510"/>
    <x v="23"/>
    <s v="000000"/>
    <s v="KUST - Main Campus"/>
    <n v="847010"/>
    <x v="1"/>
    <n v="200179"/>
    <s v="847.8470530.1.425510.000000.847010.200179"/>
    <n v="0"/>
    <n v="20000"/>
    <n v="20000"/>
    <s v="425510.Conferences, seminars and exhibitions and other events: - Local Events-Conferences-Number of Conferences"/>
    <s v="Number of Conferences"/>
    <x v="1"/>
    <x v="27"/>
    <x v="628"/>
    <n v="50000"/>
    <s v="KU Regular operations"/>
    <s v="Recurring"/>
    <n v="45000"/>
    <n v="40000"/>
    <n v="35000"/>
    <s v="Service quality and performance "/>
    <s v="Service quality and performance "/>
    <s v="Service quality and performance "/>
    <m/>
    <m/>
    <n v="25000"/>
    <m/>
    <m/>
    <m/>
    <m/>
    <m/>
    <m/>
    <m/>
    <n v="25000"/>
    <m/>
    <n v="50000"/>
    <s v="Realize a sustainable , healthy and safe campus environment for all community members"/>
    <m/>
  </r>
  <r>
    <n v="8470530"/>
    <s v="KUST - Facilities Management"/>
    <n v="1"/>
    <n v="425900"/>
    <x v="26"/>
    <s v="000000"/>
    <s v="KUST - Main Campus"/>
    <n v="847010"/>
    <x v="1"/>
    <n v="200179"/>
    <s v="847.8470530.1.425900.000000.847010.200179"/>
    <s v="-"/>
    <n v="30000"/>
    <n v="30000"/>
    <s v="425900.Entertainment and hospitality-1. No of events/workshops planned-count"/>
    <s v="count"/>
    <x v="1"/>
    <x v="63"/>
    <x v="629"/>
    <n v="40000"/>
    <s v="KU Regular operations"/>
    <s v="Recurring"/>
    <n v="36000"/>
    <n v="32000"/>
    <n v="28000"/>
    <s v="Service quality and performance "/>
    <s v="Service quality and performance "/>
    <s v="Service quality and performance "/>
    <m/>
    <m/>
    <m/>
    <m/>
    <n v="20000"/>
    <m/>
    <m/>
    <m/>
    <m/>
    <m/>
    <n v="20000"/>
    <m/>
    <n v="40000"/>
    <s v="Realize a sustainable , healthy and safe campus environment for all community members"/>
    <m/>
  </r>
  <r>
    <n v="8470530"/>
    <s v="KUST - Facilities Management"/>
    <n v="1"/>
    <n v="426220"/>
    <x v="70"/>
    <s v="000000"/>
    <s v="KUST - Main Campus"/>
    <n v="847010"/>
    <x v="1"/>
    <n v="200179"/>
    <s v="847.8470530.1.426220.000000.847010.200179"/>
    <n v="960436.74"/>
    <n v="960437"/>
    <n v="960437"/>
    <s v="426220.Insurance - Fire and allied perils-Number of Buildings-Number"/>
    <s v="Number"/>
    <x v="1"/>
    <x v="304"/>
    <x v="666"/>
    <n v="960437"/>
    <s v="KU Regular operations"/>
    <s v="Recurring"/>
    <n v="864393.3"/>
    <n v="768349.60000000009"/>
    <n v="672305.89999999991"/>
    <s v="Service quality and performance "/>
    <s v="Service quality and performance "/>
    <s v="Service quality and performance "/>
    <m/>
    <m/>
    <m/>
    <m/>
    <m/>
    <m/>
    <m/>
    <m/>
    <m/>
    <m/>
    <n v="960437"/>
    <m/>
    <n v="960437"/>
    <s v="Realize a sustainable , healthy and safe campus environment for all community members"/>
    <m/>
  </r>
  <r>
    <n v="8470530"/>
    <s v="KUST - Facilities Management"/>
    <n v="1"/>
    <n v="426220"/>
    <x v="70"/>
    <s v="000000"/>
    <s v="KUST- Masdar city campus"/>
    <n v="847030"/>
    <x v="1"/>
    <n v="200179"/>
    <s v="847.8470530.1.426220.000000.847030.200179"/>
    <n v="23713.63"/>
    <n v="23714"/>
    <n v="23714"/>
    <s v="426220.Insurance - Fire and allied perils-Number of Buildings-Number"/>
    <s v="Number"/>
    <x v="1"/>
    <x v="305"/>
    <x v="666"/>
    <n v="23714"/>
    <s v="KU Regular operations"/>
    <s v="Recurring"/>
    <n v="21342.600000000002"/>
    <n v="18971.2"/>
    <n v="16599.8"/>
    <s v="Service quality and performance "/>
    <s v="Service quality and performance "/>
    <s v="Service quality and performance "/>
    <m/>
    <m/>
    <m/>
    <m/>
    <m/>
    <m/>
    <m/>
    <m/>
    <m/>
    <m/>
    <n v="23714"/>
    <m/>
    <n v="23714"/>
    <s v="Realize a sustainable , healthy and safe campus environment for all community members"/>
    <m/>
  </r>
  <r>
    <n v="8470530"/>
    <s v="KUST - Facilities Management"/>
    <n v="1"/>
    <n v="426250"/>
    <x v="90"/>
    <s v="000000"/>
    <s v="KUST - Main Campus"/>
    <n v="847010"/>
    <x v="1"/>
    <n v="200179"/>
    <s v="847.8470530.1.426250.000000.847010.200179"/>
    <n v="4650.8100000000004"/>
    <n v="50000"/>
    <m/>
    <m/>
    <s v="-_"/>
    <x v="2"/>
    <x v="1"/>
    <x v="1"/>
    <n v="0"/>
    <m/>
    <m/>
    <n v="0"/>
    <n v="0"/>
    <n v="0"/>
    <s v="Service quality and performance "/>
    <s v="Service quality and performance "/>
    <s v="Service quality and performance "/>
    <m/>
    <m/>
    <m/>
    <m/>
    <m/>
    <m/>
    <m/>
    <m/>
    <m/>
    <m/>
    <m/>
    <m/>
    <n v="0"/>
    <s v="Realize a sustainable , healthy and safe campus environment for all community members"/>
    <m/>
  </r>
  <r>
    <n v="8470530"/>
    <s v="KUST - Facilities Management"/>
    <n v="1"/>
    <n v="428090"/>
    <x v="7"/>
    <s v="000000"/>
    <s v="KUST - General"/>
    <n v="847001"/>
    <x v="1"/>
    <n v="200179"/>
    <s v="847.8470530.1.428090.000000.847001.200179"/>
    <s v="-"/>
    <n v="50000"/>
    <n v="50000"/>
    <s v="428090.Business Travel - Combined expenses-Number of Staff-Number"/>
    <s v="Number"/>
    <x v="1"/>
    <x v="77"/>
    <x v="667"/>
    <n v="200000"/>
    <s v="KU Regular operations"/>
    <s v="Recurring"/>
    <n v="180000"/>
    <n v="160000"/>
    <n v="140000"/>
    <s v="Service quality and performance "/>
    <s v="Service quality and performance "/>
    <s v="Service quality and performance "/>
    <n v="50000"/>
    <m/>
    <n v="50000"/>
    <m/>
    <n v="50000"/>
    <m/>
    <n v="50000"/>
    <m/>
    <m/>
    <m/>
    <m/>
    <m/>
    <n v="200000"/>
    <s v="Realize a sustainable , healthy and safe campus environment for all community members"/>
    <m/>
  </r>
  <r>
    <n v="8470530"/>
    <s v="KUST - Facilities Management"/>
    <n v="1"/>
    <n v="432120"/>
    <x v="73"/>
    <s v="000000"/>
    <s v="KUST - Main Campus"/>
    <n v="847010"/>
    <x v="1"/>
    <n v="200179"/>
    <s v="847.8470530.1.432120.000000.847010.200179"/>
    <m/>
    <m/>
    <m/>
    <s v="432120.Bldg maintenance-Business premises-The area of minor maintenance (contract) Main Campus-2m"/>
    <s v="2m"/>
    <x v="1"/>
    <x v="306"/>
    <x v="668"/>
    <n v="13077621"/>
    <s v="KU Regular operations"/>
    <s v="Recurring"/>
    <n v="11769858.9"/>
    <n v="10462096.800000001"/>
    <n v="9154334.6999999993"/>
    <s v="Service quality and performance "/>
    <s v="Service quality and performance "/>
    <s v="Service quality and performance "/>
    <n v="1089801.75"/>
    <n v="1089801.75"/>
    <n v="1089801.75"/>
    <n v="1089801.75"/>
    <n v="1089801.75"/>
    <n v="1089801.75"/>
    <n v="1089801.75"/>
    <n v="1089801.75"/>
    <n v="1089801.75"/>
    <n v="1089801.75"/>
    <n v="1089801.75"/>
    <n v="1089801.75"/>
    <n v="13077621"/>
    <s v="Realize a sustainable , healthy and safe campus environment for all community members"/>
    <m/>
  </r>
  <r>
    <n v="8470530"/>
    <s v="KUST - Facilities Management"/>
    <n v="1"/>
    <n v="432120"/>
    <x v="73"/>
    <s v="000000"/>
    <s v="KUST - Main Campus"/>
    <n v="847010"/>
    <x v="1"/>
    <n v="200179"/>
    <s v="847.8470530.1.432120.000000.847010.200179"/>
    <m/>
    <m/>
    <m/>
    <s v="432120.Bldg maintenance-Business premises-The area of minor maintenance (contract) Main Campus-2m"/>
    <s v="2m"/>
    <x v="1"/>
    <x v="170"/>
    <x v="669"/>
    <n v="1000000"/>
    <s v="KU Regular operations"/>
    <s v="Recurring"/>
    <n v="900000"/>
    <n v="800000"/>
    <n v="700000"/>
    <s v="Service quality and performance "/>
    <s v="Service quality and performance "/>
    <s v="Service quality and performance "/>
    <n v="83333.333400000003"/>
    <n v="83333.333400000003"/>
    <n v="83333.333400000003"/>
    <n v="83333.333400000003"/>
    <n v="83333.333400000003"/>
    <n v="83333.333400000003"/>
    <n v="83333.333400000003"/>
    <n v="83333.333400000003"/>
    <n v="83333.333400000003"/>
    <n v="83333.333400000003"/>
    <n v="83333.333400000003"/>
    <n v="83333.333400000003"/>
    <n v="1000000"/>
    <s v="Realize a sustainable , healthy and safe campus environment for all community members"/>
    <m/>
  </r>
  <r>
    <n v="8470530"/>
    <s v="KUST - Facilities Management"/>
    <n v="1"/>
    <n v="432120"/>
    <x v="73"/>
    <s v="000000"/>
    <s v="KUST - Main Campus"/>
    <n v="847010"/>
    <x v="1"/>
    <n v="200179"/>
    <s v="847.8470530.1.432120.000000.847010.200179"/>
    <m/>
    <m/>
    <m/>
    <s v="432120.Bldg maintenance-Business premises-The area of minor maintenance (contract) Main Campus-2m"/>
    <s v="2m"/>
    <x v="1"/>
    <x v="307"/>
    <x v="670"/>
    <n v="43500"/>
    <s v="KU Regular operations"/>
    <s v="Recurring"/>
    <n v="39150"/>
    <n v="34800"/>
    <n v="30449.999999999996"/>
    <s v="Service quality and performance "/>
    <s v="Service quality and performance "/>
    <s v="Service quality and performance "/>
    <m/>
    <m/>
    <n v="43500"/>
    <m/>
    <m/>
    <m/>
    <m/>
    <m/>
    <m/>
    <m/>
    <m/>
    <m/>
    <n v="43500"/>
    <s v="Realize a sustainable , healthy and safe campus environment for all community members"/>
    <m/>
  </r>
  <r>
    <n v="8470530"/>
    <s v="KUST - Facilities Management"/>
    <n v="1"/>
    <n v="432120"/>
    <x v="73"/>
    <s v="000000"/>
    <s v="KUST - Main Campus"/>
    <n v="847010"/>
    <x v="1"/>
    <n v="200179"/>
    <s v="847.8470530.1.432120.000000.847010.200179"/>
    <m/>
    <m/>
    <m/>
    <s v="432120.Bldg maintenance-Business premises-The area of major maintenance HQ-2m"/>
    <s v="2m"/>
    <x v="1"/>
    <x v="87"/>
    <x v="671"/>
    <n v="60000"/>
    <s v="KU Regular operations"/>
    <s v="Recurring"/>
    <n v="54000"/>
    <n v="48000"/>
    <n v="42000"/>
    <s v="Service quality and performance "/>
    <s v="Service quality and performance "/>
    <s v="Service quality and performance "/>
    <m/>
    <m/>
    <n v="60000"/>
    <m/>
    <m/>
    <m/>
    <m/>
    <m/>
    <m/>
    <m/>
    <m/>
    <m/>
    <n v="60000"/>
    <s v="Realize a sustainable , healthy and safe campus environment for all community members"/>
    <m/>
  </r>
  <r>
    <n v="8470530"/>
    <s v="KUST - Facilities Management"/>
    <n v="1"/>
    <n v="432120"/>
    <x v="73"/>
    <s v="000000"/>
    <s v="KUST - Main Campus"/>
    <n v="847010"/>
    <x v="1"/>
    <n v="200179"/>
    <s v="847.8470530.1.432120.000000.847010.200179"/>
    <n v="424725.24"/>
    <n v="11446037"/>
    <n v="11446037"/>
    <s v="432120.Bldg maintenance-Business premises-The area of minor maintenance (contract) Main Campus-2m"/>
    <s v="2m"/>
    <x v="1"/>
    <x v="31"/>
    <x v="672"/>
    <n v="20000"/>
    <s v="KU Regular operations"/>
    <s v="Recurring"/>
    <n v="18000"/>
    <n v="16000"/>
    <n v="14000"/>
    <s v="Service quality and performance "/>
    <s v="Service quality and performance "/>
    <s v="Service quality and performance "/>
    <m/>
    <m/>
    <n v="20000"/>
    <m/>
    <m/>
    <m/>
    <m/>
    <m/>
    <m/>
    <m/>
    <m/>
    <m/>
    <n v="20000"/>
    <s v="Realize a sustainable , healthy and safe campus environment for all community members"/>
    <m/>
  </r>
  <r>
    <n v="8470530"/>
    <s v="KUST - Facilities Management"/>
    <n v="1"/>
    <n v="432120"/>
    <x v="73"/>
    <s v="000000"/>
    <s v="KUST - Main Campus"/>
    <n v="847010"/>
    <x v="1"/>
    <n v="200179"/>
    <s v="847.8470530.1.432120.000000.847010.200179"/>
    <m/>
    <m/>
    <m/>
    <s v="432120.Bldg maintenance-Business premises-The area of minor maintenance (contract) Main Campus-2m"/>
    <s v="2m"/>
    <x v="1"/>
    <x v="308"/>
    <x v="673"/>
    <n v="121000"/>
    <s v="KU Regular operations"/>
    <s v="Recurring"/>
    <n v="108900"/>
    <n v="96800"/>
    <n v="84700"/>
    <s v="Service quality and performance "/>
    <s v="Service quality and performance "/>
    <s v="Service quality and performance "/>
    <m/>
    <m/>
    <n v="121000"/>
    <m/>
    <m/>
    <m/>
    <m/>
    <m/>
    <m/>
    <m/>
    <m/>
    <m/>
    <n v="121000"/>
    <s v="Realize a sustainable , healthy and safe campus environment for all community members"/>
    <m/>
  </r>
  <r>
    <n v="8470530"/>
    <s v="KUST - Facilities Management"/>
    <n v="1"/>
    <n v="432120"/>
    <x v="73"/>
    <s v="000000"/>
    <s v="KUST - Main Campus"/>
    <n v="847010"/>
    <x v="1"/>
    <n v="200179"/>
    <s v="847.8470530.1.432120.000000.847010.200179"/>
    <m/>
    <m/>
    <m/>
    <s v="432120.Bldg maintenance-Business premises-The area of minor maintenance (contract) Main Campus-2m"/>
    <s v="2m"/>
    <x v="1"/>
    <x v="124"/>
    <x v="674"/>
    <n v="80000"/>
    <s v="KU Regular operations"/>
    <s v="Recurring"/>
    <n v="72000"/>
    <n v="64000"/>
    <n v="56000"/>
    <s v="Service quality and performance "/>
    <s v="Service quality and performance "/>
    <s v="Service quality and performance "/>
    <m/>
    <m/>
    <n v="80000"/>
    <m/>
    <m/>
    <m/>
    <m/>
    <m/>
    <m/>
    <m/>
    <m/>
    <m/>
    <n v="80000"/>
    <s v="Realize a sustainable , healthy and safe campus environment for all community members"/>
    <m/>
  </r>
  <r>
    <n v="8470530"/>
    <s v="KUST - Facilities Management"/>
    <n v="1"/>
    <n v="432120"/>
    <x v="73"/>
    <s v="000000"/>
    <s v="KUST - Main Campus"/>
    <n v="847010"/>
    <x v="1"/>
    <n v="200179"/>
    <s v="847.8470530.1.432120.000000.847010.200179"/>
    <m/>
    <m/>
    <m/>
    <s v="432120.Bldg maintenance-Business premises-The area of minor maintenance (contract) Main Campus-2m"/>
    <s v="2m"/>
    <x v="1"/>
    <x v="111"/>
    <x v="675"/>
    <n v="120000"/>
    <s v="KU Regular operations"/>
    <s v="Recurring"/>
    <n v="108000"/>
    <n v="96000"/>
    <n v="84000"/>
    <s v="Service quality and performance "/>
    <s v="Service quality and performance "/>
    <s v="Service quality and performance "/>
    <m/>
    <m/>
    <n v="120000"/>
    <m/>
    <m/>
    <m/>
    <m/>
    <m/>
    <m/>
    <m/>
    <m/>
    <m/>
    <n v="120000"/>
    <s v="Realize a sustainable , healthy and safe campus environment for all community members"/>
    <m/>
  </r>
  <r>
    <n v="8470530"/>
    <s v="KUST - Facilities Management"/>
    <n v="1"/>
    <n v="432120"/>
    <x v="73"/>
    <s v="000000"/>
    <s v="KUST - Main Campus"/>
    <n v="847010"/>
    <x v="1"/>
    <n v="200179"/>
    <s v="847.8470530.1.432120.000000.847010.200179"/>
    <m/>
    <m/>
    <m/>
    <s v="432120.Bldg maintenance-Business premises-The area of minor maintenance (contract) Main Campus-2m"/>
    <s v="2m"/>
    <x v="1"/>
    <x v="309"/>
    <x v="676"/>
    <n v="130000"/>
    <s v="KU Regular operations"/>
    <s v="Recurring"/>
    <n v="117000"/>
    <n v="104000"/>
    <n v="91000"/>
    <s v="Service quality and performance "/>
    <s v="Service quality and performance "/>
    <s v="Service quality and performance "/>
    <m/>
    <m/>
    <n v="130000"/>
    <m/>
    <m/>
    <m/>
    <m/>
    <m/>
    <m/>
    <m/>
    <m/>
    <m/>
    <n v="130000"/>
    <s v="Realize a sustainable , healthy and safe campus environment for all community members"/>
    <m/>
  </r>
  <r>
    <n v="8470530"/>
    <s v="KUST - Facilities Management"/>
    <n v="1"/>
    <n v="432120"/>
    <x v="73"/>
    <s v="000000"/>
    <s v="Student Related Costs"/>
    <n v="847015"/>
    <x v="1"/>
    <n v="200179"/>
    <s v="847.8470530.1.432120.000000.847015.200179"/>
    <n v="5040562.12"/>
    <n v="5071140"/>
    <n v="5071140"/>
    <s v="432120.Bldg maintenance-Business premises-The area of minor maintenance (contract) Main Campus-2m"/>
    <s v="2m"/>
    <x v="1"/>
    <x v="310"/>
    <x v="668"/>
    <n v="8438550"/>
    <s v="KU Regular operations"/>
    <s v="Recurring"/>
    <n v="7594695"/>
    <n v="6750840"/>
    <n v="5906985"/>
    <s v="Service quality and performance "/>
    <s v="Service quality and performance "/>
    <s v="Service quality and performance "/>
    <n v="703212.5"/>
    <n v="703212.5"/>
    <n v="703212.5"/>
    <n v="703212.5"/>
    <n v="703212.5"/>
    <n v="703212.5"/>
    <n v="703212.5"/>
    <n v="703212.5"/>
    <n v="703212.5"/>
    <n v="703212.5"/>
    <n v="703212.5"/>
    <n v="703212.5"/>
    <n v="8438550"/>
    <s v="Realize a sustainable , healthy and safe campus environment for all community members"/>
    <m/>
  </r>
  <r>
    <n v="8470530"/>
    <s v="KUST - Facilities Management"/>
    <n v="1"/>
    <n v="432120"/>
    <x v="73"/>
    <s v="000000"/>
    <s v="Student Related Costs"/>
    <n v="847015"/>
    <x v="1"/>
    <n v="200179"/>
    <s v="847.8470530.1.432120.000000.847015.200179"/>
    <m/>
    <m/>
    <m/>
    <s v="432120.Bldg maintenance-Business premises-The area of major maintenance HQ-2m"/>
    <s v="2m"/>
    <x v="1"/>
    <x v="311"/>
    <x v="670"/>
    <n v="98000"/>
    <s v="KU Regular operations"/>
    <s v="Recurring"/>
    <n v="88200"/>
    <n v="78400"/>
    <n v="68600"/>
    <s v="Service quality and performance "/>
    <s v="Service quality and performance "/>
    <s v="Service quality and performance "/>
    <m/>
    <m/>
    <n v="98000"/>
    <m/>
    <m/>
    <m/>
    <m/>
    <m/>
    <m/>
    <m/>
    <m/>
    <m/>
    <n v="98000"/>
    <s v="Realize a sustainable , healthy and safe campus environment for all community members"/>
    <m/>
  </r>
  <r>
    <n v="8470530"/>
    <s v="KUST - Facilities Management"/>
    <n v="1"/>
    <n v="432120"/>
    <x v="73"/>
    <s v="000000"/>
    <s v="Student Related Costs"/>
    <n v="847015"/>
    <x v="1"/>
    <n v="200179"/>
    <s v="847.8470530.1.432120.000000.847015.200179"/>
    <m/>
    <m/>
    <m/>
    <s v="432120.Bldg maintenance-Business premises-The area of minor maintenance (contract) Main Campus-2m"/>
    <s v="2m"/>
    <x v="1"/>
    <x v="138"/>
    <x v="669"/>
    <n v="500000"/>
    <s v="KU Regular operations"/>
    <s v="Recurring"/>
    <n v="450000"/>
    <n v="400000"/>
    <n v="350000"/>
    <s v="Service quality and performance "/>
    <s v="Service quality and performance "/>
    <s v="Service quality and performance "/>
    <n v="41666.666700000002"/>
    <n v="41666.666700000002"/>
    <n v="41666.666700000002"/>
    <n v="41666.666700000002"/>
    <n v="41666.666700000002"/>
    <n v="41666.666700000002"/>
    <n v="41666.666700000002"/>
    <n v="41666.666700000002"/>
    <n v="41666.666700000002"/>
    <n v="41666.666700000002"/>
    <n v="41666.666700000002"/>
    <n v="41666.666700000002"/>
    <n v="500000"/>
    <s v="Realize a sustainable , healthy and safe campus environment for all community members"/>
    <m/>
  </r>
  <r>
    <n v="8470530"/>
    <s v="KUST - Facilities Management"/>
    <n v="1"/>
    <n v="432120"/>
    <x v="73"/>
    <s v="000000"/>
    <s v="KUST- Sas Al Nakhl Campus"/>
    <n v="847020"/>
    <x v="1"/>
    <n v="200179"/>
    <s v="847.8470530.1.432120.000000.847020.200179"/>
    <m/>
    <m/>
    <m/>
    <s v="432120.Bldg maintenance-Business premises-The area of major maintenance HQ-2m"/>
    <s v="2m"/>
    <x v="1"/>
    <x v="312"/>
    <x v="668"/>
    <n v="6954646"/>
    <s v="KU Regular operations"/>
    <s v="Recurring"/>
    <n v="6259181.4000000004"/>
    <n v="5563716.8000000007"/>
    <n v="4868252.1999999993"/>
    <s v="Service quality and performance "/>
    <s v="Service quality and performance "/>
    <s v="Service quality and performance "/>
    <n v="579553.83330000006"/>
    <n v="579553.83330000006"/>
    <n v="579553.83330000006"/>
    <n v="579553.83330000006"/>
    <n v="579553.83330000006"/>
    <n v="579553.83330000006"/>
    <n v="579553.83330000006"/>
    <n v="579553.83330000006"/>
    <n v="579553.83330000006"/>
    <n v="579553.83330000006"/>
    <n v="579553.83330000006"/>
    <n v="579553.83330000006"/>
    <n v="6954646"/>
    <s v="Realize a sustainable , healthy and safe campus environment for all community members"/>
    <m/>
  </r>
  <r>
    <n v="8470530"/>
    <s v="KUST - Facilities Management"/>
    <n v="1"/>
    <n v="432120"/>
    <x v="73"/>
    <s v="000000"/>
    <s v="KUST- Sas Al Nakhl Campus"/>
    <n v="847020"/>
    <x v="1"/>
    <n v="200179"/>
    <s v="847.8470530.1.432120.000000.847020.200179"/>
    <m/>
    <m/>
    <m/>
    <s v="432120.Bldg maintenance-Business premises-The area of major maintenance HQ-2m"/>
    <s v="2m"/>
    <x v="1"/>
    <x v="138"/>
    <x v="669"/>
    <n v="500000"/>
    <s v="KU Regular operations"/>
    <s v="Recurring"/>
    <n v="450000"/>
    <n v="400000"/>
    <n v="350000"/>
    <s v="Service quality and performance "/>
    <s v="Service quality and performance "/>
    <s v="Service quality and performance "/>
    <n v="41666.666700000002"/>
    <n v="41666.666700000002"/>
    <n v="41666.666700000002"/>
    <n v="41666.666700000002"/>
    <n v="41666.666700000002"/>
    <n v="41666.666700000002"/>
    <n v="41666.666700000002"/>
    <n v="41666.666700000002"/>
    <n v="41666.666700000002"/>
    <n v="41666.666700000002"/>
    <n v="41666.666700000002"/>
    <n v="41666.666700000002"/>
    <n v="500000"/>
    <s v="Realize a sustainable , healthy and safe campus environment for all community members"/>
    <m/>
  </r>
  <r>
    <n v="8470530"/>
    <s v="KUST - Facilities Management"/>
    <n v="1"/>
    <n v="432120"/>
    <x v="73"/>
    <s v="000000"/>
    <s v="KUST- Sas Al Nakhl Campus"/>
    <n v="847020"/>
    <x v="1"/>
    <n v="200179"/>
    <s v="847.8470530.1.432120.000000.847020.200179"/>
    <m/>
    <m/>
    <m/>
    <s v="432120.Bldg maintenance-Business premises-The area of major maintenance HQ-2m"/>
    <s v="2m"/>
    <x v="1"/>
    <x v="313"/>
    <x v="670"/>
    <n v="29000"/>
    <s v="KU Regular operations"/>
    <s v="Recurring"/>
    <n v="26100"/>
    <n v="23200"/>
    <n v="20300"/>
    <s v="Service quality and performance "/>
    <s v="Service quality and performance "/>
    <s v="Service quality and performance "/>
    <m/>
    <m/>
    <n v="29000"/>
    <m/>
    <m/>
    <m/>
    <m/>
    <m/>
    <m/>
    <m/>
    <m/>
    <m/>
    <n v="29000"/>
    <s v="Realize a sustainable , healthy and safe campus environment for all community members"/>
    <m/>
  </r>
  <r>
    <n v="8470530"/>
    <s v="KUST - Facilities Management"/>
    <n v="1"/>
    <n v="432120"/>
    <x v="73"/>
    <s v="000000"/>
    <s v="KUST- Sas Al Nakhl Campus"/>
    <n v="847020"/>
    <x v="1"/>
    <n v="200179"/>
    <s v="847.8470530.1.432120.000000.847020.200179"/>
    <n v="493435.92"/>
    <n v="5446416"/>
    <n v="5446416"/>
    <s v="432120.Bldg maintenance-Business premises-The area of major maintenance HQ-2m"/>
    <s v="2m"/>
    <x v="1"/>
    <x v="33"/>
    <x v="677"/>
    <n v="14000"/>
    <s v="KU Regular operations"/>
    <s v="Recurring"/>
    <n v="12600"/>
    <n v="11200"/>
    <n v="9800"/>
    <s v="Service quality and performance "/>
    <s v="Service quality and performance "/>
    <s v="Service quality and performance "/>
    <m/>
    <m/>
    <n v="14000"/>
    <m/>
    <m/>
    <m/>
    <m/>
    <m/>
    <m/>
    <m/>
    <m/>
    <m/>
    <n v="14000"/>
    <s v="Realize a sustainable , healthy and safe campus environment for all community members"/>
    <m/>
  </r>
  <r>
    <n v="8470530"/>
    <s v="KUST - Facilities Management"/>
    <n v="1"/>
    <n v="432120"/>
    <x v="73"/>
    <s v="000000"/>
    <s v="KUST- Sas Al Nakhl Campus"/>
    <n v="847020"/>
    <x v="1"/>
    <n v="200179"/>
    <s v="847.8470530.1.432120.000000.847020.200179"/>
    <m/>
    <m/>
    <m/>
    <s v="432120.Bldg maintenance-Business premises-The area of major maintenance HQ-2m"/>
    <s v="2m"/>
    <x v="1"/>
    <x v="33"/>
    <x v="678"/>
    <n v="14000"/>
    <s v="KU Regular operations"/>
    <s v="Recurring"/>
    <n v="12600"/>
    <n v="11200"/>
    <n v="9800"/>
    <s v="Service quality and performance "/>
    <s v="Service quality and performance "/>
    <s v="Service quality and performance "/>
    <m/>
    <m/>
    <n v="14000"/>
    <m/>
    <m/>
    <m/>
    <m/>
    <m/>
    <m/>
    <m/>
    <m/>
    <m/>
    <n v="14000"/>
    <s v="Realize a sustainable , healthy and safe campus environment for all community members"/>
    <m/>
  </r>
  <r>
    <n v="8470530"/>
    <s v="KUST - Facilities Management"/>
    <n v="1"/>
    <n v="432120"/>
    <x v="73"/>
    <s v="000000"/>
    <s v="KUST- Sas Al Nakhl Campus"/>
    <n v="847020"/>
    <x v="1"/>
    <n v="200179"/>
    <s v="847.8470530.1.432120.000000.847020.200179"/>
    <m/>
    <m/>
    <m/>
    <s v="432120.Bldg maintenance-Business premises-The area of major maintenance HQ-2m"/>
    <s v="2m"/>
    <x v="1"/>
    <x v="314"/>
    <x v="679"/>
    <n v="350000"/>
    <s v="KU Regular operations"/>
    <s v="Recurring"/>
    <n v="315000"/>
    <n v="280000"/>
    <n v="244999.99999999997"/>
    <s v="Service quality and performance "/>
    <s v="Service quality and performance "/>
    <s v="Service quality and performance "/>
    <m/>
    <m/>
    <n v="350000"/>
    <m/>
    <m/>
    <m/>
    <m/>
    <m/>
    <m/>
    <m/>
    <m/>
    <m/>
    <n v="350000"/>
    <s v="Realize a sustainable , healthy and safe campus environment for all community members"/>
    <m/>
  </r>
  <r>
    <n v="8470530"/>
    <s v="KUST - Facilities Management"/>
    <n v="1"/>
    <n v="432120"/>
    <x v="73"/>
    <s v="000000"/>
    <s v="KUST- Sas Al Nakhl Campus"/>
    <n v="847020"/>
    <x v="1"/>
    <n v="200179"/>
    <s v="847.8470530.1.432120.000000.847020.200179"/>
    <m/>
    <m/>
    <m/>
    <s v="432120.Bldg maintenance-Business premises-The area of major maintenance HQ-2m"/>
    <s v="2m"/>
    <x v="1"/>
    <x v="315"/>
    <x v="680"/>
    <n v="460000"/>
    <s v="KU Regular operations"/>
    <s v="Recurring"/>
    <n v="414000"/>
    <n v="368000"/>
    <n v="322000"/>
    <s v="Service quality and performance "/>
    <s v="Service quality and performance "/>
    <s v="Service quality and performance "/>
    <m/>
    <m/>
    <n v="460000"/>
    <m/>
    <m/>
    <m/>
    <m/>
    <m/>
    <m/>
    <m/>
    <m/>
    <m/>
    <n v="460000"/>
    <s v="Realize a sustainable , healthy and safe campus environment for all community members"/>
    <m/>
  </r>
  <r>
    <n v="8470530"/>
    <s v="KUST - Facilities Management"/>
    <n v="1"/>
    <n v="432120"/>
    <x v="73"/>
    <s v="000000"/>
    <s v="KUST- Sas Al Nakhl Campus"/>
    <n v="847020"/>
    <x v="1"/>
    <n v="200179"/>
    <s v="847.8470530.1.432120.000000.847020.200179"/>
    <m/>
    <m/>
    <m/>
    <s v="432120.Bldg maintenance-Business premises-The area of major maintenance HQ-2m"/>
    <s v="2m"/>
    <x v="1"/>
    <x v="123"/>
    <x v="681"/>
    <n v="230000"/>
    <s v="KU Regular operations"/>
    <s v="Recurring"/>
    <n v="207000"/>
    <n v="184000"/>
    <n v="161000"/>
    <s v="Service quality and performance "/>
    <s v="Service quality and performance "/>
    <s v="Service quality and performance "/>
    <m/>
    <m/>
    <n v="230000"/>
    <m/>
    <m/>
    <m/>
    <m/>
    <m/>
    <m/>
    <m/>
    <m/>
    <m/>
    <n v="230000"/>
    <s v="Realize a sustainable , healthy and safe campus environment for all community members"/>
    <m/>
  </r>
  <r>
    <n v="8470530"/>
    <s v="KUST - Facilities Management"/>
    <n v="1"/>
    <n v="432120"/>
    <x v="73"/>
    <s v="000000"/>
    <s v="KUST- Sas Al Nakhl Campus"/>
    <n v="847020"/>
    <x v="1"/>
    <n v="200179"/>
    <s v="847.8470530.1.432120.000000.847020.200179"/>
    <m/>
    <m/>
    <m/>
    <s v="432120.Bldg maintenance-Business premises-The area of major maintenance HQ-2m"/>
    <s v="2m"/>
    <x v="1"/>
    <x v="183"/>
    <x v="682"/>
    <n v="100000"/>
    <s v="KU Regular operations"/>
    <s v="Recurring"/>
    <n v="90000"/>
    <n v="80000"/>
    <n v="70000"/>
    <s v="Service quality and performance "/>
    <s v="Service quality and performance "/>
    <s v="Service quality and performance "/>
    <m/>
    <m/>
    <n v="100000"/>
    <m/>
    <m/>
    <m/>
    <m/>
    <m/>
    <m/>
    <m/>
    <m/>
    <m/>
    <n v="100000"/>
    <s v="Realize a sustainable , healthy and safe campus environment for all community members"/>
    <m/>
  </r>
  <r>
    <n v="8470530"/>
    <s v="KUST - Facilities Management"/>
    <n v="1"/>
    <n v="432120"/>
    <x v="73"/>
    <s v="000000"/>
    <s v="KUST- Sas Al Nakhl Campus"/>
    <n v="847020"/>
    <x v="1"/>
    <n v="200179"/>
    <s v="847.8470530.1.432120.000000.847020.200179"/>
    <m/>
    <m/>
    <m/>
    <s v="432120.Bldg maintenance-Business premises-The area of major maintenance HQ-2m"/>
    <s v="2m"/>
    <x v="1"/>
    <x v="59"/>
    <x v="683"/>
    <n v="150000"/>
    <s v="KU Regular operations"/>
    <s v="Recurring"/>
    <n v="135000"/>
    <n v="120000"/>
    <n v="105000"/>
    <s v="Service quality and performance "/>
    <s v="Service quality and performance "/>
    <s v="Service quality and performance "/>
    <m/>
    <m/>
    <n v="150000"/>
    <m/>
    <m/>
    <m/>
    <m/>
    <m/>
    <m/>
    <m/>
    <m/>
    <m/>
    <n v="150000"/>
    <s v="Realize a sustainable , healthy and safe campus environment for all community members"/>
    <m/>
  </r>
  <r>
    <n v="8470530"/>
    <s v="KUST - Facilities Management"/>
    <n v="1"/>
    <n v="432120"/>
    <x v="73"/>
    <s v="000000"/>
    <s v="KUST- Masdar city campus"/>
    <n v="847030"/>
    <x v="1"/>
    <n v="200179"/>
    <s v="847.8470530.1.432120.000000.847030.200179"/>
    <m/>
    <m/>
    <m/>
    <s v="432120.Bldg maintenance-Business premises-The area of major maintenance HQ-2m"/>
    <s v="2m"/>
    <x v="1"/>
    <x v="152"/>
    <x v="684"/>
    <n v="600000"/>
    <s v="KU Regular operations"/>
    <s v="Recurring"/>
    <n v="540000"/>
    <n v="480000"/>
    <n v="420000"/>
    <s v="Service quality and performance "/>
    <s v="Service quality and performance "/>
    <s v="Service quality and performance "/>
    <n v="50000"/>
    <n v="50000"/>
    <n v="50000"/>
    <n v="50000"/>
    <n v="50000"/>
    <n v="50000"/>
    <n v="50000"/>
    <n v="50000"/>
    <n v="50000"/>
    <n v="50000"/>
    <n v="50000"/>
    <n v="50000"/>
    <n v="600000"/>
    <s v="Realize a sustainable , healthy and safe campus environment for all community members"/>
    <m/>
  </r>
  <r>
    <n v="8470530"/>
    <s v="KUST - Facilities Management"/>
    <n v="1"/>
    <n v="432120"/>
    <x v="73"/>
    <s v="000000"/>
    <s v="KUST- Masdar city campus"/>
    <n v="847030"/>
    <x v="1"/>
    <n v="200179"/>
    <s v="847.8470530.1.432120.000000.847030.200179"/>
    <m/>
    <m/>
    <m/>
    <s v="432120.Bldg maintenance-Business premises-The area of major maintenance HQ-2m"/>
    <s v="2m"/>
    <x v="1"/>
    <x v="316"/>
    <x v="685"/>
    <n v="315252"/>
    <s v="KU Regular operations"/>
    <s v="Recurring"/>
    <n v="283726.8"/>
    <n v="252201.60000000001"/>
    <n v="220676.4"/>
    <s v="Service quality and performance "/>
    <s v="Service quality and performance "/>
    <s v="Service quality and performance "/>
    <m/>
    <m/>
    <m/>
    <m/>
    <n v="315252"/>
    <m/>
    <m/>
    <m/>
    <m/>
    <m/>
    <m/>
    <m/>
    <n v="315252"/>
    <s v="Realize a sustainable , healthy and safe campus environment for all community members"/>
    <m/>
  </r>
  <r>
    <n v="8470530"/>
    <s v="KUST - Facilities Management"/>
    <n v="1"/>
    <n v="432120"/>
    <x v="73"/>
    <s v="000000"/>
    <s v="KUST- Masdar city campus"/>
    <n v="847030"/>
    <x v="1"/>
    <n v="200179"/>
    <s v="847.8470530.1.432120.000000.847030.200179"/>
    <m/>
    <m/>
    <m/>
    <s v="432120.Bldg maintenance-Business premises-The area of major maintenance HQ-2m"/>
    <s v="2m"/>
    <x v="1"/>
    <x v="183"/>
    <x v="686"/>
    <n v="100000"/>
    <s v="KU Regular operations"/>
    <s v="Recurring"/>
    <n v="90000"/>
    <n v="80000"/>
    <n v="70000"/>
    <s v="Service quality and performance "/>
    <s v="Service quality and performance "/>
    <s v="Service quality and performance "/>
    <n v="25000"/>
    <m/>
    <n v="25000"/>
    <m/>
    <n v="25000"/>
    <m/>
    <m/>
    <n v="25000"/>
    <m/>
    <m/>
    <m/>
    <m/>
    <n v="100000"/>
    <s v="Realize a sustainable , healthy and safe campus environment for all community members"/>
    <m/>
  </r>
  <r>
    <n v="8470530"/>
    <s v="KUST - Facilities Management"/>
    <n v="1"/>
    <n v="432120"/>
    <x v="73"/>
    <s v="000000"/>
    <s v="KUST- Masdar city campus"/>
    <n v="847030"/>
    <x v="1"/>
    <n v="200179"/>
    <s v="847.8470530.1.432120.000000.847030.200179"/>
    <m/>
    <m/>
    <m/>
    <s v="432120.Bldg maintenance-Business premises-The area of major maintenance HQ-2m"/>
    <s v="2m"/>
    <x v="1"/>
    <x v="126"/>
    <x v="687"/>
    <n v="240000"/>
    <s v="KU Regular operations"/>
    <s v="Recurring"/>
    <n v="216000"/>
    <n v="192000"/>
    <n v="168000"/>
    <s v="Service quality and performance "/>
    <s v="Service quality and performance "/>
    <s v="Service quality and performance "/>
    <n v="20000"/>
    <n v="20000"/>
    <n v="2000"/>
    <n v="20000"/>
    <n v="20000"/>
    <n v="20000"/>
    <n v="20000"/>
    <n v="20000"/>
    <n v="20000"/>
    <n v="20000"/>
    <n v="20000"/>
    <n v="20000"/>
    <n v="240000"/>
    <s v="Realize a sustainable , healthy and safe campus environment for all community members"/>
    <m/>
  </r>
  <r>
    <n v="8470530"/>
    <s v="KUST - Facilities Management"/>
    <n v="1"/>
    <n v="432120"/>
    <x v="73"/>
    <s v="000000"/>
    <s v="KUST- Masdar city campus"/>
    <n v="847030"/>
    <x v="1"/>
    <n v="200179"/>
    <s v="847.8470530.1.432120.000000.847030.200179"/>
    <n v="2914112.1"/>
    <n v="1207678"/>
    <n v="1207678"/>
    <s v="432120.Bldg maintenance-Business premises-The area of major maintenance HQ-2m"/>
    <s v="2m"/>
    <x v="1"/>
    <x v="317"/>
    <x v="688"/>
    <n v="480000"/>
    <s v="KU Regular operations"/>
    <s v="Recurring"/>
    <n v="432000"/>
    <n v="384000"/>
    <n v="336000"/>
    <s v="Service quality and performance "/>
    <s v="Service quality and performance "/>
    <s v="Service quality and performance "/>
    <m/>
    <m/>
    <m/>
    <n v="40000"/>
    <n v="40000"/>
    <n v="40000"/>
    <n v="40000"/>
    <n v="40000"/>
    <n v="40000"/>
    <n v="40000"/>
    <n v="40000"/>
    <n v="40000"/>
    <n v="480000"/>
    <s v="Realize a sustainable , healthy and safe campus environment for all community members"/>
    <m/>
  </r>
  <r>
    <n v="8470530"/>
    <s v="KUST - Facilities Management"/>
    <n v="1"/>
    <n v="432170"/>
    <x v="77"/>
    <s v="000000"/>
    <s v="KUST - Main Campus"/>
    <n v="847010"/>
    <x v="1"/>
    <n v="200179"/>
    <s v="847.8470530.1.432170.000000.847010.200179"/>
    <n v="27198"/>
    <n v="30000"/>
    <n v="20000"/>
    <s v="432170.Bldg decoration &amp; miNumberr improvements-Number of Buildings-Number"/>
    <s v="Number"/>
    <x v="1"/>
    <x v="42"/>
    <x v="689"/>
    <n v="30000"/>
    <s v="KU Regular operations"/>
    <s v="Recurring"/>
    <n v="27000"/>
    <n v="24000"/>
    <n v="21000"/>
    <s v="Service quality and performance "/>
    <s v="Service quality and performance "/>
    <s v="Service quality and performance "/>
    <m/>
    <n v="5000"/>
    <m/>
    <n v="5000"/>
    <m/>
    <n v="5000"/>
    <m/>
    <n v="5000"/>
    <m/>
    <n v="5000"/>
    <m/>
    <n v="5000"/>
    <n v="30000"/>
    <s v="Realize a sustainable , healthy and safe campus environment for all community members"/>
    <m/>
  </r>
  <r>
    <n v="8470530"/>
    <s v="KUST - Facilities Management"/>
    <n v="1"/>
    <n v="432320"/>
    <x v="91"/>
    <s v="000000"/>
    <s v="KUST - Main Campus"/>
    <n v="847010"/>
    <x v="1"/>
    <n v="200179"/>
    <s v="847.8470530.1.432320.000000.847010.200179"/>
    <n v="-1570.38"/>
    <n v="26000"/>
    <n v="26000"/>
    <s v="432320.Residential Furniture and fixtures-Number of Building-Number"/>
    <s v="Number"/>
    <x v="1"/>
    <x v="30"/>
    <x v="690"/>
    <n v="25000"/>
    <s v="KU Regular operations"/>
    <s v="Recurring"/>
    <n v="22500"/>
    <n v="20000"/>
    <n v="17500"/>
    <s v="Service quality and performance "/>
    <s v="Service quality and performance "/>
    <s v="Service quality and performance "/>
    <m/>
    <m/>
    <n v="5000"/>
    <m/>
    <m/>
    <n v="5000"/>
    <m/>
    <n v="5000"/>
    <m/>
    <n v="5000"/>
    <m/>
    <n v="5000"/>
    <n v="25000"/>
    <s v="Realize a sustainable , healthy and safe campus environment for all community members"/>
    <m/>
  </r>
  <r>
    <n v="8470530"/>
    <s v="KUST - Facilities Management"/>
    <n v="1"/>
    <n v="432320"/>
    <x v="91"/>
    <s v="000000"/>
    <s v="KUST- Sas Al Nakhl Campus"/>
    <n v="847020"/>
    <x v="1"/>
    <n v="200179"/>
    <s v="847.8470530.1.432320.000000.847020.200179"/>
    <m/>
    <m/>
    <m/>
    <s v="432320.Residential Furniture and fixtures-Number of Building-Number"/>
    <s v="2m"/>
    <x v="1"/>
    <x v="42"/>
    <x v="691"/>
    <n v="30000"/>
    <s v="KU Regular operations"/>
    <s v="Recurring"/>
    <n v="27000"/>
    <n v="24000"/>
    <n v="21000"/>
    <s v="Service quality and performance "/>
    <s v="Service quality and performance "/>
    <s v="Service quality and performance "/>
    <m/>
    <m/>
    <n v="30000"/>
    <m/>
    <m/>
    <m/>
    <m/>
    <m/>
    <m/>
    <m/>
    <m/>
    <m/>
    <n v="30000"/>
    <s v="Realize a sustainable , healthy and safe campus environment for all community members"/>
    <m/>
  </r>
  <r>
    <n v="8470530"/>
    <s v="KUST - Facilities Management"/>
    <n v="1"/>
    <n v="429900"/>
    <x v="84"/>
    <s v="000000"/>
    <s v="KUST - General"/>
    <n v="847001"/>
    <x v="1"/>
    <n v="200179"/>
    <s v="847.8470530.1.429900.000000.847001.200179"/>
    <m/>
    <m/>
    <m/>
    <s v="429900.Other services, not specifically mentioned elsewhere-TBD-Number of TBD"/>
    <s v="Number"/>
    <x v="1"/>
    <x v="31"/>
    <x v="692"/>
    <n v="20000"/>
    <s v="KU Regular operations"/>
    <s v="Recurring"/>
    <n v="18000"/>
    <n v="16000"/>
    <n v="14000"/>
    <s v="Service quality and performance "/>
    <s v="Service quality and performance "/>
    <s v="Service quality and performance "/>
    <n v="5000"/>
    <m/>
    <m/>
    <m/>
    <m/>
    <n v="5000"/>
    <m/>
    <m/>
    <m/>
    <n v="5000"/>
    <m/>
    <n v="5000"/>
    <n v="2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64"/>
    <x v="693"/>
    <n v="2000000"/>
    <s v="KU Strategic New Initiative"/>
    <s v="Non-recurring"/>
    <n v="1800000"/>
    <n v="1600000"/>
    <n v="1400000"/>
    <s v="Service quality and performance "/>
    <s v="Service quality and performance "/>
    <s v="Service quality and performance "/>
    <m/>
    <m/>
    <n v="2000000"/>
    <m/>
    <m/>
    <m/>
    <m/>
    <m/>
    <m/>
    <m/>
    <m/>
    <m/>
    <n v="2000000"/>
    <s v="Realize a sustainable , healthy and safe campus environment for all community members"/>
    <m/>
  </r>
  <r>
    <n v="8470530"/>
    <s v="KUST - Facilities Management"/>
    <n v="1"/>
    <n v="492200"/>
    <x v="92"/>
    <s v="000000"/>
    <s v="KUST - Main Campus"/>
    <n v="847010"/>
    <x v="2"/>
    <n v="300180"/>
    <s v="847.8470530.1.492200.000000.847010.300180"/>
    <n v="0"/>
    <n v="2910350"/>
    <n v="2910350"/>
    <s v="492200.Capital expense - Buildings-Fitout cost-2m"/>
    <s v="2m"/>
    <x v="1"/>
    <x v="138"/>
    <x v="694"/>
    <n v="500000"/>
    <s v="KU Strategic New Initiative"/>
    <s v="Non-recurring"/>
    <n v="450000"/>
    <n v="400000"/>
    <n v="350000"/>
    <s v="Service quality and performance "/>
    <s v="Service quality and performance "/>
    <s v="Service quality and performance "/>
    <m/>
    <m/>
    <n v="500000"/>
    <m/>
    <m/>
    <m/>
    <m/>
    <m/>
    <m/>
    <m/>
    <m/>
    <m/>
    <n v="500000"/>
    <s v="Realize a sustainable , healthy and safe campus environment for all community members"/>
    <m/>
  </r>
  <r>
    <n v="8470530"/>
    <s v="KUST - Facilities Management"/>
    <n v="1"/>
    <n v="492200"/>
    <x v="92"/>
    <s v="000000"/>
    <s v="KUST - Main Campus"/>
    <n v="847010"/>
    <x v="2"/>
    <n v="300180"/>
    <s v="847.8470530.1.492200.000000.847010.300180"/>
    <n v="25040687.859999999"/>
    <n v="18425319"/>
    <n v="18425319"/>
    <s v="492200.Capital expense - Buildings-Fitout cost-2m"/>
    <s v="2m"/>
    <x v="1"/>
    <x v="318"/>
    <x v="695"/>
    <n v="11000000"/>
    <s v="KU Strategic New Initiative"/>
    <s v="Non-recurring"/>
    <n v="9900000"/>
    <n v="8800000"/>
    <n v="7699999.9999999991"/>
    <s v="Service quality and performance "/>
    <s v="Service quality and performance "/>
    <s v="Service quality and performance "/>
    <m/>
    <m/>
    <n v="11000000"/>
    <m/>
    <m/>
    <m/>
    <m/>
    <m/>
    <m/>
    <m/>
    <m/>
    <m/>
    <n v="1100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319"/>
    <x v="696"/>
    <n v="1650000"/>
    <s v="KU Strategic New Initiative"/>
    <s v="Non-recurring"/>
    <n v="1485000"/>
    <n v="1320000"/>
    <n v="1155000"/>
    <s v="Service quality and performance "/>
    <s v="Service quality and performance "/>
    <s v="Service quality and performance "/>
    <m/>
    <m/>
    <n v="1650000"/>
    <m/>
    <m/>
    <m/>
    <m/>
    <m/>
    <m/>
    <m/>
    <m/>
    <m/>
    <n v="165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64"/>
    <x v="697"/>
    <n v="2000000"/>
    <s v="KU Strategic New Initiative"/>
    <s v="Non-recurring"/>
    <n v="1800000"/>
    <n v="1600000"/>
    <n v="1400000"/>
    <s v="Service quality and performance "/>
    <s v="Service quality and performance "/>
    <s v="Service quality and performance "/>
    <m/>
    <m/>
    <n v="2000000"/>
    <m/>
    <m/>
    <m/>
    <m/>
    <m/>
    <m/>
    <m/>
    <m/>
    <m/>
    <n v="200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290"/>
    <x v="698"/>
    <n v="1500000"/>
    <s v="KU Strategic New Initiative"/>
    <s v="Non-recurring"/>
    <n v="1350000"/>
    <n v="1200000"/>
    <n v="1050000"/>
    <s v="Service quality and performance "/>
    <s v="Service quality and performance "/>
    <s v="Service quality and performance "/>
    <m/>
    <m/>
    <n v="1500000"/>
    <m/>
    <m/>
    <m/>
    <m/>
    <m/>
    <m/>
    <m/>
    <m/>
    <m/>
    <n v="150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290"/>
    <x v="699"/>
    <n v="1500000"/>
    <s v="KU Strategic New Initiative"/>
    <s v="Non-recurring"/>
    <n v="1350000"/>
    <n v="1200000"/>
    <n v="1050000"/>
    <s v="Service quality and performance "/>
    <s v="Service quality and performance "/>
    <s v="Service quality and performance "/>
    <m/>
    <m/>
    <n v="1500000"/>
    <m/>
    <m/>
    <m/>
    <m/>
    <m/>
    <m/>
    <m/>
    <m/>
    <m/>
    <n v="150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58"/>
    <x v="700"/>
    <n v="3000000"/>
    <s v="KU Strategic New Initiative"/>
    <s v="Non-recurring"/>
    <n v="2700000"/>
    <n v="2400000"/>
    <n v="2100000"/>
    <s v="Service quality and performance "/>
    <s v="Service quality and performance "/>
    <s v="Service quality and performance "/>
    <m/>
    <m/>
    <n v="3000000"/>
    <m/>
    <m/>
    <m/>
    <m/>
    <m/>
    <m/>
    <m/>
    <m/>
    <m/>
    <n v="300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99"/>
    <x v="701"/>
    <n v="110000"/>
    <s v="KU Strategic New Initiative"/>
    <s v="Non-recurring"/>
    <n v="99000"/>
    <n v="88000"/>
    <n v="77000"/>
    <s v="Service quality and performance "/>
    <s v="Service quality and performance "/>
    <s v="Service quality and performance "/>
    <m/>
    <m/>
    <n v="110000"/>
    <m/>
    <m/>
    <m/>
    <m/>
    <m/>
    <m/>
    <m/>
    <m/>
    <m/>
    <n v="11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320"/>
    <x v="702"/>
    <n v="2100000"/>
    <s v="KU Strategic New Initiative"/>
    <s v="Non-recurring"/>
    <n v="1890000"/>
    <n v="1680000"/>
    <n v="1470000"/>
    <s v="Service quality and performance "/>
    <s v="Service quality and performance "/>
    <s v="Service quality and performance "/>
    <m/>
    <m/>
    <n v="2100000"/>
    <m/>
    <m/>
    <m/>
    <m/>
    <m/>
    <m/>
    <m/>
    <m/>
    <m/>
    <n v="210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87"/>
    <x v="703"/>
    <n v="60000"/>
    <s v="KU Strategic New Initiative"/>
    <s v="Non-recurring"/>
    <n v="54000"/>
    <n v="48000"/>
    <n v="42000"/>
    <s v="Service quality and performance "/>
    <s v="Service quality and performance "/>
    <s v="Service quality and performance "/>
    <m/>
    <m/>
    <n v="60000"/>
    <m/>
    <m/>
    <m/>
    <m/>
    <m/>
    <m/>
    <m/>
    <m/>
    <m/>
    <n v="6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46"/>
    <x v="704"/>
    <n v="300000"/>
    <s v="KU Strategic New Initiative"/>
    <s v="Non-recurring"/>
    <n v="270000"/>
    <n v="240000"/>
    <n v="210000"/>
    <s v="Service quality and performance "/>
    <s v="Service quality and performance "/>
    <s v="Service quality and performance "/>
    <m/>
    <m/>
    <n v="300000"/>
    <m/>
    <m/>
    <m/>
    <m/>
    <m/>
    <m/>
    <m/>
    <m/>
    <m/>
    <n v="30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183"/>
    <x v="705"/>
    <n v="100000"/>
    <s v="KU Strategic New Initiative"/>
    <s v="Non-recurring"/>
    <n v="90000"/>
    <n v="80000"/>
    <n v="70000"/>
    <s v="Service quality and performance "/>
    <s v="Service quality and performance "/>
    <s v="Service quality and performance "/>
    <m/>
    <m/>
    <n v="100000"/>
    <m/>
    <m/>
    <m/>
    <m/>
    <m/>
    <m/>
    <m/>
    <m/>
    <m/>
    <n v="10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46"/>
    <x v="706"/>
    <n v="300000"/>
    <s v="KU Strategic New Initiative"/>
    <s v="Non-recurring"/>
    <n v="270000"/>
    <n v="240000"/>
    <n v="210000"/>
    <s v="Service quality and performance "/>
    <s v="Service quality and performance "/>
    <s v="Service quality and performance "/>
    <m/>
    <m/>
    <n v="300000"/>
    <m/>
    <m/>
    <m/>
    <m/>
    <m/>
    <m/>
    <m/>
    <m/>
    <m/>
    <n v="30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183"/>
    <x v="707"/>
    <n v="100000"/>
    <s v="KU Strategic New Initiative"/>
    <s v="Non-recurring"/>
    <n v="90000"/>
    <n v="80000"/>
    <n v="70000"/>
    <s v="Service quality and performance "/>
    <s v="Service quality and performance "/>
    <s v="Service quality and performance "/>
    <m/>
    <m/>
    <n v="100000"/>
    <m/>
    <m/>
    <m/>
    <m/>
    <m/>
    <m/>
    <m/>
    <m/>
    <m/>
    <n v="10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87"/>
    <x v="708"/>
    <n v="60000"/>
    <s v="KU Strategic New Initiative"/>
    <s v="Non-recurring"/>
    <n v="54000"/>
    <n v="48000"/>
    <n v="42000"/>
    <s v="Service quality and performance "/>
    <s v="Service quality and performance "/>
    <s v="Service quality and performance "/>
    <m/>
    <m/>
    <n v="60000"/>
    <m/>
    <m/>
    <m/>
    <m/>
    <m/>
    <m/>
    <m/>
    <m/>
    <m/>
    <n v="6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245"/>
    <x v="709"/>
    <n v="750000"/>
    <s v="KU Strategic New Initiative"/>
    <s v="Non-recurring"/>
    <n v="675000"/>
    <n v="600000"/>
    <n v="525000"/>
    <s v="Service quality and performance "/>
    <s v="Service quality and performance "/>
    <s v="Service quality and performance "/>
    <m/>
    <m/>
    <n v="750000"/>
    <m/>
    <m/>
    <m/>
    <m/>
    <m/>
    <m/>
    <m/>
    <m/>
    <m/>
    <n v="75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170"/>
    <x v="710"/>
    <n v="1000000"/>
    <s v="KU Strategic New Initiative"/>
    <s v="Non-recurring"/>
    <n v="900000"/>
    <n v="800000"/>
    <n v="700000"/>
    <s v="Service quality and performance "/>
    <s v="Service quality and performance "/>
    <s v="Service quality and performance "/>
    <m/>
    <m/>
    <n v="1000000"/>
    <m/>
    <m/>
    <m/>
    <m/>
    <m/>
    <m/>
    <m/>
    <m/>
    <m/>
    <n v="1000000"/>
    <s v="Realize a sustainable , healthy and safe campus environment for all community members"/>
    <m/>
  </r>
  <r>
    <n v="8470530"/>
    <s v="KUST - Facilities Management"/>
    <n v="1"/>
    <n v="492200"/>
    <x v="92"/>
    <s v="000000"/>
    <s v="KUST - Main Campus"/>
    <n v="847010"/>
    <x v="2"/>
    <n v="300180"/>
    <s v="847.8470530.1.492200.000000.847010.300180"/>
    <m/>
    <s v=" "/>
    <m/>
    <s v="492200.Capital expense - Buildings-Fitout cost-2m"/>
    <s v="2m"/>
    <x v="1"/>
    <x v="321"/>
    <x v="711"/>
    <n v="610000"/>
    <s v="KU Strategic New Initiative"/>
    <s v="Non-recurring"/>
    <n v="549000"/>
    <n v="488000"/>
    <n v="427000"/>
    <s v="Service quality and performance "/>
    <s v="Service quality and performance "/>
    <s v="Service quality and performance "/>
    <m/>
    <m/>
    <n v="610000"/>
    <m/>
    <m/>
    <m/>
    <m/>
    <m/>
    <m/>
    <m/>
    <m/>
    <m/>
    <n v="61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87"/>
    <x v="712"/>
    <n v="60000"/>
    <s v="KU Strategic New Initiative"/>
    <s v="Non-recurring"/>
    <n v="54000"/>
    <n v="48000"/>
    <n v="42000"/>
    <s v="Service quality and performance "/>
    <s v="Service quality and performance "/>
    <s v="Service quality and performance "/>
    <m/>
    <m/>
    <n v="60000"/>
    <m/>
    <m/>
    <m/>
    <m/>
    <m/>
    <m/>
    <m/>
    <m/>
    <m/>
    <n v="6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314"/>
    <x v="713"/>
    <n v="350000"/>
    <s v="KU Strategic New Initiative"/>
    <s v="Non-recurring"/>
    <n v="315000"/>
    <n v="280000"/>
    <n v="244999.99999999997"/>
    <s v="Service quality and performance "/>
    <s v="Service quality and performance "/>
    <s v="Service quality and performance "/>
    <m/>
    <m/>
    <n v="350000"/>
    <m/>
    <m/>
    <m/>
    <m/>
    <m/>
    <m/>
    <m/>
    <m/>
    <m/>
    <n v="35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27"/>
    <x v="714"/>
    <n v="50000"/>
    <s v="KU Strategic New Initiative"/>
    <s v="Non-recurring"/>
    <n v="45000"/>
    <n v="40000"/>
    <n v="35000"/>
    <s v="Service quality and performance "/>
    <s v="Service quality and performance "/>
    <s v="Service quality and performance "/>
    <m/>
    <m/>
    <n v="50000"/>
    <m/>
    <m/>
    <m/>
    <m/>
    <m/>
    <m/>
    <m/>
    <m/>
    <m/>
    <n v="5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136"/>
    <x v="715"/>
    <n v="160000"/>
    <s v="KU Strategic New Initiative"/>
    <s v="Non-recurring"/>
    <n v="144000"/>
    <n v="128000"/>
    <n v="112000"/>
    <s v="Service quality and performance "/>
    <s v="Service quality and performance "/>
    <s v="Service quality and performance "/>
    <m/>
    <m/>
    <n v="160000"/>
    <m/>
    <m/>
    <m/>
    <m/>
    <m/>
    <m/>
    <m/>
    <m/>
    <m/>
    <n v="16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46"/>
    <x v="716"/>
    <n v="300000"/>
    <s v="KU Strategic New Initiative"/>
    <s v="Non-recurring"/>
    <n v="270000"/>
    <n v="240000"/>
    <n v="210000"/>
    <s v="Service quality and performance "/>
    <s v="Service quality and performance "/>
    <s v="Service quality and performance "/>
    <m/>
    <m/>
    <n v="300000"/>
    <m/>
    <m/>
    <m/>
    <m/>
    <m/>
    <m/>
    <m/>
    <m/>
    <m/>
    <n v="30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46"/>
    <x v="717"/>
    <n v="300000"/>
    <s v="KU Strategic New Initiative"/>
    <s v="Non-recurring"/>
    <n v="270000"/>
    <n v="240000"/>
    <n v="210000"/>
    <s v="Service quality and performance "/>
    <s v="Service quality and performance "/>
    <s v="Service quality and performance "/>
    <m/>
    <m/>
    <n v="300000"/>
    <m/>
    <m/>
    <m/>
    <m/>
    <m/>
    <m/>
    <m/>
    <m/>
    <m/>
    <n v="30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111"/>
    <x v="718"/>
    <n v="120000"/>
    <s v="KU Strategic New Initiative"/>
    <s v="Non-recurring"/>
    <n v="108000"/>
    <n v="96000"/>
    <n v="84000"/>
    <s v="Service quality and performance "/>
    <s v="Service quality and performance "/>
    <s v="Service quality and performance "/>
    <m/>
    <m/>
    <n v="120000"/>
    <m/>
    <m/>
    <m/>
    <m/>
    <m/>
    <m/>
    <m/>
    <m/>
    <m/>
    <n v="12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322"/>
    <x v="719"/>
    <n v="270440"/>
    <s v="KU Strategic New Initiative"/>
    <s v="Non-recurring"/>
    <n v="243396"/>
    <n v="216352"/>
    <n v="189308"/>
    <s v="Service quality and performance "/>
    <s v="Service quality and performance "/>
    <s v="Service quality and performance "/>
    <m/>
    <m/>
    <n v="270440"/>
    <m/>
    <m/>
    <m/>
    <m/>
    <m/>
    <m/>
    <m/>
    <m/>
    <m/>
    <n v="27044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27"/>
    <x v="720"/>
    <n v="50000"/>
    <s v="KU Strategic New Initiative"/>
    <s v="Non-recurring"/>
    <n v="45000"/>
    <n v="40000"/>
    <n v="35000"/>
    <s v="Service quality and performance "/>
    <s v="Service quality and performance "/>
    <s v="Service quality and performance "/>
    <m/>
    <m/>
    <n v="50000"/>
    <m/>
    <m/>
    <m/>
    <m/>
    <m/>
    <m/>
    <m/>
    <m/>
    <m/>
    <n v="5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323"/>
    <x v="721"/>
    <n v="672120"/>
    <s v="KU Strategic New Initiative"/>
    <s v="Non-recurring"/>
    <n v="604908"/>
    <n v="537696"/>
    <n v="470483.99999999994"/>
    <s v="Service quality and performance "/>
    <s v="Service quality and performance "/>
    <s v="Service quality and performance "/>
    <m/>
    <m/>
    <n v="672120"/>
    <m/>
    <m/>
    <m/>
    <m/>
    <m/>
    <m/>
    <m/>
    <m/>
    <m/>
    <n v="67212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324"/>
    <x v="722"/>
    <n v="78000"/>
    <s v="KU Strategic New Initiative"/>
    <s v="Non-recurring"/>
    <n v="70200"/>
    <n v="62400"/>
    <n v="54600"/>
    <s v="Service quality and performance "/>
    <s v="Service quality and performance "/>
    <s v="Service quality and performance "/>
    <m/>
    <m/>
    <n v="78000"/>
    <m/>
    <m/>
    <m/>
    <m/>
    <m/>
    <m/>
    <m/>
    <m/>
    <m/>
    <n v="78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325"/>
    <x v="723"/>
    <n v="2500000"/>
    <s v="KU Strategic New Initiative"/>
    <s v="Non-recurring"/>
    <n v="2250000"/>
    <n v="2000000"/>
    <n v="1750000"/>
    <s v="Service quality and performance "/>
    <s v="Service quality and performance "/>
    <s v="Service quality and performance "/>
    <m/>
    <m/>
    <n v="2500000"/>
    <m/>
    <m/>
    <m/>
    <m/>
    <m/>
    <m/>
    <m/>
    <m/>
    <m/>
    <n v="2500000"/>
    <s v="Realize a sustainable , healthy and safe campus environment for all community members"/>
    <m/>
  </r>
  <r>
    <n v="8470530"/>
    <s v="KUST - Facilities Management"/>
    <n v="1"/>
    <n v="492200"/>
    <x v="92"/>
    <s v="000000"/>
    <s v="KUST - Main Campus"/>
    <n v="847010"/>
    <x v="2"/>
    <n v="300180"/>
    <s v="847.8470530.1.492200.000000.847010.300180"/>
    <m/>
    <m/>
    <m/>
    <s v="492200.Capital expense - Buildings-Fitout cost-2m"/>
    <s v="2m"/>
    <x v="1"/>
    <x v="326"/>
    <x v="724"/>
    <n v="1750000"/>
    <s v="KU Strategic New Initiative"/>
    <s v="Non-recurring"/>
    <n v="1575000"/>
    <n v="1400000"/>
    <n v="1225000"/>
    <s v="Service quality and performance "/>
    <s v="Service quality and performance "/>
    <s v="Service quality and performance "/>
    <m/>
    <m/>
    <n v="1750000"/>
    <m/>
    <m/>
    <m/>
    <m/>
    <m/>
    <m/>
    <m/>
    <m/>
    <m/>
    <n v="1750000"/>
    <s v="Realize a sustainable , healthy and safe campus environment for all community members"/>
    <m/>
  </r>
  <r>
    <n v="8470530"/>
    <s v="KUST - Facilities Management"/>
    <n v="1"/>
    <n v="492200"/>
    <x v="92"/>
    <s v="000000"/>
    <s v="KUST - Main Campus"/>
    <n v="847010"/>
    <x v="2"/>
    <n v="300180"/>
    <s v="847.8470530.1.492200.000000.847010.300180"/>
    <m/>
    <m/>
    <m/>
    <n v="0"/>
    <s v="-_"/>
    <x v="1"/>
    <x v="1"/>
    <x v="1"/>
    <n v="0"/>
    <m/>
    <m/>
    <n v="0"/>
    <n v="0"/>
    <n v="0"/>
    <m/>
    <m/>
    <m/>
    <m/>
    <m/>
    <m/>
    <m/>
    <m/>
    <m/>
    <m/>
    <m/>
    <m/>
    <m/>
    <m/>
    <m/>
    <n v="0"/>
    <m/>
    <m/>
  </r>
  <r>
    <n v="8470530"/>
    <s v="KUST - Facilities Management"/>
    <n v="1"/>
    <n v="492200"/>
    <x v="92"/>
    <s v="000000"/>
    <s v="Student Related Costs"/>
    <n v="847015"/>
    <x v="2"/>
    <n v="300180"/>
    <s v="847.8470530.1.492200.000000.847015.300180"/>
    <n v="1343400"/>
    <n v="0"/>
    <m/>
    <s v="492200.Capital expense - Buildings-Fitout cost-2m"/>
    <s v="2m"/>
    <x v="1"/>
    <x v="77"/>
    <x v="725"/>
    <n v="200000"/>
    <s v="KU Strategic New Initiative"/>
    <s v="Non-recurring"/>
    <n v="180000"/>
    <n v="160000"/>
    <n v="140000"/>
    <s v="Service quality and performance "/>
    <s v="Service quality and performance "/>
    <s v="Service quality and performance "/>
    <m/>
    <m/>
    <n v="200000"/>
    <m/>
    <m/>
    <m/>
    <m/>
    <m/>
    <m/>
    <m/>
    <m/>
    <m/>
    <n v="2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327"/>
    <x v="726"/>
    <n v="36800000"/>
    <s v="KU Strategic New Initiative"/>
    <s v="Non-recurring"/>
    <n v="33120000"/>
    <n v="29440000"/>
    <n v="25760000"/>
    <s v="Service quality and performance "/>
    <s v="Service quality and performance "/>
    <s v="Service quality and performance "/>
    <m/>
    <m/>
    <n v="36800000"/>
    <m/>
    <m/>
    <m/>
    <m/>
    <m/>
    <m/>
    <m/>
    <m/>
    <m/>
    <n v="368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58"/>
    <x v="727"/>
    <n v="3000000"/>
    <s v="KU Strategic New Initiative"/>
    <s v="Non-recurring"/>
    <n v="2700000"/>
    <n v="2400000"/>
    <n v="2100000"/>
    <s v="Service quality and performance "/>
    <s v="Service quality and performance "/>
    <s v="Service quality and performance "/>
    <m/>
    <m/>
    <n v="3000000"/>
    <m/>
    <m/>
    <m/>
    <m/>
    <m/>
    <m/>
    <m/>
    <m/>
    <m/>
    <n v="3000000"/>
    <s v="Realize a sustainable , healthy and safe campus environment for all community members"/>
    <m/>
  </r>
  <r>
    <n v="8470530"/>
    <s v="KUST - Facilities Management"/>
    <n v="1"/>
    <n v="492200"/>
    <x v="92"/>
    <s v="000000"/>
    <s v="KUST- Sas Al Nakhl Campus"/>
    <n v="847020"/>
    <x v="2"/>
    <n v="300180"/>
    <s v="847.8470530.1.492200.000000.847020.300180"/>
    <n v="2319769"/>
    <n v="23038949"/>
    <n v="23038949"/>
    <s v="492200.Capital expense - Buildings-Fitout cost-2m"/>
    <s v="2m"/>
    <x v="1"/>
    <x v="64"/>
    <x v="728"/>
    <n v="2000000"/>
    <s v="KU Strategic New Initiative"/>
    <s v="Non-recurring"/>
    <n v="1800000"/>
    <n v="1600000"/>
    <n v="1400000"/>
    <s v="Service quality and performance "/>
    <s v="Service quality and performance "/>
    <s v="Service quality and performance "/>
    <m/>
    <m/>
    <n v="2000000"/>
    <m/>
    <m/>
    <m/>
    <m/>
    <m/>
    <m/>
    <m/>
    <m/>
    <m/>
    <n v="20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328"/>
    <x v="729"/>
    <n v="1600000"/>
    <s v="KU Strategic New Initiative"/>
    <s v="Non-recurring"/>
    <n v="1440000"/>
    <n v="1280000"/>
    <n v="1120000"/>
    <s v="Service quality and performance "/>
    <s v="Service quality and performance "/>
    <s v="Service quality and performance "/>
    <m/>
    <m/>
    <n v="1600000"/>
    <m/>
    <m/>
    <m/>
    <m/>
    <m/>
    <m/>
    <m/>
    <m/>
    <m/>
    <n v="16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64"/>
    <x v="730"/>
    <n v="2000000"/>
    <s v="KU Strategic New Initiative"/>
    <s v="Non-recurring"/>
    <n v="1800000"/>
    <n v="1600000"/>
    <n v="1400000"/>
    <s v="Service quality and performance "/>
    <s v="Service quality and performance "/>
    <s v="Service quality and performance "/>
    <m/>
    <m/>
    <n v="2000000"/>
    <m/>
    <m/>
    <m/>
    <m/>
    <m/>
    <m/>
    <m/>
    <m/>
    <m/>
    <n v="20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295"/>
    <x v="731"/>
    <n v="5000000"/>
    <s v="KU Strategic New Initiative"/>
    <s v="Non-recurring"/>
    <n v="4500000"/>
    <n v="4000000"/>
    <n v="3500000"/>
    <s v="Service quality and performance "/>
    <s v="Service quality and performance "/>
    <s v="Service quality and performance "/>
    <m/>
    <m/>
    <n v="5000000"/>
    <m/>
    <m/>
    <m/>
    <m/>
    <m/>
    <m/>
    <m/>
    <m/>
    <m/>
    <n v="50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47"/>
    <x v="732"/>
    <n v="700000"/>
    <s v="KU Strategic New Initiative"/>
    <s v="Non-recurring"/>
    <n v="630000"/>
    <n v="560000"/>
    <n v="489999.99999999994"/>
    <s v="Service quality and performance "/>
    <s v="Service quality and performance "/>
    <s v="Service quality and performance "/>
    <m/>
    <m/>
    <n v="700000"/>
    <m/>
    <m/>
    <m/>
    <m/>
    <m/>
    <m/>
    <m/>
    <m/>
    <m/>
    <n v="7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329"/>
    <x v="733"/>
    <n v="520000"/>
    <s v="KU Strategic New Initiative"/>
    <s v="Non-recurring"/>
    <n v="468000"/>
    <n v="416000"/>
    <n v="364000"/>
    <s v="Service quality and performance "/>
    <s v="Service quality and performance "/>
    <s v="Service quality and performance "/>
    <m/>
    <m/>
    <n v="520000"/>
    <m/>
    <m/>
    <m/>
    <m/>
    <m/>
    <m/>
    <m/>
    <m/>
    <m/>
    <n v="52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138"/>
    <x v="734"/>
    <n v="500000"/>
    <s v="KU Strategic New Initiative"/>
    <s v="Non-recurring"/>
    <n v="450000"/>
    <n v="400000"/>
    <n v="350000"/>
    <s v="Service quality and performance "/>
    <s v="Service quality and performance "/>
    <s v="Service quality and performance "/>
    <m/>
    <m/>
    <n v="500000"/>
    <m/>
    <m/>
    <m/>
    <m/>
    <m/>
    <m/>
    <m/>
    <m/>
    <m/>
    <n v="5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124"/>
    <x v="735"/>
    <n v="80000"/>
    <s v="KU Strategic New Initiative"/>
    <s v="Non-recurring"/>
    <n v="72000"/>
    <n v="64000"/>
    <n v="56000"/>
    <s v="Service quality and performance "/>
    <s v="Service quality and performance "/>
    <s v="Service quality and performance "/>
    <m/>
    <m/>
    <n v="80000"/>
    <m/>
    <m/>
    <m/>
    <m/>
    <m/>
    <m/>
    <m/>
    <m/>
    <m/>
    <n v="8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183"/>
    <x v="736"/>
    <n v="100000"/>
    <s v="KU Strategic New Initiative"/>
    <s v="Non-recurring"/>
    <n v="90000"/>
    <n v="80000"/>
    <n v="70000"/>
    <s v="Service quality and performance "/>
    <s v="Service quality and performance "/>
    <s v="Service quality and performance "/>
    <m/>
    <m/>
    <n v="100000"/>
    <m/>
    <m/>
    <m/>
    <m/>
    <m/>
    <m/>
    <m/>
    <m/>
    <m/>
    <n v="1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94"/>
    <x v="737"/>
    <n v="70000"/>
    <s v="KU Strategic New Initiative"/>
    <s v="Non-recurring"/>
    <n v="63000"/>
    <n v="56000"/>
    <n v="49000"/>
    <s v="Service quality and performance "/>
    <s v="Service quality and performance "/>
    <s v="Service quality and performance "/>
    <m/>
    <m/>
    <n v="70000"/>
    <m/>
    <m/>
    <m/>
    <m/>
    <m/>
    <m/>
    <m/>
    <m/>
    <m/>
    <n v="7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138"/>
    <x v="738"/>
    <n v="500000"/>
    <s v="KU Strategic New Initiative"/>
    <s v="Non-recurring"/>
    <n v="450000"/>
    <n v="400000"/>
    <n v="350000"/>
    <s v="Service quality and performance "/>
    <s v="Service quality and performance "/>
    <s v="Service quality and performance "/>
    <m/>
    <m/>
    <n v="500000"/>
    <m/>
    <m/>
    <m/>
    <m/>
    <m/>
    <m/>
    <m/>
    <m/>
    <m/>
    <n v="5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325"/>
    <x v="739"/>
    <n v="2500000"/>
    <s v="KU Strategic New Initiative"/>
    <s v="Non-recurring"/>
    <n v="2250000"/>
    <n v="2000000"/>
    <n v="1750000"/>
    <s v="Service quality and performance "/>
    <s v="Service quality and performance "/>
    <s v="Service quality and performance "/>
    <m/>
    <m/>
    <n v="2500000"/>
    <m/>
    <m/>
    <m/>
    <m/>
    <m/>
    <m/>
    <m/>
    <m/>
    <m/>
    <n v="25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274"/>
    <x v="740"/>
    <n v="1200000"/>
    <s v="KU Strategic New Initiative"/>
    <s v="Non-recurring"/>
    <n v="1080000"/>
    <n v="960000"/>
    <n v="840000"/>
    <s v="Service quality and performance "/>
    <s v="Service quality and performance "/>
    <s v="Service quality and performance "/>
    <m/>
    <m/>
    <n v="1200000"/>
    <m/>
    <m/>
    <m/>
    <m/>
    <m/>
    <m/>
    <m/>
    <m/>
    <m/>
    <n v="12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274"/>
    <x v="741"/>
    <n v="1200000"/>
    <s v="KU Strategic New Initiative"/>
    <s v="Non-recurring"/>
    <n v="1080000"/>
    <n v="960000"/>
    <n v="840000"/>
    <s v="Service quality and performance "/>
    <s v="Service quality and performance "/>
    <s v="Service quality and performance "/>
    <m/>
    <m/>
    <n v="1200000"/>
    <m/>
    <m/>
    <m/>
    <m/>
    <m/>
    <m/>
    <m/>
    <m/>
    <m/>
    <n v="12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87"/>
    <x v="742"/>
    <n v="60000"/>
    <s v="KU Strategic New Initiative"/>
    <s v="Non-recurring"/>
    <n v="54000"/>
    <n v="48000"/>
    <n v="42000"/>
    <s v="Service quality and performance "/>
    <s v="Service quality and performance "/>
    <s v="Service quality and performance "/>
    <m/>
    <m/>
    <n v="60000"/>
    <m/>
    <m/>
    <m/>
    <m/>
    <m/>
    <m/>
    <m/>
    <m/>
    <m/>
    <n v="6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330"/>
    <x v="743"/>
    <n v="22000"/>
    <s v="KU Strategic New Initiative"/>
    <s v="Non-recurring"/>
    <n v="19800"/>
    <n v="17600"/>
    <n v="15399.999999999998"/>
    <s v="Service quality and performance "/>
    <s v="Service quality and performance "/>
    <s v="Service quality and performance "/>
    <m/>
    <m/>
    <n v="22000"/>
    <m/>
    <m/>
    <m/>
    <m/>
    <m/>
    <m/>
    <m/>
    <m/>
    <m/>
    <n v="22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183"/>
    <x v="744"/>
    <n v="100000"/>
    <s v="KU Strategic New Initiative"/>
    <s v="Non-recurring"/>
    <n v="90000"/>
    <n v="80000"/>
    <n v="70000"/>
    <s v="Service quality and performance "/>
    <s v="Service quality and performance "/>
    <s v="Service quality and performance "/>
    <m/>
    <m/>
    <n v="100000"/>
    <m/>
    <m/>
    <m/>
    <m/>
    <m/>
    <m/>
    <m/>
    <m/>
    <m/>
    <n v="1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274"/>
    <x v="745"/>
    <n v="1200000"/>
    <s v="KU Strategic New Initiative"/>
    <s v="Non-recurring"/>
    <n v="1080000"/>
    <n v="960000"/>
    <n v="840000"/>
    <s v="Service quality and performance "/>
    <s v="Service quality and performance "/>
    <s v="Service quality and performance "/>
    <m/>
    <m/>
    <n v="1200000"/>
    <m/>
    <m/>
    <m/>
    <m/>
    <m/>
    <m/>
    <m/>
    <m/>
    <m/>
    <n v="12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314"/>
    <x v="746"/>
    <n v="350000"/>
    <s v="KU Strategic New Initiative"/>
    <s v="Non-recurring"/>
    <n v="315000"/>
    <n v="280000"/>
    <n v="244999.99999999997"/>
    <s v="Service quality and performance "/>
    <s v="Service quality and performance "/>
    <s v="Service quality and performance "/>
    <m/>
    <m/>
    <n v="350000"/>
    <m/>
    <m/>
    <m/>
    <m/>
    <m/>
    <m/>
    <m/>
    <m/>
    <m/>
    <n v="35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152"/>
    <x v="747"/>
    <n v="600000"/>
    <s v="KU Strategic New Initiative"/>
    <s v="Non-recurring"/>
    <n v="540000"/>
    <n v="480000"/>
    <n v="420000"/>
    <s v="Service quality and performance "/>
    <s v="Service quality and performance "/>
    <s v="Service quality and performance "/>
    <m/>
    <m/>
    <n v="600000"/>
    <m/>
    <m/>
    <m/>
    <m/>
    <m/>
    <m/>
    <m/>
    <m/>
    <m/>
    <n v="6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331"/>
    <x v="748"/>
    <n v="6000000"/>
    <s v="KU Strategic New Initiative"/>
    <s v="Non-recurring"/>
    <n v="5400000"/>
    <n v="4800000"/>
    <n v="4200000"/>
    <s v="Service quality and performance "/>
    <s v="Service quality and performance "/>
    <s v="Service quality and performance "/>
    <m/>
    <m/>
    <n v="6000000"/>
    <m/>
    <m/>
    <m/>
    <m/>
    <m/>
    <m/>
    <m/>
    <m/>
    <m/>
    <n v="60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170"/>
    <x v="749"/>
    <n v="1000000"/>
    <s v="KU Strategic New Initiative"/>
    <s v="Non-recurring"/>
    <n v="900000"/>
    <n v="800000"/>
    <n v="700000"/>
    <s v="Service quality and performance "/>
    <s v="Service quality and performance "/>
    <s v="Service quality and performance "/>
    <m/>
    <m/>
    <n v="1000000"/>
    <m/>
    <m/>
    <m/>
    <m/>
    <m/>
    <m/>
    <m/>
    <m/>
    <m/>
    <n v="10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1"/>
    <x v="59"/>
    <x v="750"/>
    <n v="150000"/>
    <s v="KU Strategic New Initiative"/>
    <s v="Non-recurring"/>
    <n v="135000"/>
    <n v="120000"/>
    <n v="105000"/>
    <s v="Service quality and performance "/>
    <s v="Service quality and performance "/>
    <s v="Service quality and performance "/>
    <m/>
    <m/>
    <n v="150000"/>
    <m/>
    <m/>
    <m/>
    <m/>
    <m/>
    <m/>
    <m/>
    <m/>
    <m/>
    <n v="15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2"/>
    <x v="10"/>
    <x v="751"/>
    <n v="400000"/>
    <s v="KU Strategic New Initiative"/>
    <s v="Non-recurring"/>
    <n v="360000"/>
    <n v="320000"/>
    <n v="280000"/>
    <s v="Service quality and performance "/>
    <s v="Service quality and performance "/>
    <s v="Service quality and performance "/>
    <m/>
    <m/>
    <n v="400000"/>
    <m/>
    <m/>
    <m/>
    <m/>
    <m/>
    <m/>
    <m/>
    <m/>
    <m/>
    <n v="400000"/>
    <s v="Realize a sustainable , healthy and safe campus environment for all community members"/>
    <m/>
  </r>
  <r>
    <n v="8470530"/>
    <s v="KUST - Facilities Management"/>
    <n v="1"/>
    <n v="492200"/>
    <x v="92"/>
    <s v="000000"/>
    <s v="KUST- Sas Al Nakhl Campus"/>
    <n v="847020"/>
    <x v="2"/>
    <n v="300180"/>
    <s v="847.8470530.1.492200.000000.847020.300180"/>
    <m/>
    <m/>
    <m/>
    <s v="492200.Capital expense - Buildings-Fitout cost-2m"/>
    <s v="2m"/>
    <x v="2"/>
    <x v="138"/>
    <x v="752"/>
    <n v="500000"/>
    <s v="KU Strategic New Initiative"/>
    <s v="Non-recurring"/>
    <n v="450000"/>
    <n v="400000"/>
    <n v="350000"/>
    <s v="Service quality and performance "/>
    <s v="Service quality and performance "/>
    <s v="Service quality and performance "/>
    <m/>
    <m/>
    <n v="500000"/>
    <m/>
    <m/>
    <m/>
    <m/>
    <m/>
    <m/>
    <m/>
    <m/>
    <m/>
    <n v="500000"/>
    <s v="Realize a sustainable , healthy and safe campus environment for all community members"/>
    <m/>
  </r>
  <r>
    <n v="8470530"/>
    <s v="KUST - Facilities Management"/>
    <n v="1"/>
    <n v="492610"/>
    <x v="93"/>
    <s v="000000"/>
    <s v="KUST - Main Campus"/>
    <n v="847010"/>
    <x v="2"/>
    <n v="300180"/>
    <s v="847.8470530.1.492610.000000.847010.300180"/>
    <n v="1623493.7"/>
    <n v="2271162"/>
    <n v="2271162"/>
    <s v="492610.Furniture &amp; Fixtures - Offices-Area of the rehabilitated building-2m"/>
    <s v="2m"/>
    <x v="1"/>
    <x v="332"/>
    <x v="753"/>
    <n v="1700000"/>
    <s v="KU Strategic New Initiative"/>
    <s v="Non-recurring"/>
    <n v="1530000"/>
    <n v="1360000"/>
    <n v="1190000"/>
    <s v="Service quality and performance "/>
    <s v="Service quality and performance "/>
    <s v="Service quality and performance "/>
    <m/>
    <m/>
    <n v="1700000"/>
    <m/>
    <m/>
    <m/>
    <m/>
    <m/>
    <m/>
    <m/>
    <m/>
    <m/>
    <n v="1700000"/>
    <s v="Realize a sustainable , healthy and safe campus environment for all community members"/>
    <m/>
  </r>
  <r>
    <n v="8470530"/>
    <s v="KUST - Facilities Management"/>
    <n v="1"/>
    <n v="492610"/>
    <x v="93"/>
    <s v="000000"/>
    <s v="Student Related Costs"/>
    <n v="847015"/>
    <x v="2"/>
    <n v="300180"/>
    <s v="847.8470530.1.492610.000000.847015.300180"/>
    <n v="142490"/>
    <n v="32800"/>
    <n v="32800"/>
    <m/>
    <s v="-_"/>
    <x v="2"/>
    <x v="1"/>
    <x v="1"/>
    <n v="0"/>
    <s v="KU Strategic New Initiative"/>
    <s v="Non-recurring"/>
    <n v="0"/>
    <n v="0"/>
    <n v="0"/>
    <s v="Service quality and performance "/>
    <s v="Service quality and performance "/>
    <s v="Service quality and performance "/>
    <m/>
    <m/>
    <m/>
    <m/>
    <m/>
    <m/>
    <m/>
    <m/>
    <m/>
    <m/>
    <m/>
    <m/>
    <m/>
    <m/>
    <m/>
  </r>
  <r>
    <n v="8470530"/>
    <s v="KUST - Facilities Management"/>
    <n v="1"/>
    <n v="492610"/>
    <x v="93"/>
    <s v="000000"/>
    <s v="KUST - Main Campus"/>
    <n v="847010"/>
    <x v="2"/>
    <n v="300180"/>
    <s v="847.8470530.1.492610.000000.847010.300180"/>
    <m/>
    <m/>
    <m/>
    <s v="492610.Furniture &amp; Fixtures - Offices-Area of the rehabilitated building-2m"/>
    <s v="2m"/>
    <x v="1"/>
    <x v="328"/>
    <x v="754"/>
    <n v="1600000"/>
    <s v="KU Strategic New Initiative"/>
    <s v="Non-recurring"/>
    <n v="1440000"/>
    <n v="1280000"/>
    <n v="1120000"/>
    <s v="Service quality and performance "/>
    <s v="Service quality and performance "/>
    <s v="Service quality and performance "/>
    <m/>
    <m/>
    <n v="1600000"/>
    <m/>
    <m/>
    <m/>
    <m/>
    <m/>
    <m/>
    <m/>
    <m/>
    <m/>
    <n v="1600000"/>
    <s v="Realize a sustainable , healthy and safe campus environment for all community members"/>
    <m/>
  </r>
  <r>
    <n v="8470530"/>
    <s v="KUST - Facilities Management"/>
    <n v="1"/>
    <n v="492610"/>
    <x v="93"/>
    <s v="000000"/>
    <s v="KUST - Main Campus"/>
    <n v="847010"/>
    <x v="2"/>
    <n v="300180"/>
    <s v="847.8470530.1.492610.000000.847010.300180"/>
    <m/>
    <m/>
    <m/>
    <s v="492610.Furniture &amp; Fixtures - Offices-Area of the rehabilitated building-2m"/>
    <s v="2m"/>
    <x v="1"/>
    <x v="101"/>
    <x v="755"/>
    <n v="325000"/>
    <s v="KU Strategic New Initiative"/>
    <s v="Non-recurring"/>
    <n v="292500"/>
    <n v="260000"/>
    <n v="227500"/>
    <s v="Service quality and performance "/>
    <s v="Service quality and performance "/>
    <s v="Service quality and performance "/>
    <m/>
    <m/>
    <n v="325000"/>
    <m/>
    <m/>
    <m/>
    <m/>
    <m/>
    <m/>
    <m/>
    <m/>
    <m/>
    <n v="325000"/>
    <s v="Realize a sustainable , healthy and safe campus environment for all community members"/>
    <m/>
  </r>
  <r>
    <n v="8470530"/>
    <s v="KUST - Facilities Management"/>
    <n v="1"/>
    <n v="492610"/>
    <x v="93"/>
    <s v="000000"/>
    <s v="KUST - Main Campus"/>
    <n v="847010"/>
    <x v="2"/>
    <n v="300180"/>
    <s v="847.8470530.1.492610.000000.847010.300180"/>
    <m/>
    <m/>
    <m/>
    <s v="492610.Furniture &amp; Fixtures - Offices-Area of the rehabilitated building-2m"/>
    <s v="2m"/>
    <x v="1"/>
    <x v="109"/>
    <x v="756"/>
    <n v="75000"/>
    <s v="KU Strategic New Initiative"/>
    <s v="Non-recurring"/>
    <n v="67500"/>
    <n v="60000"/>
    <n v="52500"/>
    <s v="Service quality and performance "/>
    <s v="Service quality and performance "/>
    <s v="Service quality and performance "/>
    <m/>
    <m/>
    <n v="75000"/>
    <m/>
    <m/>
    <m/>
    <m/>
    <m/>
    <m/>
    <m/>
    <m/>
    <m/>
    <n v="75000"/>
    <s v="Realize a sustainable , healthy and safe campus environment for all community members"/>
    <m/>
  </r>
  <r>
    <n v="8470530"/>
    <s v="KUST - Facilities Management"/>
    <n v="1"/>
    <n v="492610"/>
    <x v="93"/>
    <s v="000000"/>
    <s v="KUST - Main Campus"/>
    <n v="847010"/>
    <x v="2"/>
    <n v="300180"/>
    <s v="847.8470530.1.492610.000000.847010.300180"/>
    <m/>
    <m/>
    <m/>
    <s v="492610.Furniture &amp; Fixtures - Offices-Area of the rehabilitated building-2m"/>
    <s v="2m"/>
    <x v="1"/>
    <x v="50"/>
    <x v="757"/>
    <n v="450000"/>
    <s v="KU Strategic New Initiative"/>
    <s v="Non-recurring"/>
    <n v="405000"/>
    <n v="360000"/>
    <n v="315000"/>
    <s v="Service quality and performance "/>
    <s v="Service quality and performance "/>
    <s v="Service quality and performance "/>
    <m/>
    <m/>
    <n v="450000"/>
    <m/>
    <m/>
    <m/>
    <m/>
    <m/>
    <m/>
    <m/>
    <m/>
    <m/>
    <n v="450000"/>
    <s v="Realize a sustainable , healthy and safe campus environment for all community members"/>
    <m/>
  </r>
  <r>
    <n v="8470530"/>
    <s v="KUST - Facilities Management"/>
    <n v="1"/>
    <n v="492610"/>
    <x v="93"/>
    <s v="000000"/>
    <s v="KUST - Main Campus"/>
    <n v="847010"/>
    <x v="2"/>
    <n v="300180"/>
    <s v="847.8470530.1.492610.000000.847010.300180"/>
    <m/>
    <m/>
    <m/>
    <s v="492610.Furniture &amp; Fixtures - Offices-Area of the rehabilitated building-2m"/>
    <s v="2m"/>
    <x v="1"/>
    <x v="333"/>
    <x v="758"/>
    <n v="299594.40000000002"/>
    <s v="KU Strategic New Initiative"/>
    <s v="Non-recurring"/>
    <n v="269634.96000000002"/>
    <n v="239675.52000000002"/>
    <n v="209716.08000000002"/>
    <s v="Service quality and performance "/>
    <s v="Service quality and performance "/>
    <s v="Service quality and performance "/>
    <m/>
    <m/>
    <n v="299594.40000000002"/>
    <m/>
    <m/>
    <m/>
    <m/>
    <m/>
    <m/>
    <m/>
    <m/>
    <m/>
    <n v="299594.40000000002"/>
    <s v="Realize a sustainable , healthy and safe campus environment for all community members"/>
    <m/>
  </r>
  <r>
    <n v="8470530"/>
    <s v="KUST - Facilities Management"/>
    <n v="1"/>
    <n v="492610"/>
    <x v="93"/>
    <s v="000000"/>
    <s v="KUST - Main Campus"/>
    <n v="847010"/>
    <x v="2"/>
    <n v="300180"/>
    <s v="847.8470530.1.492610.000000.847010.300180"/>
    <m/>
    <m/>
    <m/>
    <s v="492610.Furniture &amp; Fixtures - Offices-Area of the rehabilitated building-2m"/>
    <s v="2m"/>
    <x v="1"/>
    <x v="46"/>
    <x v="759"/>
    <n v="300000"/>
    <s v="KU Strategic New Initiative"/>
    <s v="Non-recurring"/>
    <n v="270000"/>
    <n v="240000"/>
    <n v="210000"/>
    <s v="Service quality and performance "/>
    <s v="Service quality and performance "/>
    <s v="Service quality and performance "/>
    <m/>
    <m/>
    <n v="300000"/>
    <m/>
    <m/>
    <m/>
    <m/>
    <m/>
    <m/>
    <m/>
    <m/>
    <m/>
    <n v="300000"/>
    <s v="Realize a sustainable , healthy and safe campus environment for all community members"/>
    <m/>
  </r>
  <r>
    <n v="8470530"/>
    <s v="KUST - Facilities Management"/>
    <n v="1"/>
    <n v="492610"/>
    <x v="93"/>
    <s v="000000"/>
    <s v="KUST - Main Campus"/>
    <n v="847010"/>
    <x v="2"/>
    <n v="300180"/>
    <s v="847.8470530.1.492610.000000.847010.300180"/>
    <m/>
    <m/>
    <m/>
    <s v="492610.Furniture &amp; Fixtures - Offices-Area of the rehabilitated building-2m"/>
    <s v="2m"/>
    <x v="1"/>
    <x v="334"/>
    <x v="760"/>
    <n v="688500"/>
    <s v="KU Strategic New Initiative"/>
    <s v="Non-recurring"/>
    <n v="619650"/>
    <n v="550800"/>
    <n v="481949.99999999994"/>
    <s v="Service quality and performance "/>
    <s v="Service quality and performance "/>
    <s v="Service quality and performance "/>
    <m/>
    <m/>
    <n v="688500"/>
    <m/>
    <m/>
    <m/>
    <m/>
    <m/>
    <m/>
    <m/>
    <m/>
    <m/>
    <n v="688500"/>
    <s v="Realize a sustainable , healthy and safe campus environment for all community members"/>
    <m/>
  </r>
  <r>
    <n v="8470530"/>
    <s v="KUST - Facilities Management"/>
    <n v="1"/>
    <n v="492610"/>
    <x v="93"/>
    <s v="000000"/>
    <s v="KUST - Main Campus"/>
    <n v="847010"/>
    <x v="2"/>
    <n v="300180"/>
    <s v="847.8470530.1.492610.000000.847010.300180"/>
    <m/>
    <m/>
    <m/>
    <s v="492610.Furniture &amp; Fixtures - Offices-Area of the rehabilitated building-2m"/>
    <s v="2m"/>
    <x v="1"/>
    <x v="335"/>
    <x v="761"/>
    <n v="554000"/>
    <s v="KU Strategic New Initiative"/>
    <s v="Non-recurring"/>
    <n v="498600"/>
    <n v="443200"/>
    <n v="387800"/>
    <s v="Service quality and performance "/>
    <s v="Service quality and performance "/>
    <s v="Service quality and performance "/>
    <m/>
    <m/>
    <n v="554000"/>
    <m/>
    <m/>
    <m/>
    <m/>
    <m/>
    <m/>
    <m/>
    <m/>
    <m/>
    <n v="554000"/>
    <s v="Realize a sustainable , healthy and safe campus environment for all community members"/>
    <m/>
  </r>
  <r>
    <n v="8470530"/>
    <s v="KUST - Facilities Management"/>
    <n v="1"/>
    <n v="492610"/>
    <x v="93"/>
    <s v="000000"/>
    <s v="KUST - Main Campus"/>
    <n v="847010"/>
    <x v="2"/>
    <n v="300180"/>
    <s v="847.8470530.1.492610.000000.847010.300180"/>
    <m/>
    <m/>
    <m/>
    <s v="492610.Furniture &amp; Fixtures - Offices-Area of the rehabilitated building-2m"/>
    <s v="2m"/>
    <x v="1"/>
    <x v="336"/>
    <x v="762"/>
    <n v="54500"/>
    <s v="KU Strategic New Initiative"/>
    <s v="Non-recurring"/>
    <n v="49050"/>
    <n v="43600"/>
    <n v="38150"/>
    <s v="Service quality and performance "/>
    <s v="Service quality and performance "/>
    <s v="Service quality and performance "/>
    <m/>
    <m/>
    <n v="54500"/>
    <m/>
    <m/>
    <m/>
    <m/>
    <m/>
    <m/>
    <m/>
    <m/>
    <m/>
    <n v="54500"/>
    <s v="Realize a sustainable , healthy and safe campus environment for all community members"/>
    <m/>
  </r>
  <r>
    <n v="8470530"/>
    <s v="KUST - Facilities Management"/>
    <n v="1"/>
    <n v="492610"/>
    <x v="93"/>
    <s v="000000"/>
    <s v="KUST- Sas Al Nakhl Campus"/>
    <n v="847020"/>
    <x v="2"/>
    <n v="300180"/>
    <s v="847.8470530.1.492610.000000.847020.300180"/>
    <s v="-"/>
    <n v="1375893"/>
    <n v="1375893"/>
    <s v="492610.Furniture &amp; Fixtures - Offices-Area of the rehabilitated building-2m"/>
    <s v="2m"/>
    <x v="1"/>
    <x v="222"/>
    <x v="763"/>
    <n v="280000"/>
    <s v="KU Strategic New Initiative"/>
    <s v="Non-recurring"/>
    <n v="252000"/>
    <n v="224000"/>
    <n v="196000"/>
    <s v="Service quality and performance "/>
    <s v="Service quality and performance "/>
    <s v="Service quality and performance "/>
    <m/>
    <m/>
    <n v="280000"/>
    <m/>
    <m/>
    <m/>
    <m/>
    <m/>
    <m/>
    <m/>
    <m/>
    <m/>
    <n v="280000"/>
    <s v="Realize a sustainable , healthy and safe campus environment for all community members"/>
    <m/>
  </r>
  <r>
    <n v="8470530"/>
    <s v="KUST - Facilities Management"/>
    <n v="1"/>
    <n v="495140"/>
    <x v="36"/>
    <s v="000000"/>
    <s v="KUST - Main Campus"/>
    <n v="847010"/>
    <x v="2"/>
    <n v="300180"/>
    <s v="847.8470530.1.495140.000000.847010.300180"/>
    <n v="18149.5"/>
    <n v="30312"/>
    <n v="30312"/>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25747"/>
    <x v="94"/>
    <s v="000000"/>
    <s v="Student Related Costs"/>
    <n v="847015"/>
    <x v="1"/>
    <n v="200179"/>
    <s v="847.8470530.1.425747.000000.847015.200179"/>
    <n v="18625059"/>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26210"/>
    <x v="95"/>
    <s v="000000"/>
    <s v="KUST - General"/>
    <n v="847001"/>
    <x v="1"/>
    <n v="200179"/>
    <s v="847.8470530.1.426210.000000.847001.200179"/>
    <n v="2826"/>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26800"/>
    <x v="96"/>
    <s v="000000"/>
    <s v="KUST - General"/>
    <n v="847001"/>
    <x v="1"/>
    <n v="200179"/>
    <s v="847.8470530.1.426800.000000.847001.200179"/>
    <n v="6245"/>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26900"/>
    <x v="50"/>
    <s v="000000"/>
    <s v="KUST - General"/>
    <n v="847001"/>
    <x v="1"/>
    <n v="200179"/>
    <s v="847.8470530.1.426900.000000.847001.200179"/>
    <n v="17870.55"/>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28111"/>
    <x v="71"/>
    <s v="000000"/>
    <s v="KUST - Main Campus"/>
    <n v="847010"/>
    <x v="1"/>
    <n v="200179"/>
    <s v="847.8470530.1.428111.000000.847010.200179"/>
    <n v="7180435.5099999998"/>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28111"/>
    <x v="71"/>
    <s v="000000"/>
    <s v="Student Related Costs"/>
    <n v="847015"/>
    <x v="1"/>
    <n v="200179"/>
    <s v="847.8470530.1.428111.000000.847015.200179"/>
    <n v="3253301.43"/>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28111"/>
    <x v="71"/>
    <s v="000000"/>
    <s v="KUST- Sas Al Nakhl Campus"/>
    <n v="847020"/>
    <x v="1"/>
    <n v="200179"/>
    <s v="847.8470530.1.428111.000000.847020.200179"/>
    <n v="3847536.23"/>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28111"/>
    <x v="71"/>
    <s v="000000"/>
    <s v="KUST- Masdar city campus"/>
    <n v="847030"/>
    <x v="1"/>
    <n v="200179"/>
    <s v="847.8470530.1.428111.000000.847030.200179"/>
    <n v="215086.31"/>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28112"/>
    <x v="72"/>
    <s v="000000"/>
    <s v="KUST - Main Campus"/>
    <n v="847010"/>
    <x v="1"/>
    <n v="200179"/>
    <s v="847.8470530.1.428112.000000.847010.200179"/>
    <n v="1089518.06"/>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28112"/>
    <x v="72"/>
    <s v="000000"/>
    <s v="Student Related Costs"/>
    <n v="847015"/>
    <x v="1"/>
    <n v="200179"/>
    <s v="847.8470530.1.428112.000000.847015.200179"/>
    <n v="857985.93"/>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28112"/>
    <x v="72"/>
    <s v="000000"/>
    <s v="KUST- Sas Al Nakhl Campus"/>
    <n v="847020"/>
    <x v="1"/>
    <n v="200179"/>
    <s v="847.8470530.1.428112.000000.847020.200179"/>
    <n v="1515252.2"/>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29900"/>
    <x v="84"/>
    <s v="000000"/>
    <s v="KUST - General"/>
    <n v="847001"/>
    <x v="1"/>
    <n v="200179"/>
    <s v="847.8470530.1.429900.000000.847001.200179"/>
    <n v="155101"/>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30330"/>
    <x v="97"/>
    <s v="000000"/>
    <s v="KUST - General"/>
    <n v="847001"/>
    <x v="1"/>
    <n v="200179"/>
    <s v="847.8470530.1.430330.000000.847001.200179"/>
    <n v="-3600"/>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32120"/>
    <x v="73"/>
    <s v="000000"/>
    <s v="COVID-19 Pandemic"/>
    <n v="847951"/>
    <x v="1"/>
    <n v="200179"/>
    <s v="847.8470530.1.432120.000000.847951.200179"/>
    <n v="8580"/>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32540"/>
    <x v="98"/>
    <s v="000000"/>
    <s v="KUST - General"/>
    <n v="847001"/>
    <x v="1"/>
    <n v="200179"/>
    <s v="847.8470530.1.432540.000000.847001.200179"/>
    <n v="14584.21"/>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32540"/>
    <x v="98"/>
    <s v="000000"/>
    <s v="KUST - General"/>
    <n v="847001"/>
    <x v="1"/>
    <n v="200179"/>
    <s v="847.8470530.1.432540.000000.847001.200179"/>
    <n v="3160"/>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36110"/>
    <x v="12"/>
    <s v="000000"/>
    <s v="KUST - General"/>
    <n v="847001"/>
    <x v="1"/>
    <n v="200179"/>
    <s v="847.8470530.1.436110.000000.847001.200179"/>
    <n v="299549.53000000003"/>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36110"/>
    <x v="12"/>
    <s v="000000"/>
    <s v="KUST - General"/>
    <n v="847001"/>
    <x v="1"/>
    <n v="200179"/>
    <s v="847.8470530.1.436110.000000.847001.200179"/>
    <n v="94794.3"/>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36220"/>
    <x v="99"/>
    <s v="000000"/>
    <s v="KUST - General"/>
    <n v="847001"/>
    <x v="1"/>
    <n v="200179"/>
    <s v="847.8470530.1.436220.000000.847001.200179"/>
    <n v="222400"/>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92316"/>
    <x v="19"/>
    <s v="000000"/>
    <s v="KUST - General"/>
    <n v="847001"/>
    <x v="2"/>
    <n v="300180"/>
    <s v="847.8470530.1.492316.000000.847001.300180"/>
    <n v="146450"/>
    <s v="-"/>
    <m/>
    <m/>
    <s v="-_"/>
    <x v="2"/>
    <x v="1"/>
    <x v="1"/>
    <n v="0"/>
    <s v="KU Strategic New Initiative"/>
    <s v="Non-recurring"/>
    <n v="0"/>
    <n v="0"/>
    <n v="0"/>
    <s v="Service quality and performance "/>
    <s v="Service quality and performance "/>
    <s v="Service quality and performance "/>
    <m/>
    <m/>
    <m/>
    <m/>
    <m/>
    <m/>
    <m/>
    <m/>
    <m/>
    <m/>
    <m/>
    <m/>
    <m/>
    <s v="Realize a sustainable , healthy and safe campus environment for all community members"/>
    <m/>
  </r>
  <r>
    <n v="8470530"/>
    <s v="KUST - Facilities Management"/>
    <n v="1"/>
    <n v="495110"/>
    <x v="17"/>
    <s v="000000"/>
    <s v="KUST - General"/>
    <n v="847001"/>
    <x v="2"/>
    <n v="300180"/>
    <s v="847.8470530.1.495110.000000.847001.300180"/>
    <m/>
    <m/>
    <m/>
    <s v="495110.Computer software-TBD-TBD"/>
    <s v="TBD"/>
    <x v="1"/>
    <x v="158"/>
    <x v="764"/>
    <n v="1800000"/>
    <s v="KU Strategic New Initiative"/>
    <s v="Non-recurring"/>
    <n v="1620000"/>
    <n v="1440000"/>
    <n v="1260000"/>
    <s v="Service quality and performance "/>
    <s v="Service quality and performance "/>
    <s v="Service quality and performance "/>
    <m/>
    <n v="1800000"/>
    <m/>
    <m/>
    <m/>
    <m/>
    <m/>
    <m/>
    <m/>
    <m/>
    <m/>
    <m/>
    <n v="1800000"/>
    <s v="Realize a sustainable , healthy and safe campus environment for all community members"/>
    <m/>
  </r>
  <r>
    <n v="8470540"/>
    <s v="KUST - Administration"/>
    <n v="1"/>
    <n v="413310"/>
    <x v="100"/>
    <s v="000000"/>
    <s v="KUST - Main Campus"/>
    <n v="847010"/>
    <x v="1"/>
    <n v="200179"/>
    <s v="847.8470540.1.413310.000000.847010.200179"/>
    <n v="2818066.67"/>
    <n v="589128"/>
    <n v="589128"/>
    <s v="413310.Manpower supply-Number of employees and type of service provided-Number of Number of employees and type of service provided"/>
    <s v="Number of Number of employees and type of service provided"/>
    <x v="1"/>
    <x v="337"/>
    <x v="765"/>
    <n v="953248"/>
    <s v="KU Regular operations"/>
    <s v="Recurring"/>
    <n v="857923.20000000007"/>
    <n v="762598.40000000002"/>
    <n v="667273.6"/>
    <s v="Service quality "/>
    <s v="Service quality"/>
    <s v="Service quality"/>
    <n v="79437.333400000003"/>
    <n v="79437.333400000003"/>
    <n v="79437.333400000003"/>
    <n v="79437.333400000003"/>
    <n v="79437.333400000003"/>
    <n v="79437.333400000003"/>
    <n v="79437.333400000003"/>
    <n v="79437.333400000003"/>
    <n v="79437.333400000003"/>
    <n v="79437.333400000003"/>
    <n v="79437.332999999999"/>
    <n v="79437.332999999999"/>
    <n v="953248"/>
    <s v="Ensure the university sustainability "/>
    <m/>
  </r>
  <r>
    <n v="8470540"/>
    <s v="KUST - Administration"/>
    <n v="1"/>
    <n v="413310"/>
    <x v="100"/>
    <s v="000000"/>
    <s v="KUST - Main Campus"/>
    <s v="847010"/>
    <x v="1"/>
    <n v="200179"/>
    <s v="847.8470540.1.413310.000000.847010.200179"/>
    <m/>
    <m/>
    <m/>
    <s v="413310.Manpower supply-Number of employees and type of service provided-Number of Number of employees and type of service provided"/>
    <s v="Number of Number of employees and type of service provided"/>
    <x v="1"/>
    <x v="338"/>
    <x v="766"/>
    <n v="421800"/>
    <s v="KU Regular operations"/>
    <s v="Recurring"/>
    <n v="379620"/>
    <n v="337440"/>
    <n v="295260"/>
    <s v="Service quality"/>
    <s v="Service quality"/>
    <s v="Service quality"/>
    <n v="35150"/>
    <n v="35150"/>
    <n v="35150"/>
    <n v="35150"/>
    <n v="35150"/>
    <n v="35150"/>
    <n v="35150"/>
    <n v="35150"/>
    <n v="35150"/>
    <n v="35150"/>
    <n v="35150"/>
    <n v="35150"/>
    <n v="421800"/>
    <s v="Ensure the university sustainability "/>
    <m/>
  </r>
  <r>
    <n v="8470540"/>
    <s v="KUST - Administration"/>
    <n v="1"/>
    <n v="413310"/>
    <x v="100"/>
    <s v="000000"/>
    <s v="KUST - Main Campus"/>
    <s v="847010"/>
    <x v="1"/>
    <n v="200179"/>
    <s v="847.8470540.1.413310.000000.847010.200179"/>
    <m/>
    <m/>
    <m/>
    <s v="413310.Manpower supply-Number of employees and type of service provided-Number of Number of employees and type of service provided"/>
    <s v="Number of Number of employees and type of service provided"/>
    <x v="1"/>
    <x v="339"/>
    <x v="767"/>
    <n v="190000"/>
    <s v="KU Regular operations"/>
    <s v="Recurring"/>
    <n v="171000"/>
    <n v="152000"/>
    <n v="133000"/>
    <s v="Service quality"/>
    <s v="Service quality"/>
    <s v="Service quality"/>
    <n v="15833.3334"/>
    <n v="15833.3334"/>
    <n v="15833.3334"/>
    <n v="15833.3334"/>
    <n v="15833.3334"/>
    <n v="15833.3334"/>
    <n v="15833.3334"/>
    <n v="15833.3334"/>
    <n v="15833.3334"/>
    <n v="15833.3334"/>
    <n v="15833.333000000001"/>
    <n v="15833.333000000001"/>
    <n v="190000.00000000003"/>
    <s v="Ensure the university sustainability "/>
    <m/>
  </r>
  <r>
    <n v="8470540"/>
    <s v="KUST - Administration"/>
    <n v="1"/>
    <n v="413310"/>
    <x v="100"/>
    <s v="000000"/>
    <s v="KUST - Main Campus"/>
    <s v="847010"/>
    <x v="1"/>
    <n v="200179"/>
    <s v="847.8470540.1.413310.000000.847010.200179"/>
    <m/>
    <m/>
    <m/>
    <s v="413310.Manpower supply-Number of employees and type of service provided-Number of Number of employees and type of service provided"/>
    <s v="Number of Number of employees and type of service provided"/>
    <x v="1"/>
    <x v="340"/>
    <x v="768"/>
    <n v="447260"/>
    <s v="KU Regular operations"/>
    <s v="Recurring"/>
    <n v="402534"/>
    <n v="357808"/>
    <n v="313082"/>
    <s v="Service quality"/>
    <s v="Service quality"/>
    <s v="Service quality"/>
    <n v="37271.666700000002"/>
    <n v="37271.666700000002"/>
    <n v="37271.666700000002"/>
    <n v="37271.666700000002"/>
    <n v="37271.666700000002"/>
    <n v="37271.666700000002"/>
    <n v="37271.666700000002"/>
    <n v="37271.666700000002"/>
    <n v="37271.666700000002"/>
    <n v="37271.666700000002"/>
    <n v="37271.666700000002"/>
    <n v="37271.666299999997"/>
    <n v="447260"/>
    <s v="Ensure the university sustainability "/>
    <m/>
  </r>
  <r>
    <n v="8470540"/>
    <s v="KUST - Administration"/>
    <n v="1"/>
    <n v="422900"/>
    <x v="56"/>
    <s v="000000"/>
    <s v="KUST - Main Campus"/>
    <s v="847010"/>
    <x v="1"/>
    <n v="200179"/>
    <s v="847.8470540.1.422900.000000.847010.200179"/>
    <m/>
    <m/>
    <m/>
    <s v="422900.Other specialised professional services, not mentioned elsewhere-Number of employee-number"/>
    <s v="number"/>
    <x v="1"/>
    <x v="341"/>
    <x v="769"/>
    <n v="900000"/>
    <s v="KU Regular operations"/>
    <s v="Recurring"/>
    <n v="810000"/>
    <n v="720000"/>
    <n v="630000"/>
    <s v="Service quality"/>
    <s v="Service quality"/>
    <s v="Service quality"/>
    <n v="75000"/>
    <n v="75000"/>
    <n v="75000"/>
    <n v="75000"/>
    <n v="75000"/>
    <n v="75000"/>
    <n v="75000"/>
    <n v="75000"/>
    <n v="75000"/>
    <n v="75000"/>
    <n v="75000"/>
    <n v="75000"/>
    <n v="900000"/>
    <s v="Ensure the university sustainability "/>
    <m/>
  </r>
  <r>
    <n v="8470540"/>
    <s v="KUST - Administration"/>
    <n v="1"/>
    <n v="426800"/>
    <x v="96"/>
    <s v="000000"/>
    <s v="KUST - Main Campus"/>
    <n v="847010"/>
    <x v="1"/>
    <n v="200179"/>
    <s v="847.8470540.1.426800.000000.847010.200179"/>
    <s v="-"/>
    <n v="10000"/>
    <n v="10000"/>
    <s v="426800.Motor vehicle registration and inspection charges-Number of Motor Vehicle-Month"/>
    <s v="Month"/>
    <x v="1"/>
    <x v="35"/>
    <x v="770"/>
    <n v="10000"/>
    <s v="KU Regular operations"/>
    <s v="Recurring"/>
    <n v="9000"/>
    <n v="8000"/>
    <n v="7000"/>
    <s v="Service quality"/>
    <s v="Service quality"/>
    <s v="Service quality"/>
    <n v="833.33339999999998"/>
    <n v="833.33339999999998"/>
    <n v="833.33339999999998"/>
    <n v="833.33339999999998"/>
    <n v="833.33339999999998"/>
    <n v="833.33339999999998"/>
    <n v="833.33339999999998"/>
    <n v="833.33339999999998"/>
    <n v="833.33339999999998"/>
    <n v="833.33339999999998"/>
    <n v="833.33299999999997"/>
    <n v="833.33299999999997"/>
    <n v="9999.9999999999982"/>
    <s v="Ensure the university sustainability "/>
    <m/>
  </r>
  <r>
    <n v="8470540"/>
    <s v="KUST - Administration"/>
    <n v="1"/>
    <n v="426900"/>
    <x v="50"/>
    <s v="000000"/>
    <s v="KUST - Main Campus"/>
    <n v="847010"/>
    <x v="1"/>
    <n v="200179"/>
    <s v="847.8470540.1.426900.000000.847010.200179"/>
    <s v="-"/>
    <n v="30000"/>
    <n v="30000"/>
    <s v="426900.Postal, courier and other document delivery expenses-Number of Employees-Number"/>
    <s v="Number"/>
    <x v="1"/>
    <x v="42"/>
    <x v="771"/>
    <n v="30000"/>
    <s v="KU Regular operations"/>
    <s v="Recurring"/>
    <n v="27000"/>
    <n v="24000"/>
    <n v="21000"/>
    <s v="Service quality"/>
    <s v="Service quality"/>
    <s v="Service quality"/>
    <n v="2500"/>
    <n v="2500"/>
    <n v="2500"/>
    <n v="2500"/>
    <n v="2500"/>
    <n v="2500"/>
    <n v="2500"/>
    <n v="2500"/>
    <n v="2500"/>
    <n v="2500"/>
    <n v="2500"/>
    <n v="2500"/>
    <n v="30000"/>
    <s v="Ensure the university sustainability "/>
    <m/>
  </r>
  <r>
    <n v="8470540"/>
    <s v="KUST - Administration"/>
    <n v="1"/>
    <n v="428111"/>
    <x v="71"/>
    <s v="000000"/>
    <s v="KUST - Main Campus"/>
    <n v="847010"/>
    <x v="1"/>
    <n v="200179"/>
    <s v="847.8470540.1.428111.000000.847010.200179"/>
    <s v="-"/>
    <n v="7349560"/>
    <n v="7349560"/>
    <s v="428111.Consumption charges-Water &amp; Electricity combined-Building area Main Campus-m2"/>
    <s v="m2"/>
    <x v="1"/>
    <x v="342"/>
    <x v="772"/>
    <n v="9664500"/>
    <s v="KU Regular operations"/>
    <s v="Recurring"/>
    <n v="8698050"/>
    <n v="7731600"/>
    <n v="6765150"/>
    <s v="Service quality"/>
    <s v="Service quality"/>
    <s v="Service quality"/>
    <n v="805375"/>
    <n v="805375"/>
    <n v="805375"/>
    <n v="805375"/>
    <n v="805375"/>
    <n v="805375"/>
    <n v="805375"/>
    <n v="805375"/>
    <n v="805375"/>
    <n v="805375"/>
    <n v="805375"/>
    <n v="805375"/>
    <n v="9664500"/>
    <m/>
    <m/>
  </r>
  <r>
    <n v="8470540"/>
    <s v="KUST - Administration"/>
    <n v="1"/>
    <n v="428111"/>
    <x v="71"/>
    <s v="000000"/>
    <s v="Student Related Costs"/>
    <n v="847015"/>
    <x v="1"/>
    <n v="200179"/>
    <s v="847.8470540.1.428111.000000.847015.200179"/>
    <s v="-"/>
    <n v="4615084"/>
    <n v="4615084"/>
    <s v="428111.Consumption charges-Water &amp; Electricity combined-Building area SAN Campus Student life-m2"/>
    <s v="m2"/>
    <x v="1"/>
    <x v="343"/>
    <x v="772"/>
    <n v="4615084"/>
    <s v="KU Regular operations"/>
    <s v="Recurring"/>
    <n v="4153575.6"/>
    <n v="3692067.2"/>
    <n v="3230558.8"/>
    <s v="Service quality"/>
    <s v="Service quality"/>
    <s v="Service quality"/>
    <n v="384590.3333"/>
    <n v="384590.3333"/>
    <n v="384590.3333"/>
    <n v="384590.3333"/>
    <n v="384590.3333"/>
    <n v="384590.3333"/>
    <n v="384590.3333"/>
    <n v="384590.3333"/>
    <n v="384590.3333"/>
    <n v="384590.3333"/>
    <n v="384590.3333"/>
    <n v="384590.3333"/>
    <n v="4615084"/>
    <m/>
    <m/>
  </r>
  <r>
    <n v="8470540"/>
    <s v="KUST - Administration"/>
    <n v="1"/>
    <n v="428111"/>
    <x v="71"/>
    <s v="000000"/>
    <s v="KUST- Sas Al Nakhl Campus"/>
    <n v="847020"/>
    <x v="1"/>
    <n v="200179"/>
    <s v="847.8470540.1.428111.000000.847020.200179"/>
    <s v="-"/>
    <n v="3058446"/>
    <n v="3058446"/>
    <s v="428111.Consumption charges-Water &amp; Electricity combined-Building area SAN Campus Student life-m2"/>
    <s v="m2"/>
    <x v="1"/>
    <x v="344"/>
    <x v="772"/>
    <n v="3976000"/>
    <s v="KU Regular operations"/>
    <s v="Recurring"/>
    <n v="3578400"/>
    <n v="3180800"/>
    <n v="2783200"/>
    <s v="Service quality"/>
    <s v="Service quality"/>
    <s v="Service quality"/>
    <n v="331333.33299999998"/>
    <n v="331333.33299999998"/>
    <n v="331333.33299999998"/>
    <n v="331333.33299999998"/>
    <n v="331333.33299999998"/>
    <n v="331333.33299999998"/>
    <n v="331333.33299999998"/>
    <n v="331333.33299999998"/>
    <n v="331333.33299999998"/>
    <n v="331333.33299999998"/>
    <n v="331333.33299999998"/>
    <n v="331333.33299999998"/>
    <n v="3976000"/>
    <s v="Ensure the university sustainability "/>
    <m/>
  </r>
  <r>
    <n v="8470540"/>
    <s v="KUST - Administration"/>
    <n v="1"/>
    <n v="428111"/>
    <x v="71"/>
    <s v="000000"/>
    <s v="KUST- Masdar city campus"/>
    <n v="847030"/>
    <x v="1"/>
    <n v="200179"/>
    <s v="847.8470540.1.428111.000000.847030.200179"/>
    <s v="-"/>
    <n v="442627"/>
    <n v="442627"/>
    <s v="428111.Consumption charges-Water &amp; Electricity combined-MASDER-"/>
    <s v="-_"/>
    <x v="1"/>
    <x v="345"/>
    <x v="772"/>
    <n v="442627"/>
    <s v="KU Regular operations"/>
    <s v="Recurring"/>
    <n v="398364.3"/>
    <n v="354101.60000000003"/>
    <n v="309838.89999999997"/>
    <s v="Service quality"/>
    <s v="Service quality"/>
    <s v="Service quality"/>
    <n v="36885.583400000003"/>
    <n v="36885.583400000003"/>
    <n v="36885.583400000003"/>
    <n v="36885.583400000003"/>
    <n v="36885.583400000003"/>
    <n v="36885.583400000003"/>
    <n v="36885.583400000003"/>
    <n v="36885.583400000003"/>
    <n v="36885.583400000003"/>
    <n v="36885.583400000003"/>
    <n v="36885.583400000003"/>
    <n v="36885.583400000003"/>
    <n v="442627"/>
    <s v="Ensure the university sustainability "/>
    <m/>
  </r>
  <r>
    <n v="8470540"/>
    <s v="KUST - Administration"/>
    <n v="1"/>
    <n v="428112"/>
    <x v="72"/>
    <s v="000000"/>
    <s v="KUST - Main Campus"/>
    <n v="847010"/>
    <x v="1"/>
    <n v="200179"/>
    <s v="847.8470540.1.428112.000000.847010.200179"/>
    <s v="-"/>
    <n v="1153128"/>
    <n v="1153128"/>
    <s v="428112.Water and Electricity charges - Business premises-The built up area of Main Campus-2m"/>
    <s v="2m"/>
    <x v="1"/>
    <x v="290"/>
    <x v="773"/>
    <n v="1500000"/>
    <s v="KU Regular operations"/>
    <s v="Recurring"/>
    <n v="1350000"/>
    <n v="1200000"/>
    <n v="1050000"/>
    <s v="Service quality"/>
    <s v="Service quality"/>
    <s v="Service quality"/>
    <n v="125000"/>
    <n v="125000"/>
    <n v="125000"/>
    <n v="125000"/>
    <n v="125000"/>
    <n v="125000"/>
    <n v="125000"/>
    <n v="125000"/>
    <n v="125000"/>
    <n v="125000"/>
    <n v="125000"/>
    <n v="125000"/>
    <n v="1500000"/>
    <s v="Ensure the university sustainability "/>
    <m/>
  </r>
  <r>
    <n v="8470540"/>
    <s v="KUST - Administration"/>
    <n v="1"/>
    <n v="428112"/>
    <x v="72"/>
    <s v="000000"/>
    <s v="Student Related Costs"/>
    <n v="847015"/>
    <x v="1"/>
    <n v="200179"/>
    <s v="847.8470540.1.428112.000000.847015.200179"/>
    <s v="-"/>
    <n v="1681399"/>
    <n v="1681399"/>
    <s v="428112.Water and Electricity charges - Business premises-The built up area of SAN Campus Sduent life-2m"/>
    <s v="2m"/>
    <x v="1"/>
    <x v="346"/>
    <x v="773"/>
    <n v="1681399"/>
    <s v="KU Regular operations"/>
    <s v="Recurring"/>
    <n v="1513259.1"/>
    <n v="1345119.2000000002"/>
    <n v="1176979.2999999998"/>
    <s v="Service quality"/>
    <s v="Service quality"/>
    <s v="Service quality"/>
    <n v="140116.5833"/>
    <n v="140116.5833"/>
    <n v="140116.5833"/>
    <n v="140116.5833"/>
    <n v="140116.5833"/>
    <n v="140116.5833"/>
    <n v="140116.5833"/>
    <n v="140116.5833"/>
    <n v="140116.5833"/>
    <n v="140116.5833"/>
    <n v="140116.5833"/>
    <n v="140116.5833"/>
    <n v="1681399"/>
    <s v="Ensure the university sustainability "/>
    <m/>
  </r>
  <r>
    <n v="8470540"/>
    <s v="KUST - Administration"/>
    <n v="1"/>
    <n v="428112"/>
    <x v="72"/>
    <s v="000000"/>
    <s v="KUST- Sas Al Nakhl Campus"/>
    <n v="847020"/>
    <x v="1"/>
    <n v="200179"/>
    <s v="847.8470540.1.428112.000000.847020.200179"/>
    <s v="-"/>
    <n v="1703132"/>
    <n v="1703132"/>
    <s v="428112.Water and Electricity charges - Business premises-MASDER-"/>
    <s v="-_"/>
    <x v="1"/>
    <x v="347"/>
    <x v="773"/>
    <n v="1873450"/>
    <s v="KU Regular operations"/>
    <s v="Recurring"/>
    <n v="1686105"/>
    <n v="1498760"/>
    <n v="1311415"/>
    <s v="Service quality"/>
    <s v="Service quality"/>
    <s v="Service quality"/>
    <n v="156120.8333"/>
    <n v="156120.8333"/>
    <n v="156120.8333"/>
    <n v="156120.8333"/>
    <n v="156120.8333"/>
    <n v="156120.8333"/>
    <n v="156120.8333"/>
    <n v="156120.8333"/>
    <n v="156120.8333"/>
    <n v="156120.8333"/>
    <n v="156120.8333"/>
    <n v="156120.8333"/>
    <n v="1873450"/>
    <s v="Ensure the university sustainability "/>
    <m/>
  </r>
  <r>
    <n v="8470540"/>
    <s v="KUST - Administration"/>
    <n v="1"/>
    <n v="428112"/>
    <x v="72"/>
    <s v="000000"/>
    <s v="KUST- Masdar city campus"/>
    <n v="847030"/>
    <x v="1"/>
    <n v="200179"/>
    <s v="847.8470540.1.428112.000000.847030.200179"/>
    <s v="-"/>
    <n v="153570"/>
    <n v="153570"/>
    <s v="428112.Water and Electricity charges - Business premises-The built up area of Main Campus-2m"/>
    <s v="2m"/>
    <x v="1"/>
    <x v="348"/>
    <x v="773"/>
    <n v="153570"/>
    <s v="KU Regular operations"/>
    <s v="Recurring"/>
    <n v="138213"/>
    <n v="122856"/>
    <n v="107499"/>
    <s v="Service quality"/>
    <s v="Service quality"/>
    <s v="Service quality"/>
    <n v="12797.5"/>
    <n v="12797.5"/>
    <n v="12797.5"/>
    <n v="12797.5"/>
    <n v="12797.5"/>
    <n v="12797.5"/>
    <n v="12797.5"/>
    <n v="12797.5"/>
    <n v="12797.5"/>
    <n v="12797.5"/>
    <n v="12797.5"/>
    <n v="12797.5"/>
    <n v="153570"/>
    <s v="Ensure the university sustainability "/>
    <m/>
  </r>
  <r>
    <n v="8470540"/>
    <s v="KUST - Administration"/>
    <n v="1"/>
    <n v="429900"/>
    <x v="84"/>
    <s v="000000"/>
    <s v="KUST - Main Campus"/>
    <n v="847010"/>
    <x v="1"/>
    <n v="200179"/>
    <s v="847.8470540.1.429900.000000.847010.200179"/>
    <s v="-"/>
    <n v="44000"/>
    <n v="44000"/>
    <s v="429900.Other services, not specifically mentioned elsewhere-TBD-Number of TBD"/>
    <s v="Number of TBD"/>
    <x v="1"/>
    <x v="349"/>
    <x v="774"/>
    <n v="44000"/>
    <s v="KU Regular operations"/>
    <s v="Recurring"/>
    <n v="39600"/>
    <n v="35200"/>
    <n v="30799.999999999996"/>
    <s v="Service quality"/>
    <s v="Service quality"/>
    <s v="Service quality"/>
    <n v="3666.6667000000002"/>
    <n v="3666.6667000000002"/>
    <n v="3666.6667000000002"/>
    <n v="3666.6667000000002"/>
    <n v="3666.6667000000002"/>
    <n v="3666.6667000000002"/>
    <n v="3666.6667000000002"/>
    <n v="3666.6667000000002"/>
    <n v="3666.6667000000002"/>
    <n v="3666.6667000000002"/>
    <n v="3666.6666"/>
    <n v="3666.6664000000001"/>
    <n v="44000.000000000007"/>
    <s v="Ensure the university sustainability "/>
    <m/>
  </r>
  <r>
    <n v="8470540"/>
    <s v="KUST - Administration"/>
    <n v="1"/>
    <n v="429900"/>
    <x v="84"/>
    <s v="000000"/>
    <s v="KUST - Main Campus"/>
    <s v="847010"/>
    <x v="1"/>
    <n v="200179"/>
    <s v="847.8470540.1.429900.000000.847010.200179"/>
    <m/>
    <m/>
    <m/>
    <s v="429900.Other services, not specifically mentioned elsewhere-TBD-Number of TBD"/>
    <s v="Number of TBD"/>
    <x v="1"/>
    <x v="38"/>
    <x v="775"/>
    <n v="4000"/>
    <s v="KU Regular operations"/>
    <s v="Recurring"/>
    <n v="3600"/>
    <n v="3200"/>
    <n v="2800"/>
    <s v="Service quality"/>
    <s v="Service quality"/>
    <s v="Service quality"/>
    <m/>
    <m/>
    <n v="4000"/>
    <m/>
    <m/>
    <m/>
    <m/>
    <m/>
    <m/>
    <m/>
    <m/>
    <m/>
    <n v="4000"/>
    <s v="Ensure the university sustainability "/>
    <m/>
  </r>
  <r>
    <n v="8470540"/>
    <s v="KUST - Administration"/>
    <n v="1"/>
    <n v="430330"/>
    <x v="97"/>
    <s v="000000"/>
    <s v="KUST - Main Campus"/>
    <n v="847010"/>
    <x v="1"/>
    <n v="200179"/>
    <s v="847.8470540.1.430330.000000.847010.200179"/>
    <n v="581760"/>
    <n v="967680"/>
    <n v="967680"/>
    <s v="430330.Rental - Motor vehicles-Number of staff and facilty -count"/>
    <s v="count"/>
    <x v="1"/>
    <x v="350"/>
    <x v="776"/>
    <n v="1100004"/>
    <s v="KU Regular operations"/>
    <s v="Recurring"/>
    <n v="990003.6"/>
    <n v="880003.20000000007"/>
    <n v="770002.79999999993"/>
    <s v="Service quality"/>
    <s v="Service quality"/>
    <s v="Service quality"/>
    <n v="91667"/>
    <n v="91667"/>
    <n v="91667"/>
    <n v="91667"/>
    <n v="91667"/>
    <n v="91667"/>
    <n v="91667"/>
    <n v="91667"/>
    <n v="91667"/>
    <n v="91667"/>
    <n v="91667"/>
    <n v="91667"/>
    <n v="1100004"/>
    <s v="Ensure the university sustainability "/>
    <m/>
  </r>
  <r>
    <n v="8470540"/>
    <s v="KUST - Administration"/>
    <n v="1"/>
    <n v="430330"/>
    <x v="97"/>
    <s v="000000"/>
    <s v="KUST - Main Campus"/>
    <s v="847010"/>
    <x v="1"/>
    <n v="200179"/>
    <s v="847.8470540.1.430330.000000.847010.200179"/>
    <m/>
    <m/>
    <m/>
    <s v="430330.Rental - Motor vehicles-Number of staff and facilty -count"/>
    <s v="count"/>
    <x v="1"/>
    <x v="351"/>
    <x v="777"/>
    <n v="770120.77"/>
    <s v="KU Regular operations"/>
    <s v="Recurring"/>
    <n v="693108.69300000009"/>
    <n v="616096.61600000004"/>
    <n v="539084.53899999999"/>
    <s v="Service quality"/>
    <s v="Service quality"/>
    <s v="Service quality"/>
    <n v="64176.730900000002"/>
    <n v="64176.730900000002"/>
    <n v="64176.730900000002"/>
    <n v="64176.730900000002"/>
    <n v="64176.730900000002"/>
    <n v="64176.730900000002"/>
    <n v="64176.730900000002"/>
    <n v="64176.730900000002"/>
    <n v="64176.730900000002"/>
    <n v="64176.730900000002"/>
    <n v="64176.730900000002"/>
    <n v="64176.730900000002"/>
    <n v="770120.77079999994"/>
    <s v="Ensure the university sustainability "/>
    <m/>
  </r>
  <r>
    <n v="8470540"/>
    <s v="KUST - Administration"/>
    <n v="1"/>
    <n v="432540"/>
    <x v="98"/>
    <s v="000000"/>
    <s v="KUST - Main Campus"/>
    <n v="847010"/>
    <x v="1"/>
    <n v="200179"/>
    <s v="847.8470540.1.432540.000000.847010.200179"/>
    <n v="37508.81"/>
    <n v="140000"/>
    <n v="140000"/>
    <s v="432540.Motor vehicles (non-military)-spare parts for the sedan non-military government-owned cars.-number of cars"/>
    <s v="number of cars"/>
    <x v="1"/>
    <x v="84"/>
    <x v="778"/>
    <n v="140000"/>
    <s v="KU Regular operations"/>
    <s v="Recurring"/>
    <n v="126000"/>
    <n v="112000"/>
    <n v="98000"/>
    <s v="Service quality"/>
    <s v="Service quality"/>
    <s v="Service quality"/>
    <n v="11666.6667"/>
    <n v="11666.6667"/>
    <n v="11666.6667"/>
    <n v="11666.6667"/>
    <n v="11666.6667"/>
    <n v="11666.6667"/>
    <n v="11666.6667"/>
    <n v="11666.6667"/>
    <n v="11666.6667"/>
    <n v="11666.6667"/>
    <n v="11666.6667"/>
    <n v="11666.666300000001"/>
    <n v="140000"/>
    <s v="Ensure the university sustainability "/>
    <m/>
  </r>
  <r>
    <n v="8470540"/>
    <s v="KUST - Administration"/>
    <n v="1"/>
    <n v="435410"/>
    <x v="101"/>
    <s v="000000"/>
    <s v="KUST- Sas Al Nakhl Campus"/>
    <n v="847020"/>
    <x v="1"/>
    <n v="200179"/>
    <s v="847.8470540.1.435410.000000.847020.200179"/>
    <n v="0"/>
    <n v="675690"/>
    <n v="675690"/>
    <s v="435410.Catering supplies: Offices-Number of Staff-Number"/>
    <s v="Number"/>
    <x v="1"/>
    <x v="352"/>
    <x v="779"/>
    <n v="840000"/>
    <s v="KU Regular operations"/>
    <s v="Recurring"/>
    <n v="756000"/>
    <n v="672000"/>
    <n v="588000"/>
    <s v="Service quality"/>
    <s v="Service quality"/>
    <s v="Service quality"/>
    <n v="70000"/>
    <n v="70000"/>
    <n v="70000"/>
    <n v="70000"/>
    <n v="70000"/>
    <n v="70000"/>
    <n v="70000"/>
    <n v="70000"/>
    <n v="70000"/>
    <n v="70000"/>
    <n v="70000"/>
    <n v="70000"/>
    <n v="840000"/>
    <s v="Ensure the university sustainability "/>
    <m/>
  </r>
  <r>
    <n v="8470540"/>
    <s v="KUST - Administration"/>
    <n v="1"/>
    <n v="435740"/>
    <x v="102"/>
    <s v="000000"/>
    <s v="KUST - Main Campus"/>
    <n v="847010"/>
    <x v="1"/>
    <n v="200179"/>
    <s v="847.8470540.1.435740.000000.847010.200179"/>
    <s v="-"/>
    <n v="336000"/>
    <n v="336000"/>
    <s v="435740.Fuel, oil and lubricants: Motor vehicles-Trips of Motor vehicles-km"/>
    <s v="km"/>
    <x v="1"/>
    <x v="353"/>
    <x v="780"/>
    <n v="336000"/>
    <s v="KU Regular operations"/>
    <s v="Recurring"/>
    <n v="302400"/>
    <n v="268800"/>
    <n v="235199.99999999997"/>
    <s v="Service quality"/>
    <s v="Service quality"/>
    <s v="Service quality"/>
    <n v="28000"/>
    <n v="28000"/>
    <n v="28000"/>
    <n v="28000"/>
    <n v="28000"/>
    <n v="28000"/>
    <n v="28000"/>
    <n v="28000"/>
    <n v="28000"/>
    <n v="28000"/>
    <n v="28000"/>
    <n v="28000"/>
    <n v="336000"/>
    <s v="Ensure the university sustainability "/>
    <m/>
  </r>
  <r>
    <n v="8470540"/>
    <s v="KUST - Administration"/>
    <n v="1"/>
    <n v="426250"/>
    <x v="90"/>
    <s v="000000"/>
    <s v="KUST - Main Campus"/>
    <s v="847010"/>
    <x v="1"/>
    <n v="200179"/>
    <s v="847.8470540.1.426250.000000.847010.200179"/>
    <m/>
    <m/>
    <m/>
    <s v="426250.Insurance - Motor vehicles-1. No of motor vehicles-count"/>
    <s v="count"/>
    <x v="1"/>
    <x v="27"/>
    <x v="781"/>
    <n v="50000"/>
    <s v="KU Regular operations"/>
    <s v="Recurring"/>
    <n v="45000"/>
    <n v="40000"/>
    <n v="35000"/>
    <s v="Service quality"/>
    <s v="Service quality"/>
    <s v="Service quality"/>
    <m/>
    <n v="10000"/>
    <m/>
    <n v="10000"/>
    <m/>
    <n v="10000"/>
    <m/>
    <n v="10000"/>
    <m/>
    <n v="10000"/>
    <m/>
    <m/>
    <n v="50000"/>
    <s v="Ensure the university sustainability "/>
    <m/>
  </r>
  <r>
    <n v="8470540"/>
    <s v="KUST - Administration"/>
    <n v="1"/>
    <n v="436110"/>
    <x v="12"/>
    <s v="000000"/>
    <s v="KUST - Main Campus"/>
    <n v="847010"/>
    <x v="1"/>
    <n v="200179"/>
    <s v="847.8470540.1.436110.000000.847010.200179"/>
    <s v="-"/>
    <n v="193910"/>
    <m/>
    <s v="436110.Printing supplies-Number of Employees-Number"/>
    <s v="Number"/>
    <x v="1"/>
    <x v="354"/>
    <x v="782"/>
    <n v="85700"/>
    <s v="KU Regular operations"/>
    <s v="Recurring"/>
    <n v="77130"/>
    <n v="68560"/>
    <n v="59989.999999999993"/>
    <s v="Service quality"/>
    <s v="Service quality"/>
    <s v="Service quality"/>
    <n v="7141.6666999999998"/>
    <n v="7141.6666999999998"/>
    <n v="7141.6666999999998"/>
    <n v="7141.6666999999998"/>
    <n v="7141.6666999999998"/>
    <n v="7141.6666999999998"/>
    <n v="7141.6666999999998"/>
    <n v="7141.6666999999998"/>
    <n v="7141.6666999999998"/>
    <n v="7141.6666999999998"/>
    <n v="7141.6666999999998"/>
    <n v="7141.6662999999999"/>
    <n v="85700"/>
    <s v="Ensure the university sustainability "/>
    <m/>
  </r>
  <r>
    <n v="8470110"/>
    <s v="KUST - Office of the President"/>
    <n v="1"/>
    <n v="420550"/>
    <x v="20"/>
    <s v="000000"/>
    <s v="KUST - General"/>
    <n v="847001"/>
    <x v="1"/>
    <n v="200179"/>
    <s v="847.8470110.1.420550.000000.847001.200179"/>
    <n v="0"/>
    <n v="30000"/>
    <n v="30000"/>
    <s v="420550.Academic Advisory Service-Number of Services-Number"/>
    <s v="Number"/>
    <x v="1"/>
    <x v="183"/>
    <x v="783"/>
    <n v="100000"/>
    <s v="KU Strategic New Initiative"/>
    <s v="Non-recurring"/>
    <n v="90000"/>
    <n v="80000"/>
    <n v="70000"/>
    <s v="Impact operation of the department."/>
    <s v="Impact operation of the department."/>
    <s v="Impact operation of the department."/>
    <m/>
    <m/>
    <m/>
    <m/>
    <m/>
    <m/>
    <m/>
    <m/>
    <m/>
    <m/>
    <n v="100000"/>
    <n v="0"/>
    <n v="100000"/>
    <s v="Build partnerships with local and international universities"/>
    <m/>
  </r>
  <r>
    <n v="8470110"/>
    <s v="KUST - Office of the President"/>
    <n v="1"/>
    <n v="420570"/>
    <x v="21"/>
    <s v="000000"/>
    <s v="KUST - General"/>
    <n v="847001"/>
    <x v="1"/>
    <n v="200179"/>
    <s v="847.8470110.1.420570.000000.847001.200179"/>
    <n v="0"/>
    <n v="3684121"/>
    <n v="3684121"/>
    <s v="420570.Academic Collaborative Partnership Services-Partnership Agreement or Academic Collaboration -No of Partneship/collaboration Agreement"/>
    <s v="No of Partneship/collaboration Agreement"/>
    <x v="1"/>
    <x v="295"/>
    <x v="784"/>
    <n v="5000000"/>
    <s v="KU Strategic New Initiative"/>
    <s v="Non-recurring"/>
    <n v="4500000"/>
    <n v="4000000"/>
    <n v="3500000"/>
    <s v="Impact operation of the department."/>
    <s v="Impact operation of the department."/>
    <s v="Impact operation of the department."/>
    <m/>
    <m/>
    <m/>
    <m/>
    <m/>
    <m/>
    <n v="2500000"/>
    <m/>
    <m/>
    <m/>
    <n v="2500000"/>
    <m/>
    <n v="5000000"/>
    <s v="Build partnerships with local and international universities"/>
    <m/>
  </r>
  <r>
    <n v="8470110"/>
    <s v="KUST - Office of the President"/>
    <n v="1"/>
    <n v="421000"/>
    <x v="42"/>
    <s v="000000"/>
    <s v="KUST - General"/>
    <n v="847001"/>
    <x v="1"/>
    <n v="200179"/>
    <s v="847.8470110.1.421000.000000.847001.200179"/>
    <n v="0"/>
    <n v="200000"/>
    <n v="200000"/>
    <s v="421000.Management consultancy-Number of contracted consultations -count"/>
    <s v="count"/>
    <x v="1"/>
    <x v="77"/>
    <x v="785"/>
    <n v="200000"/>
    <s v="KU Strategic New Initiative"/>
    <s v="Non-recurring"/>
    <n v="180000"/>
    <n v="160000"/>
    <n v="140000"/>
    <s v="Impact operation of the department."/>
    <s v="Impact operation of the department."/>
    <s v="Impact operation of the department."/>
    <m/>
    <m/>
    <m/>
    <m/>
    <m/>
    <n v="100000"/>
    <m/>
    <m/>
    <m/>
    <m/>
    <n v="100000"/>
    <m/>
    <n v="200000"/>
    <s v="Develop the university innovation and entrepreneurship system"/>
    <m/>
  </r>
  <r>
    <n v="8470110"/>
    <s v="KUST - Office of the President"/>
    <n v="1"/>
    <n v="425510"/>
    <x v="23"/>
    <s v="000000"/>
    <s v="KUST - General"/>
    <n v="847001"/>
    <x v="1"/>
    <n v="200179"/>
    <s v="847.8470110.1.425510.000000.847001.200179"/>
    <n v="-188793.94"/>
    <n v="300000"/>
    <n v="300000"/>
    <s v="425510.Conferences, seminars and exhibitions and other events: - Local Events-Conferences-Number of Conferences"/>
    <s v="Number of Conferences"/>
    <x v="1"/>
    <x v="46"/>
    <x v="786"/>
    <n v="300000"/>
    <s v="KU Regular operations"/>
    <s v="Recurring"/>
    <n v="270000"/>
    <n v="240000"/>
    <n v="210000"/>
    <s v="Impact operation of the department."/>
    <s v="Impact operation of the department."/>
    <s v="Impact operation of the department."/>
    <m/>
    <m/>
    <m/>
    <m/>
    <m/>
    <m/>
    <m/>
    <m/>
    <m/>
    <m/>
    <n v="300000"/>
    <m/>
    <n v="300000"/>
    <s v="Enhance the communication plan and outreach activities"/>
    <m/>
  </r>
  <r>
    <n v="8470110"/>
    <s v="KUST - Office of the President"/>
    <n v="1"/>
    <n v="425550"/>
    <x v="24"/>
    <s v="000000"/>
    <s v="KUST - General"/>
    <n v="847001"/>
    <x v="1"/>
    <n v="200179"/>
    <s v="847.8470110.1.425550.000000.847001.200179"/>
    <s v="-"/>
    <n v="300000"/>
    <n v="300000"/>
    <s v="425550.Conferences, seminars and exhibitions and other events: - Overseas event-Conferences-Number of Conferences"/>
    <s v="Number of Conferences"/>
    <x v="1"/>
    <x v="46"/>
    <x v="787"/>
    <n v="300000"/>
    <s v="KU Regular operations"/>
    <s v="Recurring"/>
    <n v="270000"/>
    <n v="240000"/>
    <n v="210000"/>
    <s v="Impact operation of the department."/>
    <s v="Impact operation of the department."/>
    <s v="Impact operation of the department."/>
    <m/>
    <m/>
    <m/>
    <m/>
    <m/>
    <m/>
    <m/>
    <m/>
    <n v="150000"/>
    <m/>
    <n v="150000"/>
    <m/>
    <n v="300000"/>
    <s v="Enhance the communication plan and outreach activities"/>
    <m/>
  </r>
  <r>
    <n v="8470110"/>
    <s v="KUST - Office of the President"/>
    <n v="1"/>
    <n v="425900"/>
    <x v="26"/>
    <s v="000000"/>
    <s v="KUST - General"/>
    <n v="847001"/>
    <x v="1"/>
    <n v="200179"/>
    <s v="847.8470110.1.425900.000000.847001.200179"/>
    <n v="1327.5"/>
    <n v="10000"/>
    <n v="10000"/>
    <s v="425900.Entertainment and hospitality-1. No of events/workshops planned-count"/>
    <s v="count"/>
    <x v="1"/>
    <x v="27"/>
    <x v="788"/>
    <n v="50000"/>
    <s v="KU Regular operations"/>
    <s v="Recurring"/>
    <n v="45000"/>
    <n v="40000"/>
    <n v="35000"/>
    <s v="Impact operation of the department."/>
    <s v="Impact operation of the department."/>
    <s v="Impact operation of the department."/>
    <n v="4000"/>
    <n v="4000"/>
    <n v="4000"/>
    <n v="4000"/>
    <n v="4000"/>
    <n v="4000"/>
    <n v="4000"/>
    <n v="5000"/>
    <n v="4000"/>
    <n v="4000"/>
    <n v="5000"/>
    <n v="4000"/>
    <n v="50000"/>
    <s v="Enhance the communication plan and outreach activities"/>
    <m/>
  </r>
  <r>
    <n v="8470110"/>
    <s v="KUST - Office of the President"/>
    <n v="1"/>
    <n v="428090"/>
    <x v="7"/>
    <s v="000000"/>
    <s v="KUST - General"/>
    <n v="847001"/>
    <x v="1"/>
    <n v="200179"/>
    <s v="847.8470110.1.428090.000000.847001.200179"/>
    <n v="15480.75"/>
    <n v="1000000"/>
    <n v="1000000"/>
    <s v="428090.Business Travel - Combined expenses-Number of Staff-Number"/>
    <s v="Number"/>
    <x v="1"/>
    <x v="170"/>
    <x v="625"/>
    <n v="1000000"/>
    <s v="KU Strategic New Initiative"/>
    <s v="Non-recurring"/>
    <n v="900000"/>
    <n v="800000"/>
    <n v="700000"/>
    <s v="Impact operation of the department."/>
    <s v="Impact operation of the department."/>
    <s v="Impact operation of the department."/>
    <m/>
    <m/>
    <n v="250000"/>
    <m/>
    <m/>
    <n v="250000"/>
    <m/>
    <m/>
    <n v="250000"/>
    <m/>
    <m/>
    <n v="250000"/>
    <n v="1000000"/>
    <s v="Build partnerships with local and international universities"/>
    <m/>
  </r>
  <r>
    <n v="8470110"/>
    <s v="KUST - Office of the President"/>
    <n v="1"/>
    <n v="428400"/>
    <x v="103"/>
    <s v="000000"/>
    <s v="KUST - General"/>
    <n v="847001"/>
    <x v="1"/>
    <n v="200179"/>
    <s v="847.8470110.1.428400.000000.847001.200179"/>
    <s v="-"/>
    <n v="50000"/>
    <n v="50000"/>
    <s v="428400.Sponsorship expenses/contributions-No of University/event sponshorship-No of Sponshorship"/>
    <s v="No of Sponshorship"/>
    <x v="1"/>
    <x v="27"/>
    <x v="789"/>
    <n v="50000"/>
    <s v="KU Strategic New Initiative"/>
    <s v="Non-recurring"/>
    <n v="45000"/>
    <n v="40000"/>
    <n v="35000"/>
    <s v="Impact operation of the department."/>
    <s v="Impact operation of the department."/>
    <s v="Impact operation of the department."/>
    <m/>
    <m/>
    <m/>
    <m/>
    <m/>
    <m/>
    <m/>
    <m/>
    <m/>
    <m/>
    <n v="50000"/>
    <m/>
    <n v="50000"/>
    <s v="Build partnerships with local and international universities"/>
    <m/>
  </r>
  <r>
    <n v="8470110"/>
    <s v="KUST - Office of the President"/>
    <n v="1"/>
    <n v="428640"/>
    <x v="27"/>
    <s v="000000"/>
    <s v="KUST - General"/>
    <n v="847001"/>
    <x v="1"/>
    <n v="200179"/>
    <s v="847.8470110.1.428640.000000.847001.200179"/>
    <n v="0"/>
    <n v="100000"/>
    <n v="100000"/>
    <s v="428640.Events - Awards, prizes &amp; gifts-Number of gifts-count"/>
    <s v="count"/>
    <x v="1"/>
    <x v="27"/>
    <x v="790"/>
    <n v="50000"/>
    <s v="KU Regular operations"/>
    <s v="Recurring"/>
    <n v="45000"/>
    <n v="40000"/>
    <n v="35000"/>
    <s v="Impact operation of the department."/>
    <s v="Impact operation of the department."/>
    <s v="Impact operation of the department."/>
    <m/>
    <m/>
    <n v="12500"/>
    <m/>
    <m/>
    <n v="12500"/>
    <m/>
    <m/>
    <n v="12500"/>
    <m/>
    <m/>
    <n v="12500"/>
    <n v="50000"/>
    <s v="Enhance the communication plan and outreach activities"/>
    <m/>
  </r>
  <r>
    <n v="8470120"/>
    <s v="KUST - Audit"/>
    <n v="1"/>
    <n v="420120"/>
    <x v="104"/>
    <s v="000000"/>
    <s v="KUST - General"/>
    <n v="847001"/>
    <x v="1"/>
    <n v="200179"/>
    <s v="847.8470120.1.420120.000000.847001.200179"/>
    <n v="383814"/>
    <n v="420000"/>
    <n v="500000"/>
    <s v="420120.Internal Audit service-Number of Audit-Number"/>
    <s v="Number"/>
    <x v="3"/>
    <x v="94"/>
    <x v="791"/>
    <n v="420000"/>
    <s v="KU Regular operations"/>
    <s v="Recurring"/>
    <n v="378000"/>
    <n v="336000"/>
    <n v="294000"/>
    <s v="Reduction in no of technical audits"/>
    <s v="Reduction in no of technical audits"/>
    <s v="Reduction in no of technical audits"/>
    <m/>
    <m/>
    <n v="70000"/>
    <m/>
    <m/>
    <n v="140000"/>
    <m/>
    <m/>
    <n v="140000"/>
    <m/>
    <n v="70000"/>
    <m/>
    <n v="420000"/>
    <s v="Build partnerships with local and international universities"/>
    <m/>
  </r>
  <r>
    <n v="8470120"/>
    <s v="KUST - Audit"/>
    <n v="1"/>
    <n v="420120"/>
    <x v="104"/>
    <s v="000000"/>
    <s v="KUST - General"/>
    <s v="847001"/>
    <x v="1"/>
    <n v="200179"/>
    <s v="847.8470120.1.420120.000000.847001.200179"/>
    <m/>
    <n v="100000"/>
    <m/>
    <s v="420120.Internal Audit service-Number of Audit-Number"/>
    <s v="Number"/>
    <x v="1"/>
    <x v="183"/>
    <x v="792"/>
    <n v="100000"/>
    <s v="KU Regular operations"/>
    <s v="Non-recurring"/>
    <n v="90000"/>
    <n v="80000"/>
    <n v="70000"/>
    <s v="Reduction in providing adequate governance / Audit"/>
    <s v="Reduction in providing adequate governance / Audit"/>
    <s v="Reduction in providing adequate governance / Audit"/>
    <m/>
    <m/>
    <m/>
    <m/>
    <m/>
    <n v="50000"/>
    <m/>
    <m/>
    <n v="50000"/>
    <m/>
    <m/>
    <m/>
    <n v="100000"/>
    <s v="Build partnerships with local and international universities"/>
    <m/>
  </r>
  <r>
    <n v="8470120"/>
    <s v="KUST - Audit"/>
    <n v="1"/>
    <n v="426610"/>
    <x v="41"/>
    <s v="000000"/>
    <s v="KUST - General"/>
    <n v="847001"/>
    <x v="1"/>
    <n v="200179"/>
    <s v="847.8470120.1.426610.000000.847001.200179"/>
    <s v="-"/>
    <n v="56000"/>
    <n v="55612"/>
    <s v="426610.Computer software licenses-Software License Renewal-number of licenses-Number"/>
    <s v="Number"/>
    <x v="1"/>
    <x v="355"/>
    <x v="793"/>
    <n v="24889"/>
    <s v="KU Regular operations"/>
    <s v="Recurring"/>
    <n v="22400.100000000002"/>
    <n v="19911.2"/>
    <n v="17422.3"/>
    <s v="Impact run the dept. operation"/>
    <s v="Impact run the dept. operation"/>
    <s v="Impact run the dept. operation"/>
    <m/>
    <m/>
    <m/>
    <m/>
    <m/>
    <n v="24889"/>
    <m/>
    <m/>
    <m/>
    <m/>
    <m/>
    <m/>
    <n v="24889"/>
    <s v="Ensure the university sustainability "/>
    <m/>
  </r>
  <r>
    <n v="8470121"/>
    <s v="KUST - Compliance and Risk Management"/>
    <n v="1"/>
    <n v="421000"/>
    <x v="42"/>
    <s v="000000"/>
    <s v="KUST - General"/>
    <n v="847001"/>
    <x v="1"/>
    <n v="200179"/>
    <s v="847.8470121.1.421000.000000.847001.200179"/>
    <m/>
    <m/>
    <m/>
    <s v="421000.Management Consultancy work for hiring external expert investigators-Type of Allegation-number"/>
    <s v="number"/>
    <x v="11"/>
    <x v="30"/>
    <x v="794"/>
    <n v="50000"/>
    <s v="KU Regular operations"/>
    <s v="Recurring"/>
    <n v="45000"/>
    <n v="40000"/>
    <n v="35000"/>
    <s v="Will not get the proper investigation as intended and planned "/>
    <s v="Will not get the proper investigation as intended and planned"/>
    <s v="Will not get the proper investigation as intended and planned"/>
    <m/>
    <m/>
    <m/>
    <m/>
    <m/>
    <m/>
    <m/>
    <m/>
    <m/>
    <m/>
    <n v="50000"/>
    <n v="0"/>
    <n v="50000"/>
    <s v="Ensure the university sustainability "/>
    <m/>
  </r>
  <r>
    <n v="8470121"/>
    <s v="KUST - Compliance and Risk Management"/>
    <n v="1"/>
    <n v="425900"/>
    <x v="26"/>
    <s v="000000"/>
    <s v="KUST - General"/>
    <n v="847001"/>
    <x v="1"/>
    <n v="200179"/>
    <s v="847.8470121.1.425900.000000.847001.200179"/>
    <m/>
    <m/>
    <m/>
    <s v="425900.Entertainment and hospitality-1. No of events/workshops planned-count"/>
    <s v="count"/>
    <x v="7"/>
    <x v="74"/>
    <x v="795"/>
    <n v="15000"/>
    <s v="KU Strategic New Initiative"/>
    <s v="Recurring"/>
    <n v="13500"/>
    <n v="12000"/>
    <n v="10500"/>
    <s v="_x000a_Impact on business run operations  _x000a_"/>
    <s v="_x000a_Impact on business run operations  _x000a_"/>
    <s v="_x000a_Impact on business run operations  _x000a_"/>
    <m/>
    <m/>
    <m/>
    <m/>
    <m/>
    <m/>
    <m/>
    <m/>
    <m/>
    <m/>
    <n v="15000"/>
    <m/>
    <n v="15000"/>
    <s v="Ensure the university sustainability "/>
    <m/>
  </r>
  <r>
    <n v="8470121"/>
    <s v="KUST - Compliance and Risk Management"/>
    <n v="1"/>
    <n v="421000"/>
    <x v="42"/>
    <s v="000000"/>
    <s v="KUST - General"/>
    <n v="847001"/>
    <x v="1"/>
    <n v="200179"/>
    <s v="847.8470121.1.421000.000000.847001.200179"/>
    <m/>
    <m/>
    <m/>
    <s v="421000. Newsletters,Case Studies,Infographics and Annual Compliance Campaign collateral"/>
    <s v="number"/>
    <x v="7"/>
    <x v="31"/>
    <x v="794"/>
    <n v="100000"/>
    <s v="KU Regular operations"/>
    <s v="Recurring"/>
    <n v="90000"/>
    <n v="80000"/>
    <n v="70000"/>
    <s v="Impact on business run operations  "/>
    <s v="Impact on business run operations  "/>
    <s v="Impact on business run operations  "/>
    <m/>
    <m/>
    <m/>
    <m/>
    <m/>
    <m/>
    <m/>
    <m/>
    <m/>
    <m/>
    <n v="100000"/>
    <m/>
    <n v="100000"/>
    <s v="Ensure the university sustainability "/>
    <m/>
  </r>
  <r>
    <n v="8470121"/>
    <s v="KUST - Compliance and Risk Management"/>
    <n v="1"/>
    <n v="421700"/>
    <x v="89"/>
    <s v="000000"/>
    <s v="KUST - General"/>
    <n v="847001"/>
    <x v="1"/>
    <n v="200179"/>
    <s v="847.8470121.1.421700.000000.847001.200179"/>
    <m/>
    <m/>
    <m/>
    <s v="421700.Standards Certification Services (e.g. ISO)-professional services scope/deliverables-Number"/>
    <s v="Number"/>
    <x v="11"/>
    <x v="109"/>
    <x v="794"/>
    <n v="150000"/>
    <s v="KU Regular operations"/>
    <s v="Recurring"/>
    <n v="135000"/>
    <n v="120000"/>
    <n v="105000"/>
    <s v="Impact on business run operations  "/>
    <s v="Impact on business run operations  "/>
    <s v="Impact on business run operations  "/>
    <m/>
    <m/>
    <m/>
    <m/>
    <m/>
    <m/>
    <m/>
    <m/>
    <m/>
    <m/>
    <n v="150000"/>
    <m/>
    <n v="150000"/>
    <s v="Ensure the university sustainability "/>
    <m/>
  </r>
  <r>
    <n v="8470121"/>
    <s v="KUST - Compliance and Risk Management"/>
    <n v="1"/>
    <n v="426610"/>
    <x v="41"/>
    <s v="000000"/>
    <s v="KUST - General"/>
    <n v="847001"/>
    <x v="1"/>
    <n v="200179"/>
    <s v="847.8470121.1.426610.000000.847001.200179"/>
    <m/>
    <m/>
    <m/>
    <s v="426610.Computer software licenses-Software License Renewal-number of licenses-Number"/>
    <s v="Number"/>
    <x v="7"/>
    <x v="42"/>
    <x v="796"/>
    <n v="150000"/>
    <s v="KU Regular operations"/>
    <s v="Recurring"/>
    <n v="135000"/>
    <n v="120000"/>
    <n v="105000"/>
    <s v="Improper Compliance training for KU staff, faculty and students  "/>
    <s v="Improper Compliance training for KU staff, faculty and students  "/>
    <s v="Improper Compliance training for KU staff, faculty and students  "/>
    <m/>
    <m/>
    <m/>
    <m/>
    <m/>
    <m/>
    <m/>
    <m/>
    <m/>
    <m/>
    <n v="150000"/>
    <m/>
    <n v="150000"/>
    <s v="Ensure the university sustainability "/>
    <m/>
  </r>
  <r>
    <n v="8470150"/>
    <s v="KUST - General Counsel"/>
    <n v="1"/>
    <n v="420900"/>
    <x v="65"/>
    <s v="000000"/>
    <s v="KUST - General"/>
    <n v="847001"/>
    <x v="1"/>
    <n v="200179"/>
    <s v="847.8470150.1.420900.000000.847001.200179"/>
    <n v="1350"/>
    <n v="21000"/>
    <n v="21000"/>
    <s v="420900.Legal services-Translation-number of pages"/>
    <s v="number of pages"/>
    <x v="1"/>
    <x v="31"/>
    <x v="797"/>
    <n v="20000"/>
    <s v="KU Regular operations"/>
    <s v="Recurring"/>
    <n v="18000"/>
    <n v="16000"/>
    <n v="14000"/>
    <s v="impact the  quality "/>
    <s v="impact the  quality "/>
    <s v="impact the  quality "/>
    <m/>
    <m/>
    <n v="5000"/>
    <m/>
    <m/>
    <n v="5000"/>
    <m/>
    <m/>
    <n v="5000"/>
    <m/>
    <m/>
    <n v="5000"/>
    <n v="20000"/>
    <s v="Ensure the university sustainability "/>
    <m/>
  </r>
  <r>
    <n v="8470150"/>
    <s v="KUST - General Counsel"/>
    <n v="1"/>
    <n v="420900"/>
    <x v="65"/>
    <s v="000000"/>
    <s v="KUST - General"/>
    <n v="847001"/>
    <x v="1"/>
    <n v="200179"/>
    <s v="847.8470150.1.420900.000000.847001.200179"/>
    <s v="-"/>
    <s v="-"/>
    <m/>
    <s v="420900.Legal services-hours of legal consutancy-number of working hours"/>
    <s v="number of working hours"/>
    <x v="1"/>
    <x v="46"/>
    <x v="798"/>
    <n v="300000"/>
    <s v="KU Regular operations"/>
    <s v="Recurring"/>
    <n v="270000"/>
    <n v="240000"/>
    <n v="210000"/>
    <s v="impact the  quality "/>
    <s v="impact the  quality "/>
    <s v="impact the  quality "/>
    <n v="25000"/>
    <n v="25000"/>
    <n v="25000"/>
    <n v="25000"/>
    <n v="25000"/>
    <n v="25000"/>
    <n v="25000"/>
    <n v="25000"/>
    <n v="25000"/>
    <n v="25000"/>
    <n v="25000"/>
    <n v="25000"/>
    <n v="300000"/>
    <s v="Ensure the university sustainability "/>
    <m/>
  </r>
  <r>
    <n v="8470150"/>
    <s v="KUST - General Counsel"/>
    <n v="1"/>
    <n v="427710"/>
    <x v="52"/>
    <s v="000000"/>
    <s v="KUST - General"/>
    <s v="847001"/>
    <x v="1"/>
    <n v="200179"/>
    <s v="847.8470150.1.427710.000000.847001.200179"/>
    <m/>
    <m/>
    <m/>
    <s v="427710.Subscriptions and membership fees: Trade organisations-Number  of Memberships-Number"/>
    <s v="Number"/>
    <x v="1"/>
    <x v="30"/>
    <x v="799"/>
    <n v="25000"/>
    <s v="KU Regular operations"/>
    <s v="Recurring"/>
    <n v="22500"/>
    <n v="20000"/>
    <n v="17500"/>
    <s v="impact the  quality "/>
    <s v="impact the  quality "/>
    <s v="impact the  quality "/>
    <m/>
    <m/>
    <n v="25000"/>
    <m/>
    <m/>
    <m/>
    <m/>
    <m/>
    <m/>
    <m/>
    <m/>
    <m/>
    <n v="25000"/>
    <s v="Ensure the university sustainability "/>
    <m/>
  </r>
  <r>
    <n v="8470160"/>
    <s v="KUST - SVP/ Support Services Office"/>
    <n v="1"/>
    <n v="425550"/>
    <x v="24"/>
    <s v="000000"/>
    <s v="KUST - General"/>
    <n v="847001"/>
    <x v="1"/>
    <n v="200179"/>
    <s v="847.8470160.1.425550.000000.847001.200179"/>
    <m/>
    <m/>
    <n v="25000"/>
    <s v="425550.Conferences, seminars and exhibitions and other events: - Overseas event-Conferences-Number of Conferences"/>
    <s v="Number of Conferences"/>
    <x v="11"/>
    <x v="27"/>
    <x v="800"/>
    <n v="100000"/>
    <s v="KU Strategic New Initiative"/>
    <s v="Non-recurring"/>
    <n v="90000"/>
    <n v="80000"/>
    <n v="70000"/>
    <s v="Impact on running the operation in department"/>
    <s v="Impact on running the operation in department"/>
    <s v="Impact on running the operation in department"/>
    <m/>
    <m/>
    <n v="50000"/>
    <m/>
    <m/>
    <m/>
    <m/>
    <m/>
    <n v="50000"/>
    <m/>
    <m/>
    <m/>
    <n v="100000"/>
    <s v="Develop the university innovation and entrepreneurship system"/>
    <m/>
  </r>
  <r>
    <n v="8470160"/>
    <s v="KUST - SVP/ Support Services Office"/>
    <n v="1"/>
    <n v="428640"/>
    <x v="27"/>
    <s v="000000"/>
    <s v="KUST - General"/>
    <n v="847001"/>
    <x v="1"/>
    <n v="200179"/>
    <s v="847.8470160.1.428640.000000.847001.200179"/>
    <m/>
    <m/>
    <n v="100000"/>
    <s v="428640.Events - Awards, prizes &amp; gifts-Number of gifts-count"/>
    <s v="count"/>
    <x v="28"/>
    <x v="65"/>
    <x v="801"/>
    <n v="100000"/>
    <s v="KU Regular operations"/>
    <s v="Recurring"/>
    <n v="90000"/>
    <n v="80000"/>
    <n v="70000"/>
    <s v="Impact on running the operation in department"/>
    <s v="Impact on running the operation in department"/>
    <s v="Impact on running the operation in department"/>
    <n v="50000"/>
    <m/>
    <n v="50000"/>
    <m/>
    <m/>
    <m/>
    <m/>
    <m/>
    <m/>
    <m/>
    <m/>
    <m/>
    <n v="100000"/>
    <s v="Enhance the communication plan and outreach activities"/>
    <m/>
  </r>
  <r>
    <n v="8470160"/>
    <s v="KUST - SVP/ Support Services Office"/>
    <n v="1"/>
    <n v="428090"/>
    <x v="7"/>
    <s v="000000"/>
    <s v="KUST - General"/>
    <n v="847001"/>
    <x v="1"/>
    <n v="200179"/>
    <s v="847.8470160.1.428090.000000.847001.200179"/>
    <m/>
    <m/>
    <n v="40000"/>
    <s v="428090.Business Travel - Combined expenses-Number of Staff-Number"/>
    <s v="Number"/>
    <x v="11"/>
    <x v="27"/>
    <x v="802"/>
    <n v="100000"/>
    <s v="KU Strategic New Initiative"/>
    <s v="Non-recurring"/>
    <n v="90000"/>
    <n v="80000"/>
    <n v="70000"/>
    <s v="Impact on running the operation in department"/>
    <s v="Impact on running the operation in department"/>
    <s v="Impact on running the operation in department"/>
    <m/>
    <m/>
    <m/>
    <m/>
    <m/>
    <n v="50000"/>
    <m/>
    <n v="50000"/>
    <m/>
    <m/>
    <m/>
    <m/>
    <n v="100000"/>
    <s v="Develop the university innovation and entrepreneurship system"/>
    <m/>
  </r>
  <r>
    <n v="8470160"/>
    <s v="KUST - SVP/ Support Services Office"/>
    <n v="1"/>
    <n v="425900"/>
    <x v="26"/>
    <s v="000000"/>
    <s v="KUST - General"/>
    <n v="847001"/>
    <x v="1"/>
    <n v="200179"/>
    <s v="847.8470160.1.425900.000000.847001.200179"/>
    <m/>
    <m/>
    <n v="2200000"/>
    <s v="425900.Entertainment and hospitality-1. No of events/workshops planned-count"/>
    <s v="count"/>
    <x v="3"/>
    <x v="77"/>
    <x v="803"/>
    <n v="1200000"/>
    <s v="KU Regular operations"/>
    <s v="Recurring"/>
    <n v="1080000"/>
    <n v="960000"/>
    <n v="840000"/>
    <s v="Impact on running the operation in department"/>
    <s v="Impact on running the operation in department"/>
    <s v="Impact on running the operation in department"/>
    <n v="500000"/>
    <m/>
    <n v="200000"/>
    <m/>
    <m/>
    <n v="500000"/>
    <m/>
    <m/>
    <m/>
    <m/>
    <m/>
    <m/>
    <n v="1200000"/>
    <s v="Develop the university innovation and entrepreneurship system"/>
    <m/>
  </r>
  <r>
    <n v="8471160"/>
    <s v="KUST - Research Laboratories"/>
    <n v="1"/>
    <n v="420810"/>
    <x v="1"/>
    <s v="000000"/>
    <s v="KUST - General"/>
    <n v="847001"/>
    <x v="1"/>
    <n v="200179"/>
    <s v="847.8471160.1.420810.000000.847001.200179"/>
    <s v="-"/>
    <n v="0"/>
    <n v="0"/>
    <m/>
    <s v="-_"/>
    <x v="2"/>
    <x v="1"/>
    <x v="1"/>
    <n v="0"/>
    <m/>
    <m/>
    <n v="0"/>
    <n v="0"/>
    <n v="0"/>
    <m/>
    <m/>
    <m/>
    <n v="0"/>
    <n v="0"/>
    <n v="0"/>
    <n v="0"/>
    <n v="0"/>
    <n v="0"/>
    <n v="0"/>
    <n v="0"/>
    <n v="0"/>
    <n v="0"/>
    <m/>
    <n v="0"/>
    <n v="0"/>
    <m/>
    <m/>
  </r>
  <r>
    <n v="8471160"/>
    <s v="KUST - Research Laboratories"/>
    <n v="1"/>
    <n v="420811"/>
    <x v="105"/>
    <s v="000000"/>
    <s v="KUST - General"/>
    <n v="847001"/>
    <x v="1"/>
    <n v="200179"/>
    <s v="847.8471160.1.420811.000000.847001.200179"/>
    <s v="-"/>
    <n v="588000"/>
    <n v="588000"/>
    <s v="420811.IT Systems &amp; Support expenses-Application/Systems Operation-professional services scope/deliverables-Month"/>
    <s v="Month"/>
    <x v="1"/>
    <x v="168"/>
    <x v="804"/>
    <n v="1"/>
    <m/>
    <m/>
    <n v="0.9"/>
    <n v="0.8"/>
    <n v="0.7"/>
    <m/>
    <m/>
    <m/>
    <n v="1"/>
    <n v="0"/>
    <n v="0"/>
    <n v="0"/>
    <n v="0"/>
    <n v="0"/>
    <n v="0"/>
    <n v="0"/>
    <n v="0"/>
    <n v="0"/>
    <m/>
    <n v="0"/>
    <n v="1"/>
    <s v="Ensure the university sustainability "/>
    <m/>
  </r>
  <r>
    <n v="8471160"/>
    <s v="KUST - Research Laboratories"/>
    <n v="1"/>
    <n v="426610"/>
    <x v="4"/>
    <s v="000000"/>
    <s v="KUST - General"/>
    <n v="847001"/>
    <x v="1"/>
    <n v="200179"/>
    <s v="847.8471160.1.426610.000000.847001.200179"/>
    <n v="51393.919999999998"/>
    <n v="161375"/>
    <n v="161375"/>
    <s v="426610.Computer software licenses-Software License Renewal-number of licenses-Number"/>
    <s v="Number"/>
    <x v="77"/>
    <x v="168"/>
    <x v="805"/>
    <n v="15330"/>
    <m/>
    <m/>
    <n v="13797"/>
    <n v="12264"/>
    <n v="10731"/>
    <s v="Software renewal cannot be made."/>
    <s v="Software renewal cannot be made."/>
    <s v="Software renewal cannot be made."/>
    <m/>
    <m/>
    <n v="15330"/>
    <m/>
    <m/>
    <m/>
    <m/>
    <m/>
    <m/>
    <m/>
    <m/>
    <m/>
    <n v="15330"/>
    <s v="Ensure the university sustainability "/>
    <m/>
  </r>
  <r>
    <n v="8471160"/>
    <s v="KUST - Research Laboratories"/>
    <n v="1"/>
    <n v="432209"/>
    <x v="32"/>
    <s v="000000"/>
    <s v="KUST - General"/>
    <n v="847001"/>
    <x v="1"/>
    <n v="200179"/>
    <s v="847.8471160.1.432209.000000.847001.200179"/>
    <n v="10701612.01"/>
    <n v="15319303"/>
    <n v="15319303"/>
    <s v="432209.Laboratory equipment-Number of Students-Number"/>
    <s v="Number"/>
    <x v="78"/>
    <x v="168"/>
    <x v="805"/>
    <n v="17597270"/>
    <s v="KU Regular operations"/>
    <s v="Recurring"/>
    <n v="15837543"/>
    <n v="14077816"/>
    <n v="12318089"/>
    <s v="Not possible. Equipment maintenance cannot be decreased by percentage. Not performing maintenance leads to potential equipment failures thereby impacting on supported research activities. With increasing budget reduction scenarios, such concerns are amplified in addition to increasing HSE risk due to possibly poorly maintained equipment."/>
    <s v="Not possible. Equipment maintenance cannot be decreased by percentage. Not performing maintenance leads to potential equipment failures thereby impacting on supported research activities. With increasing budget reduction scenarios, such concerns are amplified in addition to increasing HSE risk due to possibly poorly maintained equipment."/>
    <s v="Not possible. Equipment maintenance cannot be decreased by percentage. Not performing maintenance leads to potential equipment failures thereby impacting on supported research activities. With increasing budget reduction scenarios, such concerns are amplified in addition to increasing HSE risk due to possibly poorly maintained equipment."/>
    <n v="879863.5"/>
    <n v="879863.5"/>
    <n v="1759727"/>
    <n v="2639590.5"/>
    <n v="2639590.5"/>
    <n v="2639590.5"/>
    <n v="1759727"/>
    <n v="1759727"/>
    <n v="879863.5"/>
    <n v="879863.5"/>
    <n v="879863.5"/>
    <n v="0"/>
    <n v="17597270"/>
    <s v="Ensure the university sustainability "/>
    <m/>
  </r>
  <r>
    <n v="8471160"/>
    <s v="KUST - Research Laboratories"/>
    <n v="1"/>
    <n v="435508"/>
    <x v="34"/>
    <s v="000000"/>
    <s v="KUST - General"/>
    <n v="847001"/>
    <x v="1"/>
    <n v="200179"/>
    <s v="847.8471160.1.435508.000000.847001.200179"/>
    <n v="1706315.81"/>
    <n v="2753398"/>
    <n v="2753398"/>
    <s v="435508.Laboratory - Scientific-Number of Faculty-Number"/>
    <s v="Number"/>
    <x v="79"/>
    <x v="168"/>
    <x v="805"/>
    <n v="14046375"/>
    <s v="KU Regular operations"/>
    <s v="Recurring"/>
    <n v="12641737.5"/>
    <n v="11237100"/>
    <n v="9832462.5"/>
    <s v="Impacts on equipment maintenance and constraints equipment usage to support researcher activities. With increasing budget reduction scenarios, such concerns are amplified."/>
    <s v="Impacts on equipment maintenance and constraints equipment usage to support researcher activities. With increasing budget reduction scenarios, such concerns are amplified."/>
    <s v="Impacts on equipment maintenance and constraints equipment usage to support researcher activities. With increasing budget reduction scenarios, such concerns are amplified."/>
    <n v="702318.75"/>
    <n v="702318.75"/>
    <n v="1404637.5"/>
    <n v="2106956.25"/>
    <n v="2106956.25"/>
    <n v="1404637.5"/>
    <n v="1404637.5"/>
    <n v="1404637.5"/>
    <n v="1334405.625"/>
    <n v="702318.75"/>
    <n v="702318.75"/>
    <n v="70231.875"/>
    <n v="14046375"/>
    <s v="Ensure the university sustainability "/>
    <m/>
  </r>
  <r>
    <n v="8471160"/>
    <s v="KUST - Research Laboratories"/>
    <n v="1"/>
    <n v="492200"/>
    <x v="92"/>
    <s v="000000"/>
    <s v="KUST - General"/>
    <n v="847001"/>
    <x v="2"/>
    <n v="300180"/>
    <s v="847.8471160.1.492200.000000.847001.300180"/>
    <n v="1834890.5"/>
    <n v="1304891"/>
    <n v="1304891"/>
    <s v="492316.Laboratory equipment-Number of Faculty-Number"/>
    <s v="Number"/>
    <x v="80"/>
    <x v="168"/>
    <x v="805"/>
    <n v="865000"/>
    <s v="KU Strategic New Initiative"/>
    <s v="Non-recurring"/>
    <n v="778500"/>
    <n v="692000"/>
    <n v="605500"/>
    <s v="Infrastructure investment will need to be redesigned and postponed."/>
    <s v="Infrastructure investment will need to be redesigned and postponed."/>
    <s v="Infrastructure investment will need to be redesigned and postponed."/>
    <n v="0"/>
    <n v="865000"/>
    <n v="0"/>
    <n v="0"/>
    <n v="0"/>
    <n v="0"/>
    <n v="0"/>
    <n v="0"/>
    <n v="0"/>
    <n v="0"/>
    <n v="0"/>
    <n v="0"/>
    <n v="865000"/>
    <s v="Ensure the university sustainability "/>
    <m/>
  </r>
  <r>
    <n v="8471160"/>
    <s v="KUST - Research Laboratories"/>
    <n v="1"/>
    <n v="492316"/>
    <x v="19"/>
    <s v="000000"/>
    <s v="KUST - General"/>
    <n v="847001"/>
    <x v="2"/>
    <n v="300180"/>
    <s v="847.8471160.1.492316.000000.847001.300180"/>
    <n v="7403823.8399999999"/>
    <n v="15928069"/>
    <n v="15928069"/>
    <s v="492316.Laboratory equipment-Number of Research-Number"/>
    <s v="Number"/>
    <x v="81"/>
    <x v="168"/>
    <x v="805"/>
    <n v="81669712"/>
    <s v="KU Strategic New Initiative"/>
    <s v="Non-recurring"/>
    <n v="73502740.799999997"/>
    <n v="65335769.600000001"/>
    <n v="57168798.399999999"/>
    <s v="Laboratory based research capabilities will be constrained to existing aging equipment. With increasing budget reduction scenarios, such constraints are amplified."/>
    <s v="Laboratory based research capabilities will be constrained to existing aging equipment. With increasing budget reduction scenarios, such constraints are amplified."/>
    <s v="Laboratory based research capabilities will be constrained to existing aging equipment. With increasing budget reduction scenarios, such constraints are amplified."/>
    <n v="8166971.2000000002"/>
    <n v="16333942.4"/>
    <n v="24500913.599999998"/>
    <n v="24500913.599999998"/>
    <n v="8166971.2000000002"/>
    <n v="0"/>
    <n v="0"/>
    <n v="0"/>
    <n v="0"/>
    <n v="0"/>
    <n v="0"/>
    <n v="0"/>
    <n v="81669712"/>
    <s v="Ensure the university sustainability "/>
    <m/>
  </r>
  <r>
    <n v="8471160"/>
    <s v="KUST - Research Laboratories"/>
    <n v="1"/>
    <n v="422100"/>
    <x v="43"/>
    <s v="000000"/>
    <n v="0"/>
    <n v="847001"/>
    <x v="1"/>
    <n v="200179"/>
    <s v="847.8471160.1.422100.000000.847001.200179"/>
    <n v="100000"/>
    <s v="-"/>
    <s v="-"/>
    <m/>
    <s v="-_"/>
    <x v="2"/>
    <x v="1"/>
    <x v="1"/>
    <n v="0"/>
    <m/>
    <m/>
    <n v="0"/>
    <n v="0"/>
    <n v="0"/>
    <m/>
    <m/>
    <m/>
    <n v="0"/>
    <n v="0"/>
    <n v="0"/>
    <n v="0"/>
    <n v="0"/>
    <n v="0"/>
    <n v="0"/>
    <n v="0"/>
    <n v="0"/>
    <n v="0"/>
    <m/>
    <n v="0"/>
    <n v="0"/>
    <m/>
    <m/>
  </r>
  <r>
    <n v="8471160"/>
    <s v="KUST - Research Laboratories"/>
    <n v="1"/>
    <n v="430330"/>
    <x v="97"/>
    <s v="000000"/>
    <n v="0"/>
    <n v="847001"/>
    <x v="1"/>
    <n v="200179"/>
    <s v="847.8471160.1.430330.000000.847001.200179"/>
    <n v="-3673.25"/>
    <s v="-"/>
    <s v="-"/>
    <m/>
    <s v="-_"/>
    <x v="2"/>
    <x v="1"/>
    <x v="1"/>
    <n v="0"/>
    <m/>
    <m/>
    <n v="0"/>
    <n v="0"/>
    <n v="0"/>
    <m/>
    <m/>
    <m/>
    <n v="0"/>
    <n v="0"/>
    <n v="0"/>
    <n v="0"/>
    <n v="0"/>
    <n v="0"/>
    <n v="0"/>
    <n v="0"/>
    <n v="0"/>
    <n v="0"/>
    <m/>
    <n v="0"/>
    <n v="0"/>
    <m/>
    <m/>
  </r>
  <r>
    <m/>
    <m/>
    <m/>
    <m/>
    <x v="106"/>
    <m/>
    <m/>
    <m/>
    <x v="3"/>
    <m/>
    <m/>
    <m/>
    <m/>
    <m/>
    <m/>
    <m/>
    <x v="2"/>
    <x v="1"/>
    <x v="1"/>
    <m/>
    <m/>
    <m/>
    <m/>
    <m/>
    <m/>
    <m/>
    <m/>
    <m/>
    <m/>
    <m/>
    <m/>
    <m/>
    <m/>
    <m/>
    <m/>
    <m/>
    <m/>
    <m/>
    <m/>
    <m/>
    <m/>
    <m/>
    <m/>
  </r>
</pivotCacheRecords>
</file>

<file path=xl/pivotCache/pivotCacheRecords5.xml><?xml version="1.0" encoding="utf-8"?>
<pivotCacheRecords xmlns="http://schemas.openxmlformats.org/spreadsheetml/2006/main" xmlns:r="http://schemas.openxmlformats.org/officeDocument/2006/relationships" count="740">
  <r>
    <x v="0"/>
    <s v="Chapter-01"/>
    <s v="Chapter-01"/>
    <x v="0"/>
    <s v="Chapter-01"/>
    <x v="0"/>
    <s v="Chapter-01"/>
    <s v="Chapter-01"/>
    <x v="0"/>
    <x v="0"/>
    <n v="734104574"/>
    <n v="541385100"/>
    <n v="583579295"/>
    <n v="622545692"/>
    <n v="601695721"/>
    <n v="273667080"/>
    <n v="1643996"/>
    <n v="7959693"/>
    <n v="696199047.14972389"/>
    <m/>
    <m/>
    <m/>
    <n v="714862760"/>
    <n v="779727079"/>
  </r>
  <r>
    <x v="1"/>
    <s v="847.8470230.1.420550.000000.847001.200179"/>
    <n v="8470230"/>
    <x v="1"/>
    <n v="420550"/>
    <x v="1"/>
    <n v="847001"/>
    <s v="KUST - General"/>
    <x v="1"/>
    <x v="1"/>
    <n v="346386"/>
    <n v="79120"/>
    <n v="56949"/>
    <n v="1020620"/>
    <n v="1020620"/>
    <n v="0"/>
    <n v="0"/>
    <n v="0"/>
    <n v="2009826"/>
    <n v="1808843"/>
    <n v="1607861"/>
    <n v="1406878"/>
    <n v="2764960"/>
    <n v="5655600"/>
  </r>
  <r>
    <x v="1"/>
    <s v="847.8470230.1.425100.000000.847001.200179"/>
    <n v="8470230"/>
    <x v="1"/>
    <n v="425100"/>
    <x v="2"/>
    <n v="847001"/>
    <s v="KUST - General"/>
    <x v="1"/>
    <x v="1"/>
    <n v="251555"/>
    <n v="0"/>
    <n v="0"/>
    <n v="300000"/>
    <n v="300000"/>
    <n v="0"/>
    <n v="0"/>
    <n v="0"/>
    <n v="300000"/>
    <n v="270000"/>
    <n v="240000"/>
    <n v="210000"/>
    <n v="300000"/>
    <n v="300000"/>
  </r>
  <r>
    <x v="1"/>
    <s v="847.8470230.1.425510.000000.847001.200179"/>
    <n v="8470230"/>
    <x v="1"/>
    <n v="425510"/>
    <x v="3"/>
    <n v="847001"/>
    <s v="KUST - General"/>
    <x v="1"/>
    <x v="1"/>
    <n v="46161"/>
    <n v="17919"/>
    <n v="3706"/>
    <n v="34000"/>
    <n v="34000"/>
    <n v="0"/>
    <n v="0"/>
    <n v="0"/>
    <n v="38400"/>
    <n v="34560"/>
    <n v="30720"/>
    <n v="26880"/>
    <n v="48000"/>
    <n v="64000"/>
  </r>
  <r>
    <x v="1"/>
    <s v="847.8470230.1.425550.000000.847001.200179"/>
    <n v="8470230"/>
    <x v="1"/>
    <n v="425550"/>
    <x v="4"/>
    <n v="847001"/>
    <s v="KUST - General"/>
    <x v="1"/>
    <x v="1"/>
    <n v="347020"/>
    <n v="25200"/>
    <n v="3326"/>
    <n v="222000"/>
    <n v="222000"/>
    <n v="22420.5"/>
    <n v="0"/>
    <n v="0"/>
    <n v="355200"/>
    <n v="319680"/>
    <n v="284160"/>
    <n v="248640"/>
    <n v="444000"/>
    <n v="592000"/>
  </r>
  <r>
    <x v="1"/>
    <s v="847.8470230.1.425743.000000.847001.200179"/>
    <n v="8470230"/>
    <x v="1"/>
    <n v="425743"/>
    <x v="5"/>
    <n v="847001"/>
    <s v="KUST - General"/>
    <x v="1"/>
    <x v="1"/>
    <n v="7340000"/>
    <n v="2010000"/>
    <n v="960000"/>
    <n v="240000"/>
    <n v="240000"/>
    <n v="240000"/>
    <n v="0"/>
    <n v="0"/>
    <n v="0"/>
    <n v="0"/>
    <n v="0"/>
    <n v="0"/>
    <n v="0"/>
    <n v="0"/>
  </r>
  <r>
    <x v="1"/>
    <s v="847.8470230.1.425744.000000.847001.200179"/>
    <n v="8470230"/>
    <x v="1"/>
    <n v="425744"/>
    <x v="6"/>
    <n v="847001"/>
    <s v="KUST - General"/>
    <x v="1"/>
    <x v="1"/>
    <n v="0"/>
    <n v="0"/>
    <n v="0"/>
    <n v="4816800"/>
    <n v="4816800"/>
    <n v="588624.56999999995"/>
    <n v="0"/>
    <n v="0"/>
    <n v="3700000"/>
    <n v="3330000"/>
    <n v="2960000"/>
    <n v="2590000"/>
    <n v="4380000"/>
    <n v="4824000"/>
  </r>
  <r>
    <x v="1"/>
    <s v="847.8470230.1.425745.000000.847001.200179"/>
    <n v="8470230"/>
    <x v="1"/>
    <n v="425745"/>
    <x v="7"/>
    <n v="847001"/>
    <s v="KUST - General"/>
    <x v="1"/>
    <x v="1"/>
    <n v="2585909"/>
    <n v="1706509"/>
    <n v="1286175"/>
    <n v="1971263"/>
    <n v="1971263"/>
    <n v="817645"/>
    <n v="0"/>
    <n v="0"/>
    <n v="3104115"/>
    <n v="2793704"/>
    <n v="2483292"/>
    <n v="2172881"/>
    <n v="3663925"/>
    <n v="3931250"/>
  </r>
  <r>
    <x v="1"/>
    <s v="847.8470230.1.425749.000000.847001.200179"/>
    <n v="8470230"/>
    <x v="1"/>
    <n v="425749"/>
    <x v="8"/>
    <n v="847001"/>
    <s v="KUST - General"/>
    <x v="1"/>
    <x v="1"/>
    <n v="0"/>
    <n v="22420057"/>
    <n v="84701166"/>
    <n v="110824684"/>
    <n v="110824684"/>
    <n v="55768459.640000001"/>
    <n v="0"/>
    <n v="0"/>
    <n v="203750000"/>
    <n v="183375000"/>
    <n v="163000000"/>
    <n v="142625000"/>
    <n v="249200000"/>
    <n v="274120000"/>
  </r>
  <r>
    <x v="1"/>
    <s v="847.8470230.1.425761.000000.847001.200179"/>
    <n v="8470230"/>
    <x v="1"/>
    <n v="425761"/>
    <x v="9"/>
    <n v="847001"/>
    <s v="KUST - General"/>
    <x v="1"/>
    <x v="1"/>
    <n v="0"/>
    <n v="0"/>
    <n v="0"/>
    <n v="150000"/>
    <n v="150000"/>
    <n v="0"/>
    <n v="0"/>
    <n v="0"/>
    <n v="180000"/>
    <n v="162000"/>
    <n v="144000"/>
    <n v="126000"/>
    <n v="225000"/>
    <n v="300000"/>
  </r>
  <r>
    <x v="1"/>
    <s v="847.8470230.1.425762.000000.847001.200179"/>
    <n v="8470230"/>
    <x v="1"/>
    <n v="425762"/>
    <x v="10"/>
    <n v="847001"/>
    <s v="KUST - General"/>
    <x v="1"/>
    <x v="1"/>
    <n v="0"/>
    <n v="0"/>
    <n v="0"/>
    <n v="150000"/>
    <n v="150000"/>
    <n v="0"/>
    <n v="0"/>
    <n v="0"/>
    <n v="180000"/>
    <n v="162000"/>
    <n v="144000"/>
    <n v="126000"/>
    <n v="225000"/>
    <n v="300000"/>
  </r>
  <r>
    <x v="1"/>
    <s v="847.8470230.1.425900.000000.847001.200179"/>
    <n v="8470230"/>
    <x v="1"/>
    <n v="425900"/>
    <x v="11"/>
    <n v="847001"/>
    <s v="KUST - General"/>
    <x v="1"/>
    <x v="1"/>
    <n v="16320"/>
    <n v="6993"/>
    <n v="0"/>
    <n v="45648"/>
    <n v="45648"/>
    <n v="0"/>
    <n v="0"/>
    <n v="0"/>
    <n v="60078"/>
    <n v="54070"/>
    <n v="48062"/>
    <n v="42055"/>
    <n v="64320"/>
    <n v="77720"/>
  </r>
  <r>
    <x v="1"/>
    <s v="847.8470230.1.426610.000000.847001.200179"/>
    <n v="8470230"/>
    <x v="1"/>
    <n v="426610"/>
    <x v="12"/>
    <n v="847001"/>
    <s v="KUST - General"/>
    <x v="1"/>
    <x v="1"/>
    <n v="0"/>
    <n v="0"/>
    <n v="0"/>
    <n v="10000"/>
    <n v="10000"/>
    <n v="0"/>
    <n v="0"/>
    <n v="0"/>
    <n v="10000"/>
    <n v="9000"/>
    <n v="8000"/>
    <n v="7000"/>
    <n v="10000"/>
    <n v="10000"/>
  </r>
  <r>
    <x v="1"/>
    <s v="847.8470230.1.428090.000000.847001.200179"/>
    <n v="8470230"/>
    <x v="1"/>
    <n v="428090"/>
    <x v="13"/>
    <n v="847001"/>
    <s v="KUST - General"/>
    <x v="1"/>
    <x v="1"/>
    <n v="166493"/>
    <n v="10779"/>
    <n v="0"/>
    <n v="97000"/>
    <n v="97000"/>
    <n v="0"/>
    <n v="0"/>
    <n v="0"/>
    <n v="95800"/>
    <n v="86220"/>
    <n v="76640"/>
    <n v="67060"/>
    <n v="95800"/>
    <n v="95800"/>
  </r>
  <r>
    <x v="1"/>
    <s v="847.8470230.1.428640.000000.847001.200179"/>
    <n v="8470230"/>
    <x v="1"/>
    <n v="428640"/>
    <x v="14"/>
    <n v="847001"/>
    <s v="KUST - General"/>
    <x v="1"/>
    <x v="1"/>
    <n v="4500"/>
    <n v="0"/>
    <n v="0"/>
    <n v="80000"/>
    <n v="80000"/>
    <n v="0"/>
    <n v="0"/>
    <n v="0"/>
    <n v="71221"/>
    <n v="64099"/>
    <n v="56977"/>
    <n v="49855"/>
    <n v="84864"/>
    <n v="128700"/>
  </r>
  <r>
    <x v="1"/>
    <s v="847.8470230.1.436110.000000.847001.200179"/>
    <n v="8470230"/>
    <x v="1"/>
    <n v="436110"/>
    <x v="15"/>
    <n v="847001"/>
    <s v="KUST - General"/>
    <x v="1"/>
    <x v="1"/>
    <n v="1400"/>
    <n v="42100"/>
    <n v="0"/>
    <n v="5000"/>
    <n v="5000"/>
    <n v="0"/>
    <n v="0"/>
    <n v="0"/>
    <n v="5000"/>
    <n v="4500"/>
    <n v="4000"/>
    <n v="3500"/>
    <n v="5000"/>
    <n v="5000"/>
  </r>
  <r>
    <x v="1"/>
    <s v="847.8470230.1.492310.000000.847001.300180"/>
    <n v="8470230"/>
    <x v="1"/>
    <n v="492310"/>
    <x v="16"/>
    <n v="847001"/>
    <s v="KUST - General"/>
    <x v="2"/>
    <x v="2"/>
    <n v="0"/>
    <n v="0"/>
    <n v="0"/>
    <n v="1380709"/>
    <n v="1380709"/>
    <n v="0"/>
    <n v="0"/>
    <n v="1333260"/>
    <n v="1561500"/>
    <n v="1405350"/>
    <n v="1249200"/>
    <n v="1093050"/>
    <n v="931500"/>
    <n v="931500"/>
  </r>
  <r>
    <x v="1"/>
    <s v="847.8471210.1.425900.000000.847001.200179"/>
    <n v="8471210"/>
    <x v="2"/>
    <n v="425900"/>
    <x v="11"/>
    <n v="847001"/>
    <s v="KUST - General"/>
    <x v="1"/>
    <x v="1"/>
    <n v="2218"/>
    <n v="0"/>
    <n v="0"/>
    <n v="15000"/>
    <n v="15000"/>
    <n v="13795"/>
    <n v="0"/>
    <n v="0"/>
    <n v="15000"/>
    <n v="13500"/>
    <n v="12000"/>
    <n v="10500"/>
    <n v="15000"/>
    <n v="15000"/>
  </r>
  <r>
    <x v="1"/>
    <s v="847.8471210.1.428090.000000.847001.200179"/>
    <n v="8471210"/>
    <x v="2"/>
    <n v="428090"/>
    <x v="13"/>
    <n v="847001"/>
    <s v="KUST - General"/>
    <x v="1"/>
    <x v="1"/>
    <n v="61140"/>
    <n v="9000"/>
    <n v="0"/>
    <n v="100000"/>
    <n v="100000"/>
    <n v="0"/>
    <n v="0"/>
    <n v="0"/>
    <n v="160000"/>
    <n v="144000"/>
    <n v="128000"/>
    <n v="112000"/>
    <n v="160000"/>
    <n v="160000"/>
  </r>
  <r>
    <x v="1"/>
    <s v="847.8471210.1.428640.000000.847001.200179"/>
    <n v="8471210"/>
    <x v="2"/>
    <n v="428640"/>
    <x v="14"/>
    <n v="847001"/>
    <s v="KUST - General"/>
    <x v="1"/>
    <x v="1"/>
    <n v="0"/>
    <n v="0"/>
    <n v="0"/>
    <n v="20000"/>
    <n v="20000"/>
    <n v="0"/>
    <n v="0"/>
    <n v="0"/>
    <n v="20000"/>
    <n v="18000"/>
    <n v="16000"/>
    <n v="14000"/>
    <n v="20000"/>
    <n v="20000"/>
  </r>
  <r>
    <x v="1"/>
    <s v="847.8471210.1.435530.000000.847001.200179"/>
    <n v="8471210"/>
    <x v="2"/>
    <n v="435530"/>
    <x v="17"/>
    <n v="847001"/>
    <s v="KUST - General"/>
    <x v="1"/>
    <x v="1"/>
    <n v="0"/>
    <n v="0"/>
    <n v="0"/>
    <n v="20000"/>
    <n v="20000"/>
    <n v="0"/>
    <n v="0"/>
    <n v="0"/>
    <n v="20000"/>
    <n v="18000"/>
    <n v="16000"/>
    <n v="14000"/>
    <n v="20000"/>
    <n v="20000"/>
  </r>
  <r>
    <x v="1"/>
    <s v="847.8471220.1.425510.000000.847001.200179"/>
    <n v="8471220"/>
    <x v="3"/>
    <n v="425510"/>
    <x v="3"/>
    <n v="847001"/>
    <s v="KUST - General"/>
    <x v="1"/>
    <x v="1"/>
    <n v="0"/>
    <n v="2200"/>
    <n v="0"/>
    <n v="2200"/>
    <n v="2200"/>
    <n v="0"/>
    <n v="0"/>
    <n v="0"/>
    <n v="4000"/>
    <n v="3600"/>
    <n v="3200"/>
    <n v="2800"/>
    <n v="4800"/>
    <n v="5760"/>
  </r>
  <r>
    <x v="1"/>
    <s v="847.8471220.1.425741.000000.847001.200179"/>
    <n v="8471220"/>
    <x v="3"/>
    <n v="425741"/>
    <x v="18"/>
    <n v="847001"/>
    <s v="KUST - General"/>
    <x v="1"/>
    <x v="1"/>
    <n v="47701100"/>
    <n v="27445103"/>
    <n v="-19400"/>
    <n v="80501600"/>
    <n v="80501600"/>
    <n v="38326679.57"/>
    <n v="0"/>
    <n v="0"/>
    <n v="98652604"/>
    <n v="88787344"/>
    <n v="78922083"/>
    <n v="69056823"/>
    <n v="118383125"/>
    <n v="142059750"/>
  </r>
  <r>
    <x v="1"/>
    <s v="847.8471220.1.426900.000000.847001.200179"/>
    <n v="8471220"/>
    <x v="3"/>
    <n v="426900"/>
    <x v="19"/>
    <n v="847001"/>
    <s v="KUST - General"/>
    <x v="1"/>
    <x v="1"/>
    <n v="0"/>
    <n v="10807"/>
    <n v="0"/>
    <n v="11000"/>
    <n v="11000"/>
    <n v="0"/>
    <n v="0"/>
    <n v="0"/>
    <n v="5190"/>
    <n v="4671"/>
    <n v="4152"/>
    <n v="3633"/>
    <n v="6228"/>
    <n v="7474"/>
  </r>
  <r>
    <x v="1"/>
    <s v="847.8471220.1.435340.000000.847001.200179"/>
    <n v="8471220"/>
    <x v="3"/>
    <n v="435340"/>
    <x v="20"/>
    <n v="847001"/>
    <s v="KUST - General"/>
    <x v="1"/>
    <x v="1"/>
    <n v="7518618"/>
    <n v="11132827"/>
    <n v="9483734"/>
    <n v="9500000"/>
    <n v="9500000"/>
    <n v="4279841.18"/>
    <n v="0"/>
    <n v="0"/>
    <n v="11400000"/>
    <n v="10260000"/>
    <n v="9120000"/>
    <n v="7980000"/>
    <n v="13680000"/>
    <n v="16416000"/>
  </r>
  <r>
    <x v="1"/>
    <s v="847.8471220.1.436110.000000.847001.200179"/>
    <n v="8471220"/>
    <x v="3"/>
    <n v="436110"/>
    <x v="15"/>
    <n v="847001"/>
    <s v="KUST - General"/>
    <x v="1"/>
    <x v="1"/>
    <n v="15800"/>
    <n v="0"/>
    <n v="21820"/>
    <n v="300000"/>
    <n v="300000"/>
    <n v="52000"/>
    <n v="0"/>
    <n v="63500"/>
    <n v="361000"/>
    <n v="324900"/>
    <n v="288800"/>
    <n v="252700"/>
    <n v="433200"/>
    <n v="519840"/>
  </r>
  <r>
    <x v="1"/>
    <s v="847.8471220.1.436120.000000.847001.200179"/>
    <n v="8471220"/>
    <x v="3"/>
    <n v="436120"/>
    <x v="21"/>
    <n v="847001"/>
    <s v="KUST - General"/>
    <x v="1"/>
    <x v="1"/>
    <n v="816"/>
    <n v="0"/>
    <n v="0"/>
    <n v="6000"/>
    <n v="6000"/>
    <n v="0"/>
    <n v="0"/>
    <n v="0"/>
    <n v="2400"/>
    <n v="2160"/>
    <n v="1920"/>
    <n v="1680"/>
    <n v="2880"/>
    <n v="3456"/>
  </r>
  <r>
    <x v="1"/>
    <s v="847.8471230.1.425742.000000.847001.200179"/>
    <n v="8471230"/>
    <x v="4"/>
    <n v="425742"/>
    <x v="22"/>
    <n v="847001"/>
    <s v="KUST - General"/>
    <x v="1"/>
    <x v="1"/>
    <n v="5721219"/>
    <n v="1691072"/>
    <n v="967573"/>
    <n v="1647000"/>
    <n v="1647000"/>
    <n v="251892.61"/>
    <n v="110000"/>
    <n v="149008.60999999999"/>
    <n v="1980000"/>
    <n v="495000"/>
    <n v="440000"/>
    <n v="385000"/>
    <n v="2200000"/>
    <n v="2500000"/>
  </r>
  <r>
    <x v="1"/>
    <s v="847.8471230.1.426610.000000.847001.200179"/>
    <n v="8471230"/>
    <x v="4"/>
    <n v="426610"/>
    <x v="12"/>
    <n v="847001"/>
    <s v="KUST - General"/>
    <x v="1"/>
    <x v="1"/>
    <n v="0"/>
    <n v="0"/>
    <n v="95605"/>
    <n v="120000"/>
    <n v="120000"/>
    <n v="0"/>
    <n v="0"/>
    <n v="0"/>
    <n v="100000"/>
    <n v="90000"/>
    <n v="80000"/>
    <n v="70000"/>
    <n v="100000"/>
    <n v="100000"/>
  </r>
  <r>
    <x v="1"/>
    <s v="847.8471240.1.425510.000000.847001.200179"/>
    <n v="8471240"/>
    <x v="5"/>
    <n v="425510"/>
    <x v="3"/>
    <n v="847001"/>
    <s v="KUST - General"/>
    <x v="1"/>
    <x v="1"/>
    <n v="90097"/>
    <n v="42054"/>
    <n v="2888"/>
    <n v="220000"/>
    <n v="220000"/>
    <n v="51401.25"/>
    <n v="0"/>
    <n v="0"/>
    <n v="220000"/>
    <n v="40500"/>
    <n v="36000"/>
    <n v="31500"/>
    <n v="220000"/>
    <n v="220000"/>
  </r>
  <r>
    <x v="1"/>
    <s v="847.8471240.1.425720.000000.847001.200179"/>
    <n v="8471240"/>
    <x v="5"/>
    <n v="425720"/>
    <x v="23"/>
    <n v="847001"/>
    <s v="KUST - General"/>
    <x v="1"/>
    <x v="1"/>
    <n v="51422"/>
    <n v="107865"/>
    <n v="-95"/>
    <n v="128000"/>
    <n v="128000"/>
    <n v="0"/>
    <n v="0"/>
    <n v="0"/>
    <n v="128000"/>
    <n v="67500"/>
    <n v="60000"/>
    <n v="52500"/>
    <n v="128000"/>
    <n v="128000"/>
  </r>
  <r>
    <x v="1"/>
    <s v="847.8471240.1.425750.000000.847001.200179"/>
    <n v="8471240"/>
    <x v="5"/>
    <n v="425750"/>
    <x v="24"/>
    <n v="847001"/>
    <s v="KUST - General"/>
    <x v="1"/>
    <x v="1"/>
    <n v="0"/>
    <n v="-16200"/>
    <n v="0"/>
    <n v="23000"/>
    <n v="23000"/>
    <n v="0"/>
    <n v="0"/>
    <n v="0"/>
    <n v="23000"/>
    <n v="7560"/>
    <n v="6720"/>
    <n v="5880"/>
    <n v="23000"/>
    <n v="23000"/>
  </r>
  <r>
    <x v="1"/>
    <s v="847.8471240.1.425761.000000.847001.200179"/>
    <n v="8471240"/>
    <x v="5"/>
    <n v="425761"/>
    <x v="9"/>
    <n v="847001"/>
    <s v="KUST - General"/>
    <x v="1"/>
    <x v="1"/>
    <n v="144141"/>
    <n v="466665"/>
    <n v="236380"/>
    <n v="800000"/>
    <n v="800000"/>
    <n v="101641.63"/>
    <n v="0"/>
    <n v="0"/>
    <n v="1000000"/>
    <n v="900000"/>
    <n v="800000"/>
    <n v="700000"/>
    <n v="1200000"/>
    <n v="1200000"/>
  </r>
  <r>
    <x v="1"/>
    <s v="847.8471240.1.425900.000000.847001.200179"/>
    <n v="8471240"/>
    <x v="5"/>
    <n v="425900"/>
    <x v="11"/>
    <n v="847001"/>
    <s v="KUST - General"/>
    <x v="1"/>
    <x v="1"/>
    <n v="1208"/>
    <n v="0"/>
    <n v="0"/>
    <n v="24000"/>
    <n v="24000"/>
    <n v="1816.5"/>
    <n v="0"/>
    <n v="0"/>
    <n v="24000"/>
    <n v="13050"/>
    <n v="11600"/>
    <n v="10150"/>
    <n v="24000"/>
    <n v="24000"/>
  </r>
  <r>
    <x v="1"/>
    <s v="847.8471240.1.426610.000000.847001.200179"/>
    <n v="8471240"/>
    <x v="5"/>
    <n v="426610"/>
    <x v="12"/>
    <n v="847001"/>
    <s v="KUST - General"/>
    <x v="1"/>
    <x v="1"/>
    <n v="0"/>
    <n v="0"/>
    <n v="495462"/>
    <n v="363000"/>
    <n v="363000"/>
    <n v="0"/>
    <n v="0"/>
    <n v="362782.21"/>
    <n v="400000"/>
    <n v="360000"/>
    <n v="320000"/>
    <n v="280000"/>
    <n v="400000"/>
    <n v="400000"/>
  </r>
  <r>
    <x v="1"/>
    <s v="847.8471240.1.428090.000000.847001.200179"/>
    <n v="8471240"/>
    <x v="5"/>
    <n v="428090"/>
    <x v="13"/>
    <n v="847001"/>
    <s v="KUST - General"/>
    <x v="1"/>
    <x v="1"/>
    <n v="0"/>
    <n v="0"/>
    <n v="0"/>
    <n v="60000"/>
    <n v="60000"/>
    <n v="0"/>
    <n v="0"/>
    <n v="0"/>
    <n v="60000"/>
    <n v="54000"/>
    <n v="48000"/>
    <n v="42000"/>
    <n v="60000"/>
    <n v="60000"/>
  </r>
  <r>
    <x v="1"/>
    <s v="847.8471240.1.428640.000000.847001.200179"/>
    <n v="8471240"/>
    <x v="5"/>
    <n v="428640"/>
    <x v="14"/>
    <n v="847001"/>
    <s v="KUST - General"/>
    <x v="1"/>
    <x v="1"/>
    <n v="-72"/>
    <n v="4192"/>
    <n v="0"/>
    <n v="14000"/>
    <n v="14000"/>
    <n v="0"/>
    <n v="0"/>
    <n v="0"/>
    <n v="14000"/>
    <n v="9000"/>
    <n v="8000"/>
    <n v="7000"/>
    <n v="14000"/>
    <n v="14000"/>
  </r>
  <r>
    <x v="1"/>
    <s v="847.8471240.1.435330.000000.847001.200179"/>
    <n v="8471240"/>
    <x v="5"/>
    <n v="435330"/>
    <x v="25"/>
    <n v="847001"/>
    <s v="KUST - General"/>
    <x v="1"/>
    <x v="1"/>
    <n v="0"/>
    <n v="0"/>
    <n v="0"/>
    <n v="4750"/>
    <n v="4750"/>
    <n v="0"/>
    <n v="0"/>
    <n v="0"/>
    <n v="4750"/>
    <n v="4275"/>
    <n v="3800"/>
    <n v="3325"/>
    <n v="4750"/>
    <n v="4750"/>
  </r>
  <r>
    <x v="1"/>
    <s v="847.8471240.1.436110.000000.847001.200179"/>
    <n v="8471240"/>
    <x v="5"/>
    <n v="436110"/>
    <x v="15"/>
    <n v="847001"/>
    <s v="KUST - General"/>
    <x v="1"/>
    <x v="1"/>
    <n v="320"/>
    <n v="0"/>
    <n v="0"/>
    <n v="42000"/>
    <n v="42000"/>
    <n v="0"/>
    <n v="0"/>
    <n v="0"/>
    <n v="42000"/>
    <n v="31500"/>
    <n v="28000"/>
    <n v="24500"/>
    <n v="42000"/>
    <n v="42000"/>
  </r>
  <r>
    <x v="1"/>
    <s v="847.8471240.1.436120.000000.847001.200179"/>
    <n v="8471240"/>
    <x v="5"/>
    <n v="436120"/>
    <x v="21"/>
    <n v="847001"/>
    <s v="KUST - General"/>
    <x v="1"/>
    <x v="1"/>
    <n v="-595"/>
    <n v="0"/>
    <n v="0"/>
    <n v="25000"/>
    <n v="25000"/>
    <n v="0"/>
    <n v="0"/>
    <n v="0"/>
    <n v="35000"/>
    <n v="30600"/>
    <n v="27200"/>
    <n v="23800"/>
    <n v="35000"/>
    <n v="35000"/>
  </r>
  <r>
    <x v="1"/>
    <s v="847.8471250.1.425510.000000.847001.200179"/>
    <n v="8471250"/>
    <x v="6"/>
    <n v="425510"/>
    <x v="3"/>
    <n v="847001"/>
    <s v="KUST - General"/>
    <x v="1"/>
    <x v="1"/>
    <n v="197232"/>
    <n v="391731"/>
    <n v="255065"/>
    <n v="867500"/>
    <n v="867500"/>
    <n v="0"/>
    <n v="867000"/>
    <n v="0"/>
    <n v="1000000"/>
    <n v="900000"/>
    <n v="800000"/>
    <n v="700000"/>
    <n v="1000000"/>
    <n v="1000000"/>
  </r>
  <r>
    <x v="1"/>
    <s v="847.8471250.1.425720.000000.847001.200179"/>
    <n v="8471250"/>
    <x v="6"/>
    <n v="425720"/>
    <x v="23"/>
    <n v="847001"/>
    <s v="KUST - General"/>
    <x v="1"/>
    <x v="1"/>
    <n v="116885"/>
    <n v="207900"/>
    <n v="370000"/>
    <n v="0"/>
    <n v="0"/>
    <n v="0"/>
    <n v="0"/>
    <n v="0"/>
    <n v="560000"/>
    <n v="504000"/>
    <n v="448000"/>
    <n v="392000"/>
    <n v="560000"/>
    <n v="560000"/>
  </r>
  <r>
    <x v="1"/>
    <s v="847.8471250.1.425762.000000.847001.200179"/>
    <n v="8471250"/>
    <x v="6"/>
    <n v="425762"/>
    <x v="10"/>
    <n v="847001"/>
    <s v="KUST - General"/>
    <x v="1"/>
    <x v="1"/>
    <n v="766233"/>
    <n v="243698"/>
    <n v="0"/>
    <n v="520000"/>
    <n v="520000"/>
    <n v="128025"/>
    <n v="0"/>
    <n v="0"/>
    <n v="2144000"/>
    <n v="1929600"/>
    <n v="1715200"/>
    <n v="1500800"/>
    <n v="2144000"/>
    <n v="2144000"/>
  </r>
  <r>
    <x v="1"/>
    <s v="847.8471250.1.425900.000000.847001.200179"/>
    <n v="8471250"/>
    <x v="6"/>
    <n v="425900"/>
    <x v="11"/>
    <n v="847001"/>
    <s v="KUST - General"/>
    <x v="1"/>
    <x v="1"/>
    <n v="377"/>
    <n v="18560"/>
    <n v="0"/>
    <n v="51000"/>
    <n v="51000"/>
    <n v="0"/>
    <n v="0"/>
    <n v="0"/>
    <n v="75000"/>
    <n v="67500"/>
    <n v="60000"/>
    <n v="52500"/>
    <n v="75000"/>
    <n v="75000"/>
  </r>
  <r>
    <x v="1"/>
    <s v="847.8471250.1.426610.000000.847001.200179"/>
    <n v="8471250"/>
    <x v="6"/>
    <n v="426610"/>
    <x v="12"/>
    <n v="847001"/>
    <s v="KUST - General"/>
    <x v="1"/>
    <x v="1"/>
    <n v="134380"/>
    <n v="238680"/>
    <n v="0"/>
    <n v="60608"/>
    <n v="60608"/>
    <n v="0"/>
    <n v="60604.5"/>
    <n v="0"/>
    <n v="373152"/>
    <n v="335837"/>
    <n v="298522"/>
    <n v="261206"/>
    <n v="1119456"/>
    <n v="1119456"/>
  </r>
  <r>
    <x v="1"/>
    <s v="847.8471250.1.428090.000000.847001.200179"/>
    <n v="8471250"/>
    <x v="6"/>
    <n v="428090"/>
    <x v="13"/>
    <n v="847001"/>
    <s v="KUST - General"/>
    <x v="1"/>
    <x v="1"/>
    <n v="0"/>
    <n v="0"/>
    <n v="0"/>
    <n v="10000"/>
    <n v="10000"/>
    <n v="4400"/>
    <n v="0"/>
    <n v="0"/>
    <n v="0"/>
    <n v="0"/>
    <n v="0"/>
    <n v="0"/>
    <n v="0"/>
    <n v="0"/>
  </r>
  <r>
    <x v="1"/>
    <s v="847.8471250.1.428640.000000.847001.200179"/>
    <n v="8471250"/>
    <x v="6"/>
    <n v="428640"/>
    <x v="14"/>
    <n v="847001"/>
    <s v="KUST - General"/>
    <x v="1"/>
    <x v="1"/>
    <n v="0"/>
    <n v="0"/>
    <n v="0"/>
    <n v="46500"/>
    <n v="46500"/>
    <n v="0"/>
    <n v="0"/>
    <n v="0"/>
    <n v="80000"/>
    <n v="72000"/>
    <n v="64000"/>
    <n v="56000"/>
    <n v="80000"/>
    <n v="80000"/>
  </r>
  <r>
    <x v="1"/>
    <s v="847.8471250.1.436110.000000.847001.200179"/>
    <n v="8471250"/>
    <x v="6"/>
    <n v="436110"/>
    <x v="15"/>
    <n v="847001"/>
    <s v="KUST - General"/>
    <x v="1"/>
    <x v="1"/>
    <n v="-14910"/>
    <n v="0"/>
    <n v="-5910"/>
    <n v="10000"/>
    <n v="10000"/>
    <n v="0"/>
    <n v="0"/>
    <n v="0"/>
    <n v="10000"/>
    <n v="9000"/>
    <n v="8000"/>
    <n v="7000"/>
    <n v="10000"/>
    <n v="10000"/>
  </r>
  <r>
    <x v="1"/>
    <s v="847.8471260.1.420310.000000.847001.200179"/>
    <n v="8471260"/>
    <x v="7"/>
    <n v="420310"/>
    <x v="26"/>
    <n v="847001"/>
    <s v="KUST - General"/>
    <x v="1"/>
    <x v="1"/>
    <n v="2077931"/>
    <n v="2150684"/>
    <n v="-2820"/>
    <n v="0"/>
    <n v="0"/>
    <n v="0"/>
    <n v="0"/>
    <n v="0"/>
    <n v="0"/>
    <n v="0"/>
    <n v="0"/>
    <n v="0"/>
    <n v="0"/>
    <n v="0"/>
  </r>
  <r>
    <x v="1"/>
    <s v="847.8471260.1.421600.000000.847001.200179"/>
    <n v="8471260"/>
    <x v="7"/>
    <n v="421600"/>
    <x v="27"/>
    <n v="847001"/>
    <s v="KUST - General"/>
    <x v="1"/>
    <x v="1"/>
    <n v="920424"/>
    <n v="1337824"/>
    <n v="1750"/>
    <n v="0"/>
    <n v="0"/>
    <n v="0"/>
    <n v="0"/>
    <n v="0"/>
    <n v="0"/>
    <n v="0"/>
    <n v="0"/>
    <n v="0"/>
    <n v="0"/>
    <n v="0"/>
  </r>
  <r>
    <x v="1"/>
    <s v="847.8471260.1.422400.000000.847001.200179"/>
    <n v="8471260"/>
    <x v="7"/>
    <n v="422400"/>
    <x v="28"/>
    <n v="847001"/>
    <s v="KUST - General"/>
    <x v="1"/>
    <x v="1"/>
    <n v="0"/>
    <n v="0"/>
    <n v="0"/>
    <n v="0"/>
    <n v="0"/>
    <n v="0"/>
    <n v="0"/>
    <n v="0"/>
    <n v="0"/>
    <n v="0"/>
    <n v="0"/>
    <n v="0"/>
    <n v="0"/>
    <n v="0"/>
  </r>
  <r>
    <x v="1"/>
    <s v="847.8471260.1.425510.000000.847001.200179"/>
    <n v="8471260"/>
    <x v="7"/>
    <n v="425510"/>
    <x v="3"/>
    <n v="847001"/>
    <s v="KUST - General"/>
    <x v="1"/>
    <x v="1"/>
    <n v="89382"/>
    <n v="20550"/>
    <n v="0"/>
    <n v="205000"/>
    <n v="205000"/>
    <n v="18873.75"/>
    <n v="61320"/>
    <n v="0"/>
    <n v="274000"/>
    <n v="246600"/>
    <n v="219200"/>
    <n v="191800"/>
    <n v="301000"/>
    <n v="301000"/>
  </r>
  <r>
    <x v="1"/>
    <s v="847.8471260.1.425746.000000.847001.200179"/>
    <n v="8471260"/>
    <x v="7"/>
    <n v="425746"/>
    <x v="29"/>
    <n v="847001"/>
    <s v="KUST - General"/>
    <x v="1"/>
    <x v="1"/>
    <n v="9622796"/>
    <n v="3208632"/>
    <n v="8221711"/>
    <n v="9349361"/>
    <n v="9349361"/>
    <n v="-58814.48"/>
    <n v="0"/>
    <n v="662298.51"/>
    <n v="11316828"/>
    <n v="10185145.200000001"/>
    <n v="9053462.4000000004"/>
    <n v="7921779.5999999996"/>
    <n v="11616828"/>
    <n v="11616828"/>
  </r>
  <r>
    <x v="1"/>
    <s v="847.8471260.1.425750.000000.847001.200179"/>
    <n v="8471260"/>
    <x v="7"/>
    <n v="425750"/>
    <x v="24"/>
    <n v="847001"/>
    <s v="KUST - General"/>
    <x v="1"/>
    <x v="1"/>
    <n v="0"/>
    <n v="0"/>
    <n v="25000"/>
    <n v="0"/>
    <n v="0"/>
    <n v="0"/>
    <n v="0"/>
    <n v="0"/>
    <n v="0"/>
    <n v="0"/>
    <n v="0"/>
    <n v="0"/>
    <n v="0"/>
    <n v="0"/>
  </r>
  <r>
    <x v="1"/>
    <s v="847.8471260.1.425760.000000.847001.200179"/>
    <n v="8471260"/>
    <x v="7"/>
    <n v="425760"/>
    <x v="30"/>
    <n v="847001"/>
    <s v="KUST - General"/>
    <x v="1"/>
    <x v="1"/>
    <n v="430483"/>
    <n v="16013"/>
    <n v="229618"/>
    <n v="936870"/>
    <n v="936870"/>
    <n v="278706"/>
    <n v="0"/>
    <n v="0"/>
    <n v="847520"/>
    <n v="762768"/>
    <n v="678016"/>
    <n v="593264"/>
    <n v="1001122"/>
    <n v="1188622"/>
  </r>
  <r>
    <x v="1"/>
    <s v="847.8471260.1.425900.000000.847001.200179"/>
    <n v="8471260"/>
    <x v="7"/>
    <n v="425900"/>
    <x v="11"/>
    <n v="847001"/>
    <s v="KUST - General"/>
    <x v="1"/>
    <x v="1"/>
    <n v="54299"/>
    <n v="0"/>
    <n v="7086"/>
    <n v="70800"/>
    <n v="70800"/>
    <n v="44428.44"/>
    <n v="0"/>
    <n v="0"/>
    <n v="170000"/>
    <n v="45900"/>
    <n v="40800"/>
    <n v="35700"/>
    <n v="170000"/>
    <n v="170000"/>
  </r>
  <r>
    <x v="1"/>
    <s v="847.8471260.1.426220.000000.847001.200179"/>
    <n v="8471260"/>
    <x v="7"/>
    <n v="426220"/>
    <x v="31"/>
    <n v="847001"/>
    <s v="KUST - General"/>
    <x v="1"/>
    <x v="1"/>
    <n v="535013"/>
    <n v="335082"/>
    <n v="7905"/>
    <n v="0"/>
    <n v="0"/>
    <n v="0"/>
    <n v="0"/>
    <n v="0"/>
    <n v="0"/>
    <n v="0"/>
    <n v="0"/>
    <n v="0"/>
    <n v="0"/>
    <n v="0"/>
  </r>
  <r>
    <x v="1"/>
    <s v="847.8471260.1.428111.000000.847001.200179"/>
    <n v="8471260"/>
    <x v="7"/>
    <n v="428111"/>
    <x v="32"/>
    <n v="847001"/>
    <s v="KUST - General"/>
    <x v="1"/>
    <x v="1"/>
    <n v="5729606"/>
    <n v="6823015"/>
    <n v="506185"/>
    <n v="0"/>
    <n v="0"/>
    <n v="0"/>
    <n v="0"/>
    <n v="0"/>
    <n v="0"/>
    <n v="0"/>
    <n v="0"/>
    <n v="0"/>
    <n v="0"/>
    <n v="0"/>
  </r>
  <r>
    <x v="1"/>
    <s v="847.8471260.1.428112.000000.847001.200179"/>
    <n v="8471260"/>
    <x v="7"/>
    <n v="428112"/>
    <x v="33"/>
    <n v="847001"/>
    <s v="KUST - General"/>
    <x v="1"/>
    <x v="1"/>
    <n v="308074"/>
    <n v="1875749"/>
    <n v="166805"/>
    <n v="0"/>
    <n v="0"/>
    <n v="0"/>
    <n v="0"/>
    <n v="0"/>
    <n v="0"/>
    <n v="0"/>
    <n v="0"/>
    <n v="0"/>
    <n v="0"/>
    <n v="0"/>
  </r>
  <r>
    <x v="1"/>
    <s v="847.8471260.1.428640.000000.847001.200179"/>
    <n v="8471260"/>
    <x v="7"/>
    <n v="428640"/>
    <x v="14"/>
    <n v="847001"/>
    <s v="KUST - General"/>
    <x v="1"/>
    <x v="1"/>
    <n v="0"/>
    <n v="0"/>
    <n v="10810"/>
    <n v="32500"/>
    <n v="32500"/>
    <n v="6975.25"/>
    <n v="0"/>
    <n v="0"/>
    <n v="32000"/>
    <n v="28800"/>
    <n v="25600"/>
    <n v="22400"/>
    <n v="32000"/>
    <n v="32000"/>
  </r>
  <r>
    <x v="1"/>
    <s v="847.8471260.1.430230.000000.847001.200179"/>
    <n v="8471260"/>
    <x v="7"/>
    <n v="430230"/>
    <x v="34"/>
    <n v="847001"/>
    <s v="KUST - General"/>
    <x v="1"/>
    <x v="1"/>
    <n v="2144"/>
    <n v="0"/>
    <n v="5500"/>
    <n v="0"/>
    <n v="0"/>
    <n v="0"/>
    <n v="0"/>
    <n v="0"/>
    <n v="0"/>
    <n v="0"/>
    <n v="0"/>
    <n v="0"/>
    <n v="0"/>
    <n v="0"/>
  </r>
  <r>
    <x v="1"/>
    <s v="847.8471260.1.432120.000000.847001.200179"/>
    <n v="8471260"/>
    <x v="7"/>
    <n v="432120"/>
    <x v="35"/>
    <n v="847001"/>
    <s v="KUST - General"/>
    <x v="1"/>
    <x v="1"/>
    <n v="2170108"/>
    <n v="8001536"/>
    <n v="118836"/>
    <n v="0"/>
    <n v="0"/>
    <n v="0"/>
    <n v="0"/>
    <n v="0"/>
    <n v="0"/>
    <n v="0"/>
    <n v="0"/>
    <n v="0"/>
    <n v="0"/>
    <n v="0"/>
  </r>
  <r>
    <x v="1"/>
    <s v="847.8471260.1.435530.000000.847001.200179"/>
    <n v="8471260"/>
    <x v="7"/>
    <n v="435530"/>
    <x v="17"/>
    <n v="847001"/>
    <s v="KUST - General"/>
    <x v="1"/>
    <x v="1"/>
    <n v="0"/>
    <n v="0"/>
    <n v="31417"/>
    <n v="12000"/>
    <n v="12000"/>
    <n v="650"/>
    <n v="0"/>
    <n v="0"/>
    <n v="80350"/>
    <n v="72315"/>
    <n v="64280"/>
    <n v="56245"/>
    <n v="85100"/>
    <n v="85100"/>
  </r>
  <r>
    <x v="1"/>
    <s v="847.8471260.1.436110.000000.847001.200179"/>
    <n v="8471260"/>
    <x v="7"/>
    <n v="436110"/>
    <x v="15"/>
    <n v="847001"/>
    <s v="KUST - General"/>
    <x v="1"/>
    <x v="1"/>
    <n v="21450"/>
    <n v="0"/>
    <n v="0"/>
    <n v="13500"/>
    <n v="13500"/>
    <n v="1505.95"/>
    <n v="0"/>
    <n v="0"/>
    <n v="9600"/>
    <n v="8640"/>
    <n v="7680"/>
    <n v="6720"/>
    <n v="12400"/>
    <n v="12400"/>
  </r>
  <r>
    <x v="1"/>
    <s v="847.8471270.1.425900.000000.847001.200179"/>
    <n v="8471270"/>
    <x v="8"/>
    <n v="425900"/>
    <x v="11"/>
    <n v="847001"/>
    <s v="KUST - General"/>
    <x v="1"/>
    <x v="1"/>
    <n v="1250"/>
    <n v="150"/>
    <n v="0"/>
    <n v="50000"/>
    <n v="50000"/>
    <n v="0"/>
    <n v="0"/>
    <n v="0"/>
    <n v="50000"/>
    <n v="45000"/>
    <n v="40000"/>
    <n v="35000"/>
    <n v="50000"/>
    <n v="50000"/>
  </r>
  <r>
    <x v="1"/>
    <s v="847.8471270.1.428090.000000.847001.200179"/>
    <n v="8471270"/>
    <x v="8"/>
    <n v="428090"/>
    <x v="13"/>
    <n v="847001"/>
    <s v="KUST - General"/>
    <x v="1"/>
    <x v="1"/>
    <n v="8898"/>
    <n v="13309"/>
    <n v="0"/>
    <n v="300000"/>
    <n v="300000"/>
    <n v="0"/>
    <n v="0"/>
    <n v="0"/>
    <n v="300000"/>
    <n v="270000"/>
    <n v="240000"/>
    <n v="210000"/>
    <n v="300000"/>
    <n v="300000"/>
  </r>
  <r>
    <x v="1"/>
    <s v="847.8471270.1.435330.000000.847001.200179"/>
    <n v="8471270"/>
    <x v="8"/>
    <n v="435330"/>
    <x v="25"/>
    <n v="847001"/>
    <s v="KUST - General"/>
    <x v="1"/>
    <x v="1"/>
    <n v="13899920"/>
    <n v="11619785"/>
    <n v="13236763"/>
    <n v="15199430"/>
    <n v="15199430"/>
    <n v="6717744.7300000004"/>
    <n v="1501553.83"/>
    <n v="5718238.2300000004"/>
    <n v="15564000"/>
    <n v="14007600"/>
    <n v="12451200"/>
    <n v="10894800"/>
    <n v="16344000"/>
    <n v="17160000"/>
  </r>
  <r>
    <x v="1"/>
    <s v="847.8471270.1.436110.000000.847001.200179"/>
    <n v="8471270"/>
    <x v="8"/>
    <n v="436110"/>
    <x v="15"/>
    <n v="847001"/>
    <s v="KUST - General"/>
    <x v="1"/>
    <x v="1"/>
    <n v="0"/>
    <n v="0"/>
    <n v="0"/>
    <n v="50000"/>
    <n v="50000"/>
    <n v="0"/>
    <n v="0"/>
    <n v="0"/>
    <n v="48000"/>
    <n v="43200"/>
    <n v="38400"/>
    <n v="33600"/>
    <n v="44000"/>
    <n v="500000"/>
  </r>
  <r>
    <x v="1"/>
    <s v="847.8471280.1.425100.000000.847001.200179"/>
    <n v="8471280"/>
    <x v="9"/>
    <n v="425100"/>
    <x v="2"/>
    <n v="847001"/>
    <s v="KUST - General"/>
    <x v="1"/>
    <x v="1"/>
    <n v="0"/>
    <n v="0"/>
    <n v="0"/>
    <n v="2500"/>
    <n v="2500"/>
    <n v="0"/>
    <n v="0"/>
    <n v="0"/>
    <n v="3000"/>
    <n v="2700"/>
    <n v="2400"/>
    <n v="2100"/>
    <n v="3750"/>
    <n v="4875"/>
  </r>
  <r>
    <x v="1"/>
    <s v="847.8471280.1.425510.000000.847001.200179"/>
    <n v="8471280"/>
    <x v="9"/>
    <n v="425510"/>
    <x v="3"/>
    <n v="847001"/>
    <s v="KUST - General"/>
    <x v="1"/>
    <x v="1"/>
    <n v="24710"/>
    <n v="32792"/>
    <n v="14261"/>
    <n v="30000"/>
    <n v="30000"/>
    <n v="5707"/>
    <n v="0"/>
    <n v="0"/>
    <n v="36000"/>
    <n v="32400"/>
    <n v="28800"/>
    <n v="25200"/>
    <n v="45000"/>
    <n v="58500"/>
  </r>
  <r>
    <x v="1"/>
    <s v="847.8471280.1.425550.000000.847001.200179"/>
    <n v="8471280"/>
    <x v="9"/>
    <n v="425550"/>
    <x v="4"/>
    <n v="847001"/>
    <s v="KUST - General"/>
    <x v="1"/>
    <x v="1"/>
    <n v="0"/>
    <n v="0"/>
    <n v="7346"/>
    <n v="60000"/>
    <n v="60000"/>
    <n v="3630.61"/>
    <n v="0"/>
    <n v="0"/>
    <n v="72000"/>
    <n v="64800"/>
    <n v="57600"/>
    <n v="50400"/>
    <n v="90000"/>
    <n v="117000"/>
  </r>
  <r>
    <x v="1"/>
    <s v="847.8471280.1.425710.000000.847001.200179"/>
    <n v="8471280"/>
    <x v="9"/>
    <n v="425710"/>
    <x v="36"/>
    <n v="847001"/>
    <s v="KUST - General"/>
    <x v="1"/>
    <x v="1"/>
    <n v="0"/>
    <n v="0"/>
    <n v="0"/>
    <n v="300000"/>
    <n v="300000"/>
    <n v="0"/>
    <n v="0"/>
    <n v="0"/>
    <n v="360000"/>
    <n v="324000"/>
    <n v="288000"/>
    <n v="252000"/>
    <n v="450000"/>
    <n v="585000"/>
  </r>
  <r>
    <x v="1"/>
    <s v="847.8471280.1.425760.000000.847001.200179"/>
    <n v="8471280"/>
    <x v="9"/>
    <n v="425760"/>
    <x v="30"/>
    <n v="847001"/>
    <s v="KUST - General"/>
    <x v="1"/>
    <x v="1"/>
    <n v="0"/>
    <n v="0"/>
    <n v="0"/>
    <n v="30000"/>
    <n v="30000"/>
    <n v="0"/>
    <n v="0"/>
    <n v="0"/>
    <n v="36000"/>
    <n v="32400"/>
    <n v="28800"/>
    <n v="25200"/>
    <n v="45000"/>
    <n v="58500"/>
  </r>
  <r>
    <x v="1"/>
    <s v="847.8471280.1.425770.000000.847001.200179"/>
    <n v="8471280"/>
    <x v="9"/>
    <n v="425770"/>
    <x v="37"/>
    <n v="847001"/>
    <s v="KUST - General"/>
    <x v="1"/>
    <x v="1"/>
    <n v="33674"/>
    <n v="73608"/>
    <n v="30907"/>
    <n v="200000"/>
    <n v="200000"/>
    <n v="0"/>
    <n v="82642.5"/>
    <n v="0"/>
    <n v="240000"/>
    <n v="216000"/>
    <n v="192000"/>
    <n v="168000"/>
    <n v="300000"/>
    <n v="390000"/>
  </r>
  <r>
    <x v="1"/>
    <s v="847.8471280.1.426610.000000.847001.200179"/>
    <n v="8471280"/>
    <x v="9"/>
    <n v="426610"/>
    <x v="12"/>
    <n v="847001"/>
    <s v="KUST - General"/>
    <x v="1"/>
    <x v="1"/>
    <n v="11390"/>
    <n v="154275"/>
    <n v="117690"/>
    <n v="321000"/>
    <n v="321000"/>
    <n v="178854.68"/>
    <n v="75749"/>
    <n v="5876.8"/>
    <n v="1585200"/>
    <n v="1426680"/>
    <n v="1268160"/>
    <n v="1109640"/>
    <n v="1902040"/>
    <n v="2852800"/>
  </r>
  <r>
    <x v="1"/>
    <s v="847.8471280.1.428090.000000.847001.200179"/>
    <n v="8471280"/>
    <x v="9"/>
    <n v="428090"/>
    <x v="13"/>
    <n v="847001"/>
    <s v="KUST - General"/>
    <x v="1"/>
    <x v="1"/>
    <n v="0"/>
    <n v="0"/>
    <n v="2200"/>
    <n v="0"/>
    <n v="0"/>
    <n v="0"/>
    <n v="0"/>
    <n v="0"/>
    <n v="2640"/>
    <n v="2376"/>
    <n v="2112"/>
    <n v="1848"/>
    <n v="3300"/>
    <n v="4200"/>
  </r>
  <r>
    <x v="1"/>
    <s v="847.8471280.1.428640.000000.847001.200179"/>
    <n v="8471280"/>
    <x v="9"/>
    <n v="428640"/>
    <x v="14"/>
    <n v="847001"/>
    <s v="KUST - General"/>
    <x v="1"/>
    <x v="1"/>
    <n v="156"/>
    <n v="0"/>
    <n v="866"/>
    <n v="15000"/>
    <n v="15000"/>
    <n v="0"/>
    <n v="0"/>
    <n v="0"/>
    <n v="18000"/>
    <n v="16200"/>
    <n v="14400"/>
    <n v="12600"/>
    <n v="22500"/>
    <n v="30000"/>
  </r>
  <r>
    <x v="1"/>
    <s v="847.8471280.1.432170.000000.847001.200179"/>
    <n v="8471280"/>
    <x v="9"/>
    <n v="432170"/>
    <x v="38"/>
    <n v="847001"/>
    <s v="KUST - General"/>
    <x v="1"/>
    <x v="1"/>
    <n v="58140"/>
    <n v="0"/>
    <n v="0"/>
    <n v="200000"/>
    <n v="200000"/>
    <n v="0"/>
    <n v="0"/>
    <n v="0"/>
    <n v="240000"/>
    <n v="216000"/>
    <n v="192000"/>
    <n v="168000"/>
    <n v="300000"/>
    <n v="390000"/>
  </r>
  <r>
    <x v="1"/>
    <s v="847.8471280.1.435340.000000.847001.200179"/>
    <n v="8471280"/>
    <x v="9"/>
    <n v="435340"/>
    <x v="20"/>
    <n v="847001"/>
    <s v="KUST - General"/>
    <x v="1"/>
    <x v="1"/>
    <n v="0"/>
    <n v="0"/>
    <n v="0"/>
    <n v="10000"/>
    <n v="10000"/>
    <n v="0"/>
    <n v="0"/>
    <n v="0"/>
    <n v="12000"/>
    <n v="10800"/>
    <n v="9600"/>
    <n v="8400"/>
    <n v="15000"/>
    <n v="19500"/>
  </r>
  <r>
    <x v="1"/>
    <s v="847.8471280.1.435530.000000.847001.200179"/>
    <n v="8471280"/>
    <x v="9"/>
    <n v="435530"/>
    <x v="17"/>
    <n v="847001"/>
    <s v="KUST - General"/>
    <x v="1"/>
    <x v="1"/>
    <n v="740"/>
    <n v="894"/>
    <n v="0"/>
    <n v="5000"/>
    <n v="5000"/>
    <n v="0"/>
    <n v="0"/>
    <n v="0"/>
    <n v="6000"/>
    <n v="5400"/>
    <n v="4800"/>
    <n v="4200"/>
    <n v="7500"/>
    <n v="10000"/>
  </r>
  <r>
    <x v="1"/>
    <s v="847.8471280.1.492316.000000.847001.300180"/>
    <n v="8471280"/>
    <x v="9"/>
    <n v="492316"/>
    <x v="39"/>
    <n v="847001"/>
    <s v="KUST - General"/>
    <x v="2"/>
    <x v="2"/>
    <n v="0"/>
    <n v="0"/>
    <n v="0"/>
    <n v="6879"/>
    <n v="6879"/>
    <n v="0"/>
    <n v="0"/>
    <n v="0"/>
    <n v="8250"/>
    <n v="7425"/>
    <n v="6600"/>
    <n v="5775"/>
    <n v="10000"/>
    <n v="14000"/>
  </r>
  <r>
    <x v="2"/>
    <s v="847.8470405.1.420550.000000.847001.200179"/>
    <n v="8470405"/>
    <x v="10"/>
    <n v="420550"/>
    <x v="1"/>
    <n v="847001"/>
    <s v="KUST - General"/>
    <x v="1"/>
    <x v="1"/>
    <n v="0"/>
    <n v="0"/>
    <n v="0"/>
    <n v="65692"/>
    <n v="65692"/>
    <n v="64718.46"/>
    <n v="0"/>
    <n v="0"/>
    <n v="23504"/>
    <n v="21154"/>
    <n v="18803"/>
    <n v="16453"/>
    <n v="23504"/>
    <n v="26442"/>
  </r>
  <r>
    <x v="2"/>
    <s v="847.8470405.1.421700.000000.847001.200179"/>
    <n v="8470405"/>
    <x v="10"/>
    <n v="421700"/>
    <x v="40"/>
    <n v="847001"/>
    <s v="KUST - General"/>
    <x v="1"/>
    <x v="1"/>
    <n v="85877"/>
    <n v="345102"/>
    <n v="109525"/>
    <n v="500308"/>
    <n v="500308"/>
    <n v="61934.26"/>
    <n v="0"/>
    <n v="0"/>
    <n v="280000"/>
    <n v="252000"/>
    <n v="224000"/>
    <n v="196000"/>
    <n v="280000"/>
    <n v="280000"/>
  </r>
  <r>
    <x v="2"/>
    <s v="847.8470405.1.425510.000000.847001.200179"/>
    <n v="8470405"/>
    <x v="10"/>
    <n v="425510"/>
    <x v="3"/>
    <n v="847001"/>
    <s v="KUST - General"/>
    <x v="1"/>
    <x v="1"/>
    <n v="7073"/>
    <n v="5943"/>
    <n v="4400"/>
    <n v="15000"/>
    <n v="15000"/>
    <n v="4967"/>
    <n v="0"/>
    <n v="0"/>
    <n v="15000"/>
    <n v="13500"/>
    <n v="12000"/>
    <n v="10500"/>
    <n v="15000"/>
    <n v="15000"/>
  </r>
  <r>
    <x v="2"/>
    <s v="847.8470405.1.425550.000000.847001.200179"/>
    <n v="8470405"/>
    <x v="10"/>
    <n v="425550"/>
    <x v="4"/>
    <n v="847001"/>
    <s v="KUST - General"/>
    <x v="1"/>
    <x v="1"/>
    <n v="11599"/>
    <n v="10137"/>
    <n v="0"/>
    <n v="15000"/>
    <n v="15000"/>
    <n v="13957.9"/>
    <n v="0"/>
    <n v="0"/>
    <n v="15000"/>
    <n v="13500"/>
    <n v="12000"/>
    <n v="10500"/>
    <n v="15000"/>
    <n v="15000"/>
  </r>
  <r>
    <x v="2"/>
    <s v="847.8470405.1.425720.000000.847001.200179"/>
    <n v="8470405"/>
    <x v="10"/>
    <n v="425720"/>
    <x v="23"/>
    <n v="847001"/>
    <s v="KUST - General"/>
    <x v="1"/>
    <x v="1"/>
    <n v="0"/>
    <n v="0"/>
    <n v="0"/>
    <n v="0"/>
    <n v="0"/>
    <n v="0"/>
    <n v="0"/>
    <n v="0"/>
    <n v="550000"/>
    <n v="189000"/>
    <n v="168000"/>
    <n v="147000"/>
    <n v="0"/>
    <n v="0"/>
  </r>
  <r>
    <x v="2"/>
    <s v="847.8470405.1.425763.000000.847001.200179"/>
    <n v="8470405"/>
    <x v="10"/>
    <n v="425763"/>
    <x v="41"/>
    <n v="847001"/>
    <s v="KUST - General"/>
    <x v="1"/>
    <x v="1"/>
    <n v="0"/>
    <n v="0"/>
    <n v="0"/>
    <n v="0"/>
    <n v="0"/>
    <n v="0"/>
    <n v="0"/>
    <n v="0"/>
    <n v="150000"/>
    <n v="135000"/>
    <n v="120000"/>
    <n v="105000"/>
    <n v="0"/>
    <n v="0"/>
  </r>
  <r>
    <x v="2"/>
    <s v="847.8470405.1.425770.000000.847001.200179"/>
    <n v="8470405"/>
    <x v="10"/>
    <n v="425770"/>
    <x v="37"/>
    <n v="847001"/>
    <s v="KUST - General"/>
    <x v="1"/>
    <x v="1"/>
    <n v="77977"/>
    <n v="13603"/>
    <n v="0"/>
    <n v="35825"/>
    <n v="35825"/>
    <n v="15471.72"/>
    <n v="0"/>
    <n v="0"/>
    <n v="50000"/>
    <n v="45000"/>
    <n v="40000"/>
    <n v="35000"/>
    <n v="50000"/>
    <n v="50000"/>
  </r>
  <r>
    <x v="2"/>
    <s v="847.8470405.1.427710.000000.847001.200179"/>
    <n v="8470405"/>
    <x v="10"/>
    <n v="427710"/>
    <x v="42"/>
    <n v="847001"/>
    <s v="KUST - General"/>
    <x v="1"/>
    <x v="1"/>
    <n v="0"/>
    <n v="0"/>
    <n v="12539"/>
    <n v="20175"/>
    <n v="20175"/>
    <n v="20174.88"/>
    <n v="0"/>
    <n v="0"/>
    <n v="33620"/>
    <n v="30258"/>
    <n v="26896"/>
    <n v="23534"/>
    <n v="33620"/>
    <n v="33620"/>
  </r>
  <r>
    <x v="2"/>
    <s v="847.8470405.1.435350.000000.847001.200179"/>
    <n v="8470405"/>
    <x v="10"/>
    <n v="435350"/>
    <x v="43"/>
    <n v="847001"/>
    <s v="KUST - General"/>
    <x v="1"/>
    <x v="1"/>
    <n v="5419"/>
    <n v="0"/>
    <n v="65753"/>
    <n v="30000"/>
    <n v="30000"/>
    <n v="28033.25"/>
    <n v="0"/>
    <n v="0"/>
    <n v="30000"/>
    <n v="27000"/>
    <n v="24000"/>
    <n v="21000"/>
    <n v="30000"/>
    <n v="30000"/>
  </r>
  <r>
    <x v="2"/>
    <s v="847.8470405.1.435508.000000.847001.200179"/>
    <n v="8470405"/>
    <x v="10"/>
    <n v="435508"/>
    <x v="44"/>
    <n v="847001"/>
    <s v="KUST - General"/>
    <x v="1"/>
    <x v="1"/>
    <n v="0"/>
    <n v="0"/>
    <n v="0"/>
    <n v="0"/>
    <n v="0"/>
    <n v="0"/>
    <n v="0"/>
    <n v="0"/>
    <n v="200000"/>
    <n v="180000"/>
    <n v="160000"/>
    <n v="140000"/>
    <n v="200000"/>
    <n v="200000"/>
  </r>
  <r>
    <x v="2"/>
    <s v="847.8470410.1.425761.000000.847001.200179"/>
    <n v="8470410"/>
    <x v="11"/>
    <n v="425761"/>
    <x v="9"/>
    <n v="847001"/>
    <s v="KUST - General"/>
    <x v="1"/>
    <x v="1"/>
    <n v="127"/>
    <n v="0"/>
    <n v="0"/>
    <n v="162000"/>
    <n v="162000"/>
    <n v="0"/>
    <n v="0"/>
    <n v="0"/>
    <n v="1000"/>
    <n v="900"/>
    <n v="800"/>
    <n v="700"/>
    <n v="1000"/>
    <n v="1000"/>
  </r>
  <r>
    <x v="2"/>
    <s v="847.8470410.1.425770.000000.847001.200179"/>
    <n v="8470410"/>
    <x v="11"/>
    <n v="425770"/>
    <x v="37"/>
    <n v="847001"/>
    <s v="KUST - General"/>
    <x v="1"/>
    <x v="1"/>
    <n v="226"/>
    <n v="-1861"/>
    <n v="2513"/>
    <n v="120000"/>
    <n v="120000"/>
    <n v="21450"/>
    <n v="0"/>
    <n v="0"/>
    <n v="144000"/>
    <n v="129600"/>
    <n v="115200"/>
    <n v="100800"/>
    <n v="144000"/>
    <n v="144000"/>
  </r>
  <r>
    <x v="2"/>
    <s v="847.8470410.1.426610.000000.847001.200179"/>
    <n v="8470410"/>
    <x v="11"/>
    <n v="426610"/>
    <x v="12"/>
    <n v="847001"/>
    <s v="KUST - General"/>
    <x v="1"/>
    <x v="1"/>
    <n v="0"/>
    <n v="0"/>
    <n v="346"/>
    <n v="5600"/>
    <n v="5600"/>
    <n v="1612"/>
    <n v="0"/>
    <n v="0"/>
    <n v="5600"/>
    <n v="5040"/>
    <n v="4480"/>
    <n v="3920"/>
    <n v="5600"/>
    <n v="5600"/>
  </r>
  <r>
    <x v="2"/>
    <s v="847.8470410.1.435310.000000.847001.200179"/>
    <n v="8470410"/>
    <x v="11"/>
    <n v="435310"/>
    <x v="45"/>
    <n v="847001"/>
    <s v="KUST - General"/>
    <x v="1"/>
    <x v="1"/>
    <n v="0"/>
    <n v="0"/>
    <n v="0"/>
    <n v="85229"/>
    <n v="85229"/>
    <n v="12957.33"/>
    <n v="8447.9"/>
    <n v="0"/>
    <n v="85228"/>
    <n v="76705"/>
    <n v="68182"/>
    <n v="59660"/>
    <n v="85228"/>
    <n v="85228"/>
  </r>
  <r>
    <x v="2"/>
    <s v="847.8470410.1.435350.000000.847001.200179"/>
    <n v="8470410"/>
    <x v="11"/>
    <n v="435350"/>
    <x v="43"/>
    <n v="847001"/>
    <s v="KUST - General"/>
    <x v="1"/>
    <x v="1"/>
    <n v="0"/>
    <n v="0"/>
    <n v="4800"/>
    <n v="17900"/>
    <n v="17900"/>
    <n v="1500"/>
    <n v="0"/>
    <n v="0"/>
    <n v="100000"/>
    <n v="90000"/>
    <n v="80000"/>
    <n v="70000"/>
    <n v="100000"/>
    <n v="100000"/>
  </r>
  <r>
    <x v="2"/>
    <s v="847.8470415.1.421700.000000.847001.200179"/>
    <n v="8470415"/>
    <x v="12"/>
    <n v="421700"/>
    <x v="40"/>
    <n v="847001"/>
    <s v="KUST - General"/>
    <x v="1"/>
    <x v="1"/>
    <n v="0"/>
    <n v="0"/>
    <n v="0"/>
    <n v="150000"/>
    <n v="150000"/>
    <n v="0"/>
    <n v="0"/>
    <n v="0"/>
    <n v="150000"/>
    <n v="135000"/>
    <n v="120000"/>
    <n v="105000"/>
    <n v="0"/>
    <n v="0"/>
  </r>
  <r>
    <x v="2"/>
    <s v="847.8470415.1.425100.000000.847001.200179"/>
    <n v="8470415"/>
    <x v="12"/>
    <n v="425100"/>
    <x v="2"/>
    <n v="847001"/>
    <s v="KUST - General"/>
    <x v="1"/>
    <x v="1"/>
    <n v="0"/>
    <n v="0"/>
    <n v="0"/>
    <n v="50000"/>
    <n v="50000"/>
    <n v="0"/>
    <n v="0"/>
    <n v="0"/>
    <n v="50000"/>
    <n v="45000"/>
    <n v="40000"/>
    <n v="35000"/>
    <n v="50000"/>
    <n v="50000"/>
  </r>
  <r>
    <x v="2"/>
    <s v="847.8470415.1.425510.000000.847001.200179"/>
    <n v="8470415"/>
    <x v="12"/>
    <n v="425510"/>
    <x v="3"/>
    <n v="847001"/>
    <s v="KUST - General"/>
    <x v="1"/>
    <x v="1"/>
    <n v="0"/>
    <n v="0"/>
    <n v="0"/>
    <n v="0"/>
    <n v="0"/>
    <n v="0"/>
    <n v="0"/>
    <n v="0"/>
    <n v="100000"/>
    <n v="90000"/>
    <n v="80000"/>
    <n v="70000"/>
    <n v="100000"/>
    <n v="0"/>
  </r>
  <r>
    <x v="2"/>
    <s v="847.8470415.1.425760.000000.847001.200179"/>
    <n v="8470415"/>
    <x v="12"/>
    <n v="425760"/>
    <x v="30"/>
    <n v="847001"/>
    <s v="KUST - General"/>
    <x v="1"/>
    <x v="1"/>
    <n v="0"/>
    <n v="0"/>
    <n v="0"/>
    <n v="5000"/>
    <n v="5000"/>
    <n v="0"/>
    <n v="0"/>
    <n v="0"/>
    <n v="20000"/>
    <n v="18000"/>
    <n v="16000"/>
    <n v="14000"/>
    <n v="20000"/>
    <n v="20000"/>
  </r>
  <r>
    <x v="2"/>
    <s v="847.8470415.1.425763.000000.847001.200179"/>
    <n v="8470415"/>
    <x v="12"/>
    <n v="425763"/>
    <x v="41"/>
    <n v="847001"/>
    <s v="KUST - General"/>
    <x v="1"/>
    <x v="1"/>
    <n v="0"/>
    <n v="0"/>
    <n v="0"/>
    <n v="80000"/>
    <n v="80000"/>
    <n v="3365"/>
    <n v="0"/>
    <n v="17820"/>
    <n v="104000"/>
    <n v="21600"/>
    <n v="19200"/>
    <n v="16800"/>
    <n v="164000"/>
    <n v="189000"/>
  </r>
  <r>
    <x v="2"/>
    <s v="847.8470415.1.425770.000000.847001.200179"/>
    <n v="8470415"/>
    <x v="12"/>
    <n v="425770"/>
    <x v="37"/>
    <n v="847001"/>
    <s v="KUST - General"/>
    <x v="1"/>
    <x v="1"/>
    <n v="89008"/>
    <n v="8895"/>
    <n v="6028"/>
    <n v="285000"/>
    <n v="285000"/>
    <n v="46842.96"/>
    <n v="0"/>
    <n v="0"/>
    <n v="435000"/>
    <n v="324000"/>
    <n v="288000"/>
    <n v="252000"/>
    <n v="495000"/>
    <n v="525000"/>
  </r>
  <r>
    <x v="2"/>
    <s v="847.8470415.1.425900.000000.847001.200179"/>
    <n v="8470415"/>
    <x v="12"/>
    <n v="425900"/>
    <x v="11"/>
    <n v="847001"/>
    <s v="KUST - General"/>
    <x v="1"/>
    <x v="1"/>
    <n v="0"/>
    <n v="794"/>
    <n v="0"/>
    <n v="140000"/>
    <n v="140000"/>
    <n v="7839.73"/>
    <n v="0"/>
    <n v="0"/>
    <n v="376000"/>
    <n v="86400"/>
    <n v="76800"/>
    <n v="67200"/>
    <n v="260000"/>
    <n v="158000"/>
  </r>
  <r>
    <x v="2"/>
    <s v="847.8470415.1.426610.000000.847001.200179"/>
    <n v="8470415"/>
    <x v="12"/>
    <n v="426610"/>
    <x v="12"/>
    <n v="847001"/>
    <s v="KUST - General"/>
    <x v="1"/>
    <x v="1"/>
    <n v="0"/>
    <n v="42016"/>
    <n v="35235"/>
    <n v="229511"/>
    <n v="229511"/>
    <n v="30164.11"/>
    <n v="0"/>
    <n v="31220.5"/>
    <n v="194962"/>
    <n v="87855"/>
    <n v="78094"/>
    <n v="68332"/>
    <n v="158812"/>
    <n v="158812"/>
  </r>
  <r>
    <x v="2"/>
    <s v="847.8470415.1.427200.000000.847001.200179"/>
    <n v="8470415"/>
    <x v="12"/>
    <n v="427200"/>
    <x v="46"/>
    <n v="847001"/>
    <s v="KUST - General"/>
    <x v="1"/>
    <x v="1"/>
    <n v="0"/>
    <n v="0"/>
    <n v="0"/>
    <n v="0"/>
    <n v="0"/>
    <n v="0"/>
    <n v="0"/>
    <n v="0"/>
    <n v="10000"/>
    <n v="9000"/>
    <n v="8000"/>
    <n v="7000"/>
    <n v="10000"/>
    <n v="25000"/>
  </r>
  <r>
    <x v="2"/>
    <s v="847.8470415.1.428090.000000.847001.200179"/>
    <n v="8470415"/>
    <x v="12"/>
    <n v="428090"/>
    <x v="13"/>
    <n v="847001"/>
    <s v="KUST - General"/>
    <x v="1"/>
    <x v="1"/>
    <n v="20447"/>
    <n v="0"/>
    <n v="0"/>
    <n v="0"/>
    <n v="0"/>
    <n v="0"/>
    <n v="0"/>
    <n v="0"/>
    <n v="3000"/>
    <n v="2700"/>
    <n v="2400"/>
    <n v="2100"/>
    <n v="3000"/>
    <n v="5000"/>
  </r>
  <r>
    <x v="2"/>
    <s v="847.8470415.1.428640.000000.847001.200179"/>
    <n v="8470415"/>
    <x v="12"/>
    <n v="428640"/>
    <x v="14"/>
    <n v="847001"/>
    <s v="KUST - General"/>
    <x v="1"/>
    <x v="1"/>
    <n v="426"/>
    <n v="0"/>
    <n v="0"/>
    <n v="15000"/>
    <n v="15000"/>
    <n v="0"/>
    <n v="0"/>
    <n v="0"/>
    <n v="20000"/>
    <n v="18000"/>
    <n v="16000"/>
    <n v="14000"/>
    <n v="20000"/>
    <n v="25000"/>
  </r>
  <r>
    <x v="2"/>
    <s v="847.8470415.1.432209.000000.847001.200179"/>
    <n v="8470415"/>
    <x v="12"/>
    <n v="432209"/>
    <x v="47"/>
    <n v="847001"/>
    <s v="KUST - General"/>
    <x v="1"/>
    <x v="1"/>
    <n v="130434"/>
    <n v="71550"/>
    <n v="85887"/>
    <n v="301000"/>
    <n v="301000"/>
    <n v="39104"/>
    <n v="82964.100000000006"/>
    <n v="82628.61"/>
    <n v="980000"/>
    <n v="391500"/>
    <n v="348000"/>
    <n v="304500"/>
    <n v="478500"/>
    <n v="526000"/>
  </r>
  <r>
    <x v="2"/>
    <s v="847.8470415.1.435350.000000.847001.200179"/>
    <n v="8470415"/>
    <x v="12"/>
    <n v="435350"/>
    <x v="43"/>
    <n v="847001"/>
    <s v="KUST - General"/>
    <x v="1"/>
    <x v="1"/>
    <n v="0"/>
    <n v="18074"/>
    <n v="15798"/>
    <n v="70000"/>
    <n v="70000"/>
    <n v="5138"/>
    <n v="0"/>
    <n v="0"/>
    <n v="180000"/>
    <n v="162000"/>
    <n v="144000"/>
    <n v="126000"/>
    <n v="240000"/>
    <n v="300000"/>
  </r>
  <r>
    <x v="2"/>
    <s v="847.8470415.1.435508.000000.847001.200179"/>
    <n v="8470415"/>
    <x v="12"/>
    <n v="435508"/>
    <x v="44"/>
    <n v="847001"/>
    <s v="KUST - General"/>
    <x v="1"/>
    <x v="1"/>
    <n v="374661"/>
    <n v="267320"/>
    <n v="146217"/>
    <n v="525000"/>
    <n v="525000"/>
    <n v="89206.58"/>
    <n v="36675"/>
    <n v="76210"/>
    <n v="1200000"/>
    <n v="675000"/>
    <n v="600000"/>
    <n v="525000"/>
    <n v="925000"/>
    <n v="900000"/>
  </r>
  <r>
    <x v="2"/>
    <s v="847.8470415.1.492316.000000.847001.300180"/>
    <n v="8470415"/>
    <x v="12"/>
    <n v="492316"/>
    <x v="39"/>
    <n v="847001"/>
    <s v="KUST - General"/>
    <x v="2"/>
    <x v="2"/>
    <n v="129251"/>
    <n v="0"/>
    <n v="751050"/>
    <n v="1891417"/>
    <n v="1891417"/>
    <n v="0"/>
    <n v="1774402"/>
    <n v="102313"/>
    <n v="3386780"/>
    <n v="103856"/>
    <n v="92316"/>
    <n v="80777"/>
    <n v="4494200"/>
    <n v="346260"/>
  </r>
  <r>
    <x v="2"/>
    <s v="847.8470425.1.425510.000000.847001.200179"/>
    <n v="8470425"/>
    <x v="13"/>
    <n v="425510"/>
    <x v="3"/>
    <n v="847001"/>
    <s v="KUST - General"/>
    <x v="1"/>
    <x v="1"/>
    <n v="0"/>
    <n v="0"/>
    <n v="0"/>
    <n v="45000"/>
    <n v="45000"/>
    <n v="0"/>
    <n v="0"/>
    <n v="0"/>
    <n v="290000"/>
    <n v="40500"/>
    <n v="36000"/>
    <n v="31500"/>
    <n v="275000"/>
    <n v="295000"/>
  </r>
  <r>
    <x v="2"/>
    <s v="847.8470425.1.425550.000000.847001.200179"/>
    <n v="8470425"/>
    <x v="13"/>
    <n v="425550"/>
    <x v="4"/>
    <n v="847001"/>
    <s v="KUST - General"/>
    <x v="1"/>
    <x v="1"/>
    <n v="0"/>
    <n v="0"/>
    <n v="0"/>
    <n v="225000"/>
    <n v="225000"/>
    <n v="0"/>
    <n v="0"/>
    <n v="0"/>
    <n v="247500"/>
    <n v="222750"/>
    <n v="198000"/>
    <n v="173250"/>
    <n v="270000"/>
    <n v="337500"/>
  </r>
  <r>
    <x v="2"/>
    <s v="847.8470425.1.425770.000000.847001.200179"/>
    <n v="8470425"/>
    <x v="13"/>
    <n v="425770"/>
    <x v="37"/>
    <n v="847001"/>
    <s v="KUST - General"/>
    <x v="1"/>
    <x v="1"/>
    <n v="126527"/>
    <n v="66413"/>
    <n v="717"/>
    <n v="60000"/>
    <n v="60000"/>
    <n v="11830"/>
    <n v="0"/>
    <n v="0"/>
    <n v="67500"/>
    <n v="60750"/>
    <n v="54000"/>
    <n v="47250"/>
    <n v="90000"/>
    <n v="112500"/>
  </r>
  <r>
    <x v="2"/>
    <s v="847.8470425.1.425900.000000.847001.200179"/>
    <n v="8470425"/>
    <x v="13"/>
    <n v="425900"/>
    <x v="11"/>
    <n v="847001"/>
    <s v="KUST - General"/>
    <x v="1"/>
    <x v="1"/>
    <n v="5798"/>
    <n v="5058"/>
    <n v="0"/>
    <n v="10116"/>
    <n v="10116"/>
    <n v="0"/>
    <n v="0"/>
    <n v="0"/>
    <n v="145000"/>
    <n v="112500"/>
    <n v="100000"/>
    <n v="87500"/>
    <n v="120000"/>
    <n v="120000"/>
  </r>
  <r>
    <x v="2"/>
    <s v="847.8470425.1.426610.000000.847001.200179"/>
    <n v="8470425"/>
    <x v="13"/>
    <n v="426610"/>
    <x v="12"/>
    <n v="847001"/>
    <s v="KUST - General"/>
    <x v="1"/>
    <x v="1"/>
    <n v="0"/>
    <n v="0"/>
    <n v="0"/>
    <n v="212000"/>
    <n v="212000"/>
    <n v="0"/>
    <n v="0"/>
    <n v="22497.13"/>
    <n v="200000"/>
    <n v="180000"/>
    <n v="160000"/>
    <n v="140000"/>
    <n v="450000"/>
    <n v="400000"/>
  </r>
  <r>
    <x v="2"/>
    <s v="847.8470425.1.428090.000000.847001.200179"/>
    <n v="8470425"/>
    <x v="13"/>
    <n v="428090"/>
    <x v="13"/>
    <n v="847001"/>
    <s v="KUST - General"/>
    <x v="1"/>
    <x v="1"/>
    <n v="0"/>
    <n v="0"/>
    <n v="0"/>
    <n v="128000"/>
    <n v="128000"/>
    <n v="0"/>
    <n v="0"/>
    <n v="0"/>
    <n v="128000"/>
    <n v="115200"/>
    <n v="102400"/>
    <n v="89600"/>
    <n v="192000"/>
    <n v="112500"/>
  </r>
  <r>
    <x v="2"/>
    <s v="847.8470425.1.435350.000000.847001.200179"/>
    <n v="8470425"/>
    <x v="13"/>
    <n v="435350"/>
    <x v="43"/>
    <n v="847001"/>
    <s v="KUST - General"/>
    <x v="1"/>
    <x v="1"/>
    <n v="14753"/>
    <n v="39563"/>
    <n v="31871"/>
    <n v="120000"/>
    <n v="120000"/>
    <n v="21287.77"/>
    <n v="0"/>
    <n v="0"/>
    <n v="150000"/>
    <n v="135000"/>
    <n v="120000"/>
    <n v="105000"/>
    <n v="150000"/>
    <n v="250000"/>
  </r>
  <r>
    <x v="2"/>
    <s v="847.8470425.1.435508.000000.847001.200179"/>
    <n v="8470425"/>
    <x v="13"/>
    <n v="435508"/>
    <x v="44"/>
    <n v="847001"/>
    <s v="KUST - General"/>
    <x v="1"/>
    <x v="1"/>
    <n v="4600"/>
    <n v="42606"/>
    <n v="227"/>
    <n v="551566"/>
    <n v="551566"/>
    <n v="0"/>
    <n v="0"/>
    <n v="152675"/>
    <n v="854700"/>
    <n v="35100"/>
    <n v="31200"/>
    <n v="27300"/>
    <n v="840000"/>
    <n v="1000000"/>
  </r>
  <r>
    <x v="2"/>
    <s v="847.8470425.1.492310.000000.847001.300180"/>
    <n v="8470425"/>
    <x v="13"/>
    <n v="492310"/>
    <x v="16"/>
    <n v="847001"/>
    <s v="KUST - General"/>
    <x v="2"/>
    <x v="2"/>
    <n v="0"/>
    <n v="0"/>
    <n v="0"/>
    <n v="151348"/>
    <n v="151348"/>
    <n v="35280"/>
    <n v="0"/>
    <n v="0"/>
    <n v="800000"/>
    <n v="720000"/>
    <n v="640000"/>
    <n v="560000"/>
    <n v="750000"/>
    <n v="750000"/>
  </r>
  <r>
    <x v="2"/>
    <s v="847.8470425.1.492316.000000.847001.300180"/>
    <n v="8470425"/>
    <x v="13"/>
    <n v="492316"/>
    <x v="39"/>
    <n v="847001"/>
    <s v="KUST - General"/>
    <x v="2"/>
    <x v="2"/>
    <n v="0"/>
    <n v="0"/>
    <n v="1788236"/>
    <n v="1551340"/>
    <n v="1551340"/>
    <n v="242437.3"/>
    <n v="1119881.73"/>
    <n v="166330.07999999999"/>
    <n v="2235000"/>
    <n v="1350000"/>
    <n v="1200000"/>
    <n v="1050000"/>
    <n v="3370000"/>
    <n v="3000000"/>
  </r>
  <r>
    <x v="2"/>
    <s v="847.8470430.1.425761.000000.847001.200179"/>
    <n v="8470430"/>
    <x v="14"/>
    <n v="425761"/>
    <x v="9"/>
    <n v="847001"/>
    <s v="KUST - General"/>
    <x v="1"/>
    <x v="1"/>
    <n v="0"/>
    <n v="0"/>
    <n v="0"/>
    <n v="8500"/>
    <n v="8500"/>
    <n v="0"/>
    <n v="0"/>
    <n v="0"/>
    <n v="8500"/>
    <n v="7650"/>
    <n v="6800"/>
    <n v="5950"/>
    <n v="8500"/>
    <n v="8500"/>
  </r>
  <r>
    <x v="2"/>
    <s v="847.8470430.1.425770.000000.847001.200179"/>
    <n v="8470430"/>
    <x v="14"/>
    <n v="425770"/>
    <x v="37"/>
    <n v="847001"/>
    <s v="KUST - General"/>
    <x v="1"/>
    <x v="1"/>
    <n v="157754"/>
    <n v="23515"/>
    <n v="-3393"/>
    <n v="373425"/>
    <n v="373425"/>
    <n v="5500"/>
    <n v="0"/>
    <n v="0"/>
    <n v="373425"/>
    <n v="336083"/>
    <n v="298740"/>
    <n v="261398"/>
    <n v="373425"/>
    <n v="373425"/>
  </r>
  <r>
    <x v="2"/>
    <s v="847.8470430.1.425900.000000.847001.200179"/>
    <n v="8470430"/>
    <x v="14"/>
    <n v="425900"/>
    <x v="11"/>
    <n v="847001"/>
    <s v="KUST - General"/>
    <x v="1"/>
    <x v="1"/>
    <n v="13951"/>
    <n v="6195"/>
    <n v="0"/>
    <n v="12000"/>
    <n v="12000"/>
    <n v="0"/>
    <n v="0"/>
    <n v="0"/>
    <n v="12000"/>
    <n v="10800"/>
    <n v="9600"/>
    <n v="8400"/>
    <n v="12000"/>
    <n v="12000"/>
  </r>
  <r>
    <x v="2"/>
    <s v="847.8470430.1.426610.000000.847001.200179"/>
    <n v="8470430"/>
    <x v="14"/>
    <n v="426610"/>
    <x v="12"/>
    <n v="847001"/>
    <s v="KUST - General"/>
    <x v="1"/>
    <x v="1"/>
    <n v="35196"/>
    <n v="7461"/>
    <n v="21822"/>
    <n v="26152"/>
    <n v="26152"/>
    <n v="7462.28"/>
    <n v="0"/>
    <n v="15518.43"/>
    <n v="26152"/>
    <n v="23537"/>
    <n v="20922"/>
    <n v="18306"/>
    <n v="26152"/>
    <n v="26152"/>
  </r>
  <r>
    <x v="2"/>
    <s v="847.8470430.1.432209.000000.847001.200179"/>
    <n v="8470430"/>
    <x v="14"/>
    <n v="432209"/>
    <x v="47"/>
    <n v="847001"/>
    <s v="KUST - General"/>
    <x v="1"/>
    <x v="1"/>
    <n v="0"/>
    <n v="0"/>
    <n v="0"/>
    <n v="1575"/>
    <n v="1575"/>
    <n v="1500"/>
    <n v="0"/>
    <n v="0"/>
    <n v="1575"/>
    <n v="1418"/>
    <n v="1260"/>
    <n v="1103"/>
    <n v="1575"/>
    <n v="1575"/>
  </r>
  <r>
    <x v="2"/>
    <s v="847.8470430.1.435508.000000.847001.200179"/>
    <n v="8470430"/>
    <x v="14"/>
    <n v="435508"/>
    <x v="44"/>
    <n v="847001"/>
    <s v="KUST - General"/>
    <x v="1"/>
    <x v="1"/>
    <n v="40358"/>
    <n v="-1184"/>
    <n v="0"/>
    <n v="84600"/>
    <n v="84600"/>
    <n v="0"/>
    <n v="0"/>
    <n v="0"/>
    <n v="84600"/>
    <n v="76140"/>
    <n v="67680"/>
    <n v="59220"/>
    <n v="84600"/>
    <n v="84600"/>
  </r>
  <r>
    <x v="2"/>
    <s v="847.8470435.1.425900.000000.847001.200179"/>
    <n v="8470435"/>
    <x v="15"/>
    <n v="425900"/>
    <x v="11"/>
    <n v="847001"/>
    <s v="KUST - General"/>
    <x v="1"/>
    <x v="1"/>
    <n v="0"/>
    <n v="0"/>
    <n v="0"/>
    <n v="0"/>
    <n v="0"/>
    <n v="0"/>
    <n v="0"/>
    <n v="0"/>
    <n v="100000"/>
    <n v="90000"/>
    <n v="80000"/>
    <n v="70000"/>
    <n v="0"/>
    <n v="0"/>
  </r>
  <r>
    <x v="2"/>
    <s v="847.8470435.1.427710.000000.847001.200179"/>
    <n v="8470435"/>
    <x v="15"/>
    <n v="427710"/>
    <x v="42"/>
    <n v="847001"/>
    <s v="KUST - General"/>
    <x v="1"/>
    <x v="1"/>
    <n v="0"/>
    <n v="0"/>
    <n v="0"/>
    <n v="0"/>
    <n v="0"/>
    <n v="0"/>
    <n v="0"/>
    <n v="0"/>
    <n v="30000"/>
    <n v="27000"/>
    <n v="24000"/>
    <n v="21000"/>
    <n v="0"/>
    <n v="0"/>
  </r>
  <r>
    <x v="2"/>
    <s v="847.8470435.1.435508.000000.847001.200179"/>
    <n v="8470435"/>
    <x v="15"/>
    <n v="435508"/>
    <x v="44"/>
    <n v="847001"/>
    <s v="KUST - General"/>
    <x v="1"/>
    <x v="1"/>
    <n v="0"/>
    <n v="0"/>
    <n v="0"/>
    <n v="0"/>
    <n v="0"/>
    <n v="0"/>
    <n v="0"/>
    <n v="0"/>
    <n v="30000"/>
    <n v="27000"/>
    <n v="24000"/>
    <n v="21000"/>
    <n v="0"/>
    <n v="0"/>
  </r>
  <r>
    <x v="2"/>
    <s v="847.8470435.1.436600.000000.847001.200179"/>
    <n v="8470435"/>
    <x v="15"/>
    <n v="436600"/>
    <x v="48"/>
    <n v="847001"/>
    <s v="KUST - General"/>
    <x v="1"/>
    <x v="1"/>
    <n v="0"/>
    <n v="0"/>
    <n v="0"/>
    <n v="30000"/>
    <n v="30000"/>
    <n v="0"/>
    <n v="0"/>
    <n v="0"/>
    <n v="35000"/>
    <n v="31500"/>
    <n v="28000"/>
    <n v="24500"/>
    <n v="0"/>
    <n v="0"/>
  </r>
  <r>
    <x v="2"/>
    <s v="847.8470440.1.420550.000000.847001.200179"/>
    <n v="8470440"/>
    <x v="16"/>
    <n v="420550"/>
    <x v="1"/>
    <n v="847001"/>
    <s v="KUST - General"/>
    <x v="1"/>
    <x v="1"/>
    <n v="0"/>
    <n v="0"/>
    <n v="0"/>
    <n v="560000"/>
    <n v="560000"/>
    <n v="0"/>
    <n v="0"/>
    <n v="0"/>
    <n v="560000"/>
    <n v="504000"/>
    <n v="448000"/>
    <n v="392000"/>
    <n v="560000"/>
    <n v="560000"/>
  </r>
  <r>
    <x v="2"/>
    <s v="847.8470440.1.420570.000000.847001.200179"/>
    <n v="8470440"/>
    <x v="16"/>
    <n v="420570"/>
    <x v="49"/>
    <n v="847001"/>
    <s v="KUST - General"/>
    <x v="1"/>
    <x v="1"/>
    <n v="0"/>
    <n v="0"/>
    <n v="0"/>
    <n v="150000"/>
    <n v="150000"/>
    <n v="0"/>
    <n v="0"/>
    <n v="0"/>
    <n v="150000"/>
    <n v="135000"/>
    <n v="120000"/>
    <n v="105000"/>
    <n v="150000"/>
    <n v="150000"/>
  </r>
  <r>
    <x v="2"/>
    <s v="847.8470440.1.421700.000000.847001.200179"/>
    <n v="8470440"/>
    <x v="16"/>
    <n v="421700"/>
    <x v="40"/>
    <n v="847001"/>
    <s v="KUST - General"/>
    <x v="1"/>
    <x v="1"/>
    <n v="0"/>
    <n v="0"/>
    <n v="0"/>
    <n v="280000"/>
    <n v="280000"/>
    <n v="0"/>
    <n v="0"/>
    <n v="0"/>
    <n v="280000"/>
    <n v="252000"/>
    <n v="224000"/>
    <n v="196000"/>
    <n v="280000"/>
    <n v="280000"/>
  </r>
  <r>
    <x v="2"/>
    <s v="847.8470440.1.425100.000000.847001.200179"/>
    <n v="8470440"/>
    <x v="16"/>
    <n v="425100"/>
    <x v="2"/>
    <n v="847001"/>
    <s v="KUST - General"/>
    <x v="1"/>
    <x v="1"/>
    <n v="0"/>
    <n v="0"/>
    <n v="0"/>
    <n v="10000"/>
    <n v="10000"/>
    <n v="0"/>
    <n v="0"/>
    <n v="0"/>
    <n v="10000"/>
    <n v="9000"/>
    <n v="8000"/>
    <n v="7000"/>
    <n v="10000"/>
    <n v="10000"/>
  </r>
  <r>
    <x v="2"/>
    <s v="847.8470440.1.425510.000000.847001.200179"/>
    <n v="8470440"/>
    <x v="16"/>
    <n v="425510"/>
    <x v="3"/>
    <n v="847001"/>
    <s v="KUST - General"/>
    <x v="1"/>
    <x v="1"/>
    <n v="0"/>
    <n v="0"/>
    <n v="0"/>
    <n v="225000"/>
    <n v="225000"/>
    <n v="0"/>
    <n v="0"/>
    <n v="0"/>
    <n v="225000"/>
    <n v="202500"/>
    <n v="180000"/>
    <n v="157500"/>
    <n v="225000"/>
    <n v="225000"/>
  </r>
  <r>
    <x v="2"/>
    <s v="847.8470440.1.425550.000000.847001.200179"/>
    <n v="8470440"/>
    <x v="16"/>
    <n v="425550"/>
    <x v="4"/>
    <n v="847001"/>
    <s v="KUST - General"/>
    <x v="1"/>
    <x v="1"/>
    <n v="0"/>
    <n v="0"/>
    <n v="0"/>
    <n v="225000"/>
    <n v="225000"/>
    <n v="0"/>
    <n v="0"/>
    <n v="0"/>
    <n v="225000"/>
    <n v="202500"/>
    <n v="180000"/>
    <n v="157500"/>
    <n v="225000"/>
    <n v="225000"/>
  </r>
  <r>
    <x v="2"/>
    <s v="847.8470440.1.425761.000000.847001.200179"/>
    <n v="8470440"/>
    <x v="16"/>
    <n v="425761"/>
    <x v="9"/>
    <n v="847001"/>
    <s v="KUST - General"/>
    <x v="1"/>
    <x v="1"/>
    <n v="914"/>
    <n v="4400"/>
    <n v="0"/>
    <n v="750000"/>
    <n v="750000"/>
    <n v="0"/>
    <n v="0"/>
    <n v="0"/>
    <n v="750000"/>
    <n v="675000"/>
    <n v="600000"/>
    <n v="525000"/>
    <n v="750000"/>
    <n v="750000"/>
  </r>
  <r>
    <x v="2"/>
    <s v="847.8470440.1.425770.000000.847001.200179"/>
    <n v="8470440"/>
    <x v="16"/>
    <n v="425770"/>
    <x v="37"/>
    <n v="847001"/>
    <s v="KUST - General"/>
    <x v="1"/>
    <x v="1"/>
    <n v="137812"/>
    <n v="173862"/>
    <n v="16120"/>
    <n v="300000"/>
    <n v="300000"/>
    <n v="35900.18"/>
    <n v="0"/>
    <n v="0"/>
    <n v="300000"/>
    <n v="270000"/>
    <n v="240000"/>
    <n v="210000"/>
    <n v="300000"/>
    <n v="300000"/>
  </r>
  <r>
    <x v="2"/>
    <s v="847.8470440.1.425900.000000.847001.200179"/>
    <n v="8470440"/>
    <x v="16"/>
    <n v="425900"/>
    <x v="11"/>
    <n v="847001"/>
    <s v="KUST - General"/>
    <x v="1"/>
    <x v="1"/>
    <n v="0"/>
    <n v="0"/>
    <n v="0"/>
    <n v="24000"/>
    <n v="24000"/>
    <n v="0"/>
    <n v="0"/>
    <n v="0"/>
    <n v="24000"/>
    <n v="21600"/>
    <n v="19200"/>
    <n v="16800"/>
    <n v="0"/>
    <n v="0"/>
  </r>
  <r>
    <x v="2"/>
    <s v="847.8470440.1.426610.000000.847001.200179"/>
    <n v="8470440"/>
    <x v="16"/>
    <n v="426610"/>
    <x v="12"/>
    <n v="847001"/>
    <s v="KUST - General"/>
    <x v="1"/>
    <x v="1"/>
    <n v="2165"/>
    <n v="0"/>
    <n v="6399"/>
    <n v="120000"/>
    <n v="120000"/>
    <n v="0"/>
    <n v="6398.78"/>
    <n v="0"/>
    <n v="120000"/>
    <n v="108000"/>
    <n v="96000"/>
    <n v="84000"/>
    <n v="120000"/>
    <n v="120000"/>
  </r>
  <r>
    <x v="2"/>
    <s v="847.8470440.1.427710.000000.847001.200179"/>
    <n v="8470440"/>
    <x v="16"/>
    <n v="427710"/>
    <x v="42"/>
    <n v="847001"/>
    <s v="KUST - General"/>
    <x v="1"/>
    <x v="1"/>
    <n v="0"/>
    <n v="0"/>
    <n v="0"/>
    <n v="15000"/>
    <n v="15000"/>
    <n v="0"/>
    <n v="0"/>
    <n v="0"/>
    <n v="15000"/>
    <n v="13500"/>
    <n v="12000"/>
    <n v="10500"/>
    <n v="15000"/>
    <n v="15000"/>
  </r>
  <r>
    <x v="2"/>
    <s v="847.8470440.1.428090.000000.847001.200179"/>
    <n v="8470440"/>
    <x v="16"/>
    <n v="428090"/>
    <x v="13"/>
    <n v="847001"/>
    <s v="KUST - General"/>
    <x v="1"/>
    <x v="1"/>
    <n v="118543"/>
    <n v="0"/>
    <n v="0"/>
    <n v="225000"/>
    <n v="225000"/>
    <n v="0"/>
    <n v="0"/>
    <n v="0"/>
    <n v="225000"/>
    <n v="202500"/>
    <n v="180000"/>
    <n v="157500"/>
    <n v="225000"/>
    <n v="225000"/>
  </r>
  <r>
    <x v="2"/>
    <s v="847.8470440.1.428640.000000.847001.200179"/>
    <n v="8470440"/>
    <x v="16"/>
    <n v="428640"/>
    <x v="14"/>
    <n v="847001"/>
    <s v="KUST - General"/>
    <x v="1"/>
    <x v="1"/>
    <n v="0"/>
    <n v="0"/>
    <n v="0"/>
    <n v="100000"/>
    <n v="100000"/>
    <n v="0"/>
    <n v="0"/>
    <n v="0"/>
    <n v="100000"/>
    <n v="90000"/>
    <n v="80000"/>
    <n v="70000"/>
    <n v="100000"/>
    <n v="100000"/>
  </r>
  <r>
    <x v="2"/>
    <s v="847.8470440.1.435340.000000.847001.200179"/>
    <n v="8470440"/>
    <x v="16"/>
    <n v="435340"/>
    <x v="20"/>
    <n v="847001"/>
    <s v="KUST - General"/>
    <x v="1"/>
    <x v="1"/>
    <n v="0"/>
    <n v="0"/>
    <n v="0"/>
    <n v="120000"/>
    <n v="120000"/>
    <n v="0"/>
    <n v="0"/>
    <n v="0"/>
    <n v="120000"/>
    <n v="108000"/>
    <n v="96000"/>
    <n v="84000"/>
    <n v="120000"/>
    <n v="120000"/>
  </r>
  <r>
    <x v="2"/>
    <s v="847.8470440.1.435350.000000.847001.200179"/>
    <n v="8470440"/>
    <x v="16"/>
    <n v="435350"/>
    <x v="43"/>
    <n v="847001"/>
    <s v="KUST - General"/>
    <x v="1"/>
    <x v="1"/>
    <n v="0"/>
    <n v="0"/>
    <n v="11001"/>
    <n v="40000"/>
    <n v="40000"/>
    <n v="29889.1"/>
    <n v="0"/>
    <n v="0"/>
    <n v="40000"/>
    <n v="36000"/>
    <n v="32000"/>
    <n v="28000"/>
    <n v="40000"/>
    <n v="40000"/>
  </r>
  <r>
    <x v="2"/>
    <s v="847.8470440.1.436600.000000.847001.200179"/>
    <n v="8470440"/>
    <x v="16"/>
    <n v="436600"/>
    <x v="48"/>
    <n v="847001"/>
    <s v="KUST - General"/>
    <x v="1"/>
    <x v="1"/>
    <n v="0"/>
    <n v="227"/>
    <n v="0"/>
    <n v="22500"/>
    <n v="22500"/>
    <n v="4195"/>
    <n v="0"/>
    <n v="0"/>
    <n v="22500"/>
    <n v="20250"/>
    <n v="18000"/>
    <n v="15750"/>
    <n v="22500"/>
    <n v="22500"/>
  </r>
  <r>
    <x v="2"/>
    <s v="847.8470445.1.420550.000000.847001.200179"/>
    <n v="8470445"/>
    <x v="17"/>
    <n v="420550"/>
    <x v="1"/>
    <n v="847001"/>
    <s v="KUST - General"/>
    <x v="1"/>
    <x v="1"/>
    <n v="0"/>
    <n v="0"/>
    <n v="0"/>
    <n v="0"/>
    <n v="0"/>
    <n v="0"/>
    <n v="0"/>
    <n v="0"/>
    <n v="200000"/>
    <n v="180000"/>
    <n v="160000"/>
    <n v="140000"/>
    <n v="400000"/>
    <n v="200000"/>
  </r>
  <r>
    <x v="2"/>
    <s v="847.8470445.1.425100.000000.847001.200179"/>
    <n v="8470445"/>
    <x v="17"/>
    <n v="425100"/>
    <x v="2"/>
    <n v="847001"/>
    <s v="KUST - General"/>
    <x v="1"/>
    <x v="1"/>
    <n v="0"/>
    <n v="0"/>
    <n v="0"/>
    <n v="150000"/>
    <n v="150000"/>
    <n v="0"/>
    <n v="0"/>
    <n v="0"/>
    <n v="100000"/>
    <n v="90000"/>
    <n v="80000"/>
    <n v="70000"/>
    <n v="0"/>
    <n v="100000"/>
  </r>
  <r>
    <x v="2"/>
    <s v="847.8470445.1.425510.000000.847001.200179"/>
    <n v="8470445"/>
    <x v="17"/>
    <n v="425510"/>
    <x v="3"/>
    <n v="847001"/>
    <s v="KUST - General"/>
    <x v="1"/>
    <x v="1"/>
    <n v="0"/>
    <n v="0"/>
    <n v="0"/>
    <n v="0"/>
    <n v="0"/>
    <n v="0"/>
    <n v="0"/>
    <n v="0"/>
    <n v="300000"/>
    <n v="270000"/>
    <n v="240000"/>
    <n v="210000"/>
    <n v="450000"/>
    <n v="0"/>
  </r>
  <r>
    <x v="2"/>
    <s v="847.8470445.1.425720.000000.847001.200179"/>
    <n v="8470445"/>
    <x v="17"/>
    <n v="425720"/>
    <x v="23"/>
    <n v="847001"/>
    <s v="KUST - General"/>
    <x v="1"/>
    <x v="1"/>
    <n v="0"/>
    <n v="0"/>
    <n v="0"/>
    <n v="19350"/>
    <n v="19350"/>
    <n v="825"/>
    <n v="0"/>
    <n v="0"/>
    <n v="36730"/>
    <n v="33057"/>
    <n v="29384"/>
    <n v="25711"/>
    <n v="0"/>
    <n v="36730"/>
  </r>
  <r>
    <x v="2"/>
    <s v="847.8470445.1.425760.000000.847001.200179"/>
    <n v="8470445"/>
    <x v="17"/>
    <n v="425760"/>
    <x v="30"/>
    <n v="847001"/>
    <s v="KUST - General"/>
    <x v="1"/>
    <x v="1"/>
    <n v="0"/>
    <n v="0"/>
    <n v="0"/>
    <n v="35630"/>
    <n v="35630"/>
    <n v="0"/>
    <n v="0"/>
    <n v="0"/>
    <n v="106850"/>
    <n v="96165"/>
    <n v="85480"/>
    <n v="74795"/>
    <n v="0"/>
    <n v="165000"/>
  </r>
  <r>
    <x v="2"/>
    <s v="847.8470445.1.425763.000000.847001.200179"/>
    <n v="8470445"/>
    <x v="17"/>
    <n v="425763"/>
    <x v="41"/>
    <n v="847001"/>
    <s v="KUST - General"/>
    <x v="1"/>
    <x v="1"/>
    <n v="0"/>
    <n v="0"/>
    <n v="0"/>
    <n v="7590"/>
    <n v="7590"/>
    <n v="0"/>
    <n v="0"/>
    <n v="0"/>
    <n v="10000"/>
    <n v="9000"/>
    <n v="8000"/>
    <n v="7000"/>
    <n v="0"/>
    <n v="15000"/>
  </r>
  <r>
    <x v="2"/>
    <s v="847.8470445.1.425770.000000.847001.200179"/>
    <n v="8470445"/>
    <x v="17"/>
    <n v="425770"/>
    <x v="37"/>
    <n v="847001"/>
    <s v="KUST - General"/>
    <x v="1"/>
    <x v="1"/>
    <n v="301152"/>
    <n v="92814"/>
    <n v="6600"/>
    <n v="570000"/>
    <n v="570000"/>
    <n v="12955.67"/>
    <n v="0"/>
    <n v="0"/>
    <n v="600000"/>
    <n v="540000"/>
    <n v="480000"/>
    <n v="420000"/>
    <n v="0"/>
    <n v="600000"/>
  </r>
  <r>
    <x v="2"/>
    <s v="847.8470445.1.425900.000000.847001.200179"/>
    <n v="8470445"/>
    <x v="17"/>
    <n v="425900"/>
    <x v="11"/>
    <n v="847001"/>
    <s v="KUST - General"/>
    <x v="1"/>
    <x v="1"/>
    <n v="0"/>
    <n v="0"/>
    <n v="0"/>
    <n v="0"/>
    <n v="0"/>
    <n v="0"/>
    <n v="0"/>
    <n v="0"/>
    <n v="120000"/>
    <n v="108000"/>
    <n v="96000"/>
    <n v="84000"/>
    <n v="120000"/>
    <n v="120000"/>
  </r>
  <r>
    <x v="2"/>
    <s v="847.8470445.1.426610.000000.847001.200179"/>
    <n v="8470445"/>
    <x v="17"/>
    <n v="426610"/>
    <x v="12"/>
    <n v="847001"/>
    <s v="KUST - General"/>
    <x v="1"/>
    <x v="1"/>
    <n v="0"/>
    <n v="0"/>
    <n v="53832"/>
    <n v="37650"/>
    <n v="37650"/>
    <n v="12040.74"/>
    <n v="8983.82"/>
    <n v="1774.06"/>
    <n v="25000"/>
    <n v="22500"/>
    <n v="20000"/>
    <n v="17500"/>
    <n v="0"/>
    <n v="25000"/>
  </r>
  <r>
    <x v="2"/>
    <s v="847.8470445.1.427710.000000.847001.200179"/>
    <n v="8470445"/>
    <x v="17"/>
    <n v="427710"/>
    <x v="42"/>
    <n v="847001"/>
    <s v="KUST - General"/>
    <x v="1"/>
    <x v="1"/>
    <n v="0"/>
    <n v="0"/>
    <n v="0"/>
    <n v="0"/>
    <n v="0"/>
    <n v="0"/>
    <n v="0"/>
    <n v="0"/>
    <n v="12576"/>
    <n v="11318"/>
    <n v="10061"/>
    <n v="8803"/>
    <n v="13138"/>
    <n v="13700"/>
  </r>
  <r>
    <x v="2"/>
    <s v="847.8470445.1.435350.000000.847001.200179"/>
    <n v="8470445"/>
    <x v="17"/>
    <n v="435350"/>
    <x v="43"/>
    <n v="847001"/>
    <s v="KUST - General"/>
    <x v="1"/>
    <x v="1"/>
    <n v="0"/>
    <n v="0"/>
    <n v="0"/>
    <n v="600000"/>
    <n v="600000"/>
    <n v="28120.06"/>
    <n v="0"/>
    <n v="0"/>
    <n v="675000"/>
    <n v="607500"/>
    <n v="540000"/>
    <n v="472500"/>
    <n v="0"/>
    <n v="880000"/>
  </r>
  <r>
    <x v="2"/>
    <s v="847.8470445.1.492354.000000.847001.300180"/>
    <n v="8470445"/>
    <x v="17"/>
    <n v="492354"/>
    <x v="50"/>
    <n v="847001"/>
    <s v="KUST - General"/>
    <x v="2"/>
    <x v="2"/>
    <n v="0"/>
    <n v="0"/>
    <n v="0"/>
    <n v="0"/>
    <n v="0"/>
    <n v="0"/>
    <n v="0"/>
    <n v="0"/>
    <n v="1140000"/>
    <n v="810000"/>
    <n v="720000"/>
    <n v="630000"/>
    <n v="600000"/>
    <n v="0"/>
  </r>
  <r>
    <x v="2"/>
    <s v="847.8470450.1.425761.000000.847001.200179"/>
    <n v="8470450"/>
    <x v="18"/>
    <n v="425761"/>
    <x v="9"/>
    <n v="847001"/>
    <s v="KUST - General"/>
    <x v="1"/>
    <x v="1"/>
    <n v="627375"/>
    <n v="69322"/>
    <n v="40740"/>
    <n v="500000"/>
    <n v="500000"/>
    <n v="87286.74"/>
    <n v="0"/>
    <n v="0"/>
    <n v="500000"/>
    <n v="450000"/>
    <n v="400000"/>
    <n v="350000"/>
    <n v="0"/>
    <n v="600000"/>
  </r>
  <r>
    <x v="2"/>
    <s v="847.8470450.1.425770.000000.847001.200179"/>
    <n v="8470450"/>
    <x v="18"/>
    <n v="425770"/>
    <x v="37"/>
    <n v="847001"/>
    <s v="KUST - General"/>
    <x v="1"/>
    <x v="1"/>
    <n v="91583"/>
    <n v="-5700"/>
    <n v="0"/>
    <n v="180000"/>
    <n v="180000"/>
    <n v="36310"/>
    <n v="0"/>
    <n v="0"/>
    <n v="210000"/>
    <n v="189000"/>
    <n v="168000"/>
    <n v="147000"/>
    <n v="0"/>
    <n v="210000"/>
  </r>
  <r>
    <x v="2"/>
    <s v="847.8470450.1.426610.000000.847001.200179"/>
    <n v="8470450"/>
    <x v="18"/>
    <n v="426610"/>
    <x v="12"/>
    <n v="847001"/>
    <s v="KUST - General"/>
    <x v="1"/>
    <x v="1"/>
    <n v="12803"/>
    <n v="-4358"/>
    <n v="0"/>
    <n v="313605"/>
    <n v="313605"/>
    <n v="0"/>
    <n v="0"/>
    <n v="35628.1"/>
    <n v="89500"/>
    <n v="80550"/>
    <n v="71600"/>
    <n v="62650"/>
    <n v="0"/>
    <n v="81000"/>
  </r>
  <r>
    <x v="2"/>
    <s v="847.8470450.1.428090.000000.847001.200179"/>
    <n v="8470450"/>
    <x v="18"/>
    <n v="428090"/>
    <x v="13"/>
    <n v="847001"/>
    <s v="KUST - General"/>
    <x v="1"/>
    <x v="1"/>
    <n v="0"/>
    <n v="0"/>
    <n v="0"/>
    <n v="20000"/>
    <n v="20000"/>
    <n v="2200"/>
    <n v="0"/>
    <n v="0"/>
    <n v="0"/>
    <n v="0"/>
    <n v="0"/>
    <n v="0"/>
    <n v="0"/>
    <n v="0"/>
  </r>
  <r>
    <x v="2"/>
    <s v="847.8470450.1.432209.000000.847001.200179"/>
    <n v="8470450"/>
    <x v="18"/>
    <n v="432209"/>
    <x v="47"/>
    <n v="847001"/>
    <s v="KUST - General"/>
    <x v="1"/>
    <x v="1"/>
    <n v="135193"/>
    <n v="228008"/>
    <n v="-35634"/>
    <n v="118157"/>
    <n v="118157"/>
    <n v="4093.92"/>
    <n v="46480.73"/>
    <n v="21900"/>
    <n v="0"/>
    <n v="0"/>
    <n v="0"/>
    <n v="0"/>
    <n v="0"/>
    <n v="0"/>
  </r>
  <r>
    <x v="2"/>
    <s v="847.8470450.1.435350.000000.847001.200179"/>
    <n v="8470450"/>
    <x v="18"/>
    <n v="435350"/>
    <x v="43"/>
    <n v="847001"/>
    <s v="KUST - General"/>
    <x v="1"/>
    <x v="1"/>
    <n v="16225"/>
    <n v="0"/>
    <n v="0"/>
    <n v="40000"/>
    <n v="40000"/>
    <n v="0"/>
    <n v="0"/>
    <n v="0"/>
    <n v="120000"/>
    <n v="108000"/>
    <n v="96000"/>
    <n v="84000"/>
    <n v="120000"/>
    <n v="140000"/>
  </r>
  <r>
    <x v="2"/>
    <s v="847.8470450.1.435508.000000.847001.200179"/>
    <n v="8470450"/>
    <x v="18"/>
    <n v="435508"/>
    <x v="44"/>
    <n v="847001"/>
    <s v="KUST - General"/>
    <x v="1"/>
    <x v="1"/>
    <n v="21574"/>
    <n v="-6793"/>
    <n v="4090"/>
    <n v="16500"/>
    <n v="16500"/>
    <n v="0"/>
    <n v="7272.54"/>
    <n v="4700"/>
    <n v="220000"/>
    <n v="198000"/>
    <n v="176000"/>
    <n v="154000"/>
    <n v="280000"/>
    <n v="320000"/>
  </r>
  <r>
    <x v="2"/>
    <s v="847.8470450.1.492310.000000.847001.300180"/>
    <n v="8470450"/>
    <x v="18"/>
    <n v="492310"/>
    <x v="16"/>
    <n v="847001"/>
    <s v="KUST - General"/>
    <x v="2"/>
    <x v="2"/>
    <n v="0"/>
    <n v="0"/>
    <n v="0"/>
    <n v="126346"/>
    <n v="126346"/>
    <n v="0"/>
    <n v="0"/>
    <n v="80205"/>
    <n v="100000"/>
    <n v="90000"/>
    <n v="80000"/>
    <n v="70000"/>
    <n v="125000"/>
    <n v="100000"/>
  </r>
  <r>
    <x v="2"/>
    <s v="847.8470450.1.492316.000000.847001.300180"/>
    <n v="8470450"/>
    <x v="18"/>
    <n v="492316"/>
    <x v="39"/>
    <n v="847001"/>
    <s v="KUST - General"/>
    <x v="2"/>
    <x v="2"/>
    <n v="0"/>
    <n v="0"/>
    <n v="0"/>
    <n v="146498"/>
    <n v="146498"/>
    <n v="309.52"/>
    <n v="117930"/>
    <n v="0"/>
    <n v="2469000"/>
    <n v="54000"/>
    <n v="48000"/>
    <n v="42000"/>
    <n v="250000"/>
    <n v="0"/>
  </r>
  <r>
    <x v="2"/>
    <s v="847.8470455.1.425760.000000.847001.200179"/>
    <n v="8470455"/>
    <x v="19"/>
    <n v="425760"/>
    <x v="30"/>
    <n v="847001"/>
    <s v="KUST - General"/>
    <x v="1"/>
    <x v="1"/>
    <n v="0"/>
    <n v="0"/>
    <n v="0"/>
    <n v="10000"/>
    <n v="10000"/>
    <n v="0"/>
    <n v="0"/>
    <n v="0"/>
    <n v="10500"/>
    <n v="9450"/>
    <n v="8400"/>
    <n v="7350"/>
    <n v="12600"/>
    <n v="15150"/>
  </r>
  <r>
    <x v="2"/>
    <s v="847.8470455.1.425770.000000.847001.200179"/>
    <n v="8470455"/>
    <x v="19"/>
    <n v="425770"/>
    <x v="37"/>
    <n v="847001"/>
    <s v="KUST - General"/>
    <x v="1"/>
    <x v="1"/>
    <n v="0"/>
    <n v="0"/>
    <n v="0"/>
    <n v="80000"/>
    <n v="80000"/>
    <n v="0"/>
    <n v="0"/>
    <n v="0"/>
    <n v="112000"/>
    <n v="100800"/>
    <n v="89600"/>
    <n v="78400"/>
    <n v="128000"/>
    <n v="160000"/>
  </r>
  <r>
    <x v="2"/>
    <s v="847.8470455.1.425900.000000.847001.200179"/>
    <n v="8470455"/>
    <x v="19"/>
    <n v="425900"/>
    <x v="11"/>
    <n v="847001"/>
    <s v="KUST - General"/>
    <x v="1"/>
    <x v="1"/>
    <n v="0"/>
    <n v="0"/>
    <n v="0"/>
    <n v="15000"/>
    <n v="15000"/>
    <n v="1800"/>
    <n v="0"/>
    <n v="0"/>
    <n v="30000"/>
    <n v="27000"/>
    <n v="24000"/>
    <n v="21000"/>
    <n v="45000"/>
    <n v="45000"/>
  </r>
  <r>
    <x v="2"/>
    <s v="847.8470455.1.426610.000000.847001.200179"/>
    <n v="8470455"/>
    <x v="19"/>
    <n v="426610"/>
    <x v="12"/>
    <n v="847001"/>
    <s v="KUST - General"/>
    <x v="1"/>
    <x v="1"/>
    <n v="0"/>
    <n v="0"/>
    <n v="0"/>
    <n v="50000"/>
    <n v="50000"/>
    <n v="119.56"/>
    <n v="0"/>
    <n v="0"/>
    <n v="35000"/>
    <n v="31500"/>
    <n v="28000"/>
    <n v="24500"/>
    <n v="45000"/>
    <n v="50000"/>
  </r>
  <r>
    <x v="2"/>
    <s v="847.8470455.1.428090.000000.847001.200179"/>
    <n v="8470455"/>
    <x v="19"/>
    <n v="428090"/>
    <x v="13"/>
    <n v="847001"/>
    <s v="KUST - General"/>
    <x v="1"/>
    <x v="1"/>
    <n v="0"/>
    <n v="0"/>
    <n v="0"/>
    <n v="50000"/>
    <n v="50000"/>
    <n v="0"/>
    <n v="0"/>
    <n v="0"/>
    <n v="50000"/>
    <n v="45000"/>
    <n v="40000"/>
    <n v="35000"/>
    <n v="75000"/>
    <n v="75000"/>
  </r>
  <r>
    <x v="2"/>
    <s v="847.8470455.1.428640.000000.847001.200179"/>
    <n v="8470455"/>
    <x v="19"/>
    <n v="428640"/>
    <x v="14"/>
    <n v="847001"/>
    <s v="KUST - General"/>
    <x v="1"/>
    <x v="1"/>
    <n v="0"/>
    <n v="0"/>
    <n v="0"/>
    <n v="5000"/>
    <n v="5000"/>
    <n v="0"/>
    <n v="0"/>
    <n v="0"/>
    <n v="12500"/>
    <n v="11250"/>
    <n v="10000"/>
    <n v="8750"/>
    <n v="15000"/>
    <n v="17500"/>
  </r>
  <r>
    <x v="2"/>
    <s v="847.8470455.1.432209.000000.847001.200179"/>
    <n v="8470455"/>
    <x v="19"/>
    <n v="432209"/>
    <x v="47"/>
    <n v="847001"/>
    <s v="KUST - General"/>
    <x v="1"/>
    <x v="1"/>
    <n v="0"/>
    <n v="0"/>
    <n v="0"/>
    <n v="300000"/>
    <n v="300000"/>
    <n v="0"/>
    <n v="0"/>
    <n v="0"/>
    <n v="300000"/>
    <n v="270000"/>
    <n v="240000"/>
    <n v="210000"/>
    <n v="360000"/>
    <n v="600000"/>
  </r>
  <r>
    <x v="2"/>
    <s v="847.8470455.1.435350.000000.847001.200179"/>
    <n v="8470455"/>
    <x v="19"/>
    <n v="435350"/>
    <x v="43"/>
    <n v="847001"/>
    <s v="KUST - General"/>
    <x v="1"/>
    <x v="1"/>
    <n v="0"/>
    <n v="0"/>
    <n v="0"/>
    <n v="80000"/>
    <n v="80000"/>
    <n v="25142.2"/>
    <n v="0"/>
    <n v="0"/>
    <n v="140000"/>
    <n v="126000"/>
    <n v="112000"/>
    <n v="98000"/>
    <n v="170000"/>
    <n v="200000"/>
  </r>
  <r>
    <x v="2"/>
    <s v="847.8470455.1.435508.000000.847001.200179"/>
    <n v="8470455"/>
    <x v="19"/>
    <n v="435508"/>
    <x v="44"/>
    <n v="847001"/>
    <s v="KUST - General"/>
    <x v="1"/>
    <x v="1"/>
    <n v="0"/>
    <n v="0"/>
    <n v="0"/>
    <n v="675000"/>
    <n v="675000"/>
    <n v="9208.4500000000007"/>
    <n v="432250"/>
    <n v="0"/>
    <n v="781000"/>
    <n v="702900"/>
    <n v="624800"/>
    <n v="546700"/>
    <n v="275000"/>
    <n v="1122000"/>
  </r>
  <r>
    <x v="2"/>
    <s v="847.8470455.1.436110.000000.847001.200179"/>
    <n v="8470455"/>
    <x v="19"/>
    <n v="436110"/>
    <x v="15"/>
    <n v="847001"/>
    <s v="KUST - General"/>
    <x v="1"/>
    <x v="1"/>
    <n v="0"/>
    <n v="0"/>
    <n v="0"/>
    <n v="5000"/>
    <n v="5000"/>
    <n v="0"/>
    <n v="0"/>
    <n v="0"/>
    <n v="7000"/>
    <n v="6300"/>
    <n v="5600"/>
    <n v="4900"/>
    <n v="9000"/>
    <n v="10000"/>
  </r>
  <r>
    <x v="2"/>
    <s v="847.8470455.1.492316.000000.847001.300180"/>
    <n v="8470455"/>
    <x v="19"/>
    <n v="492316"/>
    <x v="39"/>
    <n v="847001"/>
    <s v="KUST - General"/>
    <x v="2"/>
    <x v="2"/>
    <n v="0"/>
    <n v="0"/>
    <n v="0"/>
    <n v="1754263"/>
    <n v="1754263"/>
    <n v="0"/>
    <n v="1603654"/>
    <n v="106062.5"/>
    <n v="2014622"/>
    <n v="1813160"/>
    <n v="1611698"/>
    <n v="1410235"/>
    <n v="2700000"/>
    <n v="3000000"/>
  </r>
  <r>
    <x v="3"/>
    <s v="847.8470305.1.420550.000000.847001.200179"/>
    <n v="8470305"/>
    <x v="20"/>
    <n v="420550"/>
    <x v="1"/>
    <n v="847001"/>
    <s v="KUST - General"/>
    <x v="1"/>
    <x v="1"/>
    <n v="0"/>
    <n v="0"/>
    <n v="0"/>
    <n v="100000"/>
    <n v="100000"/>
    <n v="92165.34"/>
    <n v="0"/>
    <n v="0"/>
    <n v="100000"/>
    <n v="90000"/>
    <n v="0"/>
    <n v="70000"/>
    <n v="100000"/>
    <n v="100000"/>
  </r>
  <r>
    <x v="3"/>
    <s v="847.8470305.1.420570.000000.847001.200179"/>
    <n v="8470305"/>
    <x v="20"/>
    <n v="420570"/>
    <x v="49"/>
    <n v="847001"/>
    <s v="KUST - General"/>
    <x v="1"/>
    <x v="1"/>
    <n v="4591"/>
    <n v="4591"/>
    <n v="4591"/>
    <n v="10000"/>
    <n v="10000"/>
    <n v="0"/>
    <n v="0"/>
    <n v="0"/>
    <n v="10000"/>
    <n v="9000"/>
    <n v="0"/>
    <n v="7000"/>
    <n v="10000"/>
    <n v="15000"/>
  </r>
  <r>
    <x v="3"/>
    <s v="847.8470305.1.421700.000000.847001.200179"/>
    <n v="8470305"/>
    <x v="20"/>
    <n v="421700"/>
    <x v="40"/>
    <n v="847001"/>
    <s v="KUST - General"/>
    <x v="1"/>
    <x v="1"/>
    <n v="391361"/>
    <n v="597851"/>
    <n v="123489"/>
    <n v="506004"/>
    <n v="506004"/>
    <n v="32000"/>
    <n v="0"/>
    <n v="0"/>
    <n v="300000"/>
    <n v="270000"/>
    <n v="0"/>
    <n v="210000"/>
    <n v="90000"/>
    <n v="150000"/>
  </r>
  <r>
    <x v="3"/>
    <s v="847.8470305.1.425510.000000.847001.200179"/>
    <n v="8470305"/>
    <x v="20"/>
    <n v="425510"/>
    <x v="3"/>
    <n v="847001"/>
    <s v="KUST - General"/>
    <x v="1"/>
    <x v="1"/>
    <n v="38554"/>
    <n v="10444"/>
    <n v="-252"/>
    <n v="20000"/>
    <n v="20000"/>
    <n v="5286"/>
    <n v="0"/>
    <n v="0"/>
    <n v="20000"/>
    <n v="18000"/>
    <n v="0"/>
    <n v="14000"/>
    <n v="30000"/>
    <n v="60000"/>
  </r>
  <r>
    <x v="3"/>
    <s v="847.8470305.1.425720.000000.847001.200179"/>
    <n v="8470305"/>
    <x v="20"/>
    <n v="425720"/>
    <x v="23"/>
    <n v="847001"/>
    <s v="KUST - General"/>
    <x v="1"/>
    <x v="1"/>
    <n v="29384"/>
    <n v="0"/>
    <n v="-3416"/>
    <n v="0"/>
    <n v="0"/>
    <n v="0"/>
    <n v="0"/>
    <n v="0"/>
    <n v="40000"/>
    <n v="36000"/>
    <n v="0"/>
    <n v="28000"/>
    <n v="80000"/>
    <n v="40000"/>
  </r>
  <r>
    <x v="3"/>
    <s v="847.8470305.1.425763.000000.847001.200179"/>
    <n v="8470305"/>
    <x v="20"/>
    <n v="425763"/>
    <x v="41"/>
    <n v="847001"/>
    <s v="KUST - General"/>
    <x v="1"/>
    <x v="1"/>
    <n v="19184"/>
    <n v="617638"/>
    <n v="55390"/>
    <n v="170000"/>
    <n v="170000"/>
    <n v="20000"/>
    <n v="112260.3"/>
    <n v="0"/>
    <n v="120000"/>
    <n v="108000"/>
    <n v="0"/>
    <n v="84000"/>
    <n v="120000"/>
    <n v="120000"/>
  </r>
  <r>
    <x v="3"/>
    <s v="847.8470305.1.425770.000000.847001.200179"/>
    <n v="8470305"/>
    <x v="20"/>
    <n v="425770"/>
    <x v="37"/>
    <n v="847001"/>
    <s v="KUST - General"/>
    <x v="1"/>
    <x v="1"/>
    <n v="96239"/>
    <n v="7219"/>
    <n v="22015"/>
    <n v="579499"/>
    <n v="579499"/>
    <n v="51565"/>
    <n v="0"/>
    <n v="0"/>
    <n v="1000000"/>
    <n v="900000"/>
    <n v="0"/>
    <n v="700000"/>
    <n v="1160000"/>
    <n v="1100000"/>
  </r>
  <r>
    <x v="3"/>
    <s v="847.8470305.1.425900.000000.847001.200179"/>
    <n v="8470305"/>
    <x v="20"/>
    <n v="425900"/>
    <x v="11"/>
    <n v="847001"/>
    <s v="KUST - General"/>
    <x v="1"/>
    <x v="1"/>
    <n v="19369"/>
    <n v="-10521"/>
    <n v="-131"/>
    <n v="18000"/>
    <n v="18000"/>
    <n v="2625"/>
    <n v="0"/>
    <n v="0"/>
    <n v="30000"/>
    <n v="27000"/>
    <n v="0"/>
    <n v="21000"/>
    <n v="40000"/>
    <n v="30000"/>
  </r>
  <r>
    <x v="3"/>
    <s v="847.8470305.1.426610.000000.847001.200179"/>
    <n v="8470305"/>
    <x v="20"/>
    <n v="426610"/>
    <x v="12"/>
    <n v="847001"/>
    <s v="KUST - General"/>
    <x v="1"/>
    <x v="1"/>
    <n v="185613"/>
    <n v="236658"/>
    <n v="62198"/>
    <n v="100000"/>
    <n v="100000"/>
    <n v="3874.85"/>
    <n v="0"/>
    <n v="39668.400000000001"/>
    <n v="120000"/>
    <n v="108000"/>
    <n v="0"/>
    <n v="84000"/>
    <n v="150000"/>
    <n v="120000"/>
  </r>
  <r>
    <x v="3"/>
    <s v="847.8470305.1.428090.000000.847001.200179"/>
    <n v="8470305"/>
    <x v="20"/>
    <n v="428090"/>
    <x v="13"/>
    <n v="847001"/>
    <s v="KUST - General"/>
    <x v="1"/>
    <x v="1"/>
    <n v="0"/>
    <n v="0"/>
    <n v="0"/>
    <n v="35000"/>
    <n v="35000"/>
    <n v="0"/>
    <n v="0"/>
    <n v="0"/>
    <n v="90000"/>
    <n v="81000"/>
    <n v="0"/>
    <n v="63000"/>
    <n v="90000"/>
    <n v="60000"/>
  </r>
  <r>
    <x v="3"/>
    <s v="847.8470305.1.428640.000000.847001.200179"/>
    <n v="8470305"/>
    <x v="20"/>
    <n v="428640"/>
    <x v="14"/>
    <n v="847001"/>
    <s v="KUST - General"/>
    <x v="1"/>
    <x v="1"/>
    <n v="11200"/>
    <n v="-3637"/>
    <n v="0"/>
    <n v="45000"/>
    <n v="45000"/>
    <n v="0"/>
    <n v="0"/>
    <n v="0"/>
    <n v="30000"/>
    <n v="27000"/>
    <n v="0"/>
    <n v="21000"/>
    <n v="36000"/>
    <n v="30000"/>
  </r>
  <r>
    <x v="3"/>
    <s v="847.8470305.1.432209.000000.847001.200179"/>
    <n v="8470305"/>
    <x v="20"/>
    <n v="432209"/>
    <x v="47"/>
    <n v="847001"/>
    <s v="KUST - General"/>
    <x v="1"/>
    <x v="1"/>
    <n v="979024"/>
    <n v="786039"/>
    <n v="201150"/>
    <n v="45292"/>
    <n v="45292"/>
    <n v="35796.32"/>
    <n v="0"/>
    <n v="8000"/>
    <n v="220000"/>
    <n v="198000"/>
    <n v="0"/>
    <n v="154000"/>
    <n v="319000"/>
    <n v="297000"/>
  </r>
  <r>
    <x v="3"/>
    <s v="847.8470305.1.432690.000000.847001.200179"/>
    <n v="8470305"/>
    <x v="20"/>
    <n v="432690"/>
    <x v="51"/>
    <n v="847001"/>
    <s v="KUST - General"/>
    <x v="1"/>
    <x v="1"/>
    <n v="6925"/>
    <n v="-2820"/>
    <n v="5000"/>
    <n v="0"/>
    <n v="0"/>
    <n v="0"/>
    <n v="0"/>
    <n v="0"/>
    <n v="0"/>
    <n v="0"/>
    <n v="0"/>
    <n v="0"/>
    <n v="0"/>
    <n v="0"/>
  </r>
  <r>
    <x v="3"/>
    <s v="847.8470305.1.435340.000000.847001.200179"/>
    <n v="8470305"/>
    <x v="20"/>
    <n v="435340"/>
    <x v="20"/>
    <n v="847001"/>
    <s v="KUST - General"/>
    <x v="1"/>
    <x v="1"/>
    <n v="0"/>
    <n v="0"/>
    <n v="-13614"/>
    <n v="0"/>
    <n v="0"/>
    <n v="0"/>
    <n v="0"/>
    <n v="0"/>
    <n v="0"/>
    <n v="0"/>
    <n v="0"/>
    <n v="0"/>
    <n v="0"/>
    <n v="0"/>
  </r>
  <r>
    <x v="3"/>
    <s v="847.8470305.1.435350.000000.847001.200179"/>
    <n v="8470305"/>
    <x v="20"/>
    <n v="435350"/>
    <x v="43"/>
    <n v="847001"/>
    <s v="KUST - General"/>
    <x v="1"/>
    <x v="1"/>
    <n v="0"/>
    <n v="2389"/>
    <n v="0"/>
    <n v="260000"/>
    <n v="260000"/>
    <n v="20510.169999999998"/>
    <n v="0"/>
    <n v="0"/>
    <n v="270000"/>
    <n v="243000"/>
    <n v="0"/>
    <n v="189000"/>
    <n v="360000"/>
    <n v="315000"/>
  </r>
  <r>
    <x v="3"/>
    <s v="847.8470305.1.435508.000000.847001.200179"/>
    <n v="8470305"/>
    <x v="20"/>
    <n v="435508"/>
    <x v="44"/>
    <n v="847001"/>
    <s v="KUST - General"/>
    <x v="1"/>
    <x v="1"/>
    <n v="148739"/>
    <n v="22872"/>
    <n v="35692"/>
    <n v="65000"/>
    <n v="65000"/>
    <n v="20000"/>
    <n v="0"/>
    <n v="0"/>
    <n v="120000"/>
    <n v="108000"/>
    <n v="0"/>
    <n v="84000"/>
    <n v="180000"/>
    <n v="120000"/>
  </r>
  <r>
    <x v="3"/>
    <s v="847.8470305.1.436600.000000.847001.200179"/>
    <n v="8470305"/>
    <x v="20"/>
    <n v="436600"/>
    <x v="48"/>
    <n v="847001"/>
    <s v="KUST - General"/>
    <x v="1"/>
    <x v="1"/>
    <n v="0"/>
    <n v="0"/>
    <n v="0"/>
    <n v="25000"/>
    <n v="25000"/>
    <n v="0"/>
    <n v="0"/>
    <n v="0"/>
    <n v="40000"/>
    <n v="36000"/>
    <n v="0"/>
    <n v="28000"/>
    <n v="60000"/>
    <n v="40000"/>
  </r>
  <r>
    <x v="3"/>
    <s v="847.8470310.1.420550.000000.847001.200179"/>
    <n v="8470310"/>
    <x v="21"/>
    <n v="420550"/>
    <x v="1"/>
    <n v="847001"/>
    <s v="KUST - General"/>
    <x v="1"/>
    <x v="1"/>
    <n v="0"/>
    <n v="0"/>
    <n v="0"/>
    <n v="20000"/>
    <n v="20000"/>
    <n v="0"/>
    <n v="0"/>
    <n v="0"/>
    <n v="20000"/>
    <n v="18000"/>
    <n v="0"/>
    <n v="14000"/>
    <n v="20000"/>
    <n v="20000"/>
  </r>
  <r>
    <x v="3"/>
    <s v="847.8470310.1.425510.000000.847001.200179"/>
    <n v="8470310"/>
    <x v="21"/>
    <n v="425510"/>
    <x v="3"/>
    <n v="847001"/>
    <s v="KUST - General"/>
    <x v="1"/>
    <x v="1"/>
    <n v="2815"/>
    <n v="0"/>
    <n v="0"/>
    <n v="15000"/>
    <n v="15000"/>
    <n v="5330"/>
    <n v="0"/>
    <n v="0"/>
    <n v="30000"/>
    <n v="27000"/>
    <n v="0"/>
    <n v="21000"/>
    <n v="30000"/>
    <n v="30000"/>
  </r>
  <r>
    <x v="3"/>
    <s v="847.8470310.1.425760.000000.847001.200179"/>
    <n v="8470310"/>
    <x v="21"/>
    <n v="425760"/>
    <x v="30"/>
    <n v="847001"/>
    <s v="KUST - General"/>
    <x v="1"/>
    <x v="1"/>
    <n v="44454"/>
    <n v="0"/>
    <n v="0"/>
    <n v="150000"/>
    <n v="150000"/>
    <n v="0"/>
    <n v="0"/>
    <n v="0"/>
    <n v="150000"/>
    <n v="135000"/>
    <n v="0"/>
    <n v="105000"/>
    <n v="150000"/>
    <n v="150000"/>
  </r>
  <r>
    <x v="3"/>
    <s v="847.8470310.1.425763.000000.847001.200179"/>
    <n v="8470310"/>
    <x v="21"/>
    <n v="425763"/>
    <x v="41"/>
    <n v="847001"/>
    <s v="KUST - General"/>
    <x v="1"/>
    <x v="1"/>
    <n v="155851"/>
    <n v="62464"/>
    <n v="113543"/>
    <n v="350000"/>
    <n v="350000"/>
    <n v="160000"/>
    <n v="0"/>
    <n v="0"/>
    <n v="360000"/>
    <n v="324000"/>
    <n v="0"/>
    <n v="252000"/>
    <n v="360000"/>
    <n v="360000"/>
  </r>
  <r>
    <x v="3"/>
    <s v="847.8470310.1.425770.000000.847001.200179"/>
    <n v="8470310"/>
    <x v="21"/>
    <n v="425770"/>
    <x v="37"/>
    <n v="847001"/>
    <s v="KUST - General"/>
    <x v="1"/>
    <x v="1"/>
    <n v="50028"/>
    <n v="2890"/>
    <n v="0"/>
    <n v="210000"/>
    <n v="210000"/>
    <n v="14375.27"/>
    <n v="0"/>
    <n v="0"/>
    <n v="340000"/>
    <n v="306000"/>
    <n v="0"/>
    <n v="238000"/>
    <n v="340000"/>
    <n v="340000"/>
  </r>
  <r>
    <x v="3"/>
    <s v="847.8470310.1.425900.000000.847001.200179"/>
    <n v="8470310"/>
    <x v="21"/>
    <n v="425900"/>
    <x v="11"/>
    <n v="847001"/>
    <s v="KUST - General"/>
    <x v="1"/>
    <x v="1"/>
    <n v="8829"/>
    <n v="392"/>
    <n v="0"/>
    <n v="8500"/>
    <n v="8500"/>
    <n v="0"/>
    <n v="0"/>
    <n v="0"/>
    <n v="8500"/>
    <n v="7650"/>
    <n v="0"/>
    <n v="5950"/>
    <n v="8500"/>
    <n v="8500"/>
  </r>
  <r>
    <x v="3"/>
    <s v="847.8470310.1.426610.000000.847001.200179"/>
    <n v="8470310"/>
    <x v="21"/>
    <n v="426610"/>
    <x v="12"/>
    <n v="847001"/>
    <s v="KUST - General"/>
    <x v="1"/>
    <x v="1"/>
    <n v="16763"/>
    <n v="8348"/>
    <n v="0"/>
    <n v="9114"/>
    <n v="9114"/>
    <n v="8895.2800000000007"/>
    <n v="0"/>
    <n v="0"/>
    <n v="10000"/>
    <n v="9000"/>
    <n v="0"/>
    <n v="7000"/>
    <n v="10000"/>
    <n v="10000"/>
  </r>
  <r>
    <x v="3"/>
    <s v="847.8470310.1.428090.000000.847001.200179"/>
    <n v="8470310"/>
    <x v="21"/>
    <n v="428090"/>
    <x v="13"/>
    <n v="847001"/>
    <s v="KUST - General"/>
    <x v="1"/>
    <x v="1"/>
    <n v="0"/>
    <n v="0"/>
    <n v="0"/>
    <n v="40000"/>
    <n v="40000"/>
    <n v="0"/>
    <n v="0"/>
    <n v="0"/>
    <n v="40000"/>
    <n v="36000"/>
    <n v="0"/>
    <n v="28000"/>
    <n v="340000"/>
    <n v="340000"/>
  </r>
  <r>
    <x v="3"/>
    <s v="847.8470310.1.432209.000000.847001.200179"/>
    <n v="8470310"/>
    <x v="21"/>
    <n v="432209"/>
    <x v="47"/>
    <n v="847001"/>
    <s v="KUST - General"/>
    <x v="1"/>
    <x v="1"/>
    <n v="0"/>
    <n v="0"/>
    <n v="0"/>
    <n v="5000"/>
    <n v="5000"/>
    <n v="0"/>
    <n v="0"/>
    <n v="0"/>
    <n v="85000"/>
    <n v="76500"/>
    <n v="0"/>
    <n v="59500"/>
    <n v="85000"/>
    <n v="85000"/>
  </r>
  <r>
    <x v="3"/>
    <s v="847.8470310.1.435350.000000.847001.200179"/>
    <n v="8470310"/>
    <x v="21"/>
    <n v="435350"/>
    <x v="43"/>
    <n v="847001"/>
    <s v="KUST - General"/>
    <x v="1"/>
    <x v="1"/>
    <n v="3243"/>
    <n v="0"/>
    <n v="48732"/>
    <n v="182000"/>
    <n v="182000"/>
    <n v="23762.18"/>
    <n v="0"/>
    <n v="0"/>
    <n v="221000"/>
    <n v="198900"/>
    <n v="0"/>
    <n v="154700"/>
    <n v="221000"/>
    <n v="221000"/>
  </r>
  <r>
    <x v="3"/>
    <s v="847.8470310.1.435508.000000.847001.200179"/>
    <n v="8470310"/>
    <x v="21"/>
    <n v="435508"/>
    <x v="44"/>
    <n v="847001"/>
    <s v="KUST - General"/>
    <x v="1"/>
    <x v="1"/>
    <n v="61347"/>
    <n v="119604"/>
    <n v="52948"/>
    <n v="155000"/>
    <n v="155000"/>
    <n v="31585"/>
    <n v="122810"/>
    <n v="0"/>
    <n v="133008"/>
    <n v="119707"/>
    <n v="0"/>
    <n v="93106"/>
    <n v="255000"/>
    <n v="289000"/>
  </r>
  <r>
    <x v="3"/>
    <s v="847.8470310.1.436110.000000.847001.200179"/>
    <n v="8470310"/>
    <x v="21"/>
    <n v="436110"/>
    <x v="15"/>
    <n v="847001"/>
    <s v="KUST - General"/>
    <x v="1"/>
    <x v="1"/>
    <n v="0"/>
    <n v="0"/>
    <n v="0"/>
    <n v="4000"/>
    <n v="4000"/>
    <n v="0"/>
    <n v="0"/>
    <n v="0"/>
    <n v="5100"/>
    <n v="4590"/>
    <n v="0"/>
    <n v="3570"/>
    <n v="5100"/>
    <n v="5100"/>
  </r>
  <r>
    <x v="3"/>
    <s v="847.8470310.1.436600.000000.847001.200179"/>
    <n v="8470310"/>
    <x v="21"/>
    <n v="436600"/>
    <x v="48"/>
    <n v="847001"/>
    <s v="KUST - General"/>
    <x v="1"/>
    <x v="1"/>
    <n v="0"/>
    <n v="0"/>
    <n v="505"/>
    <n v="5000"/>
    <n v="5000"/>
    <n v="0"/>
    <n v="0"/>
    <n v="0"/>
    <n v="5950"/>
    <n v="5355"/>
    <n v="0"/>
    <n v="4165"/>
    <n v="5950"/>
    <n v="5950"/>
  </r>
  <r>
    <x v="3"/>
    <s v="847.8470310.1.492316.000000.847001.300180"/>
    <n v="8470310"/>
    <x v="21"/>
    <n v="492316"/>
    <x v="39"/>
    <n v="847001"/>
    <s v="KUST - General"/>
    <x v="2"/>
    <x v="2"/>
    <n v="0"/>
    <n v="433999"/>
    <n v="658396"/>
    <n v="1174460"/>
    <n v="1174460"/>
    <n v="269624.7"/>
    <n v="805100"/>
    <n v="95078.62"/>
    <n v="2526100"/>
    <n v="2273490"/>
    <n v="0"/>
    <n v="1768270"/>
    <n v="2500000"/>
    <n v="2750000"/>
  </r>
  <r>
    <x v="3"/>
    <s v="847.8470315.1.420550.000000.847001.200179"/>
    <n v="8470315"/>
    <x v="22"/>
    <n v="420550"/>
    <x v="1"/>
    <n v="847001"/>
    <s v="KUST - General"/>
    <x v="1"/>
    <x v="1"/>
    <n v="0"/>
    <n v="0"/>
    <n v="0"/>
    <n v="1000"/>
    <n v="1000"/>
    <n v="0"/>
    <n v="0"/>
    <n v="0"/>
    <n v="7000"/>
    <n v="6300"/>
    <n v="0"/>
    <n v="4900"/>
    <n v="7000"/>
    <n v="7000"/>
  </r>
  <r>
    <x v="3"/>
    <s v="847.8470315.1.425510.000000.847001.200179"/>
    <n v="8470315"/>
    <x v="22"/>
    <n v="425510"/>
    <x v="3"/>
    <n v="847001"/>
    <s v="KUST - General"/>
    <x v="1"/>
    <x v="1"/>
    <n v="5000"/>
    <n v="1502"/>
    <n v="100"/>
    <n v="4000"/>
    <n v="4000"/>
    <n v="0"/>
    <n v="0"/>
    <n v="0"/>
    <n v="9000"/>
    <n v="8100"/>
    <n v="0"/>
    <n v="6300"/>
    <n v="10000"/>
    <n v="12000"/>
  </r>
  <r>
    <x v="3"/>
    <s v="847.8470315.1.425760.000000.847001.200179"/>
    <n v="8470315"/>
    <x v="22"/>
    <n v="425760"/>
    <x v="30"/>
    <n v="847001"/>
    <s v="KUST - General"/>
    <x v="1"/>
    <x v="1"/>
    <n v="0"/>
    <n v="875"/>
    <n v="0"/>
    <n v="20000"/>
    <n v="20000"/>
    <n v="1496.04"/>
    <n v="0"/>
    <n v="0"/>
    <n v="20000"/>
    <n v="18000"/>
    <n v="0"/>
    <n v="14000"/>
    <n v="24000"/>
    <n v="35000"/>
  </r>
  <r>
    <x v="3"/>
    <s v="847.8470315.1.425763.000000.847001.200179"/>
    <n v="8470315"/>
    <x v="22"/>
    <n v="425763"/>
    <x v="41"/>
    <n v="847001"/>
    <s v="KUST - General"/>
    <x v="1"/>
    <x v="1"/>
    <n v="18774"/>
    <n v="54243"/>
    <n v="56577"/>
    <n v="180000"/>
    <n v="180000"/>
    <n v="44702.59"/>
    <n v="0"/>
    <n v="0"/>
    <n v="204000"/>
    <n v="183600"/>
    <n v="0"/>
    <n v="142800"/>
    <n v="204000"/>
    <n v="210000"/>
  </r>
  <r>
    <x v="3"/>
    <s v="847.8470315.1.425770.000000.847001.200179"/>
    <n v="8470315"/>
    <x v="22"/>
    <n v="425770"/>
    <x v="37"/>
    <n v="847001"/>
    <s v="KUST - General"/>
    <x v="1"/>
    <x v="1"/>
    <n v="64039"/>
    <n v="30570"/>
    <n v="1102"/>
    <n v="180000"/>
    <n v="180000"/>
    <n v="14384.66"/>
    <n v="0"/>
    <n v="0"/>
    <n v="300000"/>
    <n v="270000"/>
    <n v="0"/>
    <n v="210000"/>
    <n v="320000"/>
    <n v="360000"/>
  </r>
  <r>
    <x v="3"/>
    <s v="847.8470315.1.425900.000000.847001.200179"/>
    <n v="8470315"/>
    <x v="22"/>
    <n v="425900"/>
    <x v="11"/>
    <n v="847001"/>
    <s v="KUST - General"/>
    <x v="1"/>
    <x v="1"/>
    <n v="9582"/>
    <n v="1024"/>
    <n v="315"/>
    <n v="10000"/>
    <n v="10000"/>
    <n v="8004"/>
    <n v="0"/>
    <n v="0"/>
    <n v="19200"/>
    <n v="17280"/>
    <n v="0"/>
    <n v="13440"/>
    <n v="24000"/>
    <n v="32000"/>
  </r>
  <r>
    <x v="3"/>
    <s v="847.8470315.1.426610.000000.847001.200179"/>
    <n v="8470315"/>
    <x v="22"/>
    <n v="426610"/>
    <x v="12"/>
    <n v="847001"/>
    <s v="KUST - General"/>
    <x v="1"/>
    <x v="1"/>
    <n v="0"/>
    <n v="8705"/>
    <n v="3816"/>
    <n v="99576"/>
    <n v="99576"/>
    <n v="6253.28"/>
    <n v="0"/>
    <n v="0"/>
    <n v="104554"/>
    <n v="94099"/>
    <n v="0"/>
    <n v="73188"/>
    <n v="105000"/>
    <n v="107000"/>
  </r>
  <r>
    <x v="3"/>
    <s v="847.8470315.1.428090.000000.847001.200179"/>
    <n v="8470315"/>
    <x v="22"/>
    <n v="428090"/>
    <x v="13"/>
    <n v="847001"/>
    <s v="KUST - General"/>
    <x v="1"/>
    <x v="1"/>
    <n v="8000"/>
    <n v="0"/>
    <n v="0"/>
    <n v="10000"/>
    <n v="10000"/>
    <n v="0"/>
    <n v="0"/>
    <n v="0"/>
    <n v="20000"/>
    <n v="18000"/>
    <n v="0"/>
    <n v="14000"/>
    <n v="20000"/>
    <n v="20000"/>
  </r>
  <r>
    <x v="3"/>
    <s v="847.8470315.1.432209.000000.847001.200179"/>
    <n v="8470315"/>
    <x v="22"/>
    <n v="432209"/>
    <x v="47"/>
    <n v="847001"/>
    <s v="KUST - General"/>
    <x v="1"/>
    <x v="1"/>
    <n v="64961"/>
    <n v="0"/>
    <n v="5900"/>
    <n v="90250"/>
    <n v="90250"/>
    <n v="0"/>
    <n v="0"/>
    <n v="71500"/>
    <n v="200000"/>
    <n v="180000"/>
    <n v="0"/>
    <n v="140000"/>
    <n v="150000"/>
    <n v="18000"/>
  </r>
  <r>
    <x v="3"/>
    <s v="847.8470315.1.435350.000000.847001.200179"/>
    <n v="8470315"/>
    <x v="22"/>
    <n v="435350"/>
    <x v="43"/>
    <n v="847001"/>
    <s v="KUST - General"/>
    <x v="1"/>
    <x v="1"/>
    <n v="0"/>
    <n v="0"/>
    <n v="9804"/>
    <n v="38400"/>
    <n v="38400"/>
    <n v="24646.04"/>
    <n v="0"/>
    <n v="0"/>
    <n v="75000"/>
    <n v="67500"/>
    <n v="0"/>
    <n v="52500"/>
    <n v="80000"/>
    <n v="80000"/>
  </r>
  <r>
    <x v="3"/>
    <s v="847.8470315.1.435508.000000.847001.200179"/>
    <n v="8470315"/>
    <x v="22"/>
    <n v="435508"/>
    <x v="44"/>
    <n v="847001"/>
    <s v="KUST - General"/>
    <x v="1"/>
    <x v="1"/>
    <n v="271761"/>
    <n v="186107"/>
    <n v="120668"/>
    <n v="150000"/>
    <n v="150000"/>
    <n v="103819.54"/>
    <n v="7511.12"/>
    <n v="39416.46"/>
    <n v="220000"/>
    <n v="198000"/>
    <n v="0"/>
    <n v="154000"/>
    <n v="220000"/>
    <n v="250000"/>
  </r>
  <r>
    <x v="3"/>
    <s v="847.8470315.1.436110.000000.847001.200179"/>
    <n v="8470315"/>
    <x v="22"/>
    <n v="436110"/>
    <x v="15"/>
    <n v="847001"/>
    <s v="KUST - General"/>
    <x v="1"/>
    <x v="1"/>
    <n v="0"/>
    <n v="0"/>
    <n v="0"/>
    <n v="2000"/>
    <n v="2000"/>
    <n v="0"/>
    <n v="0"/>
    <n v="0"/>
    <n v="2500"/>
    <n v="2250"/>
    <n v="0"/>
    <n v="1750"/>
    <n v="2500"/>
    <n v="2500"/>
  </r>
  <r>
    <x v="3"/>
    <s v="847.8470315.1.436600.000000.847001.200179"/>
    <n v="8470315"/>
    <x v="22"/>
    <n v="436600"/>
    <x v="48"/>
    <n v="847001"/>
    <s v="KUST - General"/>
    <x v="1"/>
    <x v="1"/>
    <n v="0"/>
    <n v="0"/>
    <n v="0"/>
    <n v="3000"/>
    <n v="3000"/>
    <n v="0"/>
    <n v="0"/>
    <n v="0"/>
    <n v="22500"/>
    <n v="20250"/>
    <n v="0"/>
    <n v="15750"/>
    <n v="32000"/>
    <n v="16000"/>
  </r>
  <r>
    <x v="3"/>
    <s v="847.8470315.1.492316.000000.847001.300180"/>
    <n v="8470315"/>
    <x v="22"/>
    <n v="492316"/>
    <x v="39"/>
    <n v="847001"/>
    <s v="KUST - General"/>
    <x v="2"/>
    <x v="2"/>
    <n v="113194"/>
    <n v="187000"/>
    <n v="106915"/>
    <n v="700693"/>
    <n v="700693"/>
    <n v="210696"/>
    <n v="22325.13"/>
    <n v="441097.9"/>
    <n v="2088520"/>
    <n v="29700"/>
    <n v="0"/>
    <n v="23100"/>
    <n v="2137302"/>
    <n v="2706002"/>
  </r>
  <r>
    <x v="3"/>
    <s v="847.8470320.1.420550.000000.847001.200179"/>
    <n v="8470320"/>
    <x v="23"/>
    <n v="420550"/>
    <x v="1"/>
    <n v="847001"/>
    <s v="KUST - General"/>
    <x v="1"/>
    <x v="1"/>
    <n v="0"/>
    <n v="0"/>
    <n v="0"/>
    <n v="20000"/>
    <n v="20000"/>
    <n v="0"/>
    <n v="0"/>
    <n v="0"/>
    <n v="60000"/>
    <n v="54000"/>
    <n v="0"/>
    <n v="42000"/>
    <n v="60000"/>
    <n v="60000"/>
  </r>
  <r>
    <x v="3"/>
    <s v="847.8470320.1.425510.000000.847001.200179"/>
    <n v="8470320"/>
    <x v="23"/>
    <n v="425510"/>
    <x v="3"/>
    <n v="847001"/>
    <s v="KUST - General"/>
    <x v="1"/>
    <x v="1"/>
    <n v="0"/>
    <n v="0"/>
    <n v="0"/>
    <n v="30000"/>
    <n v="30000"/>
    <n v="0"/>
    <n v="0"/>
    <n v="0"/>
    <n v="30000"/>
    <n v="27000"/>
    <n v="0"/>
    <n v="21000"/>
    <n v="30000"/>
    <n v="30000"/>
  </r>
  <r>
    <x v="3"/>
    <s v="847.8470320.1.425760.000000.847001.200179"/>
    <n v="8470320"/>
    <x v="23"/>
    <n v="425760"/>
    <x v="30"/>
    <n v="847001"/>
    <s v="KUST - General"/>
    <x v="1"/>
    <x v="1"/>
    <n v="0"/>
    <n v="0"/>
    <n v="0"/>
    <n v="25000"/>
    <n v="25000"/>
    <n v="0"/>
    <n v="0"/>
    <n v="0"/>
    <n v="25000"/>
    <n v="22500"/>
    <n v="0"/>
    <n v="17500"/>
    <n v="25000"/>
    <n v="25000"/>
  </r>
  <r>
    <x v="3"/>
    <s v="847.8470320.1.425763.000000.847001.200179"/>
    <n v="8470320"/>
    <x v="23"/>
    <n v="425763"/>
    <x v="41"/>
    <n v="847001"/>
    <s v="KUST - General"/>
    <x v="1"/>
    <x v="1"/>
    <n v="0"/>
    <n v="95178"/>
    <n v="19694"/>
    <n v="100000"/>
    <n v="100000"/>
    <n v="65000"/>
    <n v="0"/>
    <n v="1226.5"/>
    <n v="120000"/>
    <n v="108000"/>
    <n v="0"/>
    <n v="84000"/>
    <n v="120000"/>
    <n v="120000"/>
  </r>
  <r>
    <x v="3"/>
    <s v="847.8470320.1.425770.000000.847001.200179"/>
    <n v="8470320"/>
    <x v="23"/>
    <n v="425770"/>
    <x v="37"/>
    <n v="847001"/>
    <s v="KUST - General"/>
    <x v="1"/>
    <x v="1"/>
    <n v="198877"/>
    <n v="1494"/>
    <n v="0"/>
    <n v="450000"/>
    <n v="450000"/>
    <n v="16654"/>
    <n v="0"/>
    <n v="0"/>
    <n v="450000"/>
    <n v="405000"/>
    <n v="0"/>
    <n v="315000"/>
    <n v="450000"/>
    <n v="450000"/>
  </r>
  <r>
    <x v="3"/>
    <s v="847.8470320.1.425900.000000.847001.200179"/>
    <n v="8470320"/>
    <x v="23"/>
    <n v="425900"/>
    <x v="11"/>
    <n v="847001"/>
    <s v="KUST - General"/>
    <x v="1"/>
    <x v="1"/>
    <n v="8823"/>
    <n v="1890"/>
    <n v="0"/>
    <n v="20000"/>
    <n v="20000"/>
    <n v="4750"/>
    <n v="0"/>
    <n v="0"/>
    <n v="25000"/>
    <n v="22500"/>
    <n v="0"/>
    <n v="17500"/>
    <n v="25000"/>
    <n v="25000"/>
  </r>
  <r>
    <x v="3"/>
    <s v="847.8470320.1.426610.000000.847001.200179"/>
    <n v="8470320"/>
    <x v="23"/>
    <n v="426610"/>
    <x v="12"/>
    <n v="847001"/>
    <s v="KUST - General"/>
    <x v="1"/>
    <x v="1"/>
    <n v="18938"/>
    <n v="8099"/>
    <n v="32332"/>
    <n v="75000"/>
    <n v="75000"/>
    <n v="54466.92"/>
    <n v="0"/>
    <n v="5917.2"/>
    <n v="115000"/>
    <n v="103500"/>
    <n v="0"/>
    <n v="80500"/>
    <n v="115000"/>
    <n v="120000"/>
  </r>
  <r>
    <x v="3"/>
    <s v="847.8470320.1.428090.000000.847001.200179"/>
    <n v="8470320"/>
    <x v="23"/>
    <n v="428090"/>
    <x v="13"/>
    <n v="847001"/>
    <s v="KUST - General"/>
    <x v="1"/>
    <x v="1"/>
    <n v="7262"/>
    <n v="0"/>
    <n v="0"/>
    <n v="35000"/>
    <n v="35000"/>
    <n v="0"/>
    <n v="0"/>
    <n v="0"/>
    <n v="35000"/>
    <n v="31500"/>
    <n v="0"/>
    <n v="24500"/>
    <n v="35000"/>
    <n v="35000"/>
  </r>
  <r>
    <x v="3"/>
    <s v="847.8470320.1.435350.000000.847001.200179"/>
    <n v="8470320"/>
    <x v="23"/>
    <n v="435350"/>
    <x v="43"/>
    <n v="847001"/>
    <s v="KUST - General"/>
    <x v="1"/>
    <x v="1"/>
    <n v="6174"/>
    <n v="0"/>
    <n v="0"/>
    <n v="50000"/>
    <n v="50000"/>
    <n v="13797.64"/>
    <n v="0"/>
    <n v="0"/>
    <n v="60000"/>
    <n v="54000"/>
    <n v="0"/>
    <n v="42000"/>
    <n v="60000"/>
    <n v="60000"/>
  </r>
  <r>
    <x v="3"/>
    <s v="847.8470320.1.435508.000000.847001.200179"/>
    <n v="8470320"/>
    <x v="23"/>
    <n v="435508"/>
    <x v="44"/>
    <n v="847001"/>
    <s v="KUST - General"/>
    <x v="1"/>
    <x v="1"/>
    <n v="191336"/>
    <n v="161059"/>
    <n v="100846"/>
    <n v="200000"/>
    <n v="200000"/>
    <n v="0"/>
    <n v="199588"/>
    <n v="0"/>
    <n v="150000"/>
    <n v="135000"/>
    <n v="0"/>
    <n v="105000"/>
    <n v="175000"/>
    <n v="175000"/>
  </r>
  <r>
    <x v="3"/>
    <s v="847.8470320.1.436110.000000.847001.200179"/>
    <n v="8470320"/>
    <x v="23"/>
    <n v="436110"/>
    <x v="15"/>
    <n v="847001"/>
    <s v="KUST - General"/>
    <x v="1"/>
    <x v="1"/>
    <n v="0"/>
    <n v="0"/>
    <n v="0"/>
    <n v="35000"/>
    <n v="35000"/>
    <n v="0"/>
    <n v="0"/>
    <n v="0"/>
    <n v="35000"/>
    <n v="31500"/>
    <n v="0"/>
    <n v="24500"/>
    <n v="35000"/>
    <n v="35000"/>
  </r>
  <r>
    <x v="3"/>
    <s v="847.8470320.1.436600.000000.847001.200179"/>
    <n v="8470320"/>
    <x v="23"/>
    <n v="436600"/>
    <x v="48"/>
    <n v="847001"/>
    <s v="KUST - General"/>
    <x v="1"/>
    <x v="1"/>
    <n v="0"/>
    <n v="0"/>
    <n v="0"/>
    <n v="45000"/>
    <n v="45000"/>
    <n v="12485"/>
    <n v="0"/>
    <n v="0"/>
    <n v="45000"/>
    <n v="40500"/>
    <n v="0"/>
    <n v="31500"/>
    <n v="45000"/>
    <n v="45000"/>
  </r>
  <r>
    <x v="3"/>
    <s v="847.8470320.1.492316.000000.847001.300180"/>
    <n v="8470320"/>
    <x v="23"/>
    <n v="492316"/>
    <x v="39"/>
    <n v="847001"/>
    <s v="KUST - General"/>
    <x v="2"/>
    <x v="2"/>
    <n v="844169"/>
    <n v="0"/>
    <n v="0"/>
    <n v="1813427"/>
    <n v="1813427"/>
    <n v="0"/>
    <n v="1748015.1"/>
    <n v="39000"/>
    <n v="1272000"/>
    <n v="34200"/>
    <n v="0"/>
    <n v="26600"/>
    <n v="544000"/>
    <n v="835000"/>
  </r>
  <r>
    <x v="3"/>
    <s v="847.8470320.1.495140.000000.847001.300180"/>
    <n v="8470320"/>
    <x v="23"/>
    <n v="495140"/>
    <x v="52"/>
    <n v="847001"/>
    <s v="KUST - General"/>
    <x v="2"/>
    <x v="2"/>
    <n v="0"/>
    <n v="0"/>
    <n v="0"/>
    <n v="16097"/>
    <n v="16097"/>
    <n v="0"/>
    <n v="0"/>
    <n v="0"/>
    <n v="18000"/>
    <n v="16200"/>
    <n v="0"/>
    <n v="12600"/>
    <n v="18000"/>
    <n v="18000"/>
  </r>
  <r>
    <x v="3"/>
    <s v="847.8470325.1.420550.000000.847001.200179"/>
    <n v="8470325"/>
    <x v="24"/>
    <n v="420550"/>
    <x v="1"/>
    <n v="847001"/>
    <s v="KUST - General"/>
    <x v="1"/>
    <x v="1"/>
    <n v="1000"/>
    <n v="0"/>
    <n v="0"/>
    <n v="4000"/>
    <n v="4000"/>
    <n v="0"/>
    <n v="0"/>
    <n v="0"/>
    <n v="2000"/>
    <n v="1800"/>
    <n v="0"/>
    <n v="1400"/>
    <n v="4000"/>
    <n v="4000"/>
  </r>
  <r>
    <x v="3"/>
    <s v="847.8470325.1.425510.000000.847001.200179"/>
    <n v="8470325"/>
    <x v="24"/>
    <n v="425510"/>
    <x v="3"/>
    <n v="847001"/>
    <s v="KUST - General"/>
    <x v="1"/>
    <x v="1"/>
    <n v="2055"/>
    <n v="0"/>
    <n v="0"/>
    <n v="6600"/>
    <n v="6600"/>
    <n v="2550"/>
    <n v="0"/>
    <n v="0"/>
    <n v="6600"/>
    <n v="5940"/>
    <n v="0"/>
    <n v="4620"/>
    <n v="6600"/>
    <n v="6600"/>
  </r>
  <r>
    <x v="3"/>
    <s v="847.8470325.1.425760.000000.847001.200179"/>
    <n v="8470325"/>
    <x v="24"/>
    <n v="425760"/>
    <x v="30"/>
    <n v="847001"/>
    <s v="KUST - General"/>
    <x v="1"/>
    <x v="1"/>
    <n v="2175"/>
    <n v="0"/>
    <n v="0"/>
    <n v="5000"/>
    <n v="5000"/>
    <n v="0"/>
    <n v="0"/>
    <n v="0"/>
    <n v="5000"/>
    <n v="4500"/>
    <n v="0"/>
    <n v="3500"/>
    <n v="5000"/>
    <n v="5000"/>
  </r>
  <r>
    <x v="3"/>
    <s v="847.8470325.1.425762.000000.847001.200179"/>
    <n v="8470325"/>
    <x v="24"/>
    <n v="425762"/>
    <x v="10"/>
    <n v="847001"/>
    <s v="KUST - General"/>
    <x v="1"/>
    <x v="1"/>
    <n v="0"/>
    <n v="0"/>
    <n v="0"/>
    <n v="0"/>
    <n v="0"/>
    <n v="0"/>
    <n v="0"/>
    <n v="0"/>
    <n v="40000"/>
    <n v="36000"/>
    <n v="0"/>
    <n v="28000"/>
    <n v="40000"/>
    <n v="40000"/>
  </r>
  <r>
    <x v="3"/>
    <s v="847.8470325.1.425763.000000.847001.200179"/>
    <n v="8470325"/>
    <x v="24"/>
    <n v="425763"/>
    <x v="41"/>
    <n v="847001"/>
    <s v="KUST - General"/>
    <x v="1"/>
    <x v="1"/>
    <n v="15677"/>
    <n v="89792"/>
    <n v="3020203"/>
    <n v="370000"/>
    <n v="370000"/>
    <n v="202824.33"/>
    <n v="0"/>
    <n v="0"/>
    <n v="60000"/>
    <n v="54000"/>
    <n v="0"/>
    <n v="42000"/>
    <n v="60000"/>
    <n v="60000"/>
  </r>
  <r>
    <x v="3"/>
    <s v="847.8470325.1.425770.000000.847001.200179"/>
    <n v="8470325"/>
    <x v="24"/>
    <n v="425770"/>
    <x v="37"/>
    <n v="847001"/>
    <s v="KUST - General"/>
    <x v="1"/>
    <x v="1"/>
    <n v="54382"/>
    <n v="12268"/>
    <n v="0"/>
    <n v="165000"/>
    <n v="165000"/>
    <n v="11251"/>
    <n v="0"/>
    <n v="0"/>
    <n v="220000"/>
    <n v="198000"/>
    <n v="0"/>
    <n v="154000"/>
    <n v="220000"/>
    <n v="220000"/>
  </r>
  <r>
    <x v="3"/>
    <s v="847.8470325.1.426610.000000.847001.200179"/>
    <n v="8470325"/>
    <x v="24"/>
    <n v="426610"/>
    <x v="12"/>
    <n v="847001"/>
    <s v="KUST - General"/>
    <x v="1"/>
    <x v="1"/>
    <n v="16473"/>
    <n v="28272"/>
    <n v="0"/>
    <n v="34910"/>
    <n v="34910"/>
    <n v="0"/>
    <n v="0"/>
    <n v="17263.099999999999"/>
    <n v="45000"/>
    <n v="40500"/>
    <n v="0"/>
    <n v="31500"/>
    <n v="45000"/>
    <n v="45000"/>
  </r>
  <r>
    <x v="3"/>
    <s v="847.8470325.1.428090.000000.847001.200179"/>
    <n v="8470325"/>
    <x v="24"/>
    <n v="428090"/>
    <x v="13"/>
    <n v="847001"/>
    <s v="KUST - General"/>
    <x v="1"/>
    <x v="1"/>
    <n v="88610"/>
    <n v="26477"/>
    <n v="0"/>
    <n v="0"/>
    <n v="0"/>
    <n v="0"/>
    <n v="0"/>
    <n v="0"/>
    <n v="20000"/>
    <n v="18000"/>
    <n v="0"/>
    <n v="14000"/>
    <n v="20000"/>
    <n v="20000"/>
  </r>
  <r>
    <x v="3"/>
    <s v="847.8470325.1.432209.000000.847001.200179"/>
    <n v="8470325"/>
    <x v="24"/>
    <n v="432209"/>
    <x v="47"/>
    <n v="847001"/>
    <s v="KUST - General"/>
    <x v="1"/>
    <x v="1"/>
    <n v="0"/>
    <n v="0"/>
    <n v="0"/>
    <n v="201550"/>
    <n v="201550"/>
    <n v="92722"/>
    <n v="0"/>
    <n v="80950"/>
    <n v="175000"/>
    <n v="157500"/>
    <n v="0"/>
    <n v="122500"/>
    <n v="200000"/>
    <n v="200000"/>
  </r>
  <r>
    <x v="3"/>
    <s v="847.8470325.1.435350.000000.847001.200179"/>
    <n v="8470325"/>
    <x v="24"/>
    <n v="435350"/>
    <x v="43"/>
    <n v="847001"/>
    <s v="KUST - General"/>
    <x v="1"/>
    <x v="1"/>
    <n v="0"/>
    <n v="0"/>
    <n v="0"/>
    <n v="80000"/>
    <n v="80000"/>
    <n v="8517"/>
    <n v="0"/>
    <n v="0"/>
    <n v="80000"/>
    <n v="72000"/>
    <n v="0"/>
    <n v="56000"/>
    <n v="80000"/>
    <n v="80000"/>
  </r>
  <r>
    <x v="3"/>
    <s v="847.8470325.1.435508.000000.847001.200179"/>
    <n v="8470325"/>
    <x v="24"/>
    <n v="435508"/>
    <x v="44"/>
    <n v="847001"/>
    <s v="KUST - General"/>
    <x v="1"/>
    <x v="1"/>
    <n v="165659"/>
    <n v="54573"/>
    <n v="35833"/>
    <n v="92573"/>
    <n v="92573"/>
    <n v="11489.42"/>
    <n v="0"/>
    <n v="60944.26"/>
    <n v="95000"/>
    <n v="85500"/>
    <n v="0"/>
    <n v="66500"/>
    <n v="110000"/>
    <n v="110000"/>
  </r>
  <r>
    <x v="3"/>
    <s v="847.8470325.1.492316.000000.847001.300180"/>
    <n v="8470325"/>
    <x v="24"/>
    <n v="492316"/>
    <x v="39"/>
    <n v="847001"/>
    <s v="KUST - General"/>
    <x v="2"/>
    <x v="2"/>
    <n v="-3138"/>
    <n v="707801"/>
    <n v="190263"/>
    <n v="611783"/>
    <n v="611783"/>
    <n v="136875"/>
    <n v="0"/>
    <n v="435945"/>
    <n v="1208362"/>
    <n v="157286"/>
    <n v="0"/>
    <n v="122333"/>
    <n v="1285000"/>
    <n v="775000"/>
  </r>
  <r>
    <x v="3"/>
    <s v="847.8470330.1.420550.000000.847001.200179"/>
    <n v="8470330"/>
    <x v="25"/>
    <n v="420550"/>
    <x v="1"/>
    <n v="847001"/>
    <s v="KUST - General"/>
    <x v="1"/>
    <x v="1"/>
    <n v="0"/>
    <n v="0"/>
    <n v="0"/>
    <n v="3000"/>
    <n v="3000"/>
    <n v="0"/>
    <n v="0"/>
    <n v="0"/>
    <n v="3000"/>
    <n v="2700"/>
    <n v="0"/>
    <n v="2100"/>
    <n v="3000"/>
    <n v="3000"/>
  </r>
  <r>
    <x v="3"/>
    <s v="847.8470330.1.425510.000000.847001.200179"/>
    <n v="8470330"/>
    <x v="25"/>
    <n v="425510"/>
    <x v="3"/>
    <n v="847001"/>
    <s v="KUST - General"/>
    <x v="1"/>
    <x v="1"/>
    <n v="8058"/>
    <n v="2185"/>
    <n v="0"/>
    <n v="42000"/>
    <n v="42000"/>
    <n v="4400"/>
    <n v="0"/>
    <n v="0"/>
    <n v="10000"/>
    <n v="9000"/>
    <n v="0"/>
    <n v="7000"/>
    <n v="10000"/>
    <n v="10000"/>
  </r>
  <r>
    <x v="3"/>
    <s v="847.8470330.1.425760.000000.847001.200179"/>
    <n v="8470330"/>
    <x v="25"/>
    <n v="425760"/>
    <x v="30"/>
    <n v="847001"/>
    <s v="KUST - General"/>
    <x v="1"/>
    <x v="1"/>
    <n v="272484"/>
    <n v="0"/>
    <n v="0"/>
    <n v="72000"/>
    <n v="72000"/>
    <n v="0"/>
    <n v="0"/>
    <n v="0"/>
    <n v="75000"/>
    <n v="67500"/>
    <n v="0"/>
    <n v="52500"/>
    <n v="75000"/>
    <n v="75000"/>
  </r>
  <r>
    <x v="3"/>
    <s v="847.8470330.1.425763.000000.847001.200179"/>
    <n v="8470330"/>
    <x v="25"/>
    <n v="425763"/>
    <x v="41"/>
    <n v="847001"/>
    <s v="KUST - General"/>
    <x v="1"/>
    <x v="1"/>
    <n v="190324"/>
    <n v="217038"/>
    <n v="216899"/>
    <n v="405000"/>
    <n v="405000"/>
    <n v="50000"/>
    <n v="0"/>
    <n v="0"/>
    <n v="435000"/>
    <n v="391500"/>
    <n v="0"/>
    <n v="304500"/>
    <n v="435000"/>
    <n v="435000"/>
  </r>
  <r>
    <x v="3"/>
    <s v="847.8470330.1.425770.000000.847001.200179"/>
    <n v="8470330"/>
    <x v="25"/>
    <n v="425770"/>
    <x v="37"/>
    <n v="847001"/>
    <s v="KUST - General"/>
    <x v="1"/>
    <x v="1"/>
    <n v="338379"/>
    <n v="89564"/>
    <n v="12190"/>
    <n v="650000"/>
    <n v="650000"/>
    <n v="23648.639999999999"/>
    <n v="0"/>
    <n v="0"/>
    <n v="1260000"/>
    <n v="1134000"/>
    <n v="0"/>
    <n v="882000"/>
    <n v="1260000"/>
    <n v="1260000"/>
  </r>
  <r>
    <x v="3"/>
    <s v="847.8470330.1.425900.000000.847001.200179"/>
    <n v="8470330"/>
    <x v="25"/>
    <n v="425900"/>
    <x v="11"/>
    <n v="847001"/>
    <s v="KUST - General"/>
    <x v="1"/>
    <x v="1"/>
    <n v="15320"/>
    <n v="6983"/>
    <n v="0"/>
    <n v="16000"/>
    <n v="16000"/>
    <n v="0"/>
    <n v="0"/>
    <n v="0"/>
    <n v="30000"/>
    <n v="27000"/>
    <n v="0"/>
    <n v="21000"/>
    <n v="30000"/>
    <n v="30000"/>
  </r>
  <r>
    <x v="3"/>
    <s v="847.8470330.1.426610.000000.847001.200179"/>
    <n v="8470330"/>
    <x v="25"/>
    <n v="426610"/>
    <x v="12"/>
    <n v="847001"/>
    <s v="KUST - General"/>
    <x v="1"/>
    <x v="1"/>
    <n v="0"/>
    <n v="224906"/>
    <n v="122132"/>
    <n v="720500"/>
    <n v="720500"/>
    <n v="17333.8"/>
    <n v="0"/>
    <n v="366838"/>
    <n v="710622"/>
    <n v="639560"/>
    <n v="0"/>
    <n v="497435"/>
    <n v="710622"/>
    <n v="870620"/>
  </r>
  <r>
    <x v="3"/>
    <s v="847.8470330.1.428640.000000.847001.200179"/>
    <n v="8470330"/>
    <x v="25"/>
    <n v="428640"/>
    <x v="14"/>
    <n v="847001"/>
    <s v="KUST - General"/>
    <x v="1"/>
    <x v="1"/>
    <n v="0"/>
    <n v="0"/>
    <n v="4488"/>
    <n v="302000"/>
    <n v="302000"/>
    <n v="0"/>
    <n v="0"/>
    <n v="0"/>
    <n v="302000"/>
    <n v="271800"/>
    <n v="0"/>
    <n v="211400"/>
    <n v="302000"/>
    <n v="302000"/>
  </r>
  <r>
    <x v="3"/>
    <s v="847.8470330.1.432209.000000.847001.200179"/>
    <n v="8470330"/>
    <x v="25"/>
    <n v="432209"/>
    <x v="47"/>
    <n v="847001"/>
    <s v="KUST - General"/>
    <x v="1"/>
    <x v="1"/>
    <n v="0"/>
    <n v="0"/>
    <n v="0"/>
    <n v="67400"/>
    <n v="67400"/>
    <n v="0"/>
    <n v="0"/>
    <n v="0"/>
    <n v="50000"/>
    <n v="45000"/>
    <n v="0"/>
    <n v="35000"/>
    <n v="50000"/>
    <n v="50000"/>
  </r>
  <r>
    <x v="3"/>
    <s v="847.8470330.1.435350.000000.847001.200179"/>
    <n v="8470330"/>
    <x v="25"/>
    <n v="435350"/>
    <x v="43"/>
    <n v="847001"/>
    <s v="KUST - General"/>
    <x v="1"/>
    <x v="1"/>
    <n v="98310"/>
    <n v="269679"/>
    <n v="49195"/>
    <n v="420000"/>
    <n v="420000"/>
    <n v="45465.919999999998"/>
    <n v="0"/>
    <n v="0"/>
    <n v="441000"/>
    <n v="396900"/>
    <n v="0"/>
    <n v="308700"/>
    <n v="441000"/>
    <n v="441000"/>
  </r>
  <r>
    <x v="3"/>
    <s v="847.8470330.1.435508.000000.847001.200179"/>
    <n v="8470330"/>
    <x v="25"/>
    <n v="435508"/>
    <x v="44"/>
    <n v="847001"/>
    <s v="KUST - General"/>
    <x v="1"/>
    <x v="1"/>
    <n v="13926"/>
    <n v="19880"/>
    <n v="82455"/>
    <n v="20000"/>
    <n v="20000"/>
    <n v="0"/>
    <n v="17347.59"/>
    <n v="0"/>
    <n v="80000"/>
    <n v="72000"/>
    <n v="0"/>
    <n v="56000"/>
    <n v="80000"/>
    <n v="80000"/>
  </r>
  <r>
    <x v="3"/>
    <s v="847.8470330.1.436600.000000.847001.200179"/>
    <n v="8470330"/>
    <x v="25"/>
    <n v="436600"/>
    <x v="48"/>
    <n v="847001"/>
    <s v="KUST - General"/>
    <x v="1"/>
    <x v="1"/>
    <n v="0"/>
    <n v="0"/>
    <n v="0"/>
    <n v="60000"/>
    <n v="60000"/>
    <n v="0"/>
    <n v="0"/>
    <n v="15740"/>
    <n v="16000"/>
    <n v="14400"/>
    <n v="0"/>
    <n v="11200"/>
    <n v="16000"/>
    <n v="16000"/>
  </r>
  <r>
    <x v="3"/>
    <s v="847.8470330.1.492316.000000.847001.300180"/>
    <n v="8470330"/>
    <x v="25"/>
    <n v="492316"/>
    <x v="39"/>
    <n v="847001"/>
    <s v="KUST - General"/>
    <x v="2"/>
    <x v="2"/>
    <n v="441732"/>
    <n v="585059"/>
    <n v="228093"/>
    <n v="456796"/>
    <n v="456796"/>
    <n v="0"/>
    <n v="412250"/>
    <n v="38500"/>
    <n v="1041552"/>
    <n v="937397"/>
    <n v="0"/>
    <n v="729086"/>
    <n v="500000"/>
    <n v="500000"/>
  </r>
  <r>
    <x v="3"/>
    <s v="847.8470335.1.420550.000000.847001.200179"/>
    <n v="8470335"/>
    <x v="26"/>
    <n v="420550"/>
    <x v="1"/>
    <n v="847001"/>
    <s v="KUST - General"/>
    <x v="1"/>
    <x v="1"/>
    <n v="0"/>
    <n v="0"/>
    <n v="0"/>
    <n v="10000"/>
    <n v="10000"/>
    <n v="0"/>
    <n v="0"/>
    <n v="0"/>
    <n v="12000"/>
    <n v="10800"/>
    <n v="0"/>
    <n v="8400"/>
    <n v="13000"/>
    <n v="13600"/>
  </r>
  <r>
    <x v="3"/>
    <s v="847.8470335.1.425510.000000.847001.200179"/>
    <n v="8470335"/>
    <x v="26"/>
    <n v="425510"/>
    <x v="3"/>
    <n v="847001"/>
    <s v="KUST - General"/>
    <x v="1"/>
    <x v="1"/>
    <n v="6385"/>
    <n v="0"/>
    <n v="0"/>
    <n v="20000"/>
    <n v="20000"/>
    <n v="0"/>
    <n v="0"/>
    <n v="0"/>
    <n v="20000"/>
    <n v="18000"/>
    <n v="0"/>
    <n v="14000"/>
    <n v="22000"/>
    <n v="22000"/>
  </r>
  <r>
    <x v="3"/>
    <s v="847.8470335.1.425760.000000.847001.200179"/>
    <n v="8470335"/>
    <x v="26"/>
    <n v="425760"/>
    <x v="30"/>
    <n v="847001"/>
    <s v="KUST - General"/>
    <x v="1"/>
    <x v="1"/>
    <n v="2520"/>
    <n v="2400"/>
    <n v="0"/>
    <n v="10000"/>
    <n v="10000"/>
    <n v="0"/>
    <n v="0"/>
    <n v="0"/>
    <n v="10000"/>
    <n v="9000"/>
    <n v="0"/>
    <n v="7000"/>
    <n v="10000"/>
    <n v="12500"/>
  </r>
  <r>
    <x v="3"/>
    <s v="847.8470335.1.425763.000000.847001.200179"/>
    <n v="8470335"/>
    <x v="26"/>
    <n v="425763"/>
    <x v="41"/>
    <n v="847001"/>
    <s v="KUST - General"/>
    <x v="1"/>
    <x v="1"/>
    <n v="23595"/>
    <n v="40126"/>
    <n v="24128"/>
    <n v="50000"/>
    <n v="50000"/>
    <n v="30000"/>
    <n v="0"/>
    <n v="0"/>
    <n v="80000"/>
    <n v="72000"/>
    <n v="0"/>
    <n v="56000"/>
    <n v="90000"/>
    <n v="96000"/>
  </r>
  <r>
    <x v="3"/>
    <s v="847.8470335.1.425770.000000.847001.200179"/>
    <n v="8470335"/>
    <x v="26"/>
    <n v="425770"/>
    <x v="37"/>
    <n v="847001"/>
    <s v="KUST - General"/>
    <x v="1"/>
    <x v="1"/>
    <n v="124463"/>
    <n v="54555"/>
    <n v="-3762"/>
    <n v="166000"/>
    <n v="166000"/>
    <n v="27284.28"/>
    <n v="0"/>
    <n v="0"/>
    <n v="400000"/>
    <n v="360000"/>
    <n v="0"/>
    <n v="280000"/>
    <n v="440000"/>
    <n v="440000"/>
  </r>
  <r>
    <x v="3"/>
    <s v="847.8470335.1.425900.000000.847001.200179"/>
    <n v="8470335"/>
    <x v="26"/>
    <n v="425900"/>
    <x v="11"/>
    <n v="847001"/>
    <s v="KUST - General"/>
    <x v="1"/>
    <x v="1"/>
    <n v="931"/>
    <n v="4447"/>
    <n v="0"/>
    <n v="20000"/>
    <n v="20000"/>
    <n v="0"/>
    <n v="0"/>
    <n v="0"/>
    <n v="36000"/>
    <n v="32400"/>
    <n v="0"/>
    <n v="25200"/>
    <n v="36000"/>
    <n v="36000"/>
  </r>
  <r>
    <x v="3"/>
    <s v="847.8470335.1.426610.000000.847001.200179"/>
    <n v="8470335"/>
    <x v="26"/>
    <n v="426610"/>
    <x v="12"/>
    <n v="847001"/>
    <s v="KUST - General"/>
    <x v="1"/>
    <x v="1"/>
    <n v="111804"/>
    <n v="124805"/>
    <n v="134362"/>
    <n v="150257"/>
    <n v="150257"/>
    <n v="68753.19"/>
    <n v="15473.61"/>
    <n v="64773.69"/>
    <n v="198000"/>
    <n v="178200"/>
    <n v="0"/>
    <n v="138600"/>
    <n v="210000"/>
    <n v="222000"/>
  </r>
  <r>
    <x v="3"/>
    <s v="847.8470335.1.428090.000000.847001.200179"/>
    <n v="8470335"/>
    <x v="26"/>
    <n v="428090"/>
    <x v="13"/>
    <n v="847001"/>
    <s v="KUST - General"/>
    <x v="1"/>
    <x v="1"/>
    <n v="44774"/>
    <n v="0"/>
    <n v="0"/>
    <n v="40000"/>
    <n v="40000"/>
    <n v="0"/>
    <n v="0"/>
    <n v="0"/>
    <n v="45000"/>
    <n v="40500"/>
    <n v="0"/>
    <n v="31500"/>
    <n v="45000"/>
    <n v="45000"/>
  </r>
  <r>
    <x v="3"/>
    <s v="847.8470335.1.435350.000000.847001.200179"/>
    <n v="8470335"/>
    <x v="26"/>
    <n v="435350"/>
    <x v="43"/>
    <n v="847001"/>
    <s v="KUST - General"/>
    <x v="1"/>
    <x v="1"/>
    <n v="5626"/>
    <n v="38004"/>
    <n v="22480"/>
    <n v="51520"/>
    <n v="51520"/>
    <n v="5617.51"/>
    <n v="0"/>
    <n v="0"/>
    <n v="65000"/>
    <n v="58500"/>
    <n v="0"/>
    <n v="45500"/>
    <n v="65000"/>
    <n v="71500"/>
  </r>
  <r>
    <x v="3"/>
    <s v="847.8470335.1.435508.000000.847001.200179"/>
    <n v="8470335"/>
    <x v="26"/>
    <n v="435508"/>
    <x v="44"/>
    <n v="847001"/>
    <s v="KUST - General"/>
    <x v="1"/>
    <x v="1"/>
    <n v="156426"/>
    <n v="99044"/>
    <n v="66172"/>
    <n v="243000"/>
    <n v="243000"/>
    <n v="73398.899999999994"/>
    <n v="11037.37"/>
    <n v="156924.71"/>
    <n v="205500"/>
    <n v="184950"/>
    <n v="0"/>
    <n v="143850"/>
    <n v="220000"/>
    <n v="120000"/>
  </r>
  <r>
    <x v="3"/>
    <s v="847.8470335.1.436110.000000.847001.200179"/>
    <n v="8470335"/>
    <x v="26"/>
    <n v="436110"/>
    <x v="15"/>
    <n v="847001"/>
    <s v="KUST - General"/>
    <x v="1"/>
    <x v="1"/>
    <n v="3577"/>
    <n v="3778"/>
    <n v="0"/>
    <n v="4000"/>
    <n v="4000"/>
    <n v="0"/>
    <n v="0"/>
    <n v="0"/>
    <n v="8750"/>
    <n v="7875"/>
    <n v="0"/>
    <n v="6125"/>
    <n v="8750"/>
    <n v="9000"/>
  </r>
  <r>
    <x v="3"/>
    <s v="847.8470335.1.436600.000000.847001.200179"/>
    <n v="8470335"/>
    <x v="26"/>
    <n v="436600"/>
    <x v="48"/>
    <n v="847001"/>
    <s v="KUST - General"/>
    <x v="1"/>
    <x v="1"/>
    <n v="0"/>
    <n v="12141"/>
    <n v="11193"/>
    <n v="12000"/>
    <n v="12000"/>
    <n v="11500"/>
    <n v="0"/>
    <n v="0"/>
    <n v="12000"/>
    <n v="10800"/>
    <n v="0"/>
    <n v="8400"/>
    <n v="12000"/>
    <n v="12600"/>
  </r>
  <r>
    <x v="3"/>
    <s v="847.8470335.1.492316.000000.847001.300180"/>
    <n v="8470335"/>
    <x v="26"/>
    <n v="492316"/>
    <x v="39"/>
    <n v="847001"/>
    <s v="KUST - General"/>
    <x v="2"/>
    <x v="2"/>
    <n v="0"/>
    <n v="283271"/>
    <n v="31330"/>
    <n v="234334"/>
    <n v="234334"/>
    <n v="11026.05"/>
    <n v="177000"/>
    <n v="46277"/>
    <n v="290000"/>
    <n v="261000"/>
    <n v="0"/>
    <n v="203000"/>
    <n v="520000"/>
    <n v="0"/>
  </r>
  <r>
    <x v="3"/>
    <s v="847.8470340.1.420550.000000.847001.200179"/>
    <n v="8470340"/>
    <x v="27"/>
    <n v="420550"/>
    <x v="1"/>
    <n v="847001"/>
    <s v="KUST - General"/>
    <x v="1"/>
    <x v="1"/>
    <n v="0"/>
    <n v="0"/>
    <n v="0"/>
    <n v="3000"/>
    <n v="3000"/>
    <n v="0"/>
    <n v="0"/>
    <n v="0"/>
    <n v="3000"/>
    <n v="2700"/>
    <n v="0"/>
    <n v="2100"/>
    <n v="3000"/>
    <n v="3000"/>
  </r>
  <r>
    <x v="3"/>
    <s v="847.8470340.1.425510.000000.847001.200179"/>
    <n v="8470340"/>
    <x v="27"/>
    <n v="425510"/>
    <x v="3"/>
    <n v="847001"/>
    <s v="KUST - General"/>
    <x v="1"/>
    <x v="1"/>
    <n v="7200"/>
    <n v="2080"/>
    <n v="0"/>
    <n v="10000"/>
    <n v="10000"/>
    <n v="0"/>
    <n v="0"/>
    <n v="0"/>
    <n v="10000"/>
    <n v="9000"/>
    <n v="0"/>
    <n v="7000"/>
    <n v="10000"/>
    <n v="10000"/>
  </r>
  <r>
    <x v="3"/>
    <s v="847.8470340.1.425720.000000.847001.200179"/>
    <n v="8470340"/>
    <x v="27"/>
    <n v="425720"/>
    <x v="23"/>
    <n v="847001"/>
    <s v="KUST - General"/>
    <x v="1"/>
    <x v="1"/>
    <n v="0"/>
    <n v="0"/>
    <n v="0"/>
    <n v="30000"/>
    <n v="30000"/>
    <n v="0"/>
    <n v="0"/>
    <n v="0"/>
    <n v="10000"/>
    <n v="9000"/>
    <n v="0"/>
    <n v="7000"/>
    <n v="10000"/>
    <n v="10000"/>
  </r>
  <r>
    <x v="3"/>
    <s v="847.8470340.1.425760.000000.847001.200179"/>
    <n v="8470340"/>
    <x v="27"/>
    <n v="425760"/>
    <x v="30"/>
    <n v="847001"/>
    <s v="KUST - General"/>
    <x v="1"/>
    <x v="1"/>
    <n v="4762"/>
    <n v="2750"/>
    <n v="0"/>
    <n v="12000"/>
    <n v="12000"/>
    <n v="0"/>
    <n v="0"/>
    <n v="0"/>
    <n v="12000"/>
    <n v="10800"/>
    <n v="0"/>
    <n v="8400"/>
    <n v="12000"/>
    <n v="12000"/>
  </r>
  <r>
    <x v="3"/>
    <s v="847.8470340.1.425763.000000.847001.200179"/>
    <n v="8470340"/>
    <x v="27"/>
    <n v="425763"/>
    <x v="41"/>
    <n v="847001"/>
    <s v="KUST - General"/>
    <x v="1"/>
    <x v="1"/>
    <n v="208321"/>
    <n v="225403"/>
    <n v="252926"/>
    <n v="460000"/>
    <n v="460000"/>
    <n v="190000"/>
    <n v="0"/>
    <n v="0"/>
    <n v="500000"/>
    <n v="450000"/>
    <n v="0"/>
    <n v="350000"/>
    <n v="550000"/>
    <n v="600000"/>
  </r>
  <r>
    <x v="3"/>
    <s v="847.8470340.1.425770.000000.847001.200179"/>
    <n v="8470340"/>
    <x v="27"/>
    <n v="425770"/>
    <x v="37"/>
    <n v="847001"/>
    <s v="KUST - General"/>
    <x v="1"/>
    <x v="1"/>
    <n v="276102"/>
    <n v="54007"/>
    <n v="30018"/>
    <n v="630000"/>
    <n v="630000"/>
    <n v="43966.75"/>
    <n v="0"/>
    <n v="0"/>
    <n v="700000"/>
    <n v="630000"/>
    <n v="0"/>
    <n v="490000"/>
    <n v="740000"/>
    <n v="880000"/>
  </r>
  <r>
    <x v="3"/>
    <s v="847.8470340.1.425900.000000.847001.200179"/>
    <n v="8470340"/>
    <x v="27"/>
    <n v="425900"/>
    <x v="11"/>
    <n v="847001"/>
    <s v="KUST - General"/>
    <x v="1"/>
    <x v="1"/>
    <n v="16813"/>
    <n v="7287"/>
    <n v="0"/>
    <n v="54000"/>
    <n v="54000"/>
    <n v="8800"/>
    <n v="8800"/>
    <n v="0"/>
    <n v="20000"/>
    <n v="18000"/>
    <n v="0"/>
    <n v="14000"/>
    <n v="20000"/>
    <n v="0"/>
  </r>
  <r>
    <x v="3"/>
    <s v="847.8470340.1.426610.000000.847001.200179"/>
    <n v="8470340"/>
    <x v="27"/>
    <n v="426610"/>
    <x v="12"/>
    <n v="847001"/>
    <s v="KUST - General"/>
    <x v="1"/>
    <x v="1"/>
    <n v="93818"/>
    <n v="173961"/>
    <n v="167257"/>
    <n v="210000"/>
    <n v="210000"/>
    <n v="48399.35"/>
    <n v="75567.38"/>
    <n v="41508.99"/>
    <n v="230000"/>
    <n v="207000"/>
    <n v="0"/>
    <n v="161000"/>
    <n v="240000"/>
    <n v="240000"/>
  </r>
  <r>
    <x v="3"/>
    <s v="847.8470340.1.432209.000000.847001.200179"/>
    <n v="8470340"/>
    <x v="27"/>
    <n v="432209"/>
    <x v="47"/>
    <n v="847001"/>
    <s v="KUST - General"/>
    <x v="1"/>
    <x v="1"/>
    <n v="0"/>
    <n v="0"/>
    <n v="44819"/>
    <n v="100000"/>
    <n v="100000"/>
    <n v="0"/>
    <n v="80000"/>
    <n v="20000"/>
    <n v="80000"/>
    <n v="72000"/>
    <n v="0"/>
    <n v="56000"/>
    <n v="80000"/>
    <n v="80000"/>
  </r>
  <r>
    <x v="3"/>
    <s v="847.8470340.1.435350.000000.847001.200179"/>
    <n v="8470340"/>
    <x v="27"/>
    <n v="435350"/>
    <x v="43"/>
    <n v="847001"/>
    <s v="KUST - General"/>
    <x v="1"/>
    <x v="1"/>
    <n v="0"/>
    <n v="50303"/>
    <n v="98141"/>
    <n v="336000"/>
    <n v="336000"/>
    <n v="88904.72"/>
    <n v="0"/>
    <n v="0"/>
    <n v="350000"/>
    <n v="315000"/>
    <n v="0"/>
    <n v="245000"/>
    <n v="407000"/>
    <n v="480000"/>
  </r>
  <r>
    <x v="3"/>
    <s v="847.8470340.1.435508.000000.847001.200179"/>
    <n v="8470340"/>
    <x v="27"/>
    <n v="435508"/>
    <x v="44"/>
    <n v="847001"/>
    <s v="KUST - General"/>
    <x v="1"/>
    <x v="1"/>
    <n v="177480"/>
    <n v="252646"/>
    <n v="71574"/>
    <n v="264000"/>
    <n v="264000"/>
    <n v="140267.41"/>
    <n v="0"/>
    <n v="94645.3"/>
    <n v="240000"/>
    <n v="216000"/>
    <n v="0"/>
    <n v="168000"/>
    <n v="240000"/>
    <n v="240000"/>
  </r>
  <r>
    <x v="3"/>
    <s v="847.8470340.1.492316.000000.847001.300180"/>
    <n v="8470340"/>
    <x v="27"/>
    <n v="492316"/>
    <x v="39"/>
    <n v="847001"/>
    <s v="KUST - General"/>
    <x v="2"/>
    <x v="2"/>
    <n v="519069"/>
    <n v="815546"/>
    <n v="267712"/>
    <n v="533159"/>
    <n v="533159"/>
    <n v="0"/>
    <n v="0"/>
    <n v="532460"/>
    <n v="515000"/>
    <n v="166500"/>
    <n v="0"/>
    <n v="129500"/>
    <n v="295000"/>
    <n v="700000"/>
  </r>
  <r>
    <x v="3"/>
    <s v="847.8470345.1.420550.000000.847001.200179"/>
    <n v="8470345"/>
    <x v="28"/>
    <n v="420550"/>
    <x v="1"/>
    <n v="847001"/>
    <s v="KUST - General"/>
    <x v="1"/>
    <x v="1"/>
    <n v="71607"/>
    <n v="41000"/>
    <n v="0"/>
    <n v="20000"/>
    <n v="20000"/>
    <n v="0"/>
    <n v="0"/>
    <n v="0"/>
    <n v="20000"/>
    <n v="18000"/>
    <n v="0"/>
    <n v="14000"/>
    <n v="20000"/>
    <n v="20000"/>
  </r>
  <r>
    <x v="3"/>
    <s v="847.8470345.1.425510.000000.847001.200179"/>
    <n v="8470345"/>
    <x v="28"/>
    <n v="425510"/>
    <x v="3"/>
    <n v="847001"/>
    <s v="KUST - General"/>
    <x v="1"/>
    <x v="1"/>
    <n v="0"/>
    <n v="0"/>
    <n v="65000"/>
    <n v="30000"/>
    <n v="30000"/>
    <n v="6485"/>
    <n v="0"/>
    <n v="0"/>
    <n v="35000"/>
    <n v="31500"/>
    <n v="0"/>
    <n v="24500"/>
    <n v="35000"/>
    <n v="35000"/>
  </r>
  <r>
    <x v="3"/>
    <s v="847.8470345.1.425760.000000.847001.200179"/>
    <n v="8470345"/>
    <x v="28"/>
    <n v="425760"/>
    <x v="30"/>
    <n v="847001"/>
    <s v="KUST - General"/>
    <x v="1"/>
    <x v="1"/>
    <n v="0"/>
    <n v="0"/>
    <n v="0"/>
    <n v="120000"/>
    <n v="120000"/>
    <n v="0"/>
    <n v="0"/>
    <n v="0"/>
    <n v="160000"/>
    <n v="144000"/>
    <n v="0"/>
    <n v="112000"/>
    <n v="160000"/>
    <n v="160000"/>
  </r>
  <r>
    <x v="3"/>
    <s v="847.8470345.1.425770.000000.847001.200179"/>
    <n v="8470345"/>
    <x v="28"/>
    <n v="425770"/>
    <x v="37"/>
    <n v="847001"/>
    <s v="KUST - General"/>
    <x v="1"/>
    <x v="1"/>
    <n v="149937"/>
    <n v="-2805"/>
    <n v="20865"/>
    <n v="105000"/>
    <n v="105000"/>
    <n v="4972.7700000000004"/>
    <n v="0"/>
    <n v="0"/>
    <n v="140000"/>
    <n v="126000"/>
    <n v="0"/>
    <n v="98000"/>
    <n v="140000"/>
    <n v="199217"/>
  </r>
  <r>
    <x v="3"/>
    <s v="847.8470345.1.425900.000000.847001.200179"/>
    <n v="8470345"/>
    <x v="28"/>
    <n v="425900"/>
    <x v="11"/>
    <n v="847001"/>
    <s v="KUST - General"/>
    <x v="1"/>
    <x v="1"/>
    <n v="686"/>
    <n v="0"/>
    <n v="0"/>
    <n v="3000"/>
    <n v="3000"/>
    <n v="0"/>
    <n v="0"/>
    <n v="0"/>
    <n v="3000"/>
    <n v="2700"/>
    <n v="0"/>
    <n v="2100"/>
    <n v="3000"/>
    <n v="53000"/>
  </r>
  <r>
    <x v="3"/>
    <s v="847.8470345.1.426610.000000.847001.200179"/>
    <n v="8470345"/>
    <x v="28"/>
    <n v="426610"/>
    <x v="12"/>
    <n v="847001"/>
    <s v="KUST - General"/>
    <x v="1"/>
    <x v="1"/>
    <n v="94303"/>
    <n v="-7076"/>
    <n v="-38268"/>
    <n v="146983"/>
    <n v="146983"/>
    <n v="25723.59"/>
    <n v="7346"/>
    <n v="49585.5"/>
    <n v="59217"/>
    <n v="53295"/>
    <n v="0"/>
    <n v="41452"/>
    <n v="59217"/>
    <n v="168000"/>
  </r>
  <r>
    <x v="3"/>
    <s v="847.8470345.1.428090.000000.847001.200179"/>
    <n v="8470345"/>
    <x v="28"/>
    <n v="428090"/>
    <x v="13"/>
    <n v="847001"/>
    <s v="KUST - General"/>
    <x v="1"/>
    <x v="1"/>
    <n v="35959"/>
    <n v="5109"/>
    <n v="3908"/>
    <n v="44592"/>
    <n v="44592"/>
    <n v="992.62"/>
    <n v="0"/>
    <n v="0"/>
    <n v="50000"/>
    <n v="45000"/>
    <n v="0"/>
    <n v="35000"/>
    <n v="50000"/>
    <n v="549184"/>
  </r>
  <r>
    <x v="3"/>
    <s v="847.8470345.1.435350.000000.847001.200179"/>
    <n v="8470345"/>
    <x v="28"/>
    <n v="435350"/>
    <x v="43"/>
    <n v="847001"/>
    <s v="KUST - General"/>
    <x v="1"/>
    <x v="1"/>
    <n v="900"/>
    <n v="0"/>
    <n v="17036"/>
    <n v="70000"/>
    <n v="70000"/>
    <n v="22395.83"/>
    <n v="0"/>
    <n v="0"/>
    <n v="168000"/>
    <n v="151200"/>
    <n v="0"/>
    <n v="117600"/>
    <n v="168000"/>
    <n v="6000"/>
  </r>
  <r>
    <x v="3"/>
    <s v="847.8470345.1.435508.000000.847001.200179"/>
    <n v="8470345"/>
    <x v="28"/>
    <n v="435508"/>
    <x v="44"/>
    <n v="847001"/>
    <s v="KUST - General"/>
    <x v="1"/>
    <x v="1"/>
    <n v="136686"/>
    <n v="85883"/>
    <n v="52976"/>
    <n v="197477"/>
    <n v="197477"/>
    <n v="1859.35"/>
    <n v="1156"/>
    <n v="60119.77"/>
    <n v="549184"/>
    <n v="494266"/>
    <n v="0"/>
    <n v="384429"/>
    <n v="549184"/>
    <n v="0"/>
  </r>
  <r>
    <x v="3"/>
    <s v="847.8470345.1.436110.000000.847001.200179"/>
    <n v="8470345"/>
    <x v="28"/>
    <n v="436110"/>
    <x v="15"/>
    <n v="847001"/>
    <s v="KUST - General"/>
    <x v="1"/>
    <x v="1"/>
    <n v="120"/>
    <n v="0"/>
    <n v="0"/>
    <n v="5742"/>
    <n v="5742"/>
    <n v="3328"/>
    <n v="0"/>
    <n v="0"/>
    <n v="6000"/>
    <n v="5400"/>
    <n v="0"/>
    <n v="4200"/>
    <n v="6000"/>
    <n v="0"/>
  </r>
  <r>
    <x v="3"/>
    <s v="847.8470345.1.436600.000000.847001.200179"/>
    <n v="8470345"/>
    <x v="28"/>
    <n v="436600"/>
    <x v="48"/>
    <n v="847001"/>
    <s v="KUST - General"/>
    <x v="1"/>
    <x v="1"/>
    <n v="0"/>
    <n v="0"/>
    <n v="0"/>
    <n v="9640"/>
    <n v="9640"/>
    <n v="0"/>
    <n v="0"/>
    <n v="0"/>
    <n v="578400"/>
    <n v="520560"/>
    <n v="0"/>
    <n v="404880"/>
    <n v="0"/>
    <n v="0"/>
  </r>
  <r>
    <x v="3"/>
    <s v="847.8470345.1.492316.000000.847001.300180"/>
    <n v="8470345"/>
    <x v="28"/>
    <n v="492316"/>
    <x v="39"/>
    <n v="847001"/>
    <s v="KUST - General"/>
    <x v="2"/>
    <x v="2"/>
    <n v="465000"/>
    <n v="0"/>
    <n v="77504"/>
    <n v="551330"/>
    <n v="551330"/>
    <n v="62000"/>
    <n v="95000"/>
    <n v="370670"/>
    <n v="2090046"/>
    <n v="1881041"/>
    <n v="0"/>
    <n v="1463032"/>
    <n v="780474"/>
    <n v="578400"/>
  </r>
  <r>
    <x v="3"/>
    <s v="847.8470350.1.425510.000000.847001.200179"/>
    <n v="8470350"/>
    <x v="29"/>
    <n v="425510"/>
    <x v="3"/>
    <n v="847001"/>
    <s v="KUST - General"/>
    <x v="1"/>
    <x v="1"/>
    <n v="2894"/>
    <n v="8528"/>
    <n v="2679"/>
    <n v="16000"/>
    <n v="16000"/>
    <n v="4017"/>
    <n v="0"/>
    <n v="0"/>
    <n v="20000"/>
    <n v="18000"/>
    <n v="0"/>
    <n v="14000"/>
    <n v="25000"/>
    <n v="27500"/>
  </r>
  <r>
    <x v="3"/>
    <s v="847.8470350.1.425760.000000.847001.200179"/>
    <n v="8470350"/>
    <x v="29"/>
    <n v="425760"/>
    <x v="30"/>
    <n v="847001"/>
    <s v="KUST - General"/>
    <x v="1"/>
    <x v="1"/>
    <n v="107425"/>
    <n v="1248"/>
    <n v="0"/>
    <n v="25000"/>
    <n v="25000"/>
    <n v="682"/>
    <n v="0"/>
    <n v="0"/>
    <n v="25000"/>
    <n v="22500"/>
    <n v="0"/>
    <n v="17500"/>
    <n v="30000"/>
    <n v="35000"/>
  </r>
  <r>
    <x v="3"/>
    <s v="847.8470350.1.425763.000000.847001.200179"/>
    <n v="8470350"/>
    <x v="29"/>
    <n v="425763"/>
    <x v="41"/>
    <n v="847001"/>
    <s v="KUST - General"/>
    <x v="1"/>
    <x v="1"/>
    <n v="116788"/>
    <n v="0"/>
    <n v="0"/>
    <n v="30000"/>
    <n v="30000"/>
    <n v="0"/>
    <n v="0"/>
    <n v="0"/>
    <n v="10000"/>
    <n v="9000"/>
    <n v="0"/>
    <n v="7000"/>
    <n v="15000"/>
    <n v="20000"/>
  </r>
  <r>
    <x v="3"/>
    <s v="847.8470350.1.425770.000000.847001.200179"/>
    <n v="8470350"/>
    <x v="29"/>
    <n v="425770"/>
    <x v="37"/>
    <n v="847001"/>
    <s v="KUST - General"/>
    <x v="1"/>
    <x v="1"/>
    <n v="101152"/>
    <n v="48725"/>
    <n v="30383"/>
    <n v="150000"/>
    <n v="150000"/>
    <n v="24060.78"/>
    <n v="0"/>
    <n v="0"/>
    <n v="220000"/>
    <n v="198000"/>
    <n v="0"/>
    <n v="154000"/>
    <n v="264000"/>
    <n v="325000"/>
  </r>
  <r>
    <x v="3"/>
    <s v="847.8470350.1.425900.000000.847001.200179"/>
    <n v="8470350"/>
    <x v="29"/>
    <n v="425900"/>
    <x v="11"/>
    <n v="847001"/>
    <s v="KUST - General"/>
    <x v="1"/>
    <x v="1"/>
    <n v="14101"/>
    <n v="9656"/>
    <n v="0"/>
    <n v="8500"/>
    <n v="8500"/>
    <n v="1782"/>
    <n v="0"/>
    <n v="0"/>
    <n v="20000"/>
    <n v="18000"/>
    <n v="0"/>
    <n v="14000"/>
    <n v="30000"/>
    <n v="40000"/>
  </r>
  <r>
    <x v="3"/>
    <s v="847.8470350.1.426610.000000.847001.200179"/>
    <n v="8470350"/>
    <x v="29"/>
    <n v="426610"/>
    <x v="12"/>
    <n v="847001"/>
    <s v="KUST - General"/>
    <x v="1"/>
    <x v="1"/>
    <n v="61238"/>
    <n v="10055"/>
    <n v="114405"/>
    <n v="210200"/>
    <n v="210200"/>
    <n v="23675.11"/>
    <n v="0"/>
    <n v="172888.11"/>
    <n v="280200"/>
    <n v="4680"/>
    <n v="0"/>
    <n v="3640"/>
    <n v="413000"/>
    <n v="323000"/>
  </r>
  <r>
    <x v="3"/>
    <s v="847.8470350.1.432209.000000.847001.200179"/>
    <n v="8470350"/>
    <x v="29"/>
    <n v="432209"/>
    <x v="47"/>
    <n v="847001"/>
    <s v="KUST - General"/>
    <x v="1"/>
    <x v="1"/>
    <n v="352318"/>
    <n v="413126"/>
    <n v="215417"/>
    <n v="305000"/>
    <n v="305000"/>
    <n v="0"/>
    <n v="0"/>
    <n v="143841.45000000001"/>
    <n v="979000"/>
    <n v="315000"/>
    <n v="0"/>
    <n v="245000"/>
    <n v="510000"/>
    <n v="425000"/>
  </r>
  <r>
    <x v="3"/>
    <s v="847.8470350.1.435340.000000.847001.200179"/>
    <n v="8470350"/>
    <x v="29"/>
    <n v="435340"/>
    <x v="20"/>
    <n v="847001"/>
    <s v="KUST - General"/>
    <x v="1"/>
    <x v="1"/>
    <n v="0"/>
    <n v="0"/>
    <n v="0"/>
    <n v="10000"/>
    <n v="10000"/>
    <n v="0"/>
    <n v="0"/>
    <n v="0"/>
    <n v="10000"/>
    <n v="9000"/>
    <n v="0"/>
    <n v="7000"/>
    <n v="20000"/>
    <n v="30000"/>
  </r>
  <r>
    <x v="3"/>
    <s v="847.8470350.1.435350.000000.847001.200179"/>
    <n v="8470350"/>
    <x v="29"/>
    <n v="435350"/>
    <x v="43"/>
    <n v="847001"/>
    <s v="KUST - General"/>
    <x v="1"/>
    <x v="1"/>
    <n v="8202"/>
    <n v="18571"/>
    <n v="31762"/>
    <n v="50000"/>
    <n v="50000"/>
    <n v="0"/>
    <n v="0"/>
    <n v="0"/>
    <n v="90000"/>
    <n v="81000"/>
    <n v="0"/>
    <n v="63000"/>
    <n v="120000"/>
    <n v="156000"/>
  </r>
  <r>
    <x v="3"/>
    <s v="847.8470350.1.435508.000000.847001.200179"/>
    <n v="8470350"/>
    <x v="29"/>
    <n v="435508"/>
    <x v="44"/>
    <n v="847001"/>
    <s v="KUST - General"/>
    <x v="1"/>
    <x v="1"/>
    <n v="142169"/>
    <n v="25049"/>
    <n v="29960"/>
    <n v="100000"/>
    <n v="100000"/>
    <n v="14966.9"/>
    <n v="0"/>
    <n v="13002.42"/>
    <n v="110000"/>
    <n v="22500"/>
    <n v="0"/>
    <n v="17500"/>
    <n v="132000"/>
    <n v="132000"/>
  </r>
  <r>
    <x v="3"/>
    <s v="847.8470350.1.436110.000000.847001.200179"/>
    <n v="8470350"/>
    <x v="29"/>
    <n v="436110"/>
    <x v="15"/>
    <n v="847001"/>
    <s v="KUST - General"/>
    <x v="1"/>
    <x v="1"/>
    <n v="700"/>
    <n v="0"/>
    <n v="0"/>
    <n v="7500"/>
    <n v="7500"/>
    <n v="0"/>
    <n v="0"/>
    <n v="0"/>
    <n v="7500"/>
    <n v="6750"/>
    <n v="0"/>
    <n v="5250"/>
    <n v="5000"/>
    <n v="5000"/>
  </r>
  <r>
    <x v="3"/>
    <s v="847.8470350.1.436600.000000.847001.200179"/>
    <n v="8470350"/>
    <x v="29"/>
    <n v="436600"/>
    <x v="48"/>
    <n v="847001"/>
    <s v="KUST - General"/>
    <x v="1"/>
    <x v="1"/>
    <n v="0"/>
    <n v="0"/>
    <n v="0"/>
    <n v="60000"/>
    <n v="60000"/>
    <n v="0"/>
    <n v="0"/>
    <n v="0"/>
    <n v="100000"/>
    <n v="90000"/>
    <n v="0"/>
    <n v="70000"/>
    <n v="100000"/>
    <n v="108000"/>
  </r>
  <r>
    <x v="3"/>
    <s v="847.8470350.1.492316.000000.847001.300180"/>
    <n v="8470350"/>
    <x v="29"/>
    <n v="492316"/>
    <x v="39"/>
    <n v="847001"/>
    <s v="KUST - General"/>
    <x v="2"/>
    <x v="2"/>
    <n v="191760"/>
    <n v="584893"/>
    <n v="0"/>
    <n v="1446520"/>
    <n v="1446520"/>
    <n v="862373.2"/>
    <n v="578702.18000000005"/>
    <n v="0"/>
    <n v="1969500"/>
    <n v="146250"/>
    <n v="0"/>
    <n v="113750"/>
    <n v="2200000"/>
    <n v="3190000"/>
  </r>
  <r>
    <x v="3"/>
    <s v="847.8470350.1.495110.000000.847001.300180"/>
    <n v="8470350"/>
    <x v="29"/>
    <n v="495110"/>
    <x v="53"/>
    <n v="847001"/>
    <s v="KUST - General"/>
    <x v="2"/>
    <x v="2"/>
    <n v="0"/>
    <n v="0"/>
    <n v="0"/>
    <n v="0"/>
    <n v="0"/>
    <n v="0"/>
    <n v="0"/>
    <n v="0"/>
    <n v="59500"/>
    <n v="40500"/>
    <n v="0"/>
    <n v="31500"/>
    <n v="0"/>
    <n v="0"/>
  </r>
  <r>
    <x v="4"/>
    <s v="847.8471305.1.420570.000000.847001.200179"/>
    <n v="8471305"/>
    <x v="30"/>
    <n v="420570"/>
    <x v="49"/>
    <n v="847001"/>
    <s v="KUST - General"/>
    <x v="1"/>
    <x v="1"/>
    <n v="0"/>
    <n v="0"/>
    <n v="16778285"/>
    <n v="21895944"/>
    <n v="21895944"/>
    <n v="0"/>
    <n v="0"/>
    <n v="0"/>
    <n v="33130272"/>
    <n v="29817245"/>
    <n v="0"/>
    <n v="23191190"/>
    <n v="34786786"/>
    <n v="36443299"/>
  </r>
  <r>
    <x v="4"/>
    <s v="847.8471305.1.420811.000000.847001.200179"/>
    <n v="8471305"/>
    <x v="30"/>
    <n v="420811"/>
    <x v="54"/>
    <n v="847001"/>
    <s v="KUST - General"/>
    <x v="1"/>
    <x v="1"/>
    <n v="0"/>
    <n v="0"/>
    <n v="0"/>
    <n v="0"/>
    <n v="0"/>
    <n v="0"/>
    <n v="0"/>
    <n v="0"/>
    <n v="408900"/>
    <n v="368010"/>
    <n v="0"/>
    <n v="286230"/>
    <n v="429356"/>
    <n v="449801"/>
  </r>
  <r>
    <x v="4"/>
    <s v="847.8471305.1.421000.000000.847001.200179"/>
    <n v="8471305"/>
    <x v="30"/>
    <n v="421000"/>
    <x v="55"/>
    <n v="847001"/>
    <s v="KUST - General"/>
    <x v="1"/>
    <x v="1"/>
    <n v="74170"/>
    <n v="332159"/>
    <n v="0"/>
    <n v="271000"/>
    <n v="271000"/>
    <n v="100000"/>
    <n v="0"/>
    <n v="0"/>
    <n v="400000"/>
    <n v="360000"/>
    <n v="0"/>
    <n v="280000"/>
    <n v="420000"/>
    <n v="500000"/>
  </r>
  <r>
    <x v="4"/>
    <s v="847.8471305.1.421700.000000.847001.200179"/>
    <n v="8471305"/>
    <x v="30"/>
    <n v="421700"/>
    <x v="40"/>
    <n v="847001"/>
    <s v="KUST - General"/>
    <x v="1"/>
    <x v="1"/>
    <n v="156500"/>
    <n v="196900"/>
    <n v="85014"/>
    <n v="170000"/>
    <n v="170000"/>
    <n v="43531.6"/>
    <n v="0"/>
    <n v="0"/>
    <n v="360000"/>
    <n v="324000"/>
    <n v="0"/>
    <n v="252000"/>
    <n v="378000"/>
    <n v="440000"/>
  </r>
  <r>
    <x v="4"/>
    <s v="847.8471305.1.422100.000000.847001.200179"/>
    <n v="8471305"/>
    <x v="30"/>
    <n v="422100"/>
    <x v="56"/>
    <n v="847001"/>
    <s v="KUST - General"/>
    <x v="1"/>
    <x v="1"/>
    <n v="0"/>
    <n v="0"/>
    <n v="31000"/>
    <n v="12000"/>
    <n v="12000"/>
    <n v="0"/>
    <n v="0"/>
    <n v="0"/>
    <n v="12000"/>
    <n v="10800"/>
    <n v="0"/>
    <n v="8400"/>
    <n v="12600"/>
    <n v="396000"/>
  </r>
  <r>
    <x v="4"/>
    <s v="847.8471305.1.422900.000000.847001.200179"/>
    <n v="8471305"/>
    <x v="30"/>
    <n v="422900"/>
    <x v="57"/>
    <n v="847001"/>
    <s v="KUST - General"/>
    <x v="1"/>
    <x v="1"/>
    <n v="0"/>
    <n v="15989"/>
    <n v="53742"/>
    <n v="0"/>
    <n v="0"/>
    <n v="0"/>
    <n v="0"/>
    <n v="0"/>
    <n v="225000"/>
    <n v="202500"/>
    <n v="0"/>
    <n v="157500"/>
    <n v="236250"/>
    <n v="275000"/>
  </r>
  <r>
    <x v="4"/>
    <s v="847.8471305.1.425100.000000.847001.200179"/>
    <n v="8471305"/>
    <x v="30"/>
    <n v="425100"/>
    <x v="2"/>
    <n v="847001"/>
    <s v="KUST - General"/>
    <x v="1"/>
    <x v="1"/>
    <n v="0"/>
    <n v="129219"/>
    <n v="258"/>
    <n v="0"/>
    <n v="0"/>
    <n v="0"/>
    <n v="0"/>
    <n v="0"/>
    <n v="250000"/>
    <n v="225000"/>
    <n v="0"/>
    <n v="175000"/>
    <n v="315000"/>
    <n v="1122000"/>
  </r>
  <r>
    <x v="4"/>
    <s v="847.8471305.1.425510.000000.847001.200179"/>
    <n v="8471305"/>
    <x v="30"/>
    <n v="425510"/>
    <x v="3"/>
    <n v="847001"/>
    <s v="KUST - General"/>
    <x v="1"/>
    <x v="1"/>
    <n v="4713"/>
    <n v="114960"/>
    <n v="83486"/>
    <n v="670000"/>
    <n v="670000"/>
    <n v="45221"/>
    <n v="0"/>
    <n v="15500"/>
    <n v="1020000"/>
    <n v="918000"/>
    <n v="0"/>
    <n v="714000"/>
    <n v="1071000"/>
    <n v="1020000"/>
  </r>
  <r>
    <x v="4"/>
    <s v="847.8471305.1.425550.000000.847001.200179"/>
    <n v="8471305"/>
    <x v="30"/>
    <n v="425550"/>
    <x v="4"/>
    <n v="847001"/>
    <s v="KUST - General"/>
    <x v="1"/>
    <x v="1"/>
    <n v="45316"/>
    <n v="38256"/>
    <n v="47147"/>
    <n v="622000"/>
    <n v="622000"/>
    <n v="32900"/>
    <n v="0"/>
    <n v="0"/>
    <n v="1140000"/>
    <n v="1026000"/>
    <n v="0"/>
    <n v="798000"/>
    <n v="1197000"/>
    <n v="1140000"/>
  </r>
  <r>
    <x v="4"/>
    <s v="847.8471305.1.425720.000000.847001.200179"/>
    <n v="8471305"/>
    <x v="30"/>
    <n v="425720"/>
    <x v="23"/>
    <n v="847001"/>
    <s v="KUST - General"/>
    <x v="1"/>
    <x v="1"/>
    <n v="739107"/>
    <n v="1194435"/>
    <n v="1377538"/>
    <n v="2424345"/>
    <n v="2424345"/>
    <n v="682810.28"/>
    <n v="0"/>
    <n v="1130000"/>
    <n v="3000000"/>
    <n v="2700000"/>
    <n v="0"/>
    <n v="2100000"/>
    <n v="3150000"/>
    <n v="3100000"/>
  </r>
  <r>
    <x v="4"/>
    <s v="847.8471305.1.425742.000000.847001.200179"/>
    <n v="8471305"/>
    <x v="30"/>
    <n v="425742"/>
    <x v="22"/>
    <n v="847001"/>
    <s v="KUST - General"/>
    <x v="1"/>
    <x v="1"/>
    <n v="0"/>
    <n v="0"/>
    <n v="74620"/>
    <n v="180000"/>
    <n v="180000"/>
    <n v="78512.25"/>
    <n v="0"/>
    <n v="0"/>
    <n v="297975"/>
    <n v="268178"/>
    <n v="0"/>
    <n v="208583"/>
    <n v="312874"/>
    <n v="304500"/>
  </r>
  <r>
    <x v="4"/>
    <s v="847.8471305.1.425745.000000.847001.200179"/>
    <n v="8471305"/>
    <x v="30"/>
    <n v="425745"/>
    <x v="7"/>
    <n v="847001"/>
    <s v="KUST - General"/>
    <x v="1"/>
    <x v="1"/>
    <n v="225790"/>
    <n v="23762"/>
    <n v="16828"/>
    <n v="24400"/>
    <n v="24400"/>
    <n v="24000"/>
    <n v="0"/>
    <n v="0"/>
    <n v="825000"/>
    <n v="742500"/>
    <n v="0"/>
    <n v="577500"/>
    <n v="866250"/>
    <n v="825000"/>
  </r>
  <r>
    <x v="4"/>
    <s v="847.8471305.1.425746.000000.847001.200179"/>
    <n v="8471305"/>
    <x v="30"/>
    <n v="425746"/>
    <x v="29"/>
    <n v="847001"/>
    <s v="KUST - General"/>
    <x v="1"/>
    <x v="1"/>
    <n v="0"/>
    <n v="0"/>
    <n v="0"/>
    <n v="292600"/>
    <n v="292600"/>
    <n v="0"/>
    <n v="0"/>
    <n v="0"/>
    <n v="376200"/>
    <n v="338580"/>
    <n v="0"/>
    <n v="263340"/>
    <n v="395010"/>
    <n v="378000"/>
  </r>
  <r>
    <x v="4"/>
    <s v="847.8471305.1.425749.000000.847001.200179"/>
    <n v="8471305"/>
    <x v="30"/>
    <n v="425749"/>
    <x v="8"/>
    <n v="847001"/>
    <s v="KUST - General"/>
    <x v="1"/>
    <x v="1"/>
    <n v="0"/>
    <n v="3826667"/>
    <n v="14604066"/>
    <n v="24213178"/>
    <n v="24213178"/>
    <n v="10862000.02"/>
    <n v="0"/>
    <n v="0"/>
    <n v="40876000"/>
    <n v="36788400"/>
    <n v="0"/>
    <n v="28613200"/>
    <n v="42919800"/>
    <n v="44963600"/>
  </r>
  <r>
    <x v="4"/>
    <s v="847.8471305.1.425750.000000.847001.200179"/>
    <n v="8471305"/>
    <x v="30"/>
    <n v="425750"/>
    <x v="24"/>
    <n v="847001"/>
    <s v="KUST - General"/>
    <x v="1"/>
    <x v="1"/>
    <n v="4185"/>
    <n v="0"/>
    <n v="0"/>
    <n v="864069"/>
    <n v="864069"/>
    <n v="92850.06"/>
    <n v="0"/>
    <n v="0"/>
    <n v="2681485"/>
    <n v="2413337"/>
    <n v="0"/>
    <n v="1877040"/>
    <n v="2815559"/>
    <n v="2949634"/>
  </r>
  <r>
    <x v="4"/>
    <s v="847.8471305.1.425762.000000.847001.200179"/>
    <n v="8471305"/>
    <x v="30"/>
    <n v="425762"/>
    <x v="10"/>
    <n v="847001"/>
    <s v="KUST - General"/>
    <x v="1"/>
    <x v="1"/>
    <n v="0"/>
    <n v="19800"/>
    <n v="0"/>
    <n v="2759974"/>
    <n v="2759974"/>
    <n v="0"/>
    <n v="0"/>
    <n v="0"/>
    <n v="3311974"/>
    <n v="2980777"/>
    <n v="0"/>
    <n v="2318382"/>
    <n v="3477573"/>
    <n v="3643171"/>
  </r>
  <r>
    <x v="4"/>
    <s v="847.8471305.1.425763.000000.847001.200179"/>
    <n v="8471305"/>
    <x v="30"/>
    <n v="425763"/>
    <x v="41"/>
    <n v="847001"/>
    <s v="KUST - General"/>
    <x v="1"/>
    <x v="1"/>
    <n v="0"/>
    <n v="38873"/>
    <n v="32580"/>
    <n v="200000"/>
    <n v="200000"/>
    <n v="2940"/>
    <n v="0"/>
    <n v="0"/>
    <n v="256795"/>
    <n v="231116"/>
    <n v="0"/>
    <n v="179757"/>
    <n v="269635"/>
    <n v="282475"/>
  </r>
  <r>
    <x v="4"/>
    <s v="847.8471305.1.425900.000000.847001.200179"/>
    <n v="8471305"/>
    <x v="30"/>
    <n v="425900"/>
    <x v="11"/>
    <n v="847001"/>
    <s v="KUST - General"/>
    <x v="1"/>
    <x v="1"/>
    <n v="61724"/>
    <n v="14964"/>
    <n v="20411"/>
    <n v="185000"/>
    <n v="185000"/>
    <n v="9397.15"/>
    <n v="0"/>
    <n v="0"/>
    <n v="368650"/>
    <n v="331785"/>
    <n v="0"/>
    <n v="258055"/>
    <n v="387083"/>
    <n v="405515"/>
  </r>
  <r>
    <x v="4"/>
    <s v="847.8471305.1.426100.000000.847001.200179"/>
    <n v="8471305"/>
    <x v="30"/>
    <n v="426100"/>
    <x v="58"/>
    <n v="847001"/>
    <s v="KUST - General"/>
    <x v="1"/>
    <x v="1"/>
    <n v="0"/>
    <n v="63"/>
    <n v="0"/>
    <n v="90000"/>
    <n v="90000"/>
    <n v="0"/>
    <n v="0"/>
    <n v="0"/>
    <n v="102000"/>
    <n v="91800"/>
    <n v="0"/>
    <n v="71400"/>
    <n v="107100"/>
    <n v="112200"/>
  </r>
  <r>
    <x v="4"/>
    <s v="847.8471305.1.426610.000000.847001.200179"/>
    <n v="8471305"/>
    <x v="30"/>
    <n v="426610"/>
    <x v="12"/>
    <n v="847001"/>
    <s v="KUST - General"/>
    <x v="1"/>
    <x v="1"/>
    <n v="384507"/>
    <n v="499959"/>
    <n v="1212148"/>
    <n v="977363"/>
    <n v="977363"/>
    <n v="703112.39"/>
    <n v="39819.370000000003"/>
    <n v="115842.8"/>
    <n v="977363"/>
    <n v="879627"/>
    <n v="0"/>
    <n v="684154"/>
    <n v="1026231"/>
    <n v="1075099"/>
  </r>
  <r>
    <x v="4"/>
    <s v="847.8471305.1.426900.000000.847001.200179"/>
    <n v="8471305"/>
    <x v="30"/>
    <n v="426900"/>
    <x v="19"/>
    <n v="847001"/>
    <s v="KUST - General"/>
    <x v="1"/>
    <x v="1"/>
    <n v="0"/>
    <n v="0"/>
    <n v="290"/>
    <n v="21000"/>
    <n v="21000"/>
    <n v="235"/>
    <n v="0"/>
    <n v="0"/>
    <n v="21000"/>
    <n v="18900"/>
    <n v="0"/>
    <n v="14700"/>
    <n v="22050"/>
    <n v="23100"/>
  </r>
  <r>
    <x v="4"/>
    <s v="847.8471305.1.427200.000000.847001.200179"/>
    <n v="8471305"/>
    <x v="30"/>
    <n v="427200"/>
    <x v="46"/>
    <n v="847001"/>
    <s v="KUST - General"/>
    <x v="1"/>
    <x v="1"/>
    <n v="1788"/>
    <n v="81656"/>
    <n v="158352"/>
    <n v="627674"/>
    <n v="627674"/>
    <n v="0"/>
    <n v="0"/>
    <n v="0"/>
    <n v="675000"/>
    <n v="607500"/>
    <n v="0"/>
    <n v="472500"/>
    <n v="708750"/>
    <n v="742500"/>
  </r>
  <r>
    <x v="4"/>
    <s v="847.8471305.1.427710.000000.847001.200179"/>
    <n v="8471305"/>
    <x v="30"/>
    <n v="427710"/>
    <x v="42"/>
    <n v="847001"/>
    <s v="KUST - General"/>
    <x v="1"/>
    <x v="1"/>
    <n v="28358"/>
    <n v="47805"/>
    <n v="14707"/>
    <n v="153178"/>
    <n v="153178"/>
    <n v="756"/>
    <n v="0"/>
    <n v="37231"/>
    <n v="237360"/>
    <n v="213624"/>
    <n v="0"/>
    <n v="166152"/>
    <n v="249228"/>
    <n v="261096"/>
  </r>
  <r>
    <x v="4"/>
    <s v="847.8471305.1.428090.000000.847001.200179"/>
    <n v="8471305"/>
    <x v="30"/>
    <n v="428090"/>
    <x v="13"/>
    <n v="847001"/>
    <s v="KUST - General"/>
    <x v="1"/>
    <x v="1"/>
    <n v="438236"/>
    <n v="17600"/>
    <n v="0"/>
    <n v="183500"/>
    <n v="183500"/>
    <n v="523.75"/>
    <n v="0"/>
    <n v="0"/>
    <n v="450000"/>
    <n v="405000"/>
    <n v="0"/>
    <n v="315000"/>
    <n v="1050000"/>
    <n v="495000"/>
  </r>
  <r>
    <x v="4"/>
    <s v="847.8471305.1.428640.000000.847001.200179"/>
    <n v="8471305"/>
    <x v="30"/>
    <n v="428640"/>
    <x v="14"/>
    <n v="847001"/>
    <s v="KUST - General"/>
    <x v="1"/>
    <x v="1"/>
    <n v="2345"/>
    <n v="1935"/>
    <n v="1200"/>
    <n v="5000"/>
    <n v="5000"/>
    <n v="1519.75"/>
    <n v="0"/>
    <n v="0"/>
    <n v="100000"/>
    <n v="90000"/>
    <n v="0"/>
    <n v="70000"/>
    <n v="472500"/>
    <n v="110000"/>
  </r>
  <r>
    <x v="4"/>
    <s v="847.8471305.1.432205.000000.847001.200179"/>
    <n v="8471305"/>
    <x v="30"/>
    <n v="432205"/>
    <x v="59"/>
    <n v="847001"/>
    <s v="KUST - General"/>
    <x v="1"/>
    <x v="1"/>
    <n v="0"/>
    <n v="37226"/>
    <n v="99533"/>
    <n v="565385"/>
    <n v="565385"/>
    <n v="0"/>
    <n v="545000"/>
    <n v="0"/>
    <n v="1949500"/>
    <n v="1754550"/>
    <n v="0"/>
    <n v="1364650"/>
    <n v="105000"/>
    <n v="2144450"/>
  </r>
  <r>
    <x v="4"/>
    <s v="847.8471305.1.432209.000000.847001.200179"/>
    <n v="8471305"/>
    <x v="30"/>
    <n v="432209"/>
    <x v="47"/>
    <n v="847001"/>
    <s v="KUST - General"/>
    <x v="1"/>
    <x v="1"/>
    <n v="0"/>
    <n v="0"/>
    <n v="55632"/>
    <n v="586900"/>
    <n v="586900"/>
    <n v="16072.41"/>
    <n v="223000"/>
    <n v="337087"/>
    <n v="600000"/>
    <n v="540000"/>
    <n v="0"/>
    <n v="420000"/>
    <n v="2046975"/>
    <n v="660000"/>
  </r>
  <r>
    <x v="4"/>
    <s v="847.8471305.1.432210.000000.847001.200179"/>
    <n v="8471305"/>
    <x v="30"/>
    <n v="432210"/>
    <x v="60"/>
    <n v="847001"/>
    <s v="KUST - General"/>
    <x v="1"/>
    <x v="1"/>
    <n v="0"/>
    <n v="0"/>
    <n v="0"/>
    <n v="35000"/>
    <n v="35000"/>
    <n v="0"/>
    <n v="0"/>
    <n v="0"/>
    <n v="200000"/>
    <n v="180000"/>
    <n v="0"/>
    <n v="140000"/>
    <n v="630000"/>
    <n v="220000"/>
  </r>
  <r>
    <x v="4"/>
    <s v="847.8471305.1.435330.000000.847001.200179"/>
    <n v="8471305"/>
    <x v="30"/>
    <n v="435330"/>
    <x v="25"/>
    <n v="847001"/>
    <s v="KUST - General"/>
    <x v="1"/>
    <x v="1"/>
    <n v="670253"/>
    <n v="-22448"/>
    <n v="-22387"/>
    <n v="657390"/>
    <n v="657390"/>
    <n v="0"/>
    <n v="312750.33"/>
    <n v="0"/>
    <n v="641904"/>
    <n v="577714"/>
    <n v="0"/>
    <n v="449333"/>
    <n v="210000"/>
    <n v="706094"/>
  </r>
  <r>
    <x v="4"/>
    <s v="847.8471305.1.435340.000000.847001.200179"/>
    <n v="8471305"/>
    <x v="30"/>
    <n v="435340"/>
    <x v="20"/>
    <n v="847001"/>
    <s v="KUST - General"/>
    <x v="1"/>
    <x v="1"/>
    <n v="0"/>
    <n v="418002"/>
    <n v="82604"/>
    <n v="6515"/>
    <n v="6515"/>
    <n v="0"/>
    <n v="0"/>
    <n v="0"/>
    <n v="300000"/>
    <n v="270000"/>
    <n v="0"/>
    <n v="210000"/>
    <n v="673999"/>
    <n v="330000"/>
  </r>
  <r>
    <x v="4"/>
    <s v="847.8471305.1.435350.000000.847001.200179"/>
    <n v="8471305"/>
    <x v="30"/>
    <n v="435350"/>
    <x v="43"/>
    <n v="847001"/>
    <s v="KUST - General"/>
    <x v="1"/>
    <x v="1"/>
    <n v="0"/>
    <n v="0"/>
    <n v="74471"/>
    <n v="359100"/>
    <n v="359100"/>
    <n v="182938.65"/>
    <n v="0"/>
    <n v="0"/>
    <n v="1260000"/>
    <n v="1134000"/>
    <n v="0"/>
    <n v="882000"/>
    <n v="315000"/>
    <n v="1386000"/>
  </r>
  <r>
    <x v="4"/>
    <s v="847.8471305.1.435508.000000.847001.200179"/>
    <n v="8471305"/>
    <x v="30"/>
    <n v="435508"/>
    <x v="44"/>
    <n v="847001"/>
    <s v="KUST - General"/>
    <x v="1"/>
    <x v="1"/>
    <n v="909033"/>
    <n v="897989"/>
    <n v="241815"/>
    <n v="1892072"/>
    <n v="1892072"/>
    <n v="314264.18"/>
    <n v="5630"/>
    <n v="1347219.44"/>
    <n v="14077987"/>
    <n v="12670188"/>
    <n v="0"/>
    <n v="9854591"/>
    <n v="1323000"/>
    <n v="15485786"/>
  </r>
  <r>
    <x v="4"/>
    <s v="847.8471305.1.435530.000000.847001.200179"/>
    <n v="8471305"/>
    <x v="30"/>
    <n v="435530"/>
    <x v="17"/>
    <n v="847001"/>
    <s v="KUST - General"/>
    <x v="1"/>
    <x v="1"/>
    <n v="228"/>
    <n v="851"/>
    <n v="924"/>
    <n v="10000"/>
    <n v="10000"/>
    <n v="80"/>
    <n v="0"/>
    <n v="0"/>
    <n v="225000"/>
    <n v="202500"/>
    <n v="0"/>
    <n v="157500"/>
    <n v="14781886"/>
    <n v="247500"/>
  </r>
  <r>
    <x v="4"/>
    <s v="847.8471305.1.436110.000000.847001.200179"/>
    <n v="8471305"/>
    <x v="30"/>
    <n v="436110"/>
    <x v="15"/>
    <n v="847001"/>
    <s v="KUST - General"/>
    <x v="1"/>
    <x v="1"/>
    <n v="2359"/>
    <n v="0"/>
    <n v="22000"/>
    <n v="0"/>
    <n v="0"/>
    <n v="0"/>
    <n v="0"/>
    <n v="0"/>
    <n v="300000"/>
    <n v="270000"/>
    <n v="0"/>
    <n v="210000"/>
    <n v="236250"/>
    <n v="330000"/>
  </r>
  <r>
    <x v="4"/>
    <s v="847.8471305.1.436120.000000.847001.200179"/>
    <n v="8471305"/>
    <x v="30"/>
    <n v="436120"/>
    <x v="21"/>
    <n v="847001"/>
    <s v="KUST - General"/>
    <x v="1"/>
    <x v="1"/>
    <n v="5604"/>
    <n v="6669"/>
    <n v="7188"/>
    <n v="112000"/>
    <n v="112000"/>
    <n v="0"/>
    <n v="0"/>
    <n v="0"/>
    <n v="320000"/>
    <n v="288000"/>
    <n v="0"/>
    <n v="224000"/>
    <n v="236250"/>
    <n v="352000"/>
  </r>
  <r>
    <x v="4"/>
    <s v="847.8471305.1.492316.000000.847001.300180"/>
    <n v="8471305"/>
    <x v="30"/>
    <n v="492316"/>
    <x v="39"/>
    <n v="847001"/>
    <s v="KUST - General"/>
    <x v="2"/>
    <x v="2"/>
    <n v="57068649"/>
    <n v="15725666"/>
    <n v="11810091"/>
    <n v="17513291"/>
    <n v="17513291"/>
    <n v="1538887.74"/>
    <n v="411735"/>
    <n v="14689537.720000001"/>
    <n v="23622096"/>
    <n v="1620000"/>
    <n v="0"/>
    <n v="1260000"/>
    <n v="0"/>
    <n v="0"/>
  </r>
  <r>
    <x v="4"/>
    <s v="847.8471305.1.492354.000000.847001.300180"/>
    <n v="8471305"/>
    <x v="30"/>
    <n v="492354"/>
    <x v="50"/>
    <n v="847001"/>
    <s v="KUST - General"/>
    <x v="2"/>
    <x v="2"/>
    <n v="0"/>
    <n v="0"/>
    <n v="0"/>
    <n v="0"/>
    <n v="0"/>
    <n v="0"/>
    <n v="0"/>
    <n v="0"/>
    <n v="1098800"/>
    <n v="988920"/>
    <n v="0"/>
    <n v="769160"/>
    <n v="0"/>
    <n v="0"/>
  </r>
  <r>
    <x v="4"/>
    <s v="847.8471305.1.495113.000000.847001.300180"/>
    <n v="8471305"/>
    <x v="30"/>
    <n v="495113"/>
    <x v="61"/>
    <n v="847001"/>
    <s v="KUST - General"/>
    <x v="2"/>
    <x v="2"/>
    <n v="0"/>
    <n v="0"/>
    <n v="0"/>
    <n v="0"/>
    <n v="0"/>
    <n v="0"/>
    <n v="0"/>
    <n v="0"/>
    <n v="250000"/>
    <n v="225000"/>
    <n v="0"/>
    <n v="175000"/>
    <n v="0"/>
    <n v="0"/>
  </r>
  <r>
    <x v="5"/>
    <s v="847.8471010.1.425100.000000.847001.200179"/>
    <n v="8471010"/>
    <x v="31"/>
    <n v="425100"/>
    <x v="2"/>
    <n v="847001"/>
    <s v="KUST - General"/>
    <x v="1"/>
    <x v="1"/>
    <n v="0"/>
    <n v="0"/>
    <n v="86900"/>
    <n v="107500"/>
    <n v="107500"/>
    <n v="0"/>
    <n v="0"/>
    <n v="0"/>
    <n v="120000"/>
    <n v="108000"/>
    <n v="96000"/>
    <n v="84000"/>
    <n v="130000"/>
    <n v="140000"/>
  </r>
  <r>
    <x v="5"/>
    <s v="847.8471010.1.425510.000000.847001.200179"/>
    <n v="8471010"/>
    <x v="31"/>
    <n v="425510"/>
    <x v="3"/>
    <n v="847001"/>
    <s v="KUST - General"/>
    <x v="1"/>
    <x v="1"/>
    <n v="0"/>
    <n v="0"/>
    <n v="0"/>
    <n v="100000"/>
    <n v="100000"/>
    <n v="0"/>
    <n v="0"/>
    <n v="0"/>
    <n v="100000"/>
    <n v="90000"/>
    <n v="80000"/>
    <n v="70000"/>
    <n v="100000"/>
    <n v="100000"/>
  </r>
  <r>
    <x v="5"/>
    <s v="847.8471010.1.425720.000000.847001.200179"/>
    <n v="8471010"/>
    <x v="31"/>
    <n v="425720"/>
    <x v="23"/>
    <n v="847001"/>
    <s v="KUST - General"/>
    <x v="1"/>
    <x v="1"/>
    <n v="0"/>
    <n v="0"/>
    <n v="23528"/>
    <n v="76120"/>
    <n v="76120"/>
    <n v="20760"/>
    <n v="0"/>
    <n v="0"/>
    <n v="76120"/>
    <n v="68508"/>
    <n v="60896"/>
    <n v="53284"/>
    <n v="145320"/>
    <n v="166080"/>
  </r>
  <r>
    <x v="5"/>
    <s v="847.8471010.1.425900.000000.847001.200179"/>
    <n v="8471010"/>
    <x v="31"/>
    <n v="425900"/>
    <x v="11"/>
    <n v="847001"/>
    <s v="KUST - General"/>
    <x v="1"/>
    <x v="1"/>
    <n v="0"/>
    <n v="0"/>
    <n v="26586"/>
    <n v="162500"/>
    <n v="162500"/>
    <n v="0"/>
    <n v="0"/>
    <n v="0"/>
    <n v="88400"/>
    <n v="79560"/>
    <n v="70720"/>
    <n v="61880"/>
    <n v="97500"/>
    <n v="105000"/>
  </r>
  <r>
    <x v="5"/>
    <s v="847.8471010.1.436110.000000.847001.200179"/>
    <n v="8471010"/>
    <x v="31"/>
    <n v="436110"/>
    <x v="15"/>
    <n v="847001"/>
    <s v="KUST - General"/>
    <x v="1"/>
    <x v="1"/>
    <n v="0"/>
    <n v="0"/>
    <n v="0"/>
    <n v="50625"/>
    <n v="50625"/>
    <n v="0"/>
    <n v="0"/>
    <n v="0"/>
    <n v="20000"/>
    <n v="18000"/>
    <n v="16000"/>
    <n v="14000"/>
    <n v="32000"/>
    <n v="32000"/>
  </r>
  <r>
    <x v="5"/>
    <s v="847.8471010.1.436120.000000.847001.200179"/>
    <n v="8471010"/>
    <x v="31"/>
    <n v="436120"/>
    <x v="21"/>
    <n v="847001"/>
    <s v="KUST - General"/>
    <x v="1"/>
    <x v="1"/>
    <n v="0"/>
    <n v="0"/>
    <n v="0"/>
    <n v="5625"/>
    <n v="5625"/>
    <n v="0"/>
    <n v="0"/>
    <n v="0"/>
    <n v="6000"/>
    <n v="5400"/>
    <n v="4800"/>
    <n v="4200"/>
    <n v="6000"/>
    <n v="6000"/>
  </r>
  <r>
    <x v="6"/>
    <s v="847.8470130.1.421000.000000.847001.200179"/>
    <n v="8470130"/>
    <x v="32"/>
    <n v="421000"/>
    <x v="55"/>
    <n v="847001"/>
    <s v="KUST - General"/>
    <x v="1"/>
    <x v="1"/>
    <n v="0"/>
    <n v="28466"/>
    <n v="690716"/>
    <n v="604900"/>
    <n v="604900"/>
    <n v="0"/>
    <n v="0"/>
    <n v="0"/>
    <n v="540000"/>
    <n v="486000"/>
    <n v="432000"/>
    <n v="378000"/>
    <n v="540000"/>
    <n v="540000"/>
  </r>
  <r>
    <x v="6"/>
    <s v="847.8470130.1.426610.000000.847001.200179"/>
    <n v="8470130"/>
    <x v="32"/>
    <n v="426610"/>
    <x v="12"/>
    <n v="847001"/>
    <s v="KUST - General"/>
    <x v="1"/>
    <x v="1"/>
    <n v="0"/>
    <n v="0"/>
    <n v="0"/>
    <n v="735000"/>
    <n v="735000"/>
    <n v="0"/>
    <n v="0"/>
    <n v="0"/>
    <n v="180000"/>
    <n v="162000"/>
    <n v="144000"/>
    <n v="126000"/>
    <n v="180000"/>
    <n v="180000"/>
  </r>
  <r>
    <x v="6"/>
    <s v="847.8470130.1.428090.000000.847001.200179"/>
    <n v="8470130"/>
    <x v="32"/>
    <n v="428090"/>
    <x v="13"/>
    <n v="847001"/>
    <s v="KUST - General"/>
    <x v="1"/>
    <x v="1"/>
    <n v="0"/>
    <n v="0"/>
    <n v="1100"/>
    <n v="180000"/>
    <n v="180000"/>
    <n v="1650"/>
    <n v="0"/>
    <n v="0"/>
    <n v="551250"/>
    <n v="496125"/>
    <n v="441000"/>
    <n v="385875"/>
    <n v="551250"/>
    <n v="551250"/>
  </r>
  <r>
    <x v="6"/>
    <s v="847.8470140.1.425100.000000.847001.200179"/>
    <n v="8470140"/>
    <x v="33"/>
    <n v="425100"/>
    <x v="2"/>
    <n v="847001"/>
    <s v="KUST - General"/>
    <x v="1"/>
    <x v="1"/>
    <n v="5116144"/>
    <n v="2353627"/>
    <n v="1900038"/>
    <n v="5827464"/>
    <n v="5827464"/>
    <n v="1140555.96"/>
    <n v="3357368"/>
    <n v="234463.48"/>
    <n v="14983000"/>
    <n v="1800000"/>
    <n v="1600000"/>
    <n v="1400000"/>
    <n v="14404666"/>
    <n v="16429640"/>
  </r>
  <r>
    <x v="6"/>
    <s v="847.8470140.1.425510.000000.847001.200179"/>
    <n v="8470140"/>
    <x v="33"/>
    <n v="425510"/>
    <x v="3"/>
    <n v="847001"/>
    <s v="KUST - General"/>
    <x v="1"/>
    <x v="1"/>
    <n v="9740820"/>
    <n v="2727959"/>
    <n v="3922844"/>
    <n v="5025358"/>
    <n v="5025358"/>
    <n v="1818994.97"/>
    <n v="2745800"/>
    <n v="405340"/>
    <n v="6585400"/>
    <n v="180000"/>
    <n v="160000"/>
    <n v="140000"/>
    <n v="8025304"/>
    <n v="8985370"/>
  </r>
  <r>
    <x v="6"/>
    <s v="847.8470140.1.425550.000000.847001.200179"/>
    <n v="8470140"/>
    <x v="33"/>
    <n v="425550"/>
    <x v="4"/>
    <n v="847001"/>
    <s v="KUST - General"/>
    <x v="1"/>
    <x v="1"/>
    <n v="73717"/>
    <n v="0"/>
    <n v="0"/>
    <n v="2955"/>
    <n v="2955"/>
    <n v="2942.71"/>
    <n v="0"/>
    <n v="0"/>
    <n v="2150328"/>
    <n v="1935295"/>
    <n v="1720262"/>
    <n v="1505230"/>
    <n v="3000000"/>
    <n v="3001800"/>
  </r>
  <r>
    <x v="6"/>
    <s v="847.8470140.1.425763.000000.847050.200179"/>
    <n v="8470140"/>
    <x v="33"/>
    <n v="425763"/>
    <x v="41"/>
    <n v="847050"/>
    <s v="KUST - CSR Activities"/>
    <x v="1"/>
    <x v="1"/>
    <n v="0"/>
    <n v="0"/>
    <n v="0"/>
    <n v="400000"/>
    <n v="400000"/>
    <n v="42319.6"/>
    <n v="0"/>
    <n v="45809.52"/>
    <n v="400000"/>
    <n v="360000"/>
    <n v="320000"/>
    <n v="280000"/>
    <n v="0"/>
    <n v="0"/>
  </r>
  <r>
    <x v="6"/>
    <s v="847.8470140.1.427100.000000.847001.200179"/>
    <n v="8470140"/>
    <x v="33"/>
    <n v="427100"/>
    <x v="62"/>
    <n v="847001"/>
    <s v="KUST - General"/>
    <x v="1"/>
    <x v="1"/>
    <n v="1380274"/>
    <n v="129310"/>
    <n v="-820"/>
    <n v="1157850"/>
    <n v="1157850"/>
    <n v="0"/>
    <n v="909458.75"/>
    <n v="0"/>
    <n v="2500000"/>
    <n v="90000"/>
    <n v="80000"/>
    <n v="70000"/>
    <n v="2500000"/>
    <n v="2500000"/>
  </r>
  <r>
    <x v="6"/>
    <s v="847.8470140.1.427200.000000.847001.200179"/>
    <n v="8470140"/>
    <x v="33"/>
    <n v="427200"/>
    <x v="46"/>
    <n v="847001"/>
    <s v="KUST - General"/>
    <x v="1"/>
    <x v="1"/>
    <n v="332619"/>
    <n v="125003"/>
    <n v="-7379"/>
    <n v="750000"/>
    <n v="750000"/>
    <n v="17150.009999999998"/>
    <n v="0"/>
    <n v="0"/>
    <n v="750005"/>
    <n v="121500"/>
    <n v="108000"/>
    <n v="94500"/>
    <n v="750000"/>
    <n v="750000"/>
  </r>
  <r>
    <x v="6"/>
    <s v="847.8470140.1.428640.000000.847001.200179"/>
    <n v="8470140"/>
    <x v="33"/>
    <n v="428640"/>
    <x v="14"/>
    <n v="847001"/>
    <s v="KUST - General"/>
    <x v="1"/>
    <x v="1"/>
    <n v="0"/>
    <n v="0"/>
    <n v="0"/>
    <n v="538000"/>
    <n v="538000"/>
    <n v="4594"/>
    <n v="0"/>
    <n v="177011"/>
    <n v="998000"/>
    <n v="99000"/>
    <n v="88000"/>
    <n v="77000"/>
    <n v="998000"/>
    <n v="920000"/>
  </r>
  <r>
    <x v="6"/>
    <s v="847.8470140.1.435310.000000.847001.200179"/>
    <n v="8470140"/>
    <x v="33"/>
    <n v="435310"/>
    <x v="45"/>
    <n v="847001"/>
    <s v="KUST - General"/>
    <x v="1"/>
    <x v="1"/>
    <n v="17260"/>
    <n v="13568"/>
    <n v="0"/>
    <n v="10000"/>
    <n v="10000"/>
    <n v="0"/>
    <n v="0"/>
    <n v="0"/>
    <n v="10000"/>
    <n v="9000"/>
    <n v="8000"/>
    <n v="7000"/>
    <n v="10000"/>
    <n v="10000"/>
  </r>
  <r>
    <x v="6"/>
    <s v="847.8470140.1.435519.000000.847001.200179"/>
    <n v="8470140"/>
    <x v="33"/>
    <n v="435519"/>
    <x v="63"/>
    <n v="847001"/>
    <s v="KUST - General"/>
    <x v="1"/>
    <x v="1"/>
    <n v="0"/>
    <n v="53870"/>
    <n v="0"/>
    <n v="135000"/>
    <n v="135000"/>
    <n v="43812"/>
    <n v="0"/>
    <n v="0"/>
    <n v="135000"/>
    <n v="121500"/>
    <n v="108000"/>
    <n v="94500"/>
    <n v="135000"/>
    <n v="135000"/>
  </r>
  <r>
    <x v="6"/>
    <s v="847.8470140.1.492310.000000.847001.300180"/>
    <n v="8470140"/>
    <x v="33"/>
    <n v="492310"/>
    <x v="16"/>
    <n v="847001"/>
    <s v="KUST - General"/>
    <x v="2"/>
    <x v="2"/>
    <n v="0"/>
    <n v="0"/>
    <n v="248690"/>
    <n v="137589"/>
    <n v="137589"/>
    <n v="0"/>
    <n v="0"/>
    <n v="0"/>
    <n v="200000"/>
    <n v="180000"/>
    <n v="160000"/>
    <n v="140000"/>
    <n v="200000"/>
    <n v="200000"/>
  </r>
  <r>
    <x v="6"/>
    <s v="847.8470910.1.420570.000000.847001.200179"/>
    <n v="8470910"/>
    <x v="34"/>
    <n v="420570"/>
    <x v="49"/>
    <n v="847001"/>
    <s v="KUST - General"/>
    <x v="1"/>
    <x v="1"/>
    <n v="0"/>
    <n v="0"/>
    <n v="0"/>
    <n v="0"/>
    <n v="0"/>
    <n v="0"/>
    <n v="0"/>
    <n v="0"/>
    <n v="15000000"/>
    <n v="13500000"/>
    <n v="12000000"/>
    <n v="10500000"/>
    <n v="15000000"/>
    <n v="15000000"/>
  </r>
  <r>
    <x v="6"/>
    <s v="847.8470910.1.425900.000000.847001.200179"/>
    <n v="8470910"/>
    <x v="34"/>
    <n v="425900"/>
    <x v="11"/>
    <n v="847001"/>
    <s v="KUST - General"/>
    <x v="1"/>
    <x v="1"/>
    <n v="0"/>
    <n v="0"/>
    <n v="0"/>
    <n v="0"/>
    <n v="0"/>
    <n v="0"/>
    <n v="0"/>
    <n v="0"/>
    <n v="50000"/>
    <n v="45000"/>
    <n v="40000"/>
    <n v="35000"/>
    <n v="50000"/>
    <n v="50000"/>
  </r>
  <r>
    <x v="6"/>
    <s v="847.8470910.1.428090.000000.847001.200179"/>
    <n v="8470910"/>
    <x v="34"/>
    <n v="428090"/>
    <x v="13"/>
    <n v="847001"/>
    <s v="KUST - General"/>
    <x v="1"/>
    <x v="1"/>
    <n v="0"/>
    <n v="0"/>
    <n v="0"/>
    <n v="0"/>
    <n v="0"/>
    <n v="0"/>
    <n v="0"/>
    <n v="0"/>
    <n v="1000000"/>
    <n v="900000"/>
    <n v="800000"/>
    <n v="700000"/>
    <n v="1000000"/>
    <n v="1000000"/>
  </r>
  <r>
    <x v="6"/>
    <s v="847.8470910.1.429900.000000.847001.200179"/>
    <n v="8470910"/>
    <x v="34"/>
    <n v="429900"/>
    <x v="64"/>
    <n v="847001"/>
    <s v="KUST - General"/>
    <x v="1"/>
    <x v="1"/>
    <n v="0"/>
    <n v="0"/>
    <n v="0"/>
    <n v="0"/>
    <n v="0"/>
    <n v="0"/>
    <n v="0"/>
    <n v="0"/>
    <n v="3000000"/>
    <n v="2700000"/>
    <n v="2400000"/>
    <n v="2100000"/>
    <n v="3000000"/>
    <n v="3000000"/>
  </r>
  <r>
    <x v="7"/>
    <s v="847.8470110.1.420550.000000.847001.200179"/>
    <n v="8470110"/>
    <x v="35"/>
    <n v="420550"/>
    <x v="1"/>
    <n v="847001"/>
    <s v="KUST - General"/>
    <x v="1"/>
    <x v="1"/>
    <n v="0"/>
    <n v="29118"/>
    <n v="0"/>
    <n v="30000"/>
    <n v="30000"/>
    <n v="0"/>
    <n v="0"/>
    <n v="0"/>
    <n v="100000"/>
    <n v="90000"/>
    <n v="80000"/>
    <n v="70000"/>
    <n v="100000"/>
    <n v="100000"/>
  </r>
  <r>
    <x v="7"/>
    <s v="847.8470110.1.420570.000000.847001.200179"/>
    <n v="8470110"/>
    <x v="35"/>
    <n v="420570"/>
    <x v="49"/>
    <n v="847001"/>
    <s v="KUST - General"/>
    <x v="1"/>
    <x v="1"/>
    <n v="0"/>
    <n v="0"/>
    <n v="0"/>
    <n v="3684121"/>
    <n v="3684121"/>
    <n v="0"/>
    <n v="0"/>
    <n v="0"/>
    <n v="5000000"/>
    <n v="4500000"/>
    <n v="4000000"/>
    <n v="3500000"/>
    <n v="5000000"/>
    <n v="5000000"/>
  </r>
  <r>
    <x v="7"/>
    <s v="847.8470110.1.421000.000000.847001.200179"/>
    <n v="8470110"/>
    <x v="35"/>
    <n v="421000"/>
    <x v="55"/>
    <n v="847001"/>
    <s v="KUST - General"/>
    <x v="1"/>
    <x v="1"/>
    <n v="204013"/>
    <n v="0"/>
    <n v="0"/>
    <n v="200000"/>
    <n v="200000"/>
    <n v="0"/>
    <n v="0"/>
    <n v="0"/>
    <n v="200000"/>
    <n v="180000"/>
    <n v="160000"/>
    <n v="140000"/>
    <n v="200000"/>
    <n v="200000"/>
  </r>
  <r>
    <x v="7"/>
    <s v="847.8470110.1.425510.000000.847001.200179"/>
    <n v="8470110"/>
    <x v="35"/>
    <n v="425510"/>
    <x v="3"/>
    <n v="847001"/>
    <s v="KUST - General"/>
    <x v="1"/>
    <x v="1"/>
    <n v="10546039"/>
    <n v="277368"/>
    <n v="-188794"/>
    <n v="300000"/>
    <n v="300000"/>
    <n v="0"/>
    <n v="0"/>
    <n v="0"/>
    <n v="300000"/>
    <n v="270000"/>
    <n v="240000"/>
    <n v="210000"/>
    <n v="300000"/>
    <n v="300000"/>
  </r>
  <r>
    <x v="7"/>
    <s v="847.8470110.1.425550.000000.847001.200179"/>
    <n v="8470110"/>
    <x v="35"/>
    <n v="425550"/>
    <x v="4"/>
    <n v="847001"/>
    <s v="KUST - General"/>
    <x v="1"/>
    <x v="1"/>
    <n v="0"/>
    <n v="0"/>
    <n v="0"/>
    <n v="300000"/>
    <n v="300000"/>
    <n v="0"/>
    <n v="0"/>
    <n v="0"/>
    <n v="300000"/>
    <n v="270000"/>
    <n v="240000"/>
    <n v="210000"/>
    <n v="300000"/>
    <n v="300000"/>
  </r>
  <r>
    <x v="7"/>
    <s v="847.8470110.1.425900.000000.847001.200179"/>
    <n v="8470110"/>
    <x v="35"/>
    <n v="425900"/>
    <x v="11"/>
    <n v="847001"/>
    <s v="KUST - General"/>
    <x v="1"/>
    <x v="1"/>
    <n v="146141"/>
    <n v="13356"/>
    <n v="1328"/>
    <n v="10000"/>
    <n v="10000"/>
    <n v="5302.5"/>
    <n v="0"/>
    <n v="0"/>
    <n v="50000"/>
    <n v="45000"/>
    <n v="40000"/>
    <n v="35000"/>
    <n v="50000"/>
    <n v="50000"/>
  </r>
  <r>
    <x v="7"/>
    <s v="847.8470110.1.428090.000000.847001.200179"/>
    <n v="8470110"/>
    <x v="35"/>
    <n v="428090"/>
    <x v="13"/>
    <n v="847001"/>
    <s v="KUST - General"/>
    <x v="1"/>
    <x v="1"/>
    <n v="1236161"/>
    <n v="64375"/>
    <n v="15481"/>
    <n v="1000000"/>
    <n v="1000000"/>
    <n v="31960"/>
    <n v="0"/>
    <n v="0"/>
    <n v="1000000"/>
    <n v="900000"/>
    <n v="800000"/>
    <n v="700000"/>
    <n v="1000000"/>
    <n v="1000000"/>
  </r>
  <r>
    <x v="7"/>
    <s v="847.8470110.1.428400.000000.847001.200179"/>
    <n v="8470110"/>
    <x v="35"/>
    <n v="428400"/>
    <x v="65"/>
    <n v="847001"/>
    <s v="KUST - General"/>
    <x v="1"/>
    <x v="1"/>
    <n v="11807880"/>
    <n v="22708675"/>
    <n v="0"/>
    <n v="50000"/>
    <n v="50000"/>
    <n v="0"/>
    <n v="0"/>
    <n v="0"/>
    <n v="50000"/>
    <n v="45000"/>
    <n v="40000"/>
    <n v="35000"/>
    <n v="50000"/>
    <n v="50000"/>
  </r>
  <r>
    <x v="7"/>
    <s v="847.8470110.1.428640.000000.847001.200179"/>
    <n v="8470110"/>
    <x v="35"/>
    <n v="428640"/>
    <x v="14"/>
    <n v="847001"/>
    <s v="KUST - General"/>
    <x v="1"/>
    <x v="1"/>
    <n v="0"/>
    <n v="0"/>
    <n v="0"/>
    <n v="100000"/>
    <n v="100000"/>
    <n v="0"/>
    <n v="0"/>
    <n v="0"/>
    <n v="50000"/>
    <n v="45000"/>
    <n v="40000"/>
    <n v="35000"/>
    <n v="50000"/>
    <n v="50000"/>
  </r>
  <r>
    <x v="7"/>
    <s v="847.8470120.1.420120.000000.847001.200179"/>
    <n v="8470120"/>
    <x v="36"/>
    <n v="420120"/>
    <x v="66"/>
    <n v="847001"/>
    <s v="KUST - General"/>
    <x v="1"/>
    <x v="1"/>
    <n v="304116"/>
    <n v="-493500"/>
    <n v="383814"/>
    <n v="500000"/>
    <n v="500000"/>
    <n v="0"/>
    <n v="500000"/>
    <n v="0"/>
    <n v="520000"/>
    <n v="378000"/>
    <n v="336000"/>
    <n v="294000"/>
    <n v="514889"/>
    <n v="490000"/>
  </r>
  <r>
    <x v="7"/>
    <s v="847.8470120.1.426610.000000.847001.200179"/>
    <n v="8470120"/>
    <x v="36"/>
    <n v="426610"/>
    <x v="12"/>
    <n v="847001"/>
    <s v="KUST - General"/>
    <x v="1"/>
    <x v="1"/>
    <n v="0"/>
    <n v="0"/>
    <n v="0"/>
    <n v="0"/>
    <n v="0"/>
    <n v="0"/>
    <n v="0"/>
    <n v="0"/>
    <n v="24889"/>
    <n v="22400"/>
    <n v="19911"/>
    <n v="17422"/>
    <n v="0"/>
    <n v="24889"/>
  </r>
  <r>
    <x v="7"/>
    <s v="847.8470121.1.421000.000000.847001.200179"/>
    <n v="8470121"/>
    <x v="37"/>
    <n v="421000"/>
    <x v="55"/>
    <n v="847001"/>
    <s v="KUST - General"/>
    <x v="1"/>
    <x v="1"/>
    <n v="0"/>
    <n v="0"/>
    <n v="0"/>
    <n v="0"/>
    <n v="0"/>
    <n v="0"/>
    <n v="0"/>
    <n v="0"/>
    <n v="150000"/>
    <n v="45000"/>
    <n v="40000"/>
    <n v="35000"/>
    <n v="165000"/>
    <n v="181500"/>
  </r>
  <r>
    <x v="7"/>
    <s v="847.8470121.1.421700.000000.847001.200179"/>
    <n v="8470121"/>
    <x v="37"/>
    <n v="421700"/>
    <x v="40"/>
    <n v="847001"/>
    <s v="KUST - General"/>
    <x v="1"/>
    <x v="1"/>
    <n v="0"/>
    <n v="0"/>
    <n v="0"/>
    <n v="0"/>
    <n v="0"/>
    <n v="0"/>
    <n v="0"/>
    <n v="0"/>
    <n v="150000"/>
    <n v="135000"/>
    <n v="120000"/>
    <n v="105000"/>
    <n v="165000"/>
    <n v="181500"/>
  </r>
  <r>
    <x v="7"/>
    <s v="847.8470121.1.425900.000000.847001.200179"/>
    <n v="8470121"/>
    <x v="37"/>
    <n v="425900"/>
    <x v="11"/>
    <n v="847001"/>
    <s v="KUST - General"/>
    <x v="1"/>
    <x v="1"/>
    <n v="0"/>
    <n v="0"/>
    <n v="0"/>
    <n v="0"/>
    <n v="0"/>
    <n v="0"/>
    <n v="0"/>
    <n v="0"/>
    <n v="15000"/>
    <n v="13500"/>
    <n v="12000"/>
    <n v="10500"/>
    <n v="16500"/>
    <n v="18250"/>
  </r>
  <r>
    <x v="7"/>
    <s v="847.8470121.1.426610.000000.847001.200179"/>
    <n v="8470121"/>
    <x v="37"/>
    <n v="426610"/>
    <x v="12"/>
    <n v="847001"/>
    <s v="KUST - General"/>
    <x v="1"/>
    <x v="1"/>
    <n v="0"/>
    <n v="0"/>
    <n v="0"/>
    <n v="0"/>
    <n v="0"/>
    <n v="0"/>
    <n v="0"/>
    <n v="0"/>
    <n v="150000"/>
    <n v="135000"/>
    <n v="120000"/>
    <n v="105000"/>
    <n v="165000"/>
    <n v="181500"/>
  </r>
  <r>
    <x v="7"/>
    <s v="847.8470150.1.420900.000000.847001.200179"/>
    <n v="8470150"/>
    <x v="38"/>
    <n v="420900"/>
    <x v="67"/>
    <n v="847001"/>
    <s v="KUST - General"/>
    <x v="1"/>
    <x v="1"/>
    <n v="0"/>
    <n v="16996"/>
    <n v="1350"/>
    <n v="21100"/>
    <n v="21100"/>
    <n v="21073.82"/>
    <n v="0"/>
    <n v="0"/>
    <n v="320000"/>
    <n v="18000"/>
    <n v="16000"/>
    <n v="14000"/>
    <n v="320000"/>
    <n v="320000"/>
  </r>
  <r>
    <x v="7"/>
    <s v="847.8470150.1.427710.000000.847001.200179"/>
    <n v="8470150"/>
    <x v="38"/>
    <n v="427710"/>
    <x v="42"/>
    <n v="847001"/>
    <s v="KUST - General"/>
    <x v="1"/>
    <x v="1"/>
    <n v="0"/>
    <n v="0"/>
    <n v="0"/>
    <n v="0"/>
    <n v="0"/>
    <n v="0"/>
    <n v="0"/>
    <n v="0"/>
    <n v="25000"/>
    <n v="22500"/>
    <n v="20000"/>
    <n v="17500"/>
    <n v="25000"/>
    <n v="25000"/>
  </r>
  <r>
    <x v="7"/>
    <s v="847.8470160.1.425550.000000.847001.200179"/>
    <n v="8470160"/>
    <x v="39"/>
    <n v="425550"/>
    <x v="4"/>
    <n v="847001"/>
    <s v="KUST - General"/>
    <x v="1"/>
    <x v="1"/>
    <n v="0"/>
    <n v="0"/>
    <n v="0"/>
    <n v="0"/>
    <n v="0"/>
    <n v="0"/>
    <n v="0"/>
    <n v="0"/>
    <n v="100000"/>
    <n v="90000"/>
    <n v="80000"/>
    <n v="70000"/>
    <n v="100000"/>
    <n v="100000"/>
  </r>
  <r>
    <x v="7"/>
    <s v="847.8470160.1.425900.000000.847001.200179"/>
    <n v="8470160"/>
    <x v="39"/>
    <n v="425900"/>
    <x v="11"/>
    <n v="847001"/>
    <s v="KUST - General"/>
    <x v="1"/>
    <x v="1"/>
    <n v="0"/>
    <n v="0"/>
    <n v="0"/>
    <n v="0"/>
    <n v="0"/>
    <n v="0"/>
    <n v="0"/>
    <n v="0"/>
    <n v="1200000"/>
    <n v="1080000"/>
    <n v="960000"/>
    <n v="840000"/>
    <n v="1800000"/>
    <n v="3000000"/>
  </r>
  <r>
    <x v="7"/>
    <s v="847.8470160.1.428090.000000.847001.200179"/>
    <n v="8470160"/>
    <x v="39"/>
    <n v="428090"/>
    <x v="13"/>
    <n v="847001"/>
    <s v="KUST - General"/>
    <x v="1"/>
    <x v="1"/>
    <n v="0"/>
    <n v="0"/>
    <n v="0"/>
    <n v="0"/>
    <n v="0"/>
    <n v="0"/>
    <n v="0"/>
    <n v="0"/>
    <n v="100000"/>
    <n v="90000"/>
    <n v="80000"/>
    <n v="70000"/>
    <n v="100000"/>
    <n v="100000"/>
  </r>
  <r>
    <x v="7"/>
    <s v="847.8470160.1.428640.000000.847001.200179"/>
    <n v="8470160"/>
    <x v="39"/>
    <n v="428640"/>
    <x v="14"/>
    <n v="847001"/>
    <s v="KUST - General"/>
    <x v="1"/>
    <x v="1"/>
    <n v="0"/>
    <n v="0"/>
    <n v="0"/>
    <n v="0"/>
    <n v="0"/>
    <n v="0"/>
    <n v="0"/>
    <n v="0"/>
    <n v="100000"/>
    <n v="90000"/>
    <n v="80000"/>
    <n v="70000"/>
    <n v="100000"/>
    <n v="100000"/>
  </r>
  <r>
    <x v="8"/>
    <s v="847.8470220.1.420550.000000.847001.200179"/>
    <n v="8470220"/>
    <x v="40"/>
    <n v="420550"/>
    <x v="1"/>
    <n v="847001"/>
    <s v="KUST - General"/>
    <x v="1"/>
    <x v="1"/>
    <n v="0"/>
    <n v="0"/>
    <n v="0"/>
    <n v="60000"/>
    <n v="60000"/>
    <n v="0"/>
    <n v="0"/>
    <n v="0"/>
    <n v="420500"/>
    <n v="378450"/>
    <n v="0"/>
    <n v="294350"/>
    <n v="462550"/>
    <n v="504600"/>
  </r>
  <r>
    <x v="8"/>
    <s v="847.8470220.1.420570.000000.847001.200179"/>
    <n v="8470220"/>
    <x v="40"/>
    <n v="420570"/>
    <x v="49"/>
    <n v="847001"/>
    <s v="KUST - General"/>
    <x v="1"/>
    <x v="1"/>
    <n v="0"/>
    <n v="0"/>
    <n v="0"/>
    <n v="392387"/>
    <n v="392387"/>
    <n v="0"/>
    <n v="0"/>
    <n v="0"/>
    <n v="3000000"/>
    <n v="2700000"/>
    <n v="0"/>
    <n v="2100000"/>
    <n v="3300000"/>
    <n v="3600000"/>
  </r>
  <r>
    <x v="8"/>
    <s v="847.8470220.1.421700.000000.847001.200179"/>
    <n v="8470220"/>
    <x v="40"/>
    <n v="421700"/>
    <x v="40"/>
    <n v="847001"/>
    <s v="KUST - General"/>
    <x v="1"/>
    <x v="1"/>
    <n v="0"/>
    <n v="0"/>
    <n v="0"/>
    <n v="375000"/>
    <n v="375000"/>
    <n v="0"/>
    <n v="0"/>
    <n v="0"/>
    <n v="3450000"/>
    <n v="3105000"/>
    <n v="0"/>
    <n v="2415000"/>
    <n v="150000"/>
    <n v="1"/>
  </r>
  <r>
    <x v="8"/>
    <s v="847.8470220.1.425510.000000.847001.200179"/>
    <n v="8470220"/>
    <x v="40"/>
    <n v="425510"/>
    <x v="3"/>
    <n v="847001"/>
    <s v="KUST - General"/>
    <x v="1"/>
    <x v="1"/>
    <n v="0"/>
    <n v="0"/>
    <n v="0"/>
    <n v="10000"/>
    <n v="10000"/>
    <n v="13750"/>
    <n v="0"/>
    <n v="0"/>
    <n v="100000"/>
    <n v="90000"/>
    <n v="0"/>
    <n v="70000"/>
    <n v="110000"/>
    <n v="120000"/>
  </r>
  <r>
    <x v="8"/>
    <s v="847.8470220.1.425550.000000.847001.200179"/>
    <n v="8470220"/>
    <x v="40"/>
    <n v="425550"/>
    <x v="4"/>
    <n v="847001"/>
    <s v="KUST - General"/>
    <x v="1"/>
    <x v="1"/>
    <n v="0"/>
    <n v="0"/>
    <n v="0"/>
    <n v="25000"/>
    <n v="25000"/>
    <n v="0"/>
    <n v="0"/>
    <n v="0"/>
    <n v="100000"/>
    <n v="90000"/>
    <n v="0"/>
    <n v="70000"/>
    <n v="110000"/>
    <n v="120000"/>
  </r>
  <r>
    <x v="8"/>
    <s v="847.8470220.1.425740.000000.847001.200179"/>
    <n v="8470220"/>
    <x v="40"/>
    <n v="425740"/>
    <x v="68"/>
    <n v="847001"/>
    <s v="KUST - General"/>
    <x v="1"/>
    <x v="1"/>
    <n v="0"/>
    <n v="0"/>
    <n v="0"/>
    <n v="694710"/>
    <n v="694710"/>
    <n v="0"/>
    <n v="0"/>
    <n v="0"/>
    <n v="3600012"/>
    <n v="3240011"/>
    <n v="0"/>
    <n v="2520008"/>
    <n v="3965260"/>
    <n v="4320030"/>
  </r>
  <r>
    <x v="8"/>
    <s v="847.8470220.1.425900.000000.847001.200179"/>
    <n v="8470220"/>
    <x v="40"/>
    <n v="425900"/>
    <x v="11"/>
    <n v="847001"/>
    <s v="KUST - General"/>
    <x v="1"/>
    <x v="1"/>
    <n v="0"/>
    <n v="0"/>
    <n v="0"/>
    <n v="12000"/>
    <n v="12000"/>
    <n v="5835"/>
    <n v="0"/>
    <n v="0"/>
    <n v="128004"/>
    <n v="115204"/>
    <n v="0"/>
    <n v="89603"/>
    <n v="140820"/>
    <n v="153612"/>
  </r>
  <r>
    <x v="8"/>
    <s v="847.8470220.1.426610.000000.847001.200179"/>
    <n v="8470220"/>
    <x v="40"/>
    <n v="426610"/>
    <x v="12"/>
    <n v="847001"/>
    <s v="KUST - General"/>
    <x v="1"/>
    <x v="1"/>
    <n v="0"/>
    <n v="0"/>
    <n v="0"/>
    <n v="50000"/>
    <n v="50000"/>
    <n v="0"/>
    <n v="0"/>
    <n v="0"/>
    <n v="45000"/>
    <n v="40500"/>
    <n v="0"/>
    <n v="31500"/>
    <n v="50000"/>
    <n v="55000"/>
  </r>
  <r>
    <x v="8"/>
    <s v="847.8470220.1.428090.000000.847001.200179"/>
    <n v="8470220"/>
    <x v="40"/>
    <n v="428090"/>
    <x v="13"/>
    <n v="847001"/>
    <s v="KUST - General"/>
    <x v="1"/>
    <x v="1"/>
    <n v="0"/>
    <n v="0"/>
    <n v="0"/>
    <n v="165500"/>
    <n v="165500"/>
    <n v="19500"/>
    <n v="0"/>
    <n v="0"/>
    <n v="320000"/>
    <n v="288000"/>
    <n v="0"/>
    <n v="224000"/>
    <n v="396000"/>
    <n v="384000"/>
  </r>
  <r>
    <x v="8"/>
    <s v="847.8470220.1.428640.000000.847001.200179"/>
    <n v="8470220"/>
    <x v="40"/>
    <n v="428640"/>
    <x v="14"/>
    <n v="847001"/>
    <s v="KUST - General"/>
    <x v="1"/>
    <x v="1"/>
    <n v="0"/>
    <n v="0"/>
    <n v="0"/>
    <n v="20000"/>
    <n v="20000"/>
    <n v="6320"/>
    <n v="0"/>
    <n v="0"/>
    <n v="2000000"/>
    <n v="1800000"/>
    <n v="0"/>
    <n v="1400000"/>
    <n v="2200000"/>
    <n v="2400000"/>
  </r>
  <r>
    <x v="8"/>
    <s v="847.8470220.1.432205.000000.847001.200179"/>
    <n v="8470220"/>
    <x v="40"/>
    <n v="432205"/>
    <x v="59"/>
    <n v="847001"/>
    <s v="KUST - General"/>
    <x v="1"/>
    <x v="1"/>
    <n v="0"/>
    <n v="0"/>
    <n v="0"/>
    <n v="10000"/>
    <n v="10000"/>
    <n v="0"/>
    <n v="0"/>
    <n v="0"/>
    <n v="60000"/>
    <n v="54000"/>
    <n v="0"/>
    <n v="42000"/>
    <n v="66000"/>
    <n v="72000"/>
  </r>
  <r>
    <x v="8"/>
    <s v="847.8470220.1.436120.000000.847001.200179"/>
    <n v="8470220"/>
    <x v="40"/>
    <n v="436120"/>
    <x v="21"/>
    <n v="847001"/>
    <s v="KUST - General"/>
    <x v="1"/>
    <x v="1"/>
    <n v="0"/>
    <n v="0"/>
    <n v="0"/>
    <n v="0"/>
    <n v="0"/>
    <n v="0"/>
    <n v="0"/>
    <n v="0"/>
    <n v="6000"/>
    <n v="5400"/>
    <n v="0"/>
    <n v="4200"/>
    <n v="6600"/>
    <n v="7200"/>
  </r>
  <r>
    <x v="8"/>
    <s v="847.8470220.1.492316.000000.847001.300180"/>
    <n v="8470220"/>
    <x v="40"/>
    <n v="492316"/>
    <x v="39"/>
    <n v="847001"/>
    <s v="KUST - General"/>
    <x v="2"/>
    <x v="2"/>
    <n v="2004424"/>
    <n v="1481224"/>
    <n v="160720"/>
    <n v="0"/>
    <n v="0"/>
    <n v="0"/>
    <n v="0"/>
    <n v="0"/>
    <n v="300000"/>
    <n v="270000"/>
    <n v="0"/>
    <n v="210000"/>
    <n v="330000"/>
    <n v="360000"/>
  </r>
  <r>
    <x v="9"/>
    <s v="847.8471110.1.425900.000000.847001.200179"/>
    <n v="8471110"/>
    <x v="41"/>
    <n v="425900"/>
    <x v="11"/>
    <n v="847001"/>
    <s v="KUST - General"/>
    <x v="1"/>
    <x v="1"/>
    <n v="23071"/>
    <n v="12495"/>
    <n v="0"/>
    <n v="30000"/>
    <n v="30000"/>
    <n v="0"/>
    <n v="0"/>
    <n v="0"/>
    <n v="30000"/>
    <n v="27000"/>
    <n v="0"/>
    <n v="21000"/>
    <n v="30000"/>
    <n v="30000"/>
  </r>
  <r>
    <x v="9"/>
    <s v="847.8471110.1.427710.000000.847001.200179"/>
    <n v="8471110"/>
    <x v="41"/>
    <n v="427710"/>
    <x v="42"/>
    <n v="847001"/>
    <s v="KUST - General"/>
    <x v="1"/>
    <x v="1"/>
    <n v="9642"/>
    <n v="52891"/>
    <n v="0"/>
    <n v="428951"/>
    <n v="428951"/>
    <n v="3526.08"/>
    <n v="332272.18"/>
    <n v="16161.2"/>
    <n v="448835"/>
    <n v="403952"/>
    <n v="0"/>
    <n v="314185"/>
    <n v="481840"/>
    <n v="389707"/>
  </r>
  <r>
    <x v="9"/>
    <s v="847.8471110.1.428090.000000.847001.200179"/>
    <n v="8471110"/>
    <x v="41"/>
    <n v="428090"/>
    <x v="13"/>
    <n v="847001"/>
    <s v="KUST - General"/>
    <x v="1"/>
    <x v="1"/>
    <n v="90100"/>
    <n v="30379"/>
    <n v="0"/>
    <n v="100000"/>
    <n v="100000"/>
    <n v="0"/>
    <n v="0"/>
    <n v="0"/>
    <n v="150000"/>
    <n v="135000"/>
    <n v="0"/>
    <n v="105000"/>
    <n v="150000"/>
    <n v="150000"/>
  </r>
  <r>
    <x v="9"/>
    <s v="847.8471130.1.420811.000000.847001.200179"/>
    <n v="8471130"/>
    <x v="42"/>
    <n v="420811"/>
    <x v="54"/>
    <n v="847001"/>
    <s v="KUST - General"/>
    <x v="1"/>
    <x v="1"/>
    <n v="0"/>
    <n v="0"/>
    <n v="0"/>
    <n v="300000"/>
    <n v="300000"/>
    <n v="0"/>
    <n v="276944.2"/>
    <n v="0"/>
    <n v="170004"/>
    <n v="153004"/>
    <n v="0"/>
    <n v="119003"/>
    <n v="180000"/>
    <n v="180000"/>
  </r>
  <r>
    <x v="9"/>
    <s v="847.8471130.1.426610.000000.847001.200179"/>
    <n v="8471130"/>
    <x v="42"/>
    <n v="426610"/>
    <x v="12"/>
    <n v="847001"/>
    <s v="KUST - General"/>
    <x v="1"/>
    <x v="1"/>
    <n v="15099"/>
    <n v="-2890"/>
    <n v="214871"/>
    <n v="171900"/>
    <n v="171900"/>
    <n v="171712.75"/>
    <n v="0"/>
    <n v="0"/>
    <n v="187323"/>
    <n v="168591"/>
    <n v="0"/>
    <n v="131126"/>
    <n v="120000"/>
    <n v="120000"/>
  </r>
  <r>
    <x v="9"/>
    <s v="847.8471130.1.427900.000000.847001.200179"/>
    <n v="8471130"/>
    <x v="42"/>
    <n v="427900"/>
    <x v="69"/>
    <n v="847001"/>
    <s v="KUST - General"/>
    <x v="1"/>
    <x v="1"/>
    <n v="0"/>
    <n v="0"/>
    <n v="0"/>
    <n v="5000"/>
    <n v="5000"/>
    <n v="0"/>
    <n v="0"/>
    <n v="0"/>
    <n v="5000"/>
    <n v="4500"/>
    <n v="0"/>
    <n v="3500"/>
    <n v="187500"/>
    <n v="187500"/>
  </r>
  <r>
    <x v="9"/>
    <s v="847.8471130.1.428090.000000.847001.200179"/>
    <n v="8471130"/>
    <x v="42"/>
    <n v="428090"/>
    <x v="13"/>
    <n v="847001"/>
    <s v="KUST - General"/>
    <x v="1"/>
    <x v="1"/>
    <n v="350"/>
    <n v="14448"/>
    <n v="0"/>
    <n v="70000"/>
    <n v="70000"/>
    <n v="0"/>
    <n v="0"/>
    <n v="0"/>
    <n v="120000"/>
    <n v="108000"/>
    <n v="0"/>
    <n v="84000"/>
    <n v="5000"/>
    <n v="5000"/>
  </r>
  <r>
    <x v="9"/>
    <s v="847.8471130.1.435523.000000.847001.200179"/>
    <n v="8471130"/>
    <x v="42"/>
    <n v="435523"/>
    <x v="70"/>
    <n v="847001"/>
    <s v="KUST - General"/>
    <x v="1"/>
    <x v="1"/>
    <n v="64438059"/>
    <n v="93594271"/>
    <n v="198468"/>
    <n v="205962"/>
    <n v="205962"/>
    <n v="115469.15"/>
    <n v="0"/>
    <n v="29590.09"/>
    <n v="200000"/>
    <n v="180000"/>
    <n v="0"/>
    <n v="140000"/>
    <n v="200000"/>
    <n v="200000"/>
  </r>
  <r>
    <x v="9"/>
    <s v="847.8471140.1.420570.000000.847001.200179"/>
    <n v="8471140"/>
    <x v="43"/>
    <n v="420570"/>
    <x v="49"/>
    <n v="847001"/>
    <s v="KUST - General"/>
    <x v="1"/>
    <x v="1"/>
    <n v="0"/>
    <n v="0"/>
    <n v="11867278"/>
    <n v="231840"/>
    <n v="231840"/>
    <n v="64153.81"/>
    <n v="0"/>
    <n v="0"/>
    <n v="305025"/>
    <n v="274523"/>
    <n v="0"/>
    <n v="213518"/>
    <n v="231525"/>
    <n v="231525"/>
  </r>
  <r>
    <x v="9"/>
    <s v="847.8471140.1.428090.000000.847001.200179"/>
    <n v="8471140"/>
    <x v="43"/>
    <n v="428090"/>
    <x v="13"/>
    <n v="847001"/>
    <s v="KUST - General"/>
    <x v="1"/>
    <x v="1"/>
    <n v="54648"/>
    <n v="0"/>
    <n v="0"/>
    <n v="80000"/>
    <n v="80000"/>
    <n v="2605.5"/>
    <n v="0"/>
    <n v="0"/>
    <n v="100000"/>
    <n v="90000"/>
    <n v="0"/>
    <n v="70000"/>
    <n v="120000"/>
    <n v="120000"/>
  </r>
  <r>
    <x v="9"/>
    <s v="847.8471140.1.435523.000000.847001.200179"/>
    <n v="8471140"/>
    <x v="43"/>
    <n v="435523"/>
    <x v="70"/>
    <n v="847001"/>
    <s v="KUST - General"/>
    <x v="1"/>
    <x v="1"/>
    <n v="0"/>
    <n v="0"/>
    <n v="83770903"/>
    <n v="99885358"/>
    <n v="99885358"/>
    <n v="35469465.460000001"/>
    <n v="980501.29"/>
    <n v="3956547.04"/>
    <n v="113448860"/>
    <n v="73543318"/>
    <n v="0"/>
    <n v="57200358"/>
    <n v="131130084"/>
    <n v="148199258"/>
  </r>
  <r>
    <x v="9"/>
    <s v="847.8471150.1.420900.000000.847001.200179"/>
    <n v="8471150"/>
    <x v="44"/>
    <n v="420900"/>
    <x v="67"/>
    <n v="847001"/>
    <s v="KUST - General"/>
    <x v="1"/>
    <x v="1"/>
    <n v="2436634"/>
    <n v="2676268"/>
    <n v="2639907"/>
    <n v="3332844"/>
    <n v="3332844"/>
    <n v="1809835.12"/>
    <n v="568570.87"/>
    <n v="99038.92"/>
    <n v="4978500"/>
    <n v="4480650"/>
    <n v="0"/>
    <n v="3484950"/>
    <n v="5725275"/>
    <n v="6303000"/>
  </r>
  <r>
    <x v="9"/>
    <s v="847.8471150.1.425510.000000.847001.200179"/>
    <n v="8471150"/>
    <x v="44"/>
    <n v="425510"/>
    <x v="3"/>
    <n v="847001"/>
    <s v="KUST - General"/>
    <x v="1"/>
    <x v="1"/>
    <n v="0"/>
    <n v="0"/>
    <n v="10138"/>
    <n v="100002"/>
    <n v="100002"/>
    <n v="0"/>
    <n v="0"/>
    <n v="0"/>
    <n v="72000"/>
    <n v="64800"/>
    <n v="0"/>
    <n v="50400"/>
    <n v="70000"/>
    <n v="70000"/>
  </r>
  <r>
    <x v="9"/>
    <s v="847.8471150.1.425550.000000.847001.200179"/>
    <n v="8471150"/>
    <x v="44"/>
    <n v="425550"/>
    <x v="4"/>
    <n v="847001"/>
    <s v="KUST - General"/>
    <x v="1"/>
    <x v="1"/>
    <n v="0"/>
    <n v="0"/>
    <n v="0"/>
    <n v="100002"/>
    <n v="100002"/>
    <n v="11745"/>
    <n v="0"/>
    <n v="0"/>
    <n v="100002"/>
    <n v="90002"/>
    <n v="0"/>
    <n v="70001"/>
    <n v="102000"/>
    <n v="150000"/>
  </r>
  <r>
    <x v="9"/>
    <s v="847.8471150.1.426610.000000.847001.200179"/>
    <n v="8471150"/>
    <x v="44"/>
    <n v="426610"/>
    <x v="12"/>
    <n v="847001"/>
    <s v="KUST - General"/>
    <x v="1"/>
    <x v="1"/>
    <n v="135012"/>
    <n v="26784"/>
    <n v="76379"/>
    <n v="120000"/>
    <n v="120000"/>
    <n v="0"/>
    <n v="0"/>
    <n v="0"/>
    <n v="165000"/>
    <n v="148500"/>
    <n v="0"/>
    <n v="115500"/>
    <n v="304000"/>
    <n v="200000"/>
  </r>
  <r>
    <x v="9"/>
    <s v="847.8471150.1.428090.000000.847001.200179"/>
    <n v="8471150"/>
    <x v="44"/>
    <n v="428090"/>
    <x v="13"/>
    <n v="847001"/>
    <s v="KUST - General"/>
    <x v="1"/>
    <x v="1"/>
    <n v="41709"/>
    <n v="0"/>
    <n v="0"/>
    <n v="50001"/>
    <n v="50001"/>
    <n v="0"/>
    <n v="0"/>
    <n v="0"/>
    <n v="50400"/>
    <n v="45360"/>
    <n v="0"/>
    <n v="35280"/>
    <n v="150000"/>
    <n v="150000"/>
  </r>
  <r>
    <x v="9"/>
    <s v="847.8471150.1.435310.000000.847001.200179"/>
    <n v="8471150"/>
    <x v="44"/>
    <n v="435310"/>
    <x v="45"/>
    <n v="847001"/>
    <s v="KUST - General"/>
    <x v="1"/>
    <x v="1"/>
    <n v="11001"/>
    <n v="0"/>
    <n v="0"/>
    <n v="0"/>
    <n v="0"/>
    <n v="0"/>
    <n v="0"/>
    <n v="0"/>
    <n v="12000"/>
    <n v="10800"/>
    <n v="0"/>
    <n v="8400"/>
    <n v="15000"/>
    <n v="15000"/>
  </r>
  <r>
    <x v="9"/>
    <s v="847.8471170.1.420811.000000.847001.200179"/>
    <n v="8471170"/>
    <x v="45"/>
    <n v="420811"/>
    <x v="54"/>
    <n v="847001"/>
    <s v="KUST - General"/>
    <x v="1"/>
    <x v="1"/>
    <n v="0"/>
    <n v="0"/>
    <n v="0"/>
    <n v="1709607"/>
    <n v="1709607"/>
    <n v="0"/>
    <n v="0"/>
    <n v="0"/>
    <n v="5437179"/>
    <n v="4443458"/>
    <n v="0"/>
    <n v="3456023"/>
    <n v="5807782"/>
    <n v="5807782"/>
  </r>
  <r>
    <x v="9"/>
    <s v="847.8471170.1.425900.000000.847001.200179"/>
    <n v="8471170"/>
    <x v="45"/>
    <n v="425900"/>
    <x v="11"/>
    <n v="847001"/>
    <s v="KUST - General"/>
    <x v="1"/>
    <x v="1"/>
    <n v="0"/>
    <n v="0"/>
    <n v="0"/>
    <n v="10000"/>
    <n v="10000"/>
    <n v="0"/>
    <n v="0"/>
    <n v="0"/>
    <n v="10000"/>
    <n v="9000"/>
    <n v="0"/>
    <n v="7000"/>
    <n v="10000"/>
    <n v="10000"/>
  </r>
  <r>
    <x v="9"/>
    <s v="847.8471170.1.426610.000000.847001.200179"/>
    <n v="8471170"/>
    <x v="45"/>
    <n v="426610"/>
    <x v="12"/>
    <n v="847001"/>
    <s v="KUST - General"/>
    <x v="1"/>
    <x v="1"/>
    <n v="677191"/>
    <n v="866024"/>
    <n v="1268350"/>
    <n v="2618576"/>
    <n v="2618576"/>
    <n v="82234.149999999994"/>
    <n v="1045883.62"/>
    <n v="507382.75"/>
    <n v="5406326"/>
    <n v="4865693"/>
    <n v="0"/>
    <n v="3784428"/>
    <n v="5406326"/>
    <n v="6541654"/>
  </r>
  <r>
    <x v="9"/>
    <s v="847.8471170.1.428090.000000.847001.200179"/>
    <n v="8471170"/>
    <x v="45"/>
    <n v="428090"/>
    <x v="13"/>
    <n v="847001"/>
    <s v="KUST - General"/>
    <x v="1"/>
    <x v="1"/>
    <n v="2750"/>
    <n v="0"/>
    <n v="0"/>
    <n v="45000"/>
    <n v="45000"/>
    <n v="0"/>
    <n v="0"/>
    <n v="0"/>
    <n v="45000"/>
    <n v="40500"/>
    <n v="0"/>
    <n v="31500"/>
    <n v="45000"/>
    <n v="45000"/>
  </r>
  <r>
    <x v="9"/>
    <s v="847.8471170.1.492316.000000.847001.300180"/>
    <n v="8471170"/>
    <x v="45"/>
    <n v="492316"/>
    <x v="39"/>
    <n v="847001"/>
    <s v="KUST - General"/>
    <x v="2"/>
    <x v="2"/>
    <n v="0"/>
    <n v="5545455"/>
    <n v="6593486"/>
    <n v="3308433"/>
    <n v="3308433"/>
    <n v="0"/>
    <n v="0"/>
    <n v="0"/>
    <n v="22181820"/>
    <n v="19963638"/>
    <n v="0"/>
    <n v="15527274"/>
    <n v="0"/>
    <n v="0"/>
  </r>
  <r>
    <x v="9"/>
    <s v="847.8471170.1.495113.000000.847001.300180"/>
    <n v="8471170"/>
    <x v="45"/>
    <n v="495113"/>
    <x v="61"/>
    <n v="847001"/>
    <s v="KUST - General"/>
    <x v="2"/>
    <x v="2"/>
    <n v="0"/>
    <n v="0"/>
    <n v="0"/>
    <n v="277018"/>
    <n v="277018"/>
    <n v="138508.82999999999"/>
    <n v="0"/>
    <n v="0"/>
    <n v="300000"/>
    <n v="270000"/>
    <n v="0"/>
    <n v="210000"/>
    <n v="0"/>
    <n v="0"/>
  </r>
  <r>
    <x v="10"/>
    <s v="847.8470510.1.425550.000000.847001.200179"/>
    <n v="8470510"/>
    <x v="46"/>
    <n v="425550"/>
    <x v="4"/>
    <n v="847001"/>
    <s v="KUST - General"/>
    <x v="1"/>
    <x v="1"/>
    <n v="0"/>
    <n v="0"/>
    <n v="0"/>
    <n v="0"/>
    <n v="0"/>
    <n v="0"/>
    <n v="0"/>
    <n v="0"/>
    <n v="30000"/>
    <n v="27000"/>
    <n v="24000"/>
    <n v="21000"/>
    <n v="0"/>
    <n v="0"/>
  </r>
  <r>
    <x v="10"/>
    <s v="847.8470510.1.425900.000000.847001.200179"/>
    <n v="8470510"/>
    <x v="46"/>
    <n v="425900"/>
    <x v="11"/>
    <n v="847001"/>
    <s v="KUST - General"/>
    <x v="1"/>
    <x v="1"/>
    <n v="0"/>
    <n v="0"/>
    <n v="0"/>
    <n v="0"/>
    <n v="0"/>
    <n v="0"/>
    <n v="0"/>
    <n v="0"/>
    <n v="40000"/>
    <n v="36000"/>
    <n v="32000"/>
    <n v="28000"/>
    <n v="50000"/>
    <n v="60000"/>
  </r>
  <r>
    <x v="10"/>
    <s v="847.8470510.1.428090.000000.847001.200179"/>
    <n v="8470510"/>
    <x v="46"/>
    <n v="428090"/>
    <x v="13"/>
    <n v="847001"/>
    <s v="KUST - General"/>
    <x v="1"/>
    <x v="1"/>
    <n v="0"/>
    <n v="0"/>
    <n v="0"/>
    <n v="0"/>
    <n v="0"/>
    <n v="0"/>
    <n v="0"/>
    <n v="0"/>
    <n v="100000"/>
    <n v="90000"/>
    <n v="80000"/>
    <n v="70000"/>
    <n v="150000"/>
    <n v="200000"/>
  </r>
  <r>
    <x v="10"/>
    <s v="847.8470520.1.421600.000000.847030.200179"/>
    <n v="8470520"/>
    <x v="47"/>
    <n v="421600"/>
    <x v="27"/>
    <n v="847030"/>
    <s v="KUST- Masdar city campus"/>
    <x v="1"/>
    <x v="1"/>
    <n v="820887"/>
    <n v="1796401"/>
    <n v="74260"/>
    <n v="0"/>
    <n v="0"/>
    <n v="0"/>
    <n v="0"/>
    <n v="0"/>
    <n v="0"/>
    <n v="0"/>
    <n v="0"/>
    <n v="0"/>
    <n v="0"/>
    <n v="0"/>
  </r>
  <r>
    <x v="10"/>
    <s v="847.8470520.1.425510.000000.847001.200179"/>
    <n v="8470520"/>
    <x v="47"/>
    <n v="425510"/>
    <x v="3"/>
    <n v="847001"/>
    <s v="KUST - General"/>
    <x v="1"/>
    <x v="1"/>
    <n v="5450"/>
    <n v="21496"/>
    <n v="11357"/>
    <n v="29519"/>
    <n v="29519"/>
    <n v="3329.25"/>
    <n v="0"/>
    <n v="0"/>
    <n v="29500"/>
    <n v="26550"/>
    <n v="23600"/>
    <n v="20650"/>
    <n v="25000"/>
    <n v="25000"/>
  </r>
  <r>
    <x v="10"/>
    <s v="847.8470520.1.425510.000000.847951.200179"/>
    <n v="8470520"/>
    <x v="47"/>
    <n v="425510"/>
    <x v="3"/>
    <n v="847951"/>
    <s v="COVID-19 Pandemic"/>
    <x v="1"/>
    <x v="1"/>
    <n v="0"/>
    <n v="0"/>
    <n v="4998"/>
    <n v="0"/>
    <n v="0"/>
    <n v="0"/>
    <n v="0"/>
    <n v="0"/>
    <n v="0"/>
    <n v="0"/>
    <n v="0"/>
    <n v="0"/>
    <n v="0"/>
    <n v="0"/>
  </r>
  <r>
    <x v="10"/>
    <s v="847.8470520.1.426100.000000.847001.200179"/>
    <n v="8470520"/>
    <x v="47"/>
    <n v="426100"/>
    <x v="58"/>
    <n v="847001"/>
    <s v="KUST - General"/>
    <x v="1"/>
    <x v="1"/>
    <n v="0"/>
    <n v="0"/>
    <n v="0"/>
    <n v="20000"/>
    <n v="20000"/>
    <n v="0"/>
    <n v="0"/>
    <n v="0"/>
    <n v="20000"/>
    <n v="18000"/>
    <n v="16000"/>
    <n v="14000"/>
    <n v="20000"/>
    <n v="20000"/>
  </r>
  <r>
    <x v="10"/>
    <s v="847.8470520.1.427710.000000.847001.200179"/>
    <n v="8470520"/>
    <x v="47"/>
    <n v="427710"/>
    <x v="42"/>
    <n v="847001"/>
    <s v="KUST - General"/>
    <x v="1"/>
    <x v="1"/>
    <n v="40812"/>
    <n v="42000"/>
    <n v="7654"/>
    <n v="42000"/>
    <n v="42000"/>
    <n v="0"/>
    <n v="0"/>
    <n v="10510"/>
    <n v="20000"/>
    <n v="0"/>
    <n v="0"/>
    <n v="0"/>
    <n v="40000"/>
    <n v="42000"/>
  </r>
  <r>
    <x v="10"/>
    <s v="847.8470520.1.428200.000000.847001.200179"/>
    <n v="8470520"/>
    <x v="47"/>
    <n v="428200"/>
    <x v="71"/>
    <n v="847001"/>
    <s v="KUST - General"/>
    <x v="1"/>
    <x v="1"/>
    <n v="907892"/>
    <n v="509372"/>
    <n v="345735"/>
    <n v="616900"/>
    <n v="616900"/>
    <n v="201859.97"/>
    <n v="87400"/>
    <n v="193337.58"/>
    <n v="690000"/>
    <n v="0"/>
    <n v="0"/>
    <n v="0"/>
    <n v="575000"/>
    <n v="575000"/>
  </r>
  <r>
    <x v="10"/>
    <s v="847.8470520.1.428200.000000.847951.200179"/>
    <n v="8470520"/>
    <x v="47"/>
    <n v="428200"/>
    <x v="71"/>
    <n v="847951"/>
    <s v="COVID-19 Pandemic"/>
    <x v="1"/>
    <x v="1"/>
    <n v="0"/>
    <n v="0"/>
    <n v="276209"/>
    <n v="23100"/>
    <n v="23100"/>
    <n v="0"/>
    <n v="0"/>
    <n v="23100"/>
    <n v="0"/>
    <n v="0"/>
    <n v="0"/>
    <n v="0"/>
    <n v="0"/>
    <n v="0"/>
  </r>
  <r>
    <x v="10"/>
    <s v="847.8470520.1.492316.000000.847001.300180"/>
    <n v="8470520"/>
    <x v="47"/>
    <n v="492316"/>
    <x v="39"/>
    <n v="847001"/>
    <s v="KUST - General"/>
    <x v="2"/>
    <x v="2"/>
    <n v="149907"/>
    <n v="501601"/>
    <n v="0"/>
    <n v="171987"/>
    <n v="171987"/>
    <n v="0"/>
    <n v="171800"/>
    <n v="0"/>
    <n v="0"/>
    <n v="0"/>
    <n v="0"/>
    <n v="0"/>
    <n v="0"/>
    <n v="0"/>
  </r>
  <r>
    <x v="10"/>
    <s v="847.8470530.1.420310.000000.847010.200179"/>
    <n v="8470530"/>
    <x v="48"/>
    <n v="420310"/>
    <x v="26"/>
    <n v="847010"/>
    <s v="KUST - Main Campus"/>
    <x v="1"/>
    <x v="1"/>
    <n v="2351450"/>
    <n v="3622169"/>
    <n v="3935287"/>
    <n v="4056439"/>
    <n v="4056439"/>
    <n v="1134089.6599999999"/>
    <n v="84900"/>
    <n v="2812267.43"/>
    <n v="4056439"/>
    <n v="3650795"/>
    <n v="3245151"/>
    <n v="2839507"/>
    <n v="4056439"/>
    <n v="4056439"/>
  </r>
  <r>
    <x v="10"/>
    <s v="847.8470530.1.420310.000000.847015.200179"/>
    <n v="8470530"/>
    <x v="48"/>
    <n v="420310"/>
    <x v="26"/>
    <n v="847015"/>
    <s v="Student Related Costs"/>
    <x v="1"/>
    <x v="1"/>
    <n v="0"/>
    <n v="0"/>
    <n v="0"/>
    <n v="747242"/>
    <n v="747242"/>
    <n v="0"/>
    <n v="0"/>
    <n v="747242"/>
    <n v="747242"/>
    <n v="672518"/>
    <n v="597794"/>
    <n v="523069"/>
    <n v="747242"/>
    <n v="747242"/>
  </r>
  <r>
    <x v="10"/>
    <s v="847.8470530.1.420310.000000.847020.200179"/>
    <n v="8470530"/>
    <x v="48"/>
    <n v="420310"/>
    <x v="26"/>
    <n v="847020"/>
    <s v="KUST- Sas Al Nakhl Campus"/>
    <x v="1"/>
    <x v="1"/>
    <n v="4122290"/>
    <n v="2915953"/>
    <n v="4940774"/>
    <n v="4364107"/>
    <n v="4364107"/>
    <n v="1666659.12"/>
    <n v="245882"/>
    <n v="2435336.6"/>
    <n v="4118107"/>
    <n v="3706296"/>
    <n v="3294486"/>
    <n v="2882675"/>
    <n v="4118107"/>
    <n v="4118107"/>
  </r>
  <r>
    <x v="10"/>
    <s v="847.8470530.1.421000.000000.847010.200179"/>
    <n v="8470530"/>
    <x v="48"/>
    <n v="421000"/>
    <x v="55"/>
    <n v="847010"/>
    <s v="KUST - Main Campus"/>
    <x v="1"/>
    <x v="1"/>
    <n v="0"/>
    <n v="0"/>
    <n v="0"/>
    <n v="850000"/>
    <n v="850000"/>
    <n v="0"/>
    <n v="0"/>
    <n v="850000"/>
    <n v="7000000"/>
    <n v="4500000"/>
    <n v="4000000"/>
    <n v="3500000"/>
    <n v="0"/>
    <n v="0"/>
  </r>
  <r>
    <x v="10"/>
    <s v="847.8470530.1.421000.000000.847020.200179"/>
    <n v="8470530"/>
    <x v="48"/>
    <n v="421000"/>
    <x v="55"/>
    <n v="847020"/>
    <s v="KUST- Sas Al Nakhl Campus"/>
    <x v="1"/>
    <x v="1"/>
    <n v="0"/>
    <n v="0"/>
    <n v="0"/>
    <n v="0"/>
    <n v="0"/>
    <n v="0"/>
    <n v="0"/>
    <n v="0"/>
    <n v="0"/>
    <n v="0"/>
    <n v="0"/>
    <n v="0"/>
    <n v="0"/>
    <n v="0"/>
  </r>
  <r>
    <x v="10"/>
    <s v="847.8470530.1.421600.000000.847010.200179"/>
    <n v="8470530"/>
    <x v="48"/>
    <n v="421600"/>
    <x v="27"/>
    <n v="847010"/>
    <s v="KUST - Main Campus"/>
    <x v="1"/>
    <x v="1"/>
    <n v="0"/>
    <n v="2677274"/>
    <n v="3976041"/>
    <n v="3948261"/>
    <n v="3948261"/>
    <n v="1289661.42"/>
    <n v="2478000"/>
    <n v="0"/>
    <n v="3986400"/>
    <n v="3587760"/>
    <n v="3189120"/>
    <n v="2790480"/>
    <n v="4185720"/>
    <n v="4395006"/>
  </r>
  <r>
    <x v="10"/>
    <s v="847.8470530.1.421600.000000.847015.200179"/>
    <n v="8470530"/>
    <x v="48"/>
    <n v="421600"/>
    <x v="27"/>
    <n v="847015"/>
    <s v="Student Related Costs"/>
    <x v="1"/>
    <x v="1"/>
    <n v="0"/>
    <n v="0"/>
    <n v="1516766"/>
    <n v="2543480"/>
    <n v="2543480"/>
    <n v="795109.05"/>
    <n v="1634640"/>
    <n v="23269.48"/>
    <n v="2451960"/>
    <n v="2206764"/>
    <n v="1961568"/>
    <n v="1716372"/>
    <n v="2574558"/>
    <n v="2703285"/>
  </r>
  <r>
    <x v="10"/>
    <s v="847.8470530.1.421600.000000.847020.200179"/>
    <n v="8470530"/>
    <x v="48"/>
    <n v="421600"/>
    <x v="27"/>
    <n v="847020"/>
    <s v="KUST- Sas Al Nakhl Campus"/>
    <x v="1"/>
    <x v="1"/>
    <n v="28220"/>
    <n v="3533661"/>
    <n v="3499527"/>
    <n v="2155720"/>
    <n v="2155720"/>
    <n v="470781.74"/>
    <n v="1385720"/>
    <n v="161217.89000000001"/>
    <n v="2078580"/>
    <n v="1870722"/>
    <n v="1662864"/>
    <n v="1455006"/>
    <n v="2182509"/>
    <n v="2291635"/>
  </r>
  <r>
    <x v="10"/>
    <s v="847.8470530.1.421600.000000.847030.200179"/>
    <n v="8470530"/>
    <x v="48"/>
    <n v="421600"/>
    <x v="27"/>
    <n v="847030"/>
    <s v="KUST- Masdar city campus"/>
    <x v="1"/>
    <x v="1"/>
    <n v="424285"/>
    <n v="76207"/>
    <n v="843396"/>
    <n v="635219"/>
    <n v="635219"/>
    <n v="413460.88"/>
    <n v="0"/>
    <n v="0"/>
    <n v="398190"/>
    <n v="358371"/>
    <n v="318552"/>
    <n v="278733"/>
    <n v="418095"/>
    <n v="439000"/>
  </r>
  <r>
    <x v="10"/>
    <s v="847.8470530.1.421700.000000.847010.200179"/>
    <n v="8470530"/>
    <x v="48"/>
    <n v="421700"/>
    <x v="40"/>
    <n v="847010"/>
    <s v="KUST - Main Campus"/>
    <x v="1"/>
    <x v="1"/>
    <n v="0"/>
    <n v="0"/>
    <n v="0"/>
    <n v="263000"/>
    <n v="263000"/>
    <n v="0"/>
    <n v="0"/>
    <n v="231000"/>
    <n v="250000"/>
    <n v="225000"/>
    <n v="200000"/>
    <n v="175000"/>
    <n v="0"/>
    <n v="0"/>
  </r>
  <r>
    <x v="10"/>
    <s v="847.8470530.1.425510.000000.847010.200179"/>
    <n v="8470530"/>
    <x v="48"/>
    <n v="425510"/>
    <x v="3"/>
    <n v="847010"/>
    <s v="KUST - Main Campus"/>
    <x v="1"/>
    <x v="1"/>
    <n v="46198"/>
    <n v="78"/>
    <n v="0"/>
    <n v="20000"/>
    <n v="20000"/>
    <n v="0"/>
    <n v="0"/>
    <n v="0"/>
    <n v="50000"/>
    <n v="45000"/>
    <n v="40000"/>
    <n v="35000"/>
    <n v="60000"/>
    <n v="70000"/>
  </r>
  <r>
    <x v="10"/>
    <s v="847.8470530.1.425747.000000.847015.200179"/>
    <n v="8470530"/>
    <x v="48"/>
    <n v="425747"/>
    <x v="72"/>
    <n v="847015"/>
    <s v="Student Related Costs"/>
    <x v="1"/>
    <x v="1"/>
    <n v="0"/>
    <n v="0"/>
    <n v="18625059"/>
    <n v="0"/>
    <n v="0"/>
    <n v="0"/>
    <n v="0"/>
    <n v="0"/>
    <n v="0"/>
    <n v="0"/>
    <n v="0"/>
    <n v="0"/>
    <n v="0"/>
    <n v="0"/>
  </r>
  <r>
    <x v="10"/>
    <s v="847.8470530.1.425900.000000.847010.200179"/>
    <n v="8470530"/>
    <x v="48"/>
    <n v="425900"/>
    <x v="11"/>
    <n v="847010"/>
    <s v="KUST - Main Campus"/>
    <x v="1"/>
    <x v="1"/>
    <n v="2975"/>
    <n v="0"/>
    <n v="0"/>
    <n v="30000"/>
    <n v="30000"/>
    <n v="0"/>
    <n v="0"/>
    <n v="0"/>
    <n v="40000"/>
    <n v="36000"/>
    <n v="32000"/>
    <n v="28000"/>
    <n v="50000"/>
    <n v="60000"/>
  </r>
  <r>
    <x v="10"/>
    <s v="847.8470530.1.426210.000000.847001.200179"/>
    <n v="8470530"/>
    <x v="48"/>
    <n v="426210"/>
    <x v="73"/>
    <n v="847001"/>
    <s v="KUST - General"/>
    <x v="1"/>
    <x v="1"/>
    <n v="0"/>
    <n v="0"/>
    <n v="0"/>
    <n v="0"/>
    <n v="0"/>
    <n v="0"/>
    <n v="0"/>
    <n v="0"/>
    <n v="0"/>
    <n v="0"/>
    <n v="0"/>
    <n v="0"/>
    <n v="0"/>
    <n v="0"/>
  </r>
  <r>
    <x v="10"/>
    <s v="847.8470530.1.426220.000000.847010.200179"/>
    <n v="8470530"/>
    <x v="48"/>
    <n v="426220"/>
    <x v="31"/>
    <n v="847010"/>
    <s v="KUST - Main Campus"/>
    <x v="1"/>
    <x v="1"/>
    <n v="1189436"/>
    <n v="1013670"/>
    <n v="960437"/>
    <n v="960437"/>
    <n v="960437"/>
    <n v="44981.51"/>
    <n v="0"/>
    <n v="0"/>
    <n v="960437"/>
    <n v="864393"/>
    <n v="768350"/>
    <n v="672306"/>
    <n v="960437"/>
    <n v="960437"/>
  </r>
  <r>
    <x v="10"/>
    <s v="847.8470530.1.426220.000000.847030.200179"/>
    <n v="8470530"/>
    <x v="48"/>
    <n v="426220"/>
    <x v="31"/>
    <n v="847030"/>
    <s v="KUST- Masdar city campus"/>
    <x v="1"/>
    <x v="1"/>
    <n v="1100732"/>
    <n v="344131"/>
    <n v="23714"/>
    <n v="23714"/>
    <n v="23714"/>
    <n v="0"/>
    <n v="0"/>
    <n v="0"/>
    <n v="23714"/>
    <n v="21343"/>
    <n v="18971"/>
    <n v="16600"/>
    <n v="23714"/>
    <n v="23714"/>
  </r>
  <r>
    <x v="10"/>
    <s v="847.8470530.1.426250.000000.847010.200179"/>
    <n v="8470530"/>
    <x v="48"/>
    <n v="426250"/>
    <x v="74"/>
    <n v="847010"/>
    <s v="KUST - Main Campus"/>
    <x v="1"/>
    <x v="1"/>
    <n v="30110"/>
    <n v="17753"/>
    <n v="4651"/>
    <n v="50000"/>
    <n v="50000"/>
    <n v="14718"/>
    <n v="0"/>
    <n v="0"/>
    <n v="0"/>
    <n v="0"/>
    <n v="0"/>
    <n v="0"/>
    <n v="0"/>
    <n v="0"/>
  </r>
  <r>
    <x v="10"/>
    <s v="847.8470530.1.426800.000000.847001.200179"/>
    <n v="8470530"/>
    <x v="48"/>
    <n v="426800"/>
    <x v="75"/>
    <n v="847001"/>
    <s v="KUST - General"/>
    <x v="1"/>
    <x v="1"/>
    <n v="0"/>
    <n v="0"/>
    <n v="0"/>
    <n v="0"/>
    <n v="0"/>
    <n v="0"/>
    <n v="0"/>
    <n v="0"/>
    <n v="0"/>
    <n v="0"/>
    <n v="0"/>
    <n v="0"/>
    <n v="0"/>
    <n v="0"/>
  </r>
  <r>
    <x v="10"/>
    <s v="847.8470530.1.426900.000000.847001.200179"/>
    <n v="8470530"/>
    <x v="48"/>
    <n v="426900"/>
    <x v="19"/>
    <n v="847001"/>
    <s v="KUST - General"/>
    <x v="1"/>
    <x v="1"/>
    <n v="0"/>
    <n v="0"/>
    <n v="0"/>
    <n v="0"/>
    <n v="0"/>
    <n v="0"/>
    <n v="0"/>
    <n v="0"/>
    <n v="0"/>
    <n v="0"/>
    <n v="0"/>
    <n v="0"/>
    <n v="0"/>
    <n v="0"/>
  </r>
  <r>
    <x v="10"/>
    <s v="847.8470530.1.428090.000000.847001.200179"/>
    <n v="8470530"/>
    <x v="48"/>
    <n v="428090"/>
    <x v="13"/>
    <n v="847001"/>
    <s v="KUST - General"/>
    <x v="1"/>
    <x v="1"/>
    <n v="0"/>
    <n v="0"/>
    <n v="0"/>
    <n v="50000"/>
    <n v="50000"/>
    <n v="0"/>
    <n v="0"/>
    <n v="0"/>
    <n v="200000"/>
    <n v="180000"/>
    <n v="160000"/>
    <n v="140000"/>
    <n v="250000"/>
    <n v="300000"/>
  </r>
  <r>
    <x v="10"/>
    <s v="847.8470530.1.428111.000000.847010.200179"/>
    <n v="8470530"/>
    <x v="48"/>
    <n v="428111"/>
    <x v="32"/>
    <n v="847010"/>
    <s v="KUST - Main Campus"/>
    <x v="1"/>
    <x v="1"/>
    <n v="8769943"/>
    <n v="10580049"/>
    <n v="7180436"/>
    <n v="0"/>
    <n v="0"/>
    <n v="0"/>
    <n v="0"/>
    <n v="0"/>
    <n v="0"/>
    <n v="0"/>
    <n v="0"/>
    <n v="0"/>
    <n v="0"/>
    <n v="0"/>
  </r>
  <r>
    <x v="10"/>
    <s v="847.8470530.1.428111.000000.847015.200179"/>
    <n v="8470530"/>
    <x v="48"/>
    <n v="428111"/>
    <x v="32"/>
    <n v="847015"/>
    <s v="Student Related Costs"/>
    <x v="1"/>
    <x v="1"/>
    <n v="0"/>
    <n v="0"/>
    <n v="3253301"/>
    <n v="0"/>
    <n v="0"/>
    <n v="0"/>
    <n v="0"/>
    <n v="0"/>
    <n v="0"/>
    <n v="0"/>
    <n v="0"/>
    <n v="0"/>
    <n v="0"/>
    <n v="0"/>
  </r>
  <r>
    <x v="10"/>
    <s v="847.8470530.1.428111.000000.847020.200179"/>
    <n v="8470530"/>
    <x v="48"/>
    <n v="428111"/>
    <x v="32"/>
    <n v="847020"/>
    <s v="KUST- Sas Al Nakhl Campus"/>
    <x v="1"/>
    <x v="1"/>
    <n v="3993876"/>
    <n v="4217862"/>
    <n v="3847536"/>
    <n v="0"/>
    <n v="0"/>
    <n v="0"/>
    <n v="0"/>
    <n v="0"/>
    <n v="0"/>
    <n v="0"/>
    <n v="0"/>
    <n v="0"/>
    <n v="0"/>
    <n v="0"/>
  </r>
  <r>
    <x v="10"/>
    <s v="847.8470530.1.428111.000000.847030.200179"/>
    <n v="8470530"/>
    <x v="48"/>
    <n v="428111"/>
    <x v="32"/>
    <n v="847030"/>
    <s v="KUST- Masdar city campus"/>
    <x v="1"/>
    <x v="1"/>
    <n v="9983814"/>
    <n v="3121318"/>
    <n v="215086"/>
    <n v="0"/>
    <n v="0"/>
    <n v="0"/>
    <n v="0"/>
    <n v="0"/>
    <n v="0"/>
    <n v="0"/>
    <n v="0"/>
    <n v="0"/>
    <n v="0"/>
    <n v="0"/>
  </r>
  <r>
    <x v="10"/>
    <s v="847.8470530.1.428112.000000.847010.200179"/>
    <n v="8470530"/>
    <x v="48"/>
    <n v="428112"/>
    <x v="33"/>
    <n v="847010"/>
    <s v="KUST - Main Campus"/>
    <x v="1"/>
    <x v="1"/>
    <n v="799000"/>
    <n v="1416630"/>
    <n v="1089518"/>
    <n v="0"/>
    <n v="0"/>
    <n v="0"/>
    <n v="0"/>
    <n v="0"/>
    <n v="0"/>
    <n v="0"/>
    <n v="0"/>
    <n v="0"/>
    <n v="0"/>
    <n v="0"/>
  </r>
  <r>
    <x v="10"/>
    <s v="847.8470530.1.428112.000000.847015.200179"/>
    <n v="8470530"/>
    <x v="48"/>
    <n v="428112"/>
    <x v="33"/>
    <n v="847015"/>
    <s v="Student Related Costs"/>
    <x v="1"/>
    <x v="1"/>
    <n v="0"/>
    <n v="0"/>
    <n v="857986"/>
    <n v="0"/>
    <n v="0"/>
    <n v="0"/>
    <n v="0"/>
    <n v="0"/>
    <n v="0"/>
    <n v="0"/>
    <n v="0"/>
    <n v="0"/>
    <n v="0"/>
    <n v="0"/>
  </r>
  <r>
    <x v="10"/>
    <s v="847.8470530.1.428112.000000.847020.200179"/>
    <n v="8470530"/>
    <x v="48"/>
    <n v="428112"/>
    <x v="33"/>
    <n v="847020"/>
    <s v="KUST- Sas Al Nakhl Campus"/>
    <x v="1"/>
    <x v="1"/>
    <n v="550145"/>
    <n v="2075963"/>
    <n v="1515252"/>
    <n v="0"/>
    <n v="0"/>
    <n v="0"/>
    <n v="0"/>
    <n v="0"/>
    <n v="0"/>
    <n v="0"/>
    <n v="0"/>
    <n v="0"/>
    <n v="0"/>
    <n v="0"/>
  </r>
  <r>
    <x v="10"/>
    <s v="847.8470530.1.429900.000000.847001.200179"/>
    <n v="8470530"/>
    <x v="48"/>
    <n v="429900"/>
    <x v="64"/>
    <n v="847001"/>
    <s v="KUST - General"/>
    <x v="1"/>
    <x v="1"/>
    <n v="0"/>
    <n v="0"/>
    <n v="0"/>
    <n v="0"/>
    <n v="0"/>
    <n v="0"/>
    <n v="0"/>
    <n v="0"/>
    <n v="20000"/>
    <n v="18000"/>
    <n v="16000"/>
    <n v="14000"/>
    <n v="0"/>
    <n v="0"/>
  </r>
  <r>
    <x v="10"/>
    <s v="847.8470530.1.429900.000000.847010.200179"/>
    <n v="8470530"/>
    <x v="48"/>
    <n v="429900"/>
    <x v="64"/>
    <n v="847010"/>
    <s v="KUST - Main Campus"/>
    <x v="1"/>
    <x v="1"/>
    <n v="0"/>
    <n v="13750"/>
    <n v="155101"/>
    <n v="0"/>
    <n v="0"/>
    <n v="0"/>
    <n v="0"/>
    <n v="0"/>
    <n v="220000"/>
    <n v="198000"/>
    <n v="176000"/>
    <n v="154000"/>
    <n v="220000"/>
    <n v="220000"/>
  </r>
  <r>
    <x v="10"/>
    <s v="847.8470530.1.430110.000000.847010.200179"/>
    <n v="8470530"/>
    <x v="48"/>
    <n v="430110"/>
    <x v="76"/>
    <n v="847010"/>
    <s v="KUST - Main Campus"/>
    <x v="1"/>
    <x v="1"/>
    <n v="0"/>
    <n v="0"/>
    <n v="0"/>
    <n v="0"/>
    <n v="0"/>
    <n v="0"/>
    <n v="0"/>
    <n v="0"/>
    <n v="233000"/>
    <n v="209700"/>
    <n v="186400"/>
    <n v="163100"/>
    <n v="233000"/>
    <n v="233000"/>
  </r>
  <r>
    <x v="10"/>
    <s v="847.8470530.1.430120.000000.847020.200179"/>
    <n v="8470530"/>
    <x v="48"/>
    <n v="430120"/>
    <x v="77"/>
    <n v="847020"/>
    <s v="KUST- Sas Al Nakhl Campus"/>
    <x v="1"/>
    <x v="1"/>
    <n v="0"/>
    <n v="0"/>
    <n v="0"/>
    <n v="0"/>
    <n v="0"/>
    <n v="0"/>
    <n v="0"/>
    <n v="0"/>
    <n v="8000000"/>
    <n v="7200000"/>
    <n v="6400000"/>
    <n v="5600000"/>
    <n v="18000000"/>
    <n v="18000000"/>
  </r>
  <r>
    <x v="10"/>
    <s v="847.8470530.1.430120.000000.847030.200179"/>
    <n v="8470530"/>
    <x v="48"/>
    <n v="430120"/>
    <x v="77"/>
    <n v="847030"/>
    <s v="KUST- Masdar city campus"/>
    <x v="1"/>
    <x v="1"/>
    <n v="0"/>
    <n v="0"/>
    <n v="0"/>
    <n v="0"/>
    <n v="0"/>
    <n v="0"/>
    <n v="0"/>
    <n v="0"/>
    <n v="14219870"/>
    <n v="4128300"/>
    <n v="3669600"/>
    <n v="3210900"/>
    <n v="4679199"/>
    <n v="4725991"/>
  </r>
  <r>
    <x v="10"/>
    <s v="847.8470530.1.430330.000000.847001.200179"/>
    <n v="8470530"/>
    <x v="48"/>
    <n v="430330"/>
    <x v="78"/>
    <n v="847001"/>
    <s v="KUST - General"/>
    <x v="1"/>
    <x v="1"/>
    <n v="0"/>
    <n v="0"/>
    <n v="0"/>
    <n v="0"/>
    <n v="0"/>
    <n v="0"/>
    <n v="0"/>
    <n v="0"/>
    <n v="0"/>
    <n v="0"/>
    <n v="0"/>
    <n v="0"/>
    <n v="0"/>
    <n v="0"/>
  </r>
  <r>
    <x v="10"/>
    <s v="847.8470530.1.432120.000000.847010.200179"/>
    <n v="8470530"/>
    <x v="48"/>
    <n v="432120"/>
    <x v="35"/>
    <n v="847010"/>
    <s v="KUST - Main Campus"/>
    <x v="1"/>
    <x v="1"/>
    <n v="7270347"/>
    <n v="9225181"/>
    <n v="424725"/>
    <n v="11446037"/>
    <n v="11446037"/>
    <n v="2703015.05"/>
    <n v="439431"/>
    <n v="8002199.6200000001"/>
    <n v="14652121"/>
    <n v="11769859"/>
    <n v="10462097"/>
    <n v="9154335"/>
    <n v="14331121"/>
    <n v="13921121"/>
  </r>
  <r>
    <x v="10"/>
    <s v="847.8470530.1.432120.000000.847015.200179"/>
    <n v="8470530"/>
    <x v="48"/>
    <n v="432120"/>
    <x v="35"/>
    <n v="847015"/>
    <s v="Student Related Costs"/>
    <x v="1"/>
    <x v="1"/>
    <n v="0"/>
    <n v="0"/>
    <n v="5040562"/>
    <n v="5071140"/>
    <n v="5071140"/>
    <n v="606730.89"/>
    <n v="0"/>
    <n v="4136091.85"/>
    <n v="9036550"/>
    <n v="7594695"/>
    <n v="6750840"/>
    <n v="5906985"/>
    <n v="0"/>
    <n v="0"/>
  </r>
  <r>
    <x v="10"/>
    <s v="847.8470530.1.432120.000000.847020.200179"/>
    <n v="8470530"/>
    <x v="48"/>
    <n v="432120"/>
    <x v="35"/>
    <n v="847020"/>
    <s v="KUST- Sas Al Nakhl Campus"/>
    <x v="1"/>
    <x v="1"/>
    <n v="12319515"/>
    <n v="4446804"/>
    <n v="493436"/>
    <n v="5446416"/>
    <n v="5446416"/>
    <n v="861135.61"/>
    <n v="370000"/>
    <n v="4203272.38"/>
    <n v="8801646"/>
    <n v="6259181"/>
    <n v="5563717"/>
    <n v="4868252"/>
    <n v="17457196"/>
    <n v="16435196"/>
  </r>
  <r>
    <x v="10"/>
    <s v="847.8470530.1.432120.000000.847030.200179"/>
    <n v="8470530"/>
    <x v="48"/>
    <n v="432120"/>
    <x v="35"/>
    <n v="847030"/>
    <s v="KUST- Masdar city campus"/>
    <x v="1"/>
    <x v="1"/>
    <n v="9903918"/>
    <n v="8870349"/>
    <n v="2914112"/>
    <n v="1207678"/>
    <n v="1207678"/>
    <n v="342982.58"/>
    <n v="8000"/>
    <n v="74950"/>
    <n v="1735252"/>
    <n v="540000"/>
    <n v="480000"/>
    <n v="420000"/>
    <n v="1735252"/>
    <n v="1735252"/>
  </r>
  <r>
    <x v="10"/>
    <s v="847.8470530.1.432120.000000.847951.200179"/>
    <n v="8470530"/>
    <x v="48"/>
    <n v="432120"/>
    <x v="35"/>
    <n v="847951"/>
    <s v="COVID-19 Pandemic"/>
    <x v="1"/>
    <x v="1"/>
    <n v="0"/>
    <n v="0"/>
    <n v="8580"/>
    <n v="0"/>
    <n v="0"/>
    <n v="0"/>
    <n v="0"/>
    <n v="0"/>
    <n v="0"/>
    <n v="0"/>
    <n v="0"/>
    <n v="0"/>
    <n v="0"/>
    <n v="0"/>
  </r>
  <r>
    <x v="10"/>
    <s v="847.8470530.1.432170.000000.847010.200179"/>
    <n v="8470530"/>
    <x v="48"/>
    <n v="432170"/>
    <x v="38"/>
    <n v="847010"/>
    <s v="KUST - Main Campus"/>
    <x v="1"/>
    <x v="1"/>
    <n v="170448"/>
    <n v="83624"/>
    <n v="27198"/>
    <n v="30000"/>
    <n v="30000"/>
    <n v="7416"/>
    <n v="0"/>
    <n v="0"/>
    <n v="30000"/>
    <n v="27000"/>
    <n v="24000"/>
    <n v="21000"/>
    <n v="30000"/>
    <n v="30000"/>
  </r>
  <r>
    <x v="10"/>
    <s v="847.8470530.1.432320.000000.847010.200179"/>
    <n v="8470530"/>
    <x v="48"/>
    <n v="432320"/>
    <x v="79"/>
    <n v="847010"/>
    <s v="KUST - Main Campus"/>
    <x v="1"/>
    <x v="1"/>
    <n v="20034"/>
    <n v="19422"/>
    <n v="-1570"/>
    <n v="26000"/>
    <n v="26000"/>
    <n v="5024"/>
    <n v="0"/>
    <n v="0"/>
    <n v="25000"/>
    <n v="22500"/>
    <n v="20000"/>
    <n v="17500"/>
    <n v="25000"/>
    <n v="25000"/>
  </r>
  <r>
    <x v="10"/>
    <s v="847.8470530.1.432320.000000.847020.200179"/>
    <n v="8470530"/>
    <x v="48"/>
    <n v="432320"/>
    <x v="79"/>
    <n v="847020"/>
    <s v="KUST- Sas Al Nakhl Campus"/>
    <x v="1"/>
    <x v="1"/>
    <n v="0"/>
    <n v="0"/>
    <n v="0"/>
    <n v="0"/>
    <n v="0"/>
    <n v="0"/>
    <n v="0"/>
    <n v="0"/>
    <n v="30000"/>
    <n v="27000"/>
    <n v="24000"/>
    <n v="21000"/>
    <n v="0"/>
    <n v="0"/>
  </r>
  <r>
    <x v="10"/>
    <s v="847.8470530.1.432540.000000.847001.200179"/>
    <n v="8470530"/>
    <x v="48"/>
    <n v="432540"/>
    <x v="80"/>
    <n v="847001"/>
    <s v="KUST - General"/>
    <x v="1"/>
    <x v="1"/>
    <n v="0"/>
    <n v="0"/>
    <n v="0"/>
    <n v="0"/>
    <n v="0"/>
    <n v="0"/>
    <n v="0"/>
    <n v="0"/>
    <n v="0"/>
    <n v="0"/>
    <n v="0"/>
    <n v="0"/>
    <n v="0"/>
    <n v="0"/>
  </r>
  <r>
    <x v="10"/>
    <s v="847.8470530.1.436110.000000.847001.200179"/>
    <n v="8470530"/>
    <x v="48"/>
    <n v="436110"/>
    <x v="15"/>
    <n v="847001"/>
    <s v="KUST - General"/>
    <x v="1"/>
    <x v="1"/>
    <n v="0"/>
    <n v="0"/>
    <n v="0"/>
    <n v="0"/>
    <n v="0"/>
    <n v="0"/>
    <n v="0"/>
    <n v="0"/>
    <n v="0"/>
    <n v="0"/>
    <n v="0"/>
    <n v="0"/>
    <n v="0"/>
    <n v="0"/>
  </r>
  <r>
    <x v="10"/>
    <s v="847.8470530.1.436220.000000.847001.200179"/>
    <n v="8470530"/>
    <x v="48"/>
    <n v="436220"/>
    <x v="81"/>
    <n v="847001"/>
    <s v="KUST - General"/>
    <x v="1"/>
    <x v="1"/>
    <n v="0"/>
    <n v="0"/>
    <n v="0"/>
    <n v="0"/>
    <n v="0"/>
    <n v="0"/>
    <n v="0"/>
    <n v="0"/>
    <n v="0"/>
    <n v="0"/>
    <n v="0"/>
    <n v="0"/>
    <n v="0"/>
    <n v="0"/>
  </r>
  <r>
    <x v="10"/>
    <s v="847.8470530.1.492200.000000.847010.300180"/>
    <n v="8470530"/>
    <x v="48"/>
    <n v="492200"/>
    <x v="82"/>
    <n v="847010"/>
    <s v="KUST - Main Campus"/>
    <x v="2"/>
    <x v="2"/>
    <n v="37147646"/>
    <n v="25209027"/>
    <n v="25040688"/>
    <n v="18425319"/>
    <n v="18425319"/>
    <n v="4786548.21"/>
    <n v="5645292.7800000003"/>
    <n v="8872317"/>
    <n v="35300560"/>
    <n v="1800000"/>
    <n v="1600000"/>
    <n v="1400000"/>
    <n v="5000000"/>
    <n v="650000"/>
  </r>
  <r>
    <x v="10"/>
    <s v="847.8470530.1.492200.000000.847015.300180"/>
    <n v="8470530"/>
    <x v="48"/>
    <n v="492200"/>
    <x v="82"/>
    <n v="847015"/>
    <s v="Student Related Costs"/>
    <x v="2"/>
    <x v="2"/>
    <n v="0"/>
    <n v="0"/>
    <n v="1343400"/>
    <n v="0"/>
    <n v="0"/>
    <n v="0"/>
    <n v="0"/>
    <n v="0"/>
    <n v="200000"/>
    <n v="180000"/>
    <n v="160000"/>
    <n v="140000"/>
    <n v="0"/>
    <n v="0"/>
  </r>
  <r>
    <x v="10"/>
    <s v="847.8470530.1.492200.000000.847020.300180"/>
    <n v="8470530"/>
    <x v="48"/>
    <n v="492200"/>
    <x v="82"/>
    <n v="847020"/>
    <s v="KUST- Sas Al Nakhl Campus"/>
    <x v="2"/>
    <x v="2"/>
    <n v="1668930"/>
    <n v="2473827"/>
    <n v="2319769"/>
    <n v="23638949"/>
    <n v="23638949"/>
    <n v="6540434.4000000004"/>
    <n v="7102853"/>
    <n v="7828634.5999999996"/>
    <n v="68152000"/>
    <n v="33120000"/>
    <n v="29440000"/>
    <n v="25760000"/>
    <n v="9790000"/>
    <n v="0"/>
  </r>
  <r>
    <x v="10"/>
    <s v="847.8470530.1.492316.000000.847001.300180"/>
    <n v="8470530"/>
    <x v="48"/>
    <n v="492316"/>
    <x v="39"/>
    <n v="847001"/>
    <s v="KUST - General"/>
    <x v="2"/>
    <x v="2"/>
    <n v="0"/>
    <n v="0"/>
    <n v="0"/>
    <n v="0"/>
    <n v="0"/>
    <n v="0"/>
    <n v="0"/>
    <n v="0"/>
    <n v="0"/>
    <n v="0"/>
    <n v="0"/>
    <n v="0"/>
    <n v="0"/>
    <n v="0"/>
  </r>
  <r>
    <x v="10"/>
    <s v="847.8470530.1.492610.000000.847010.300180"/>
    <n v="8470530"/>
    <x v="48"/>
    <n v="492610"/>
    <x v="83"/>
    <n v="847010"/>
    <s v="KUST - Main Campus"/>
    <x v="2"/>
    <x v="2"/>
    <n v="2109855"/>
    <n v="6216230"/>
    <n v="1623494"/>
    <n v="1271162"/>
    <n v="1271162"/>
    <n v="53100"/>
    <n v="668595"/>
    <n v="49374"/>
    <n v="6046594"/>
    <n v="1530000"/>
    <n v="1360000"/>
    <n v="1190000"/>
    <n v="0"/>
    <n v="0"/>
  </r>
  <r>
    <x v="10"/>
    <s v="847.8470530.1.492610.000000.847015.300180"/>
    <n v="8470530"/>
    <x v="48"/>
    <n v="492610"/>
    <x v="83"/>
    <n v="847015"/>
    <s v="Student Related Costs"/>
    <x v="2"/>
    <x v="2"/>
    <n v="0"/>
    <n v="0"/>
    <n v="142490"/>
    <n v="32800"/>
    <n v="32800"/>
    <n v="31488"/>
    <n v="0"/>
    <n v="0"/>
    <n v="0"/>
    <n v="0"/>
    <n v="0"/>
    <n v="0"/>
    <n v="0"/>
    <n v="0"/>
  </r>
  <r>
    <x v="10"/>
    <s v="847.8470530.1.492610.000000.847020.300180"/>
    <n v="8470530"/>
    <x v="48"/>
    <n v="492610"/>
    <x v="83"/>
    <n v="847020"/>
    <s v="KUST- Sas Al Nakhl Campus"/>
    <x v="2"/>
    <x v="2"/>
    <n v="1433359"/>
    <n v="0"/>
    <n v="0"/>
    <n v="775893"/>
    <n v="775893"/>
    <n v="0"/>
    <n v="82282"/>
    <n v="0"/>
    <n v="280000"/>
    <n v="252000"/>
    <n v="224000"/>
    <n v="196000"/>
    <n v="100000"/>
    <n v="100000"/>
  </r>
  <r>
    <x v="10"/>
    <s v="847.8470530.1.495110.000000.847001.300180"/>
    <n v="8470530"/>
    <x v="48"/>
    <n v="495110"/>
    <x v="53"/>
    <n v="847001"/>
    <s v="KUST - General"/>
    <x v="2"/>
    <x v="2"/>
    <n v="0"/>
    <n v="0"/>
    <n v="0"/>
    <n v="0"/>
    <n v="0"/>
    <n v="0"/>
    <n v="0"/>
    <n v="0"/>
    <n v="1800000"/>
    <n v="1620000"/>
    <n v="1440000"/>
    <n v="1260000"/>
    <n v="2200000"/>
    <n v="2500000"/>
  </r>
  <r>
    <x v="10"/>
    <s v="847.8470530.1.495140.000000.847010.300180"/>
    <n v="8470530"/>
    <x v="48"/>
    <n v="495140"/>
    <x v="52"/>
    <n v="847010"/>
    <s v="KUST - Main Campus"/>
    <x v="2"/>
    <x v="2"/>
    <n v="0"/>
    <n v="267131"/>
    <n v="18150"/>
    <n v="30312"/>
    <n v="30312"/>
    <n v="0"/>
    <n v="0"/>
    <n v="30302.25"/>
    <n v="0"/>
    <n v="0"/>
    <n v="0"/>
    <n v="0"/>
    <n v="0"/>
    <n v="0"/>
  </r>
  <r>
    <x v="10"/>
    <s v="847.8470540.1.422900.000000.847010.200179"/>
    <n v="8470540"/>
    <x v="49"/>
    <n v="422900"/>
    <x v="57"/>
    <n v="847010"/>
    <s v="KUST - Main Campus"/>
    <x v="1"/>
    <x v="1"/>
    <n v="0"/>
    <n v="0"/>
    <n v="0"/>
    <n v="0"/>
    <n v="0"/>
    <n v="0"/>
    <n v="0"/>
    <n v="0"/>
    <n v="900000"/>
    <n v="810000"/>
    <n v="720000"/>
    <n v="630000"/>
    <n v="900000"/>
    <n v="900000"/>
  </r>
  <r>
    <x v="10"/>
    <s v="847.8470540.1.426250.000000.847010.200179"/>
    <n v="8470540"/>
    <x v="49"/>
    <n v="426250"/>
    <x v="74"/>
    <n v="847010"/>
    <s v="KUST - Main Campus"/>
    <x v="1"/>
    <x v="1"/>
    <n v="0"/>
    <n v="0"/>
    <n v="0"/>
    <n v="0"/>
    <n v="0"/>
    <n v="0"/>
    <n v="0"/>
    <n v="0"/>
    <n v="50000"/>
    <n v="45000"/>
    <n v="40000"/>
    <n v="35000"/>
    <n v="50000"/>
    <n v="50000"/>
  </r>
  <r>
    <x v="10"/>
    <s v="847.8470540.1.426800.000000.847010.200179"/>
    <n v="8470540"/>
    <x v="49"/>
    <n v="426800"/>
    <x v="75"/>
    <n v="847010"/>
    <s v="KUST - Main Campus"/>
    <x v="1"/>
    <x v="1"/>
    <n v="0"/>
    <n v="0"/>
    <n v="0"/>
    <n v="10000"/>
    <n v="10000"/>
    <n v="848"/>
    <n v="0"/>
    <n v="0"/>
    <n v="10000"/>
    <n v="9000"/>
    <n v="8000"/>
    <n v="7000"/>
    <n v="10000"/>
    <n v="10000"/>
  </r>
  <r>
    <x v="10"/>
    <s v="847.8470540.1.426900.000000.847010.200179"/>
    <n v="8470540"/>
    <x v="49"/>
    <n v="426900"/>
    <x v="19"/>
    <n v="847010"/>
    <s v="KUST - Main Campus"/>
    <x v="1"/>
    <x v="1"/>
    <n v="0"/>
    <n v="0"/>
    <n v="0"/>
    <n v="30000"/>
    <n v="30000"/>
    <n v="3000"/>
    <n v="0"/>
    <n v="0"/>
    <n v="30000"/>
    <n v="27000"/>
    <n v="24000"/>
    <n v="21000"/>
    <n v="30000"/>
    <n v="30000"/>
  </r>
  <r>
    <x v="10"/>
    <s v="847.8470540.1.428111.000000.847010.200179"/>
    <n v="8470540"/>
    <x v="49"/>
    <n v="428111"/>
    <x v="32"/>
    <n v="847010"/>
    <s v="KUST - Main Campus"/>
    <x v="1"/>
    <x v="1"/>
    <n v="0"/>
    <n v="0"/>
    <n v="0"/>
    <n v="7349560"/>
    <n v="7349560"/>
    <n v="2048875.12"/>
    <n v="0"/>
    <n v="0"/>
    <n v="9664500"/>
    <n v="8698050"/>
    <n v="7731600"/>
    <n v="6765150"/>
    <n v="9664500"/>
    <n v="9664500"/>
  </r>
  <r>
    <x v="10"/>
    <s v="847.8470540.1.428111.000000.847015.200179"/>
    <n v="8470540"/>
    <x v="49"/>
    <n v="428111"/>
    <x v="32"/>
    <n v="847015"/>
    <s v="Student Related Costs"/>
    <x v="1"/>
    <x v="1"/>
    <n v="0"/>
    <n v="0"/>
    <n v="0"/>
    <n v="4615084"/>
    <n v="4615084"/>
    <n v="1050780.82"/>
    <n v="0"/>
    <n v="0"/>
    <n v="4615084"/>
    <n v="4153576"/>
    <n v="3692067"/>
    <n v="3230559"/>
    <n v="4615084"/>
    <n v="4615084"/>
  </r>
  <r>
    <x v="10"/>
    <s v="847.8470540.1.428111.000000.847020.200179"/>
    <n v="8470540"/>
    <x v="49"/>
    <n v="428111"/>
    <x v="32"/>
    <n v="847020"/>
    <s v="KUST- Sas Al Nakhl Campus"/>
    <x v="1"/>
    <x v="1"/>
    <n v="0"/>
    <n v="0"/>
    <n v="0"/>
    <n v="3058446"/>
    <n v="3058446"/>
    <n v="1097838.3999999999"/>
    <n v="0"/>
    <n v="0"/>
    <n v="3976000"/>
    <n v="3578400"/>
    <n v="3180800"/>
    <n v="2783200"/>
    <n v="3976000"/>
    <n v="3976000"/>
  </r>
  <r>
    <x v="10"/>
    <s v="847.8470540.1.428111.000000.847030.200179"/>
    <n v="8470540"/>
    <x v="49"/>
    <n v="428111"/>
    <x v="32"/>
    <n v="847030"/>
    <s v="KUST- Masdar city campus"/>
    <x v="1"/>
    <x v="1"/>
    <n v="0"/>
    <n v="0"/>
    <n v="0"/>
    <n v="442627"/>
    <n v="442627"/>
    <n v="0"/>
    <n v="0"/>
    <n v="0"/>
    <n v="442627"/>
    <n v="398364"/>
    <n v="354102"/>
    <n v="309839"/>
    <n v="442627"/>
    <n v="442627"/>
  </r>
  <r>
    <x v="10"/>
    <s v="847.8470540.1.428112.000000.847010.200179"/>
    <n v="8470540"/>
    <x v="49"/>
    <n v="428112"/>
    <x v="33"/>
    <n v="847010"/>
    <s v="KUST - Main Campus"/>
    <x v="1"/>
    <x v="1"/>
    <n v="0"/>
    <n v="0"/>
    <n v="0"/>
    <n v="1153128"/>
    <n v="1153128"/>
    <n v="298125.19"/>
    <n v="0"/>
    <n v="0"/>
    <n v="1500000"/>
    <n v="1350000"/>
    <n v="1200000"/>
    <n v="1050000"/>
    <n v="1500000"/>
    <n v="1500000"/>
  </r>
  <r>
    <x v="10"/>
    <s v="847.8470540.1.428112.000000.847015.200179"/>
    <n v="8470540"/>
    <x v="49"/>
    <n v="428112"/>
    <x v="33"/>
    <n v="847015"/>
    <s v="Student Related Costs"/>
    <x v="1"/>
    <x v="1"/>
    <n v="0"/>
    <n v="0"/>
    <n v="0"/>
    <n v="1681399"/>
    <n v="1681399"/>
    <n v="448324.25"/>
    <n v="0"/>
    <n v="0"/>
    <n v="1681399"/>
    <n v="1513259"/>
    <n v="1345119"/>
    <n v="1176979"/>
    <n v="1681399"/>
    <n v="1681399"/>
  </r>
  <r>
    <x v="10"/>
    <s v="847.8470540.1.428112.000000.847020.200179"/>
    <n v="8470540"/>
    <x v="49"/>
    <n v="428112"/>
    <x v="33"/>
    <n v="847020"/>
    <s v="KUST- Sas Al Nakhl Campus"/>
    <x v="1"/>
    <x v="1"/>
    <n v="0"/>
    <n v="0"/>
    <n v="0"/>
    <n v="1703132"/>
    <n v="1703132"/>
    <n v="430172.97"/>
    <n v="0"/>
    <n v="0"/>
    <n v="1873450"/>
    <n v="1686105"/>
    <n v="1498760"/>
    <n v="1311415"/>
    <n v="1873450"/>
    <n v="1873450"/>
  </r>
  <r>
    <x v="10"/>
    <s v="847.8470540.1.428112.000000.847030.200179"/>
    <n v="8470540"/>
    <x v="49"/>
    <n v="428112"/>
    <x v="33"/>
    <n v="847030"/>
    <s v="KUST- Masdar city campus"/>
    <x v="1"/>
    <x v="1"/>
    <n v="0"/>
    <n v="0"/>
    <n v="0"/>
    <n v="153570"/>
    <n v="153570"/>
    <n v="0"/>
    <n v="0"/>
    <n v="0"/>
    <n v="153570"/>
    <n v="138213"/>
    <n v="122856"/>
    <n v="107499"/>
    <n v="153570"/>
    <n v="153570"/>
  </r>
  <r>
    <x v="10"/>
    <s v="847.8470540.1.429900.000000.847010.200179"/>
    <n v="8470540"/>
    <x v="49"/>
    <n v="429900"/>
    <x v="64"/>
    <n v="847010"/>
    <s v="KUST - Main Campus"/>
    <x v="1"/>
    <x v="1"/>
    <n v="0"/>
    <n v="0"/>
    <n v="0"/>
    <n v="44000"/>
    <n v="44000"/>
    <n v="41250"/>
    <n v="0"/>
    <n v="0"/>
    <n v="48000"/>
    <n v="39600"/>
    <n v="35200"/>
    <n v="30800"/>
    <n v="48000"/>
    <n v="48000"/>
  </r>
  <r>
    <x v="10"/>
    <s v="847.8470540.1.430330.000000.847010.200179"/>
    <n v="8470540"/>
    <x v="49"/>
    <n v="430330"/>
    <x v="78"/>
    <n v="847010"/>
    <s v="KUST - Main Campus"/>
    <x v="1"/>
    <x v="1"/>
    <n v="0"/>
    <n v="0"/>
    <n v="581760"/>
    <n v="967680"/>
    <n v="967680"/>
    <n v="0"/>
    <n v="750960"/>
    <n v="21000"/>
    <n v="1870125"/>
    <n v="990004"/>
    <n v="880003"/>
    <n v="770003"/>
    <n v="1870125"/>
    <n v="1870121"/>
  </r>
  <r>
    <x v="10"/>
    <s v="847.8470540.1.432540.000000.847010.200179"/>
    <n v="8470540"/>
    <x v="49"/>
    <n v="432540"/>
    <x v="80"/>
    <n v="847010"/>
    <s v="KUST - Main Campus"/>
    <x v="1"/>
    <x v="1"/>
    <n v="0"/>
    <n v="0"/>
    <n v="37509"/>
    <n v="140000"/>
    <n v="140000"/>
    <n v="20576.84"/>
    <n v="2"/>
    <n v="0"/>
    <n v="140000"/>
    <n v="126000"/>
    <n v="112000"/>
    <n v="98000"/>
    <n v="140000"/>
    <n v="140000"/>
  </r>
  <r>
    <x v="10"/>
    <s v="847.8470540.1.435410.000000.847020.200179"/>
    <n v="8470540"/>
    <x v="49"/>
    <n v="435410"/>
    <x v="84"/>
    <n v="847020"/>
    <s v="KUST- Sas Al Nakhl Campus"/>
    <x v="1"/>
    <x v="1"/>
    <n v="0"/>
    <n v="0"/>
    <n v="0"/>
    <n v="675690"/>
    <n v="675690"/>
    <n v="194173.19"/>
    <n v="0"/>
    <n v="-7.2759576141834308E-12"/>
    <n v="840000"/>
    <n v="756000"/>
    <n v="672000"/>
    <n v="588000"/>
    <n v="840000"/>
    <n v="840000"/>
  </r>
  <r>
    <x v="10"/>
    <s v="847.8470540.1.435740.000000.847010.200179"/>
    <n v="8470540"/>
    <x v="49"/>
    <n v="435740"/>
    <x v="85"/>
    <n v="847010"/>
    <s v="KUST - Main Campus"/>
    <x v="1"/>
    <x v="1"/>
    <n v="0"/>
    <n v="0"/>
    <n v="0"/>
    <n v="336000"/>
    <n v="336000"/>
    <n v="266719.75"/>
    <n v="0"/>
    <n v="0"/>
    <n v="336000"/>
    <n v="302400"/>
    <n v="268800"/>
    <n v="235200"/>
    <n v="336000"/>
    <n v="336000"/>
  </r>
  <r>
    <x v="10"/>
    <s v="847.8470540.1.436110.000000.847010.200179"/>
    <n v="8470540"/>
    <x v="49"/>
    <n v="436110"/>
    <x v="15"/>
    <n v="847010"/>
    <s v="KUST - Main Campus"/>
    <x v="1"/>
    <x v="1"/>
    <n v="0"/>
    <n v="0"/>
    <n v="0"/>
    <n v="193910"/>
    <n v="193910"/>
    <n v="36618.78"/>
    <n v="0"/>
    <n v="33500"/>
    <n v="85700"/>
    <n v="77130"/>
    <n v="68560"/>
    <n v="59990"/>
    <n v="85700"/>
    <n v="94500"/>
  </r>
  <r>
    <x v="10"/>
    <s v="847.8470620.1.420130.000000.847001.200179"/>
    <n v="8470620"/>
    <x v="50"/>
    <n v="420130"/>
    <x v="86"/>
    <n v="847001"/>
    <s v="KUST - General"/>
    <x v="1"/>
    <x v="1"/>
    <n v="135000"/>
    <n v="543500"/>
    <n v="203515"/>
    <n v="295000"/>
    <n v="295000"/>
    <n v="171100"/>
    <n v="0"/>
    <n v="0"/>
    <n v="236850"/>
    <n v="213165"/>
    <n v="0"/>
    <n v="165795"/>
    <n v="236850"/>
    <n v="236850"/>
  </r>
  <r>
    <x v="10"/>
    <s v="847.8470620.1.422900.000000.847001.200179"/>
    <n v="8470620"/>
    <x v="50"/>
    <n v="422900"/>
    <x v="57"/>
    <n v="847001"/>
    <s v="KUST - General"/>
    <x v="1"/>
    <x v="1"/>
    <n v="0"/>
    <n v="0"/>
    <n v="0"/>
    <n v="416100"/>
    <n v="416100"/>
    <n v="62415"/>
    <n v="0"/>
    <n v="353685"/>
    <n v="585000"/>
    <n v="189000"/>
    <n v="0"/>
    <n v="147000"/>
    <n v="0"/>
    <n v="480000"/>
  </r>
  <r>
    <x v="10"/>
    <s v="847.8470620.1.425300.000000.847001.200179"/>
    <n v="8470620"/>
    <x v="50"/>
    <n v="425300"/>
    <x v="87"/>
    <n v="847001"/>
    <s v="KUST - General"/>
    <x v="1"/>
    <x v="1"/>
    <n v="20258"/>
    <n v="2001"/>
    <n v="1157"/>
    <n v="3600"/>
    <n v="3600"/>
    <n v="246.14"/>
    <n v="0"/>
    <n v="0"/>
    <n v="2400"/>
    <n v="2160"/>
    <n v="0"/>
    <n v="1680"/>
    <n v="3000"/>
    <n v="3000"/>
  </r>
  <r>
    <x v="10"/>
    <s v="847.8470620.1.425350.000000.847001.200179"/>
    <n v="8470620"/>
    <x v="50"/>
    <n v="425350"/>
    <x v="88"/>
    <n v="847001"/>
    <s v="KUST - General"/>
    <x v="1"/>
    <x v="1"/>
    <n v="76670"/>
    <n v="71797"/>
    <n v="57763"/>
    <n v="90000"/>
    <n v="90000"/>
    <n v="44854.42"/>
    <n v="0"/>
    <n v="0"/>
    <n v="117000"/>
    <n v="105300"/>
    <n v="0"/>
    <n v="81900"/>
    <n v="121000"/>
    <n v="121000"/>
  </r>
  <r>
    <x v="10"/>
    <s v="847.8470620.1.425900.000000.847001.200179"/>
    <n v="8470620"/>
    <x v="50"/>
    <n v="425900"/>
    <x v="11"/>
    <n v="847001"/>
    <s v="KUST - General"/>
    <x v="1"/>
    <x v="1"/>
    <n v="7422"/>
    <n v="500"/>
    <n v="2000"/>
    <n v="0"/>
    <n v="0"/>
    <n v="0"/>
    <n v="0"/>
    <n v="0"/>
    <n v="6800"/>
    <n v="6120"/>
    <n v="0"/>
    <n v="4760"/>
    <n v="8000"/>
    <n v="8000"/>
  </r>
  <r>
    <x v="10"/>
    <s v="847.8470620.1.426610.000000.847001.200179"/>
    <n v="8470620"/>
    <x v="50"/>
    <n v="426610"/>
    <x v="12"/>
    <n v="847001"/>
    <s v="KUST - General"/>
    <x v="1"/>
    <x v="1"/>
    <n v="31680"/>
    <n v="31680"/>
    <n v="31680"/>
    <n v="31680"/>
    <n v="31680"/>
    <n v="0"/>
    <n v="0"/>
    <n v="0"/>
    <n v="31680"/>
    <n v="28512"/>
    <n v="0"/>
    <n v="22176"/>
    <n v="31680"/>
    <n v="31680"/>
  </r>
  <r>
    <x v="10"/>
    <s v="847.8470620.1.436110.000000.847001.200179"/>
    <n v="8470620"/>
    <x v="50"/>
    <n v="436110"/>
    <x v="15"/>
    <n v="847001"/>
    <s v="KUST - General"/>
    <x v="1"/>
    <x v="1"/>
    <n v="12035"/>
    <n v="36"/>
    <n v="4567"/>
    <n v="0"/>
    <n v="0"/>
    <n v="0"/>
    <n v="0"/>
    <n v="0"/>
    <n v="4000"/>
    <n v="3600"/>
    <n v="0"/>
    <n v="2800"/>
    <n v="0"/>
    <n v="0"/>
  </r>
  <r>
    <x v="10"/>
    <s v="847.8470630.1.425100.000000.847001.200179"/>
    <n v="8470630"/>
    <x v="51"/>
    <n v="425100"/>
    <x v="2"/>
    <n v="847001"/>
    <s v="KUST - General"/>
    <x v="1"/>
    <x v="1"/>
    <n v="0"/>
    <n v="0"/>
    <n v="0"/>
    <n v="0"/>
    <n v="0"/>
    <n v="0"/>
    <n v="0"/>
    <n v="0"/>
    <n v="100000"/>
    <n v="90000"/>
    <n v="0"/>
    <n v="70000"/>
    <n v="100000"/>
    <n v="100000"/>
  </r>
  <r>
    <x v="10"/>
    <s v="847.8470630.1.425550.000000.847001.200179"/>
    <n v="8470630"/>
    <x v="51"/>
    <n v="425550"/>
    <x v="4"/>
    <n v="847001"/>
    <s v="KUST - General"/>
    <x v="1"/>
    <x v="1"/>
    <n v="0"/>
    <n v="0"/>
    <n v="0"/>
    <n v="0"/>
    <n v="0"/>
    <n v="0"/>
    <n v="0"/>
    <n v="0"/>
    <n v="200000"/>
    <n v="180000"/>
    <n v="0"/>
    <n v="140000"/>
    <n v="200000"/>
    <n v="200000"/>
  </r>
  <r>
    <x v="10"/>
    <s v="847.8470630.1.427200.000000.847001.200179"/>
    <n v="8470630"/>
    <x v="51"/>
    <n v="427200"/>
    <x v="46"/>
    <n v="847001"/>
    <s v="KUST - General"/>
    <x v="1"/>
    <x v="1"/>
    <n v="0"/>
    <n v="0"/>
    <n v="0"/>
    <n v="0"/>
    <n v="0"/>
    <n v="0"/>
    <n v="0"/>
    <n v="0"/>
    <n v="10000"/>
    <n v="9000"/>
    <n v="0"/>
    <n v="7000"/>
    <n v="10000"/>
    <n v="10000"/>
  </r>
  <r>
    <x v="10"/>
    <s v="847.8470630.1.436600.000000.847001.200179"/>
    <n v="8470630"/>
    <x v="51"/>
    <n v="436600"/>
    <x v="48"/>
    <n v="847001"/>
    <s v="KUST - General"/>
    <x v="1"/>
    <x v="1"/>
    <n v="0"/>
    <n v="0"/>
    <n v="0"/>
    <n v="0"/>
    <n v="0"/>
    <n v="0"/>
    <n v="0"/>
    <n v="0"/>
    <n v="12000"/>
    <n v="10800"/>
    <n v="0"/>
    <n v="8400"/>
    <n v="12000"/>
    <n v="12000"/>
  </r>
  <r>
    <x v="10"/>
    <s v="847.8470730.1.426610.000000.847001.200179"/>
    <n v="8470730"/>
    <x v="52"/>
    <n v="426610"/>
    <x v="12"/>
    <n v="847001"/>
    <s v="KUST - General"/>
    <x v="1"/>
    <x v="1"/>
    <n v="13496"/>
    <n v="710395"/>
    <n v="354292"/>
    <n v="300000"/>
    <n v="300000"/>
    <n v="0"/>
    <n v="0"/>
    <n v="17000"/>
    <n v="475000"/>
    <n v="157500"/>
    <n v="0"/>
    <n v="122500"/>
    <n v="300000"/>
    <n v="475000"/>
  </r>
  <r>
    <x v="10"/>
    <s v="847.8470730.1.427900.000000.847001.200179"/>
    <n v="8470730"/>
    <x v="52"/>
    <n v="427900"/>
    <x v="69"/>
    <n v="847001"/>
    <s v="KUST - General"/>
    <x v="1"/>
    <x v="1"/>
    <n v="0"/>
    <n v="0"/>
    <n v="0"/>
    <n v="10000"/>
    <n v="10000"/>
    <n v="0"/>
    <n v="0"/>
    <n v="0"/>
    <n v="10000"/>
    <n v="9000"/>
    <n v="0"/>
    <n v="7000"/>
    <n v="10000"/>
    <n v="10000"/>
  </r>
  <r>
    <x v="10"/>
    <s v="847.8470730.1.428640.000000.847001.200179"/>
    <n v="8470730"/>
    <x v="52"/>
    <n v="428640"/>
    <x v="14"/>
    <n v="847001"/>
    <s v="KUST - General"/>
    <x v="1"/>
    <x v="1"/>
    <n v="0"/>
    <n v="0"/>
    <n v="0"/>
    <n v="250000"/>
    <n v="250000"/>
    <n v="19047.55"/>
    <n v="27108"/>
    <n v="0"/>
    <n v="1000000"/>
    <n v="900000"/>
    <n v="0"/>
    <n v="700000"/>
    <n v="500000"/>
    <n v="500000"/>
  </r>
  <r>
    <x v="10"/>
    <s v="847.8470730.1.436110.000000.847001.200179"/>
    <n v="8470730"/>
    <x v="52"/>
    <n v="436110"/>
    <x v="15"/>
    <n v="847001"/>
    <s v="KUST - General"/>
    <x v="1"/>
    <x v="1"/>
    <n v="13910"/>
    <n v="29325"/>
    <n v="40440"/>
    <n v="50000"/>
    <n v="50000"/>
    <n v="0"/>
    <n v="0"/>
    <n v="0"/>
    <n v="50000"/>
    <n v="45000"/>
    <n v="0"/>
    <n v="35000"/>
    <n v="10000"/>
    <n v="10000"/>
  </r>
  <r>
    <x v="10"/>
    <s v="847.8470730.1.495113.000000.847001.300180"/>
    <n v="8470730"/>
    <x v="52"/>
    <n v="495113"/>
    <x v="61"/>
    <n v="847001"/>
    <s v="KUST - General"/>
    <x v="2"/>
    <x v="2"/>
    <n v="0"/>
    <n v="0"/>
    <n v="0"/>
    <n v="0"/>
    <n v="0"/>
    <n v="0"/>
    <n v="0"/>
    <n v="0"/>
    <n v="4400000"/>
    <n v="180000"/>
    <n v="0"/>
    <n v="140000"/>
    <n v="0"/>
    <n v="0"/>
  </r>
  <r>
    <x v="10"/>
    <s v="847.8470810.1.420810.000000.847001.200179"/>
    <n v="8470810"/>
    <x v="53"/>
    <n v="420810"/>
    <x v="89"/>
    <n v="847001"/>
    <s v="KUST - General"/>
    <x v="1"/>
    <x v="1"/>
    <n v="459600"/>
    <n v="424707"/>
    <n v="300000"/>
    <n v="0"/>
    <n v="0"/>
    <n v="0"/>
    <n v="0"/>
    <n v="0"/>
    <n v="0"/>
    <n v="0"/>
    <n v="0"/>
    <n v="0"/>
    <n v="0"/>
    <n v="0"/>
  </r>
  <r>
    <x v="10"/>
    <s v="847.8470810.1.420811.000000.847001.200179"/>
    <n v="8470810"/>
    <x v="53"/>
    <n v="420811"/>
    <x v="54"/>
    <n v="847001"/>
    <s v="KUST - General"/>
    <x v="1"/>
    <x v="1"/>
    <n v="0"/>
    <n v="0"/>
    <n v="0"/>
    <n v="10351793"/>
    <n v="10351793"/>
    <n v="0"/>
    <n v="0"/>
    <n v="0"/>
    <n v="21982966.850276135"/>
    <n v="19784670.165248521"/>
    <n v="17586373.48022091"/>
    <n v="15388076.795193294"/>
    <n v="47375724"/>
    <n v="47375724"/>
  </r>
  <r>
    <x v="10"/>
    <s v="847.8470810.1.421100.000000.847001.200179"/>
    <n v="8470810"/>
    <x v="53"/>
    <n v="421100"/>
    <x v="90"/>
    <n v="847001"/>
    <s v="KUST - General"/>
    <x v="1"/>
    <x v="1"/>
    <n v="1249360"/>
    <n v="22649528"/>
    <n v="1705887"/>
    <n v="445192"/>
    <n v="445192"/>
    <n v="-246835.07"/>
    <n v="0"/>
    <n v="620496.22"/>
    <n v="0"/>
    <n v="0"/>
    <n v="0"/>
    <n v="0"/>
    <n v="0"/>
    <n v="0"/>
  </r>
  <r>
    <x v="10"/>
    <s v="847.8470810.1.426610.000000.847001.200179"/>
    <n v="8470810"/>
    <x v="53"/>
    <n v="426610"/>
    <x v="12"/>
    <n v="847001"/>
    <s v="KUST - General"/>
    <x v="1"/>
    <x v="1"/>
    <n v="8091447"/>
    <n v="7385942"/>
    <n v="8722313"/>
    <n v="7632571"/>
    <n v="7632571"/>
    <n v="2779121.38"/>
    <n v="3073787.65"/>
    <n v="922291.55"/>
    <n v="8536819"/>
    <n v="1111774"/>
    <n v="0"/>
    <n v="864713"/>
    <n v="9390501"/>
    <n v="9390501"/>
  </r>
  <r>
    <x v="10"/>
    <s v="847.8470810.1.427810.000000.847001.200179"/>
    <n v="8470810"/>
    <x v="53"/>
    <n v="427810"/>
    <x v="91"/>
    <n v="847001"/>
    <s v="KUST - General"/>
    <x v="1"/>
    <x v="1"/>
    <n v="1706227"/>
    <n v="2582185"/>
    <n v="1000636"/>
    <n v="800000"/>
    <n v="800000"/>
    <n v="718525.65"/>
    <n v="0"/>
    <n v="0"/>
    <n v="820800"/>
    <n v="324000"/>
    <n v="0"/>
    <n v="252000"/>
    <n v="720000"/>
    <n v="720000"/>
  </r>
  <r>
    <x v="10"/>
    <s v="847.8470810.1.427850.000000.847001.200179"/>
    <n v="8470810"/>
    <x v="53"/>
    <n v="427850"/>
    <x v="92"/>
    <n v="847001"/>
    <s v="KUST - General"/>
    <x v="1"/>
    <x v="1"/>
    <n v="5668931"/>
    <n v="6146327"/>
    <n v="2812669"/>
    <n v="2618028"/>
    <n v="2618028"/>
    <n v="744317"/>
    <n v="0"/>
    <n v="0"/>
    <n v="2018028"/>
    <n v="1816225"/>
    <n v="0"/>
    <n v="1412620"/>
    <n v="2054028"/>
    <n v="2054028"/>
  </r>
  <r>
    <x v="10"/>
    <s v="847.8470810.1.428090.000000.847001.200179"/>
    <n v="8470810"/>
    <x v="53"/>
    <n v="428090"/>
    <x v="13"/>
    <n v="847001"/>
    <s v="KUST - General"/>
    <x v="1"/>
    <x v="1"/>
    <n v="40500"/>
    <n v="11500"/>
    <n v="0"/>
    <n v="11500"/>
    <n v="11500"/>
    <n v="4400"/>
    <n v="0"/>
    <n v="0"/>
    <n v="24000"/>
    <n v="21600"/>
    <n v="0"/>
    <n v="16800"/>
    <n v="400000"/>
    <n v="400000"/>
  </r>
  <r>
    <x v="10"/>
    <s v="847.8470810.1.430230.000000.847001.200179"/>
    <n v="8470810"/>
    <x v="53"/>
    <n v="430230"/>
    <x v="34"/>
    <n v="847001"/>
    <s v="KUST - General"/>
    <x v="1"/>
    <x v="1"/>
    <n v="1431210"/>
    <n v="1425418"/>
    <n v="2593733"/>
    <n v="0"/>
    <n v="0"/>
    <n v="0"/>
    <n v="0"/>
    <n v="0"/>
    <n v="0"/>
    <n v="0"/>
    <n v="0"/>
    <n v="0"/>
    <n v="0"/>
    <n v="0"/>
  </r>
  <r>
    <x v="10"/>
    <s v="847.8470810.1.430250.000000.847001.200179"/>
    <n v="8470810"/>
    <x v="53"/>
    <n v="430250"/>
    <x v="93"/>
    <n v="847001"/>
    <s v="KUST - General"/>
    <x v="1"/>
    <x v="1"/>
    <n v="0"/>
    <n v="0"/>
    <n v="0"/>
    <n v="1021317"/>
    <n v="1021317"/>
    <n v="0"/>
    <n v="264407.12"/>
    <n v="754866.67"/>
    <n v="1864650"/>
    <n v="1678185"/>
    <n v="0"/>
    <n v="1305255"/>
    <n v="2238200"/>
    <n v="2349800"/>
  </r>
  <r>
    <x v="10"/>
    <s v="847.8470810.1.432205.000000.847001.200179"/>
    <n v="8470810"/>
    <x v="53"/>
    <n v="432205"/>
    <x v="59"/>
    <n v="847001"/>
    <s v="KUST - General"/>
    <x v="1"/>
    <x v="1"/>
    <n v="17188941"/>
    <n v="16771029"/>
    <n v="12846395"/>
    <n v="1475000"/>
    <n v="1475000"/>
    <n v="578553.93999999994"/>
    <n v="335763.22"/>
    <n v="524346"/>
    <n v="2330000"/>
    <n v="216000"/>
    <n v="0"/>
    <n v="168000"/>
    <n v="2376600"/>
    <n v="2376600"/>
  </r>
  <r>
    <x v="10"/>
    <s v="847.8470810.1.432226.000000.847001.200179"/>
    <n v="8470810"/>
    <x v="53"/>
    <n v="432226"/>
    <x v="94"/>
    <n v="847001"/>
    <s v="KUST - General"/>
    <x v="1"/>
    <x v="1"/>
    <n v="0"/>
    <n v="0"/>
    <n v="0"/>
    <n v="360000"/>
    <n v="360000"/>
    <n v="109115.62"/>
    <n v="0"/>
    <n v="0"/>
    <n v="540000"/>
    <n v="486000"/>
    <n v="0"/>
    <n v="378000"/>
    <n v="576000"/>
    <n v="576000"/>
  </r>
  <r>
    <x v="10"/>
    <s v="847.8470810.1.436110.000000.847001.200179"/>
    <n v="8470810"/>
    <x v="53"/>
    <n v="436110"/>
    <x v="15"/>
    <n v="847001"/>
    <s v="KUST - General"/>
    <x v="1"/>
    <x v="1"/>
    <n v="0"/>
    <n v="0"/>
    <n v="0"/>
    <n v="0"/>
    <n v="0"/>
    <n v="0"/>
    <n v="0"/>
    <n v="0"/>
    <n v="0"/>
    <n v="0"/>
    <n v="0"/>
    <n v="0"/>
    <n v="0"/>
    <n v="0"/>
  </r>
  <r>
    <x v="10"/>
    <s v="847.8470810.1.492310.000000.847001.300180"/>
    <n v="8470810"/>
    <x v="53"/>
    <n v="492310"/>
    <x v="16"/>
    <n v="847001"/>
    <s v="KUST - General"/>
    <x v="2"/>
    <x v="2"/>
    <n v="521239"/>
    <n v="6308293"/>
    <n v="3471424"/>
    <n v="175000"/>
    <n v="175000"/>
    <n v="162000"/>
    <n v="0"/>
    <n v="0"/>
    <n v="255000"/>
    <n v="229500"/>
    <n v="0"/>
    <n v="178500"/>
    <n v="340000"/>
    <n v="340000"/>
  </r>
  <r>
    <x v="10"/>
    <s v="847.8470810.1.492316.000000.847001.300180"/>
    <n v="8470810"/>
    <x v="53"/>
    <n v="492316"/>
    <x v="39"/>
    <n v="847001"/>
    <s v="KUST - General"/>
    <x v="2"/>
    <x v="2"/>
    <n v="0"/>
    <n v="-380451"/>
    <n v="-53578"/>
    <n v="0"/>
    <n v="0"/>
    <n v="0"/>
    <n v="0"/>
    <n v="0"/>
    <n v="0"/>
    <n v="0"/>
    <n v="0"/>
    <n v="0"/>
    <n v="0"/>
    <n v="0"/>
  </r>
  <r>
    <x v="10"/>
    <s v="847.8470810.1.492352.000000.847001.300180"/>
    <n v="8470810"/>
    <x v="53"/>
    <n v="492352"/>
    <x v="95"/>
    <n v="847001"/>
    <s v="KUST - General"/>
    <x v="2"/>
    <x v="2"/>
    <n v="0"/>
    <n v="0"/>
    <n v="0"/>
    <n v="2016302"/>
    <n v="2016302"/>
    <n v="0"/>
    <n v="2015272.6"/>
    <n v="0"/>
    <n v="1389000"/>
    <n v="1250100"/>
    <n v="0"/>
    <n v="972300"/>
    <n v="1164000"/>
    <n v="1164000"/>
  </r>
  <r>
    <x v="10"/>
    <s v="847.8470810.1.492354.000000.847001.300180"/>
    <n v="8470810"/>
    <x v="53"/>
    <n v="492354"/>
    <x v="50"/>
    <n v="847001"/>
    <s v="KUST - General"/>
    <x v="2"/>
    <x v="2"/>
    <n v="0"/>
    <n v="0"/>
    <n v="0"/>
    <n v="321500"/>
    <n v="321500"/>
    <n v="0"/>
    <n v="321320"/>
    <n v="0"/>
    <n v="0"/>
    <n v="0"/>
    <n v="0"/>
    <n v="0"/>
    <n v="0"/>
    <n v="0"/>
  </r>
  <r>
    <x v="10"/>
    <s v="847.8470810.1.492356.000000.847001.300180"/>
    <n v="8470810"/>
    <x v="53"/>
    <n v="492356"/>
    <x v="96"/>
    <n v="847001"/>
    <s v="KUST - General"/>
    <x v="2"/>
    <x v="2"/>
    <n v="0"/>
    <n v="0"/>
    <n v="0"/>
    <n v="650000"/>
    <n v="650000"/>
    <n v="0"/>
    <n v="0"/>
    <n v="583836"/>
    <n v="4018539"/>
    <n v="2984772"/>
    <n v="0"/>
    <n v="2321489"/>
    <n v="1195750"/>
    <n v="1200000"/>
  </r>
  <r>
    <x v="10"/>
    <s v="847.8470810.1.495110.000000.847001.300180"/>
    <n v="8470810"/>
    <x v="53"/>
    <n v="495110"/>
    <x v="53"/>
    <n v="847001"/>
    <s v="KUST - General"/>
    <x v="2"/>
    <x v="2"/>
    <n v="0"/>
    <n v="0"/>
    <n v="796333"/>
    <n v="0"/>
    <n v="0"/>
    <n v="0"/>
    <n v="0"/>
    <n v="0"/>
    <n v="0"/>
    <n v="0"/>
    <n v="0"/>
    <n v="0"/>
    <n v="0"/>
    <n v="0"/>
  </r>
  <r>
    <x v="10"/>
    <s v="847.8470810.1.495113.000000.847001.300180"/>
    <n v="8470810"/>
    <x v="53"/>
    <n v="495113"/>
    <x v="61"/>
    <n v="847001"/>
    <s v="KUST - General"/>
    <x v="2"/>
    <x v="2"/>
    <n v="0"/>
    <n v="0"/>
    <n v="0"/>
    <n v="228670"/>
    <n v="228670"/>
    <n v="0"/>
    <n v="0"/>
    <n v="0"/>
    <n v="772572"/>
    <n v="288000"/>
    <n v="0"/>
    <n v="224000"/>
    <n v="750000"/>
    <n v="800000"/>
  </r>
  <r>
    <x v="2"/>
    <s v="847.8470450.1.421700.000000.847001.200179"/>
    <n v="8470450"/>
    <x v="18"/>
    <n v="421700"/>
    <x v="40"/>
    <n v="847001"/>
    <s v="KUST - General"/>
    <x v="1"/>
    <x v="1"/>
    <n v="0"/>
    <n v="0"/>
    <n v="0"/>
    <n v="0"/>
    <n v="0"/>
    <n v="0"/>
    <n v="0"/>
    <n v="0"/>
    <n v="0"/>
    <n v="0"/>
    <n v="0"/>
    <n v="0"/>
    <n v="300000"/>
    <n v="0"/>
  </r>
  <r>
    <x v="10"/>
    <s v="847.8470510.1.425510.000000.847001.200179"/>
    <n v="8470510"/>
    <x v="46"/>
    <n v="425510"/>
    <x v="3"/>
    <n v="847001"/>
    <s v="KUST - General"/>
    <x v="1"/>
    <x v="1"/>
    <n v="0"/>
    <n v="0"/>
    <n v="0"/>
    <n v="0"/>
    <n v="0"/>
    <n v="0"/>
    <n v="0"/>
    <n v="0"/>
    <n v="0"/>
    <n v="0"/>
    <n v="0"/>
    <n v="0"/>
    <n v="40000"/>
    <n v="50000"/>
  </r>
  <r>
    <x v="10"/>
    <s v="847.8470530.1.421100.000000.847010.200179"/>
    <n v="8470530"/>
    <x v="48"/>
    <n v="421100"/>
    <x v="90"/>
    <n v="847010"/>
    <s v="KUST - Main Campus"/>
    <x v="1"/>
    <x v="1"/>
    <n v="1010298"/>
    <n v="2941195"/>
    <n v="-19784"/>
    <n v="0"/>
    <n v="0"/>
    <n v="-23360"/>
    <n v="0"/>
    <n v="0"/>
    <n v="0"/>
    <n v="0"/>
    <n v="0"/>
    <n v="0"/>
    <n v="0"/>
    <n v="0"/>
  </r>
  <r>
    <x v="10"/>
    <s v="847.8470530.1.492200.000000.847001.300180"/>
    <n v="8470530"/>
    <x v="48"/>
    <n v="492200"/>
    <x v="82"/>
    <n v="847001"/>
    <s v="KUST - General"/>
    <x v="2"/>
    <x v="2"/>
    <n v="0"/>
    <n v="0"/>
    <n v="0"/>
    <n v="2910350"/>
    <n v="2910350"/>
    <n v="0"/>
    <n v="2818350"/>
    <n v="0"/>
    <n v="0"/>
    <n v="0"/>
    <n v="0"/>
    <n v="0"/>
    <n v="0"/>
    <n v="2520000"/>
  </r>
  <r>
    <x v="10"/>
    <s v="847.8470620.1.436120.000000.847001.200179"/>
    <n v="8470620"/>
    <x v="50"/>
    <n v="436120"/>
    <x v="21"/>
    <n v="847001"/>
    <s v="KUST - General"/>
    <x v="1"/>
    <x v="1"/>
    <n v="435"/>
    <n v="0"/>
    <n v="-20281"/>
    <n v="2500"/>
    <n v="2500"/>
    <n v="0"/>
    <n v="0"/>
    <n v="0"/>
    <n v="0"/>
    <n v="0"/>
    <n v="0"/>
    <n v="0"/>
    <n v="5000"/>
    <n v="5000"/>
  </r>
  <r>
    <x v="10"/>
    <s v="847.8470730.1.425900.000000.847001.200179"/>
    <n v="8470730"/>
    <x v="52"/>
    <n v="425900"/>
    <x v="11"/>
    <n v="847001"/>
    <s v="KUST - General"/>
    <x v="1"/>
    <x v="1"/>
    <n v="15459"/>
    <n v="6363"/>
    <n v="0"/>
    <n v="250000"/>
    <n v="250000"/>
    <n v="650"/>
    <n v="0"/>
    <n v="0"/>
    <n v="0"/>
    <n v="0"/>
    <n v="0"/>
    <n v="0"/>
    <n v="175000"/>
    <n v="0"/>
  </r>
  <r>
    <x v="1"/>
    <s v="847.8471260.1.421100.000000.847001.200179"/>
    <n v="8471260"/>
    <x v="7"/>
    <n v="421100"/>
    <x v="90"/>
    <n v="847001"/>
    <s v="KUST - General"/>
    <x v="1"/>
    <x v="1"/>
    <n v="1650063"/>
    <n v="1749140"/>
    <n v="1286731"/>
    <n v="353000"/>
    <n v="353000"/>
    <n v="352238.57"/>
    <n v="0"/>
    <n v="0"/>
    <n v="0"/>
    <n v="0"/>
    <n v="0"/>
    <n v="0"/>
    <n v="2010000"/>
    <n v="2128000"/>
  </r>
  <r>
    <x v="6"/>
    <s v="847.8470140.1.425763.000000.847001.200179"/>
    <n v="8470140"/>
    <x v="33"/>
    <n v="425763"/>
    <x v="41"/>
    <n v="847001"/>
    <s v="KUST - General"/>
    <x v="1"/>
    <x v="1"/>
    <n v="0"/>
    <n v="0"/>
    <n v="0"/>
    <n v="0"/>
    <n v="0"/>
    <n v="0"/>
    <n v="0"/>
    <n v="0"/>
    <n v="0"/>
    <n v="0"/>
    <n v="0"/>
    <n v="0"/>
    <n v="0"/>
    <n v="0"/>
  </r>
  <r>
    <x v="2"/>
    <s v="847.8470445.1.435508.000000.847001.200179"/>
    <n v="8470445"/>
    <x v="17"/>
    <n v="435508"/>
    <x v="44"/>
    <n v="847001"/>
    <s v="KUST - General"/>
    <x v="1"/>
    <x v="1"/>
    <n v="0"/>
    <n v="0"/>
    <n v="0"/>
    <n v="0"/>
    <n v="0"/>
    <n v="0"/>
    <n v="0"/>
    <n v="0"/>
    <n v="0"/>
    <n v="0"/>
    <n v="0"/>
    <n v="0"/>
    <n v="0"/>
    <n v="6000000"/>
  </r>
  <r>
    <x v="9"/>
    <s v="847.8471170.1.495110.000000.847001.300180"/>
    <n v="8471170"/>
    <x v="45"/>
    <n v="495110"/>
    <x v="53"/>
    <n v="847001"/>
    <s v="KUST - General"/>
    <x v="2"/>
    <x v="2"/>
    <n v="0"/>
    <n v="0"/>
    <n v="33644"/>
    <n v="0"/>
    <n v="0"/>
    <n v="0"/>
    <n v="0"/>
    <n v="0"/>
    <n v="0"/>
    <n v="0"/>
    <n v="0"/>
    <n v="0"/>
    <n v="0"/>
    <n v="300000"/>
  </r>
  <r>
    <x v="1"/>
    <s v="847.8471270.1.435310.000000.847001.200179"/>
    <n v="8471270"/>
    <x v="8"/>
    <n v="435310"/>
    <x v="45"/>
    <n v="847001"/>
    <s v="KUST - General"/>
    <x v="1"/>
    <x v="1"/>
    <n v="959634"/>
    <n v="-120999"/>
    <n v="-8405"/>
    <n v="0"/>
    <n v="0"/>
    <n v="0"/>
    <n v="0"/>
    <n v="0"/>
    <n v="0"/>
    <n v="0"/>
    <n v="0"/>
    <n v="0"/>
    <n v="0"/>
    <n v="0"/>
  </r>
  <r>
    <x v="4"/>
    <s v="847.8471305.1.427810.000000.847001.200179"/>
    <n v="8471305"/>
    <x v="30"/>
    <n v="427810"/>
    <x v="91"/>
    <n v="847001"/>
    <s v="KUST - General"/>
    <x v="1"/>
    <x v="1"/>
    <n v="0"/>
    <n v="0"/>
    <n v="0"/>
    <n v="10000"/>
    <n v="10000"/>
    <n v="0"/>
    <n v="0"/>
    <n v="0"/>
    <n v="0"/>
    <n v="0"/>
    <n v="0"/>
    <n v="0"/>
    <n v="0"/>
    <n v="0"/>
  </r>
  <r>
    <x v="7"/>
    <s v="847.8470110.1.420900.000000.847001.200179"/>
    <n v="8470110"/>
    <x v="35"/>
    <n v="420900"/>
    <x v="67"/>
    <n v="847001"/>
    <s v="KUST - General"/>
    <x v="1"/>
    <x v="1"/>
    <n v="2400"/>
    <n v="1845"/>
    <n v="100"/>
    <n v="1500"/>
    <n v="1500"/>
    <n v="0"/>
    <n v="0"/>
    <n v="0"/>
    <n v="0"/>
    <n v="0"/>
    <n v="0"/>
    <n v="0"/>
    <n v="0"/>
    <n v="0"/>
  </r>
  <r>
    <x v="7"/>
    <s v="847.8470110.1.421700.000000.847001.200179"/>
    <n v="8470110"/>
    <x v="35"/>
    <n v="421700"/>
    <x v="40"/>
    <n v="847001"/>
    <s v="KUST - General"/>
    <x v="1"/>
    <x v="1"/>
    <n v="0"/>
    <n v="0"/>
    <n v="0"/>
    <n v="25000"/>
    <n v="25000"/>
    <n v="0"/>
    <n v="0"/>
    <n v="0"/>
    <n v="0"/>
    <n v="0"/>
    <n v="0"/>
    <n v="0"/>
    <n v="0"/>
    <n v="0"/>
  </r>
  <r>
    <x v="7"/>
    <s v="847.8470110.1.426610.000000.847001.200179"/>
    <n v="8470110"/>
    <x v="35"/>
    <n v="426610"/>
    <x v="12"/>
    <n v="847001"/>
    <s v="KUST - General"/>
    <x v="1"/>
    <x v="1"/>
    <n v="42240"/>
    <n v="42240"/>
    <n v="47396"/>
    <n v="518388"/>
    <n v="518388"/>
    <n v="42239.5"/>
    <n v="0"/>
    <n v="0"/>
    <n v="0"/>
    <n v="0"/>
    <n v="0"/>
    <n v="0"/>
    <n v="0"/>
    <n v="0"/>
  </r>
  <r>
    <x v="7"/>
    <s v="847.8470110.1.492316.000000.847001.300180"/>
    <n v="8470110"/>
    <x v="35"/>
    <n v="492316"/>
    <x v="39"/>
    <n v="847001"/>
    <s v="KUST - General"/>
    <x v="2"/>
    <x v="2"/>
    <n v="4151760"/>
    <n v="39940"/>
    <n v="2847291"/>
    <n v="1220302"/>
    <n v="1220302"/>
    <n v="1220301.8"/>
    <n v="0"/>
    <n v="1.16415321826935E-10"/>
    <n v="0"/>
    <n v="0"/>
    <n v="0"/>
    <n v="0"/>
    <n v="0"/>
    <n v="0"/>
  </r>
  <r>
    <x v="7"/>
    <s v="847.8470120.1.495113.000000.847001.300180"/>
    <n v="8470120"/>
    <x v="36"/>
    <n v="495113"/>
    <x v="61"/>
    <n v="847001"/>
    <s v="KUST - General"/>
    <x v="2"/>
    <x v="2"/>
    <n v="0"/>
    <n v="0"/>
    <n v="0"/>
    <n v="56000"/>
    <n v="56000"/>
    <n v="0"/>
    <n v="56000"/>
    <n v="0"/>
    <n v="0"/>
    <n v="0"/>
    <n v="0"/>
    <n v="0"/>
    <n v="0"/>
    <n v="0"/>
  </r>
  <r>
    <x v="6"/>
    <s v="847.8470130.1.427710.000000.847001.200179"/>
    <n v="8470130"/>
    <x v="32"/>
    <n v="427710"/>
    <x v="42"/>
    <n v="847001"/>
    <s v="KUST - General"/>
    <x v="1"/>
    <x v="1"/>
    <n v="0"/>
    <n v="0"/>
    <n v="129635"/>
    <n v="115000"/>
    <n v="115000"/>
    <n v="114759"/>
    <n v="0"/>
    <n v="0"/>
    <n v="0"/>
    <n v="0"/>
    <n v="0"/>
    <n v="0"/>
    <n v="0"/>
    <n v="0"/>
  </r>
  <r>
    <x v="2"/>
    <s v="847.8470405.1.432209.000000.847001.200179"/>
    <n v="8470405"/>
    <x v="10"/>
    <n v="432209"/>
    <x v="47"/>
    <n v="847001"/>
    <s v="KUST - General"/>
    <x v="1"/>
    <x v="1"/>
    <n v="115909"/>
    <n v="54286"/>
    <n v="152176"/>
    <n v="200000"/>
    <n v="200000"/>
    <n v="0"/>
    <n v="0"/>
    <n v="0"/>
    <n v="0"/>
    <n v="0"/>
    <n v="0"/>
    <n v="0"/>
    <n v="0"/>
    <n v="0"/>
  </r>
  <r>
    <x v="2"/>
    <s v="847.8470415.1.435519.000000.847001.200179"/>
    <n v="8470415"/>
    <x v="12"/>
    <n v="435519"/>
    <x v="63"/>
    <n v="847001"/>
    <s v="KUST - General"/>
    <x v="1"/>
    <x v="1"/>
    <n v="0"/>
    <n v="0"/>
    <n v="0"/>
    <n v="20000"/>
    <n v="20000"/>
    <n v="0"/>
    <n v="0"/>
    <n v="0"/>
    <n v="0"/>
    <n v="0"/>
    <n v="0"/>
    <n v="0"/>
    <n v="0"/>
    <n v="0"/>
  </r>
  <r>
    <x v="2"/>
    <s v="847.8470435.1.425770.000000.847001.200179"/>
    <n v="8470435"/>
    <x v="15"/>
    <n v="425770"/>
    <x v="37"/>
    <n v="847001"/>
    <s v="KUST - General"/>
    <x v="1"/>
    <x v="1"/>
    <n v="188920"/>
    <n v="73919"/>
    <n v="6348"/>
    <n v="100000"/>
    <n v="100000"/>
    <n v="18095.900000000001"/>
    <n v="0"/>
    <n v="0"/>
    <n v="0"/>
    <n v="0"/>
    <n v="0"/>
    <n v="0"/>
    <n v="0"/>
    <n v="0"/>
  </r>
  <r>
    <x v="2"/>
    <s v="847.8470435.1.426610.000000.847001.200179"/>
    <n v="8470435"/>
    <x v="15"/>
    <n v="426610"/>
    <x v="12"/>
    <n v="847001"/>
    <s v="KUST - General"/>
    <x v="1"/>
    <x v="1"/>
    <n v="0"/>
    <n v="0"/>
    <n v="688"/>
    <n v="30000"/>
    <n v="30000"/>
    <n v="1156"/>
    <n v="0"/>
    <n v="0"/>
    <n v="0"/>
    <n v="0"/>
    <n v="0"/>
    <n v="0"/>
    <n v="0"/>
    <n v="0"/>
  </r>
  <r>
    <x v="2"/>
    <s v="847.8470435.1.435340.000000.847001.200179"/>
    <n v="8470435"/>
    <x v="15"/>
    <n v="435340"/>
    <x v="20"/>
    <n v="847001"/>
    <s v="KUST - General"/>
    <x v="1"/>
    <x v="1"/>
    <n v="0"/>
    <n v="0"/>
    <n v="0"/>
    <n v="35000"/>
    <n v="35000"/>
    <n v="0"/>
    <n v="0"/>
    <n v="0"/>
    <n v="0"/>
    <n v="0"/>
    <n v="0"/>
    <n v="0"/>
    <n v="0"/>
    <n v="0"/>
  </r>
  <r>
    <x v="10"/>
    <s v="847.8470530.1.430110.000000.847020.200179"/>
    <n v="8470530"/>
    <x v="48"/>
    <n v="430110"/>
    <x v="76"/>
    <n v="847020"/>
    <s v="KUST- Sas Al Nakhl Campus"/>
    <x v="1"/>
    <x v="1"/>
    <n v="0"/>
    <n v="0"/>
    <n v="0"/>
    <n v="200211"/>
    <n v="200211"/>
    <n v="199212.79999999999"/>
    <n v="0"/>
    <n v="0"/>
    <n v="0"/>
    <n v="0"/>
    <n v="0"/>
    <n v="0"/>
    <n v="0"/>
    <n v="0"/>
  </r>
  <r>
    <x v="10"/>
    <s v="847.8470530.1.436340.000000.847001.200179"/>
    <n v="8470530"/>
    <x v="48"/>
    <n v="436340"/>
    <x v="97"/>
    <n v="847001"/>
    <s v="KUST - General"/>
    <x v="1"/>
    <x v="1"/>
    <n v="0"/>
    <n v="0"/>
    <n v="0"/>
    <n v="20000"/>
    <n v="20000"/>
    <n v="0"/>
    <n v="0"/>
    <n v="0"/>
    <n v="0"/>
    <n v="0"/>
    <n v="0"/>
    <n v="0"/>
    <n v="0"/>
    <n v="0"/>
  </r>
  <r>
    <x v="10"/>
    <s v="847.8470530.1.495113.000000.847010.300180"/>
    <n v="8470530"/>
    <x v="48"/>
    <n v="495113"/>
    <x v="61"/>
    <n v="847010"/>
    <s v="KUST - Main Campus"/>
    <x v="2"/>
    <x v="2"/>
    <n v="0"/>
    <n v="0"/>
    <n v="0"/>
    <n v="1000000"/>
    <n v="1000000"/>
    <n v="0"/>
    <n v="1000000"/>
    <n v="0"/>
    <n v="0"/>
    <n v="0"/>
    <n v="0"/>
    <n v="0"/>
    <n v="0"/>
    <n v="0"/>
  </r>
  <r>
    <x v="10"/>
    <s v="847.8470540.1.421100.000000.847010.200179"/>
    <n v="8470540"/>
    <x v="49"/>
    <n v="421100"/>
    <x v="90"/>
    <n v="847010"/>
    <s v="KUST - Main Campus"/>
    <x v="1"/>
    <x v="1"/>
    <n v="0"/>
    <n v="0"/>
    <n v="2818067"/>
    <n v="589128"/>
    <n v="589128"/>
    <n v="168512.62"/>
    <n v="1"/>
    <n v="253016.89"/>
    <n v="0"/>
    <n v="0"/>
    <n v="0"/>
    <n v="0"/>
    <n v="0"/>
    <n v="0"/>
  </r>
  <r>
    <x v="10"/>
    <s v="847.8470540.1.427710.000000.847001.200179"/>
    <n v="8470540"/>
    <x v="49"/>
    <n v="427710"/>
    <x v="42"/>
    <n v="847001"/>
    <s v="KUST - General"/>
    <x v="1"/>
    <x v="1"/>
    <n v="0"/>
    <n v="0"/>
    <n v="0"/>
    <n v="7000"/>
    <n v="7000"/>
    <n v="0"/>
    <n v="5106"/>
    <n v="0"/>
    <n v="0"/>
    <n v="0"/>
    <n v="0"/>
    <n v="0"/>
    <n v="0"/>
    <n v="0"/>
  </r>
  <r>
    <x v="10"/>
    <s v="847.8470540.1.432120.000000.847010.200179"/>
    <n v="8470540"/>
    <x v="49"/>
    <n v="432120"/>
    <x v="35"/>
    <n v="847010"/>
    <s v="KUST - Main Campus"/>
    <x v="1"/>
    <x v="1"/>
    <n v="0"/>
    <n v="0"/>
    <n v="8245171"/>
    <n v="-367211"/>
    <n v="-367211"/>
    <n v="-367211.82"/>
    <n v="0"/>
    <n v="-7.0000000006984905E-2"/>
    <n v="0"/>
    <n v="0"/>
    <n v="0"/>
    <n v="0"/>
    <n v="0"/>
    <n v="0"/>
  </r>
  <r>
    <x v="10"/>
    <s v="847.8470540.1.432120.000000.847020.200179"/>
    <n v="8470540"/>
    <x v="49"/>
    <n v="432120"/>
    <x v="35"/>
    <n v="847020"/>
    <s v="KUST- Sas Al Nakhl Campus"/>
    <x v="1"/>
    <x v="1"/>
    <n v="0"/>
    <n v="0"/>
    <n v="3409177"/>
    <n v="-241882"/>
    <n v="-241882"/>
    <n v="-242103.6"/>
    <n v="0"/>
    <n v="0"/>
    <n v="0"/>
    <n v="0"/>
    <n v="0"/>
    <n v="0"/>
    <n v="0"/>
    <n v="0"/>
  </r>
  <r>
    <x v="10"/>
    <s v="847.8470620.1.421100.000000.847001.200179"/>
    <n v="8470620"/>
    <x v="50"/>
    <n v="421100"/>
    <x v="90"/>
    <n v="847001"/>
    <s v="KUST - General"/>
    <x v="1"/>
    <x v="1"/>
    <n v="0"/>
    <n v="502724"/>
    <n v="451033"/>
    <n v="31160"/>
    <n v="31160"/>
    <n v="31000"/>
    <n v="0"/>
    <n v="0"/>
    <n v="0"/>
    <n v="0"/>
    <n v="0"/>
    <n v="0"/>
    <n v="0"/>
    <n v="0"/>
  </r>
  <r>
    <x v="10"/>
    <s v="847.8470720.1.421700.000000.847001.200179"/>
    <n v="8470720"/>
    <x v="54"/>
    <n v="421700"/>
    <x v="40"/>
    <n v="847001"/>
    <s v="KUST - General"/>
    <x v="1"/>
    <x v="1"/>
    <n v="0"/>
    <n v="0"/>
    <n v="2000"/>
    <n v="2000"/>
    <n v="2000"/>
    <n v="0"/>
    <n v="0"/>
    <n v="0"/>
    <n v="0"/>
    <n v="0"/>
    <n v="0"/>
    <n v="0"/>
    <n v="0"/>
    <n v="0"/>
  </r>
  <r>
    <x v="10"/>
    <s v="847.8470720.1.426900.000000.847001.200179"/>
    <n v="8470720"/>
    <x v="54"/>
    <n v="426900"/>
    <x v="19"/>
    <n v="847001"/>
    <s v="KUST - General"/>
    <x v="1"/>
    <x v="1"/>
    <n v="123949"/>
    <n v="-5803"/>
    <n v="-10121"/>
    <n v="10000"/>
    <n v="10000"/>
    <n v="8268.2900000000009"/>
    <n v="0"/>
    <n v="0"/>
    <n v="0"/>
    <n v="0"/>
    <n v="0"/>
    <n v="0"/>
    <n v="0"/>
    <n v="0"/>
  </r>
  <r>
    <x v="10"/>
    <s v="847.8470720.1.428200.000000.847001.200179"/>
    <n v="8470720"/>
    <x v="54"/>
    <n v="428200"/>
    <x v="71"/>
    <n v="847001"/>
    <s v="KUST - General"/>
    <x v="1"/>
    <x v="1"/>
    <n v="0"/>
    <n v="166689"/>
    <n v="192932"/>
    <n v="250000"/>
    <n v="250000"/>
    <n v="132395.32"/>
    <n v="0"/>
    <n v="0"/>
    <n v="0"/>
    <n v="0"/>
    <n v="0"/>
    <n v="0"/>
    <n v="0"/>
    <n v="0"/>
  </r>
  <r>
    <x v="10"/>
    <s v="847.8470720.1.432120.000000.847001.200179"/>
    <n v="8470720"/>
    <x v="54"/>
    <n v="432120"/>
    <x v="35"/>
    <n v="847001"/>
    <s v="KUST - General"/>
    <x v="1"/>
    <x v="1"/>
    <n v="0"/>
    <n v="0"/>
    <n v="-6590"/>
    <n v="236400"/>
    <n v="236400"/>
    <n v="0"/>
    <n v="0"/>
    <n v="0"/>
    <n v="0"/>
    <n v="0"/>
    <n v="0"/>
    <n v="0"/>
    <n v="0"/>
    <n v="0"/>
  </r>
  <r>
    <x v="10"/>
    <s v="847.8470720.1.435410.000000.847001.200179"/>
    <n v="8470720"/>
    <x v="54"/>
    <n v="435410"/>
    <x v="84"/>
    <n v="847001"/>
    <s v="KUST - General"/>
    <x v="1"/>
    <x v="1"/>
    <n v="1235808"/>
    <n v="538850"/>
    <n v="631727"/>
    <n v="164310"/>
    <n v="164310"/>
    <n v="163340.39000000001"/>
    <n v="0"/>
    <n v="450"/>
    <n v="0"/>
    <n v="0"/>
    <n v="0"/>
    <n v="0"/>
    <n v="0"/>
    <n v="0"/>
  </r>
  <r>
    <x v="10"/>
    <s v="847.8470720.1.436110.000000.847001.200179"/>
    <n v="8470720"/>
    <x v="54"/>
    <n v="436110"/>
    <x v="15"/>
    <n v="847001"/>
    <s v="KUST - General"/>
    <x v="1"/>
    <x v="1"/>
    <n v="117150"/>
    <n v="65"/>
    <n v="0"/>
    <n v="50000"/>
    <n v="50000"/>
    <n v="0"/>
    <n v="0"/>
    <n v="0"/>
    <n v="0"/>
    <n v="0"/>
    <n v="0"/>
    <n v="0"/>
    <n v="0"/>
    <n v="0"/>
  </r>
  <r>
    <x v="10"/>
    <s v="847.8470720.1.436120.000000.847001.200179"/>
    <n v="8470720"/>
    <x v="54"/>
    <n v="436120"/>
    <x v="21"/>
    <n v="847001"/>
    <s v="KUST - General"/>
    <x v="1"/>
    <x v="1"/>
    <n v="310492"/>
    <n v="115060"/>
    <n v="32301"/>
    <n v="120000"/>
    <n v="120000"/>
    <n v="112763.08"/>
    <n v="54.01"/>
    <n v="-7.2759576141834308E-12"/>
    <n v="0"/>
    <n v="0"/>
    <n v="0"/>
    <n v="0"/>
    <n v="0"/>
    <n v="0"/>
  </r>
  <r>
    <x v="10"/>
    <s v="847.8470720.1.495110.000000.847001.300180"/>
    <n v="8470720"/>
    <x v="54"/>
    <n v="495110"/>
    <x v="53"/>
    <n v="847001"/>
    <s v="KUST - General"/>
    <x v="2"/>
    <x v="2"/>
    <n v="0"/>
    <n v="0"/>
    <n v="0"/>
    <n v="0"/>
    <n v="0"/>
    <n v="0"/>
    <n v="0"/>
    <n v="0"/>
    <n v="0"/>
    <n v="0"/>
    <n v="0"/>
    <n v="0"/>
    <n v="0"/>
    <n v="0"/>
  </r>
  <r>
    <x v="10"/>
    <s v="847.8470720.1.495113.000000.847001.300180"/>
    <n v="8470720"/>
    <x v="54"/>
    <n v="495113"/>
    <x v="61"/>
    <n v="847001"/>
    <s v="KUST - General"/>
    <x v="2"/>
    <x v="2"/>
    <n v="0"/>
    <n v="0"/>
    <n v="0"/>
    <n v="69286"/>
    <n v="69286"/>
    <n v="69286"/>
    <n v="0"/>
    <n v="0"/>
    <n v="0"/>
    <n v="0"/>
    <n v="0"/>
    <n v="0"/>
    <n v="0"/>
    <n v="0"/>
  </r>
  <r>
    <x v="10"/>
    <s v="847.8470730.1.421000.000000.847001.200179"/>
    <n v="8470730"/>
    <x v="52"/>
    <n v="421000"/>
    <x v="55"/>
    <n v="847001"/>
    <s v="KUST - General"/>
    <x v="1"/>
    <x v="1"/>
    <n v="0"/>
    <n v="-5100"/>
    <n v="7345"/>
    <n v="600000"/>
    <n v="600000"/>
    <n v="2000"/>
    <n v="590000"/>
    <n v="0"/>
    <n v="0"/>
    <n v="0"/>
    <n v="0"/>
    <n v="0"/>
    <n v="0"/>
    <n v="0"/>
  </r>
  <r>
    <x v="10"/>
    <s v="847.8470730.1.425510.000000.847001.200179"/>
    <n v="8470730"/>
    <x v="52"/>
    <n v="425510"/>
    <x v="3"/>
    <n v="847001"/>
    <s v="KUST - General"/>
    <x v="1"/>
    <x v="1"/>
    <n v="209623"/>
    <n v="34864"/>
    <n v="8765"/>
    <n v="42000"/>
    <n v="42000"/>
    <n v="12490"/>
    <n v="0"/>
    <n v="0"/>
    <n v="0"/>
    <n v="0"/>
    <n v="0"/>
    <n v="0"/>
    <n v="0"/>
    <n v="0"/>
  </r>
  <r>
    <x v="10"/>
    <s v="847.8470730.1.428090.000000.847001.200179"/>
    <n v="8470730"/>
    <x v="52"/>
    <n v="428090"/>
    <x v="13"/>
    <n v="847001"/>
    <s v="KUST - General"/>
    <x v="1"/>
    <x v="1"/>
    <n v="13533"/>
    <n v="0"/>
    <n v="0"/>
    <n v="8000"/>
    <n v="8000"/>
    <n v="8000"/>
    <n v="0"/>
    <n v="0"/>
    <n v="0"/>
    <n v="0"/>
    <n v="0"/>
    <n v="0"/>
    <n v="0"/>
    <n v="0"/>
  </r>
  <r>
    <x v="10"/>
    <s v="847.8470730.1.492610.000000.847001.300180"/>
    <n v="8470730"/>
    <x v="52"/>
    <n v="492610"/>
    <x v="83"/>
    <n v="847001"/>
    <s v="KUST - General"/>
    <x v="2"/>
    <x v="2"/>
    <n v="0"/>
    <n v="0"/>
    <n v="0"/>
    <n v="0"/>
    <n v="0"/>
    <n v="0"/>
    <n v="0"/>
    <n v="0"/>
    <n v="0"/>
    <n v="0"/>
    <n v="0"/>
    <n v="0"/>
    <n v="0"/>
    <n v="0"/>
  </r>
  <r>
    <x v="9"/>
    <s v="847.8471110.1.492316.000000.847001.300180"/>
    <n v="8471110"/>
    <x v="41"/>
    <n v="492316"/>
    <x v="39"/>
    <n v="847001"/>
    <s v="KUST - General"/>
    <x v="2"/>
    <x v="2"/>
    <n v="11106087"/>
    <n v="0"/>
    <n v="6996916"/>
    <n v="2998678"/>
    <n v="2998678"/>
    <n v="2998678.09"/>
    <n v="0"/>
    <n v="-3749.9999999997699"/>
    <n v="0"/>
    <n v="0"/>
    <n v="0"/>
    <n v="0"/>
    <n v="0"/>
    <n v="0"/>
  </r>
  <r>
    <x v="9"/>
    <s v="847.8471120.1.425900.000000.847001.200179"/>
    <n v="8471120"/>
    <x v="55"/>
    <n v="425900"/>
    <x v="11"/>
    <n v="847001"/>
    <s v="KUST - General"/>
    <x v="1"/>
    <x v="1"/>
    <n v="2311"/>
    <n v="0"/>
    <n v="0"/>
    <n v="110000"/>
    <n v="110000"/>
    <n v="0"/>
    <n v="0"/>
    <n v="0"/>
    <n v="0"/>
    <n v="0"/>
    <n v="0"/>
    <n v="0"/>
    <n v="0"/>
    <n v="0"/>
  </r>
  <r>
    <x v="9"/>
    <s v="847.8471120.1.428090.000000.847001.200179"/>
    <n v="8471120"/>
    <x v="55"/>
    <n v="428090"/>
    <x v="13"/>
    <n v="847001"/>
    <s v="KUST - General"/>
    <x v="1"/>
    <x v="1"/>
    <n v="0"/>
    <n v="3300"/>
    <n v="0"/>
    <n v="220000"/>
    <n v="220000"/>
    <n v="0"/>
    <n v="0"/>
    <n v="0"/>
    <n v="0"/>
    <n v="0"/>
    <n v="0"/>
    <n v="0"/>
    <n v="0"/>
    <n v="0"/>
  </r>
  <r>
    <x v="9"/>
    <s v="847.8471120.1.429900.000000.847001.200179"/>
    <n v="8471120"/>
    <x v="55"/>
    <n v="429900"/>
    <x v="64"/>
    <n v="847001"/>
    <s v="KUST - General"/>
    <x v="1"/>
    <x v="1"/>
    <n v="0"/>
    <n v="0"/>
    <n v="0"/>
    <n v="55510"/>
    <n v="55510"/>
    <n v="0"/>
    <n v="0"/>
    <n v="0"/>
    <n v="0"/>
    <n v="0"/>
    <n v="0"/>
    <n v="0"/>
    <n v="0"/>
    <n v="0"/>
  </r>
  <r>
    <x v="9"/>
    <s v="847.8471120.1.435523.000000.847001.200179"/>
    <n v="8471120"/>
    <x v="55"/>
    <n v="435523"/>
    <x v="70"/>
    <n v="847001"/>
    <s v="KUST - General"/>
    <x v="1"/>
    <x v="1"/>
    <n v="0"/>
    <n v="0"/>
    <n v="0"/>
    <n v="0"/>
    <n v="0"/>
    <n v="0"/>
    <n v="0"/>
    <n v="0"/>
    <n v="0"/>
    <n v="0"/>
    <n v="0"/>
    <n v="0"/>
    <n v="0"/>
    <n v="0"/>
  </r>
  <r>
    <x v="9"/>
    <s v="847.8471121.1.425510.000000.847001.200179"/>
    <n v="8471121"/>
    <x v="56"/>
    <n v="425510"/>
    <x v="3"/>
    <n v="847001"/>
    <s v="KUST - General"/>
    <x v="1"/>
    <x v="1"/>
    <n v="0"/>
    <n v="0"/>
    <n v="0"/>
    <n v="50000"/>
    <n v="50000"/>
    <n v="0"/>
    <n v="0"/>
    <n v="0"/>
    <n v="0"/>
    <n v="0"/>
    <n v="0"/>
    <n v="0"/>
    <n v="0"/>
    <n v="0"/>
  </r>
  <r>
    <x v="9"/>
    <s v="847.8471121.1.425900.000000.847001.200179"/>
    <n v="8471121"/>
    <x v="56"/>
    <n v="425900"/>
    <x v="11"/>
    <n v="847001"/>
    <s v="KUST - General"/>
    <x v="1"/>
    <x v="1"/>
    <n v="0"/>
    <n v="0"/>
    <n v="0"/>
    <n v="15000"/>
    <n v="15000"/>
    <n v="0"/>
    <n v="0"/>
    <n v="0"/>
    <n v="0"/>
    <n v="0"/>
    <n v="0"/>
    <n v="0"/>
    <n v="0"/>
    <n v="0"/>
  </r>
  <r>
    <x v="9"/>
    <s v="847.8471121.1.428090.000000.847001.200179"/>
    <n v="8471121"/>
    <x v="56"/>
    <n v="428090"/>
    <x v="13"/>
    <n v="847001"/>
    <s v="KUST - General"/>
    <x v="1"/>
    <x v="1"/>
    <n v="0"/>
    <n v="0"/>
    <n v="0"/>
    <n v="50000"/>
    <n v="50000"/>
    <n v="0"/>
    <n v="0"/>
    <n v="0"/>
    <n v="0"/>
    <n v="0"/>
    <n v="0"/>
    <n v="0"/>
    <n v="0"/>
    <n v="0"/>
  </r>
  <r>
    <x v="9"/>
    <s v="847.8471121.1.432170.000000.847001.200179"/>
    <n v="8471121"/>
    <x v="56"/>
    <n v="432170"/>
    <x v="38"/>
    <n v="847001"/>
    <s v="KUST - General"/>
    <x v="1"/>
    <x v="1"/>
    <n v="0"/>
    <n v="0"/>
    <n v="0"/>
    <n v="0"/>
    <n v="0"/>
    <n v="0"/>
    <n v="0"/>
    <n v="0"/>
    <n v="0"/>
    <n v="0"/>
    <n v="0"/>
    <n v="0"/>
    <n v="0"/>
    <n v="0"/>
  </r>
  <r>
    <x v="9"/>
    <s v="847.8471121.1.435523.000000.847001.200179"/>
    <n v="8471121"/>
    <x v="56"/>
    <n v="435523"/>
    <x v="70"/>
    <n v="847001"/>
    <s v="KUST - General"/>
    <x v="1"/>
    <x v="1"/>
    <n v="0"/>
    <n v="0"/>
    <n v="0"/>
    <n v="826280"/>
    <n v="826280"/>
    <n v="0"/>
    <n v="0"/>
    <n v="0"/>
    <n v="0"/>
    <n v="0"/>
    <n v="0"/>
    <n v="0"/>
    <n v="0"/>
    <n v="0"/>
  </r>
  <r>
    <x v="9"/>
    <s v="847.8471122.1.425900.000000.847001.200179"/>
    <n v="8471122"/>
    <x v="57"/>
    <n v="425900"/>
    <x v="11"/>
    <n v="847001"/>
    <s v="KUST - General"/>
    <x v="1"/>
    <x v="1"/>
    <n v="0"/>
    <n v="0"/>
    <n v="0"/>
    <n v="50000"/>
    <n v="50000"/>
    <n v="0"/>
    <n v="0"/>
    <n v="0"/>
    <n v="0"/>
    <n v="0"/>
    <n v="0"/>
    <n v="0"/>
    <n v="0"/>
    <n v="0"/>
  </r>
  <r>
    <x v="9"/>
    <s v="847.8471122.1.428090.000000.847001.200179"/>
    <n v="8471122"/>
    <x v="57"/>
    <n v="428090"/>
    <x v="13"/>
    <n v="847001"/>
    <s v="KUST - General"/>
    <x v="1"/>
    <x v="1"/>
    <n v="0"/>
    <n v="0"/>
    <n v="0"/>
    <n v="50000"/>
    <n v="50000"/>
    <n v="0"/>
    <n v="0"/>
    <n v="0"/>
    <n v="0"/>
    <n v="0"/>
    <n v="0"/>
    <n v="0"/>
    <n v="0"/>
    <n v="0"/>
  </r>
  <r>
    <x v="9"/>
    <s v="847.8471140.1.492316.000000.847001.300180"/>
    <n v="8471140"/>
    <x v="43"/>
    <n v="492316"/>
    <x v="39"/>
    <n v="847001"/>
    <s v="KUST - General"/>
    <x v="2"/>
    <x v="2"/>
    <n v="0"/>
    <n v="0"/>
    <n v="1011700"/>
    <n v="358538"/>
    <n v="358538"/>
    <n v="336314.5"/>
    <n v="0"/>
    <n v="-3.6379788070917101E-12"/>
    <n v="0"/>
    <n v="0"/>
    <n v="0"/>
    <n v="0"/>
    <n v="0"/>
    <n v="0"/>
  </r>
  <r>
    <x v="9"/>
    <s v="847.8471160.1.420810.000000.847001.200179"/>
    <n v="8471160"/>
    <x v="58"/>
    <n v="420810"/>
    <x v="89"/>
    <n v="847001"/>
    <s v="KUST - General"/>
    <x v="1"/>
    <x v="1"/>
    <n v="0"/>
    <n v="0"/>
    <n v="0"/>
    <n v="0"/>
    <n v="0"/>
    <n v="0"/>
    <n v="0"/>
    <n v="0"/>
    <n v="0"/>
    <n v="0"/>
    <n v="0"/>
    <n v="0"/>
    <n v="0"/>
    <n v="0"/>
  </r>
  <r>
    <x v="9"/>
    <s v="847.8471160.1.420811.000000.847001.200179"/>
    <n v="8471160"/>
    <x v="58"/>
    <n v="420811"/>
    <x v="54"/>
    <n v="847001"/>
    <s v="KUST - General"/>
    <x v="1"/>
    <x v="1"/>
    <n v="0"/>
    <n v="0"/>
    <n v="0"/>
    <n v="588000"/>
    <n v="588000"/>
    <n v="0"/>
    <n v="0"/>
    <n v="0"/>
    <n v="1"/>
    <n v="0.9"/>
    <n v="0.8"/>
    <n v="0.72000000000000008"/>
    <n v="0"/>
    <n v="0"/>
  </r>
  <r>
    <x v="9"/>
    <s v="847.8471160.1.426610.000000.847001.200179"/>
    <n v="8471160"/>
    <x v="58"/>
    <n v="426610"/>
    <x v="12"/>
    <n v="847001"/>
    <s v="KUST - General"/>
    <x v="1"/>
    <x v="1"/>
    <n v="0"/>
    <n v="0"/>
    <n v="51394"/>
    <n v="361375"/>
    <n v="361375"/>
    <n v="68000"/>
    <n v="269963.64"/>
    <n v="19650"/>
    <n v="15330"/>
    <n v="13797"/>
    <n v="12264"/>
    <n v="11037.6"/>
    <n v="0"/>
    <n v="0"/>
  </r>
  <r>
    <x v="9"/>
    <s v="847.8471160.1.432209.000000.847001.200179"/>
    <n v="8471160"/>
    <x v="58"/>
    <n v="432209"/>
    <x v="47"/>
    <n v="847001"/>
    <s v="KUST - General"/>
    <x v="1"/>
    <x v="1"/>
    <n v="12238567"/>
    <n v="12105813"/>
    <n v="10701612"/>
    <n v="15119303"/>
    <n v="15119303"/>
    <n v="1772372.92"/>
    <n v="4556561.6500000004"/>
    <n v="5853212.0499999998"/>
    <n v="17597270"/>
    <n v="15837543"/>
    <n v="14077816"/>
    <n v="12670034.4"/>
    <n v="19356997"/>
    <n v="21292697"/>
  </r>
  <r>
    <x v="9"/>
    <s v="847.8471160.1.435508.000000.847001.200179"/>
    <n v="8471160"/>
    <x v="58"/>
    <n v="435508"/>
    <x v="44"/>
    <n v="847001"/>
    <s v="KUST - General"/>
    <x v="1"/>
    <x v="1"/>
    <n v="4347084"/>
    <n v="361650"/>
    <n v="1706316"/>
    <n v="2753398"/>
    <n v="2753398"/>
    <n v="44444.41"/>
    <n v="808512.03"/>
    <n v="21016.54"/>
    <n v="14046375"/>
    <n v="12641737.5"/>
    <n v="11237100"/>
    <n v="10113390"/>
    <n v="15451013"/>
    <n v="16996114"/>
  </r>
  <r>
    <x v="9"/>
    <s v="847.8471160.1.492200.000000.847001.300180"/>
    <n v="8471160"/>
    <x v="58"/>
    <n v="492200"/>
    <x v="82"/>
    <n v="847001"/>
    <s v="KUST - General"/>
    <x v="2"/>
    <x v="2"/>
    <n v="0"/>
    <n v="0"/>
    <n v="1834891"/>
    <n v="1304891"/>
    <n v="1304891"/>
    <n v="350147.24"/>
    <n v="0"/>
    <n v="954743.26"/>
    <n v="865000"/>
    <n v="778500"/>
    <n v="692000"/>
    <n v="622800"/>
    <n v="0"/>
    <n v="0"/>
  </r>
  <r>
    <x v="9"/>
    <s v="847.8471160.1.492316.000000.847001.300180"/>
    <n v="8471160"/>
    <x v="58"/>
    <n v="492316"/>
    <x v="39"/>
    <n v="847001"/>
    <s v="KUST - General"/>
    <x v="2"/>
    <x v="2"/>
    <n v="13263756"/>
    <n v="9475691"/>
    <n v="7403824"/>
    <n v="15928069"/>
    <n v="15928069"/>
    <n v="2281711.5"/>
    <n v="11146925.789999999"/>
    <n v="1223698.1000000001"/>
    <n v="81669712"/>
    <n v="73502740.799999997"/>
    <n v="65335769.600000001"/>
    <n v="58802192.640000001"/>
    <n v="88763226"/>
    <n v="55622099"/>
  </r>
  <r>
    <x v="9"/>
    <s v="847.8471170.1.420810.000000.847001.200179"/>
    <n v="8471170"/>
    <x v="45"/>
    <n v="420810"/>
    <x v="89"/>
    <n v="847001"/>
    <s v="KUST - General"/>
    <x v="1"/>
    <x v="1"/>
    <n v="391825"/>
    <n v="1018910"/>
    <n v="798441"/>
    <n v="0"/>
    <n v="0"/>
    <n v="0"/>
    <n v="0"/>
    <n v="0"/>
    <n v="0"/>
    <n v="0"/>
    <n v="0"/>
    <n v="0"/>
    <n v="0"/>
    <n v="0"/>
  </r>
  <r>
    <x v="1"/>
    <s v="847.8471260.1.425747.000000.847001.200179"/>
    <n v="8471260"/>
    <x v="7"/>
    <n v="425747"/>
    <x v="72"/>
    <n v="847001"/>
    <s v="KUST - General"/>
    <x v="1"/>
    <x v="1"/>
    <n v="1057128"/>
    <n v="667536"/>
    <n v="797"/>
    <n v="225000"/>
    <n v="225000"/>
    <n v="0"/>
    <n v="81632"/>
    <n v="0"/>
    <n v="0"/>
    <n v="0"/>
    <n v="0"/>
    <n v="0"/>
    <n v="0"/>
    <n v="0"/>
  </r>
  <r>
    <x v="4"/>
    <s v="847.8471305.1.420810.000000.847001.200179"/>
    <n v="8471305"/>
    <x v="30"/>
    <n v="420810"/>
    <x v="89"/>
    <n v="847001"/>
    <s v="KUST - General"/>
    <x v="1"/>
    <x v="1"/>
    <n v="0"/>
    <n v="595"/>
    <n v="41519"/>
    <n v="0"/>
    <n v="0"/>
    <n v="0"/>
    <n v="0"/>
    <n v="0"/>
    <n v="0"/>
    <n v="0"/>
    <n v="0"/>
    <n v="0"/>
    <n v="0"/>
    <n v="0"/>
  </r>
  <r>
    <x v="4"/>
    <s v="847.8471305.1.492310.000000.847001.300180"/>
    <n v="8471305"/>
    <x v="30"/>
    <n v="492310"/>
    <x v="16"/>
    <n v="847001"/>
    <s v="KUST - General"/>
    <x v="2"/>
    <x v="2"/>
    <n v="778267"/>
    <n v="334480"/>
    <n v="4058968"/>
    <n v="913656"/>
    <n v="913656"/>
    <n v="509222"/>
    <n v="311500"/>
    <n v="13412"/>
    <n v="0"/>
    <n v="0"/>
    <n v="0"/>
    <n v="0"/>
    <n v="0"/>
    <n v="0"/>
  </r>
  <r>
    <x v="4"/>
    <s v="847.8471305.1.492610.000000.847001.300180"/>
    <n v="8471305"/>
    <x v="30"/>
    <n v="492610"/>
    <x v="83"/>
    <n v="847001"/>
    <s v="KUST - General"/>
    <x v="2"/>
    <x v="2"/>
    <n v="3277546"/>
    <n v="391932"/>
    <n v="327990"/>
    <n v="19606"/>
    <n v="19606"/>
    <n v="0"/>
    <n v="0"/>
    <n v="0"/>
    <n v="0"/>
    <n v="0"/>
    <n v="0"/>
    <n v="0"/>
    <n v="0"/>
    <n v="0"/>
  </r>
  <r>
    <x v="7"/>
    <s v="847.8470110.1.425770.000000.847001.200179"/>
    <n v="8470110"/>
    <x v="35"/>
    <n v="425770"/>
    <x v="37"/>
    <n v="847001"/>
    <s v="KUST - General"/>
    <x v="1"/>
    <x v="1"/>
    <n v="50370"/>
    <n v="-13420"/>
    <n v="0"/>
    <n v="0"/>
    <n v="0"/>
    <n v="0"/>
    <n v="0"/>
    <n v="0"/>
    <n v="0"/>
    <n v="0"/>
    <n v="0"/>
    <n v="0"/>
    <n v="0"/>
    <n v="0"/>
  </r>
  <r>
    <x v="7"/>
    <s v="847.8470110.1.435310.000000.847001.200179"/>
    <n v="8470110"/>
    <x v="35"/>
    <n v="435310"/>
    <x v="45"/>
    <n v="847001"/>
    <s v="KUST - General"/>
    <x v="1"/>
    <x v="1"/>
    <n v="2031"/>
    <n v="0"/>
    <n v="0"/>
    <n v="0"/>
    <n v="0"/>
    <n v="0"/>
    <n v="0"/>
    <n v="0"/>
    <n v="0"/>
    <n v="0"/>
    <n v="0"/>
    <n v="0"/>
    <n v="0"/>
    <n v="0"/>
  </r>
  <r>
    <x v="6"/>
    <s v="847.8470130.1.425100.000000.847001.200179"/>
    <n v="8470130"/>
    <x v="32"/>
    <n v="425100"/>
    <x v="2"/>
    <n v="847001"/>
    <s v="KUST - General"/>
    <x v="1"/>
    <x v="1"/>
    <n v="500630"/>
    <n v="0"/>
    <n v="0"/>
    <n v="0"/>
    <n v="0"/>
    <n v="0"/>
    <n v="0"/>
    <n v="0"/>
    <n v="0"/>
    <n v="0"/>
    <n v="0"/>
    <n v="0"/>
    <n v="0"/>
    <n v="0"/>
  </r>
  <r>
    <x v="6"/>
    <s v="847.8470130.1.425510.000000.847001.200179"/>
    <n v="8470130"/>
    <x v="32"/>
    <n v="425510"/>
    <x v="3"/>
    <n v="847001"/>
    <s v="KUST - General"/>
    <x v="1"/>
    <x v="1"/>
    <n v="920160"/>
    <n v="2200"/>
    <n v="0"/>
    <n v="0"/>
    <n v="0"/>
    <n v="0"/>
    <n v="0"/>
    <n v="0"/>
    <n v="0"/>
    <n v="0"/>
    <n v="0"/>
    <n v="0"/>
    <n v="0"/>
    <n v="0"/>
  </r>
  <r>
    <x v="1"/>
    <s v="847.8470230.1.425741.000000.847001.200179"/>
    <n v="8470230"/>
    <x v="1"/>
    <n v="425741"/>
    <x v="18"/>
    <n v="847001"/>
    <s v="KUST - General"/>
    <x v="1"/>
    <x v="1"/>
    <n v="58645904"/>
    <n v="39497428"/>
    <n v="0"/>
    <n v="0"/>
    <n v="0"/>
    <n v="0"/>
    <n v="0"/>
    <n v="0"/>
    <n v="0"/>
    <n v="0"/>
    <n v="0"/>
    <n v="0"/>
    <n v="0"/>
    <n v="0"/>
  </r>
  <r>
    <x v="1"/>
    <s v="847.8470230.1.425742.000000.847001.200179"/>
    <n v="8470230"/>
    <x v="1"/>
    <n v="425742"/>
    <x v="22"/>
    <n v="847001"/>
    <s v="KUST - General"/>
    <x v="1"/>
    <x v="1"/>
    <n v="7970"/>
    <n v="-103009"/>
    <n v="0"/>
    <n v="0"/>
    <n v="0"/>
    <n v="0"/>
    <n v="0"/>
    <n v="0"/>
    <n v="0"/>
    <n v="0"/>
    <n v="0"/>
    <n v="0"/>
    <n v="0"/>
    <n v="0"/>
  </r>
  <r>
    <x v="1"/>
    <s v="847.8470230.1.425770.000000.847001.200179"/>
    <n v="8470230"/>
    <x v="1"/>
    <n v="425770"/>
    <x v="37"/>
    <n v="847001"/>
    <s v="KUST - General"/>
    <x v="1"/>
    <x v="1"/>
    <n v="0"/>
    <n v="-1720"/>
    <n v="0"/>
    <n v="0"/>
    <n v="0"/>
    <n v="0"/>
    <n v="0"/>
    <n v="0"/>
    <n v="0"/>
    <n v="0"/>
    <n v="0"/>
    <n v="0"/>
    <n v="0"/>
    <n v="0"/>
  </r>
  <r>
    <x v="3"/>
    <s v="847.8470305.1.492316.000000.847001.300180"/>
    <n v="8470305"/>
    <x v="20"/>
    <n v="492316"/>
    <x v="39"/>
    <n v="847001"/>
    <s v="KUST - General"/>
    <x v="2"/>
    <x v="2"/>
    <n v="7011466"/>
    <n v="2550"/>
    <n v="0"/>
    <n v="0"/>
    <n v="0"/>
    <n v="0"/>
    <n v="0"/>
    <n v="0"/>
    <n v="0"/>
    <n v="0"/>
    <n v="0"/>
    <n v="0"/>
    <n v="0"/>
    <n v="0"/>
  </r>
  <r>
    <x v="3"/>
    <s v="847.8470310.1.430120.000000.847001.200179"/>
    <n v="8470310"/>
    <x v="21"/>
    <n v="430120"/>
    <x v="77"/>
    <n v="847001"/>
    <s v="KUST - General"/>
    <x v="1"/>
    <x v="1"/>
    <n v="271840"/>
    <n v="0"/>
    <n v="0"/>
    <n v="0"/>
    <n v="0"/>
    <n v="0"/>
    <n v="0"/>
    <n v="0"/>
    <n v="0"/>
    <n v="0"/>
    <n v="0"/>
    <n v="0"/>
    <n v="0"/>
    <n v="0"/>
  </r>
  <r>
    <x v="3"/>
    <s v="847.8470325.1.425900.000000.847001.200179"/>
    <n v="8470325"/>
    <x v="24"/>
    <n v="425900"/>
    <x v="11"/>
    <n v="847001"/>
    <s v="KUST - General"/>
    <x v="1"/>
    <x v="1"/>
    <n v="6245"/>
    <n v="1502"/>
    <n v="0"/>
    <n v="0"/>
    <n v="0"/>
    <n v="0"/>
    <n v="0"/>
    <n v="0"/>
    <n v="0"/>
    <n v="0"/>
    <n v="0"/>
    <n v="0"/>
    <n v="0"/>
    <n v="0"/>
  </r>
  <r>
    <x v="3"/>
    <s v="847.8470325.1.436110.000000.847001.200179"/>
    <n v="8470325"/>
    <x v="24"/>
    <n v="436110"/>
    <x v="15"/>
    <n v="847001"/>
    <s v="KUST - General"/>
    <x v="1"/>
    <x v="1"/>
    <n v="368"/>
    <n v="0"/>
    <n v="0"/>
    <n v="0"/>
    <n v="0"/>
    <n v="0"/>
    <n v="0"/>
    <n v="0"/>
    <n v="0"/>
    <n v="0"/>
    <n v="0"/>
    <n v="0"/>
    <n v="0"/>
    <n v="0"/>
  </r>
  <r>
    <x v="3"/>
    <s v="847.8470325.1.492200.000000.847001.300180"/>
    <n v="8470325"/>
    <x v="24"/>
    <n v="492200"/>
    <x v="82"/>
    <n v="847001"/>
    <s v="KUST - General"/>
    <x v="2"/>
    <x v="2"/>
    <n v="391826"/>
    <n v="817887"/>
    <n v="0"/>
    <n v="0"/>
    <n v="0"/>
    <n v="0"/>
    <n v="0"/>
    <n v="0"/>
    <n v="0"/>
    <n v="0"/>
    <n v="0"/>
    <n v="0"/>
    <n v="0"/>
    <n v="0"/>
  </r>
  <r>
    <x v="3"/>
    <s v="847.8470330.1.425761.000000.847001.200179"/>
    <n v="8470330"/>
    <x v="25"/>
    <n v="425761"/>
    <x v="9"/>
    <n v="847001"/>
    <s v="KUST - General"/>
    <x v="1"/>
    <x v="1"/>
    <n v="-8500"/>
    <n v="-3000"/>
    <n v="0"/>
    <n v="0"/>
    <n v="0"/>
    <n v="0"/>
    <n v="0"/>
    <n v="0"/>
    <n v="0"/>
    <n v="0"/>
    <n v="0"/>
    <n v="0"/>
    <n v="0"/>
    <n v="0"/>
  </r>
  <r>
    <x v="3"/>
    <s v="847.8470330.1.428090.000000.847001.200179"/>
    <n v="8470330"/>
    <x v="25"/>
    <n v="428090"/>
    <x v="13"/>
    <n v="847001"/>
    <s v="KUST - General"/>
    <x v="1"/>
    <x v="1"/>
    <n v="688"/>
    <n v="0"/>
    <n v="0"/>
    <n v="0"/>
    <n v="0"/>
    <n v="0"/>
    <n v="0"/>
    <n v="0"/>
    <n v="0"/>
    <n v="0"/>
    <n v="0"/>
    <n v="0"/>
    <n v="0"/>
    <n v="0"/>
  </r>
  <r>
    <x v="3"/>
    <s v="847.8470330.1.435340.000000.847001.200179"/>
    <n v="8470330"/>
    <x v="25"/>
    <n v="435340"/>
    <x v="20"/>
    <n v="847001"/>
    <s v="KUST - General"/>
    <x v="1"/>
    <x v="1"/>
    <n v="70231"/>
    <n v="0"/>
    <n v="0"/>
    <n v="0"/>
    <n v="0"/>
    <n v="0"/>
    <n v="0"/>
    <n v="0"/>
    <n v="0"/>
    <n v="0"/>
    <n v="0"/>
    <n v="0"/>
    <n v="0"/>
    <n v="0"/>
  </r>
  <r>
    <x v="3"/>
    <s v="847.8470340.1.428090.000000.847001.200179"/>
    <n v="8470340"/>
    <x v="27"/>
    <n v="428090"/>
    <x v="13"/>
    <n v="847001"/>
    <s v="KUST - General"/>
    <x v="1"/>
    <x v="1"/>
    <n v="94830"/>
    <n v="9903"/>
    <n v="0"/>
    <n v="0"/>
    <n v="0"/>
    <n v="0"/>
    <n v="0"/>
    <n v="0"/>
    <n v="0"/>
    <n v="0"/>
    <n v="0"/>
    <n v="0"/>
    <n v="0"/>
    <n v="0"/>
  </r>
  <r>
    <x v="3"/>
    <s v="847.8470340.1.436600.000000.847001.200179"/>
    <n v="8470340"/>
    <x v="27"/>
    <n v="436600"/>
    <x v="48"/>
    <n v="847001"/>
    <s v="KUST - General"/>
    <x v="1"/>
    <x v="1"/>
    <n v="6842"/>
    <n v="0"/>
    <n v="0"/>
    <n v="0"/>
    <n v="0"/>
    <n v="0"/>
    <n v="0"/>
    <n v="0"/>
    <n v="0"/>
    <n v="0"/>
    <n v="0"/>
    <n v="0"/>
    <n v="0"/>
    <n v="0"/>
  </r>
  <r>
    <x v="3"/>
    <s v="847.8470340.1.495140.000000.847001.300180"/>
    <n v="8470340"/>
    <x v="27"/>
    <n v="495140"/>
    <x v="52"/>
    <n v="847001"/>
    <s v="KUST - General"/>
    <x v="2"/>
    <x v="2"/>
    <n v="7438"/>
    <n v="7322"/>
    <n v="0"/>
    <n v="0"/>
    <n v="0"/>
    <n v="0"/>
    <n v="0"/>
    <n v="0"/>
    <n v="0"/>
    <n v="0"/>
    <n v="0"/>
    <n v="0"/>
    <n v="0"/>
    <n v="0"/>
  </r>
  <r>
    <x v="3"/>
    <s v="847.8470350.1.428090.000000.847001.200179"/>
    <n v="8470350"/>
    <x v="29"/>
    <n v="428090"/>
    <x v="13"/>
    <n v="847001"/>
    <s v="KUST - General"/>
    <x v="1"/>
    <x v="1"/>
    <n v="4250"/>
    <n v="0"/>
    <n v="0"/>
    <n v="0"/>
    <n v="0"/>
    <n v="0"/>
    <n v="0"/>
    <n v="0"/>
    <n v="0"/>
    <n v="0"/>
    <n v="0"/>
    <n v="0"/>
    <n v="0"/>
    <n v="0"/>
  </r>
  <r>
    <x v="2"/>
    <s v="847.8470405.1.425100.000000.847001.200179"/>
    <n v="8470405"/>
    <x v="10"/>
    <n v="425100"/>
    <x v="2"/>
    <n v="847001"/>
    <s v="KUST - General"/>
    <x v="1"/>
    <x v="1"/>
    <n v="44679"/>
    <n v="0"/>
    <n v="0"/>
    <n v="0"/>
    <n v="0"/>
    <n v="0"/>
    <n v="0"/>
    <n v="0"/>
    <n v="0"/>
    <n v="0"/>
    <n v="0"/>
    <n v="0"/>
    <n v="0"/>
    <n v="0"/>
  </r>
  <r>
    <x v="2"/>
    <s v="847.8470405.1.428090.000000.847001.200179"/>
    <n v="8470405"/>
    <x v="10"/>
    <n v="428090"/>
    <x v="13"/>
    <n v="847001"/>
    <s v="KUST - General"/>
    <x v="1"/>
    <x v="1"/>
    <n v="51855"/>
    <n v="0"/>
    <n v="0"/>
    <n v="0"/>
    <n v="0"/>
    <n v="0"/>
    <n v="0"/>
    <n v="0"/>
    <n v="0"/>
    <n v="0"/>
    <n v="0"/>
    <n v="0"/>
    <n v="0"/>
    <n v="0"/>
  </r>
  <r>
    <x v="2"/>
    <s v="847.8470405.1.492316.000000.847001.300180"/>
    <n v="8470405"/>
    <x v="10"/>
    <n v="492316"/>
    <x v="39"/>
    <n v="847001"/>
    <s v="KUST - General"/>
    <x v="2"/>
    <x v="2"/>
    <n v="82819"/>
    <n v="0"/>
    <n v="0"/>
    <n v="0"/>
    <n v="0"/>
    <n v="0"/>
    <n v="0"/>
    <n v="0"/>
    <n v="0"/>
    <n v="0"/>
    <n v="0"/>
    <n v="0"/>
    <n v="0"/>
    <n v="0"/>
  </r>
  <r>
    <x v="2"/>
    <s v="847.8470410.1.428090.000000.847001.200179"/>
    <n v="8470410"/>
    <x v="11"/>
    <n v="428090"/>
    <x v="13"/>
    <n v="847001"/>
    <s v="KUST - General"/>
    <x v="1"/>
    <x v="1"/>
    <n v="11164"/>
    <n v="0"/>
    <n v="0"/>
    <n v="0"/>
    <n v="0"/>
    <n v="0"/>
    <n v="0"/>
    <n v="0"/>
    <n v="0"/>
    <n v="0"/>
    <n v="0"/>
    <n v="0"/>
    <n v="0"/>
    <n v="0"/>
  </r>
  <r>
    <x v="2"/>
    <s v="847.8470415.1.425550.000000.847001.200179"/>
    <n v="8470415"/>
    <x v="12"/>
    <n v="425550"/>
    <x v="4"/>
    <n v="847001"/>
    <s v="KUST - General"/>
    <x v="1"/>
    <x v="1"/>
    <n v="8134"/>
    <n v="0"/>
    <n v="918"/>
    <n v="0"/>
    <n v="0"/>
    <n v="0"/>
    <n v="0"/>
    <n v="0"/>
    <n v="0"/>
    <n v="0"/>
    <n v="0"/>
    <n v="0"/>
    <n v="0"/>
    <n v="0"/>
  </r>
  <r>
    <x v="2"/>
    <s v="847.8470420.1.425510.000000.847001.200179"/>
    <n v="8470420"/>
    <x v="59"/>
    <n v="425510"/>
    <x v="3"/>
    <n v="847001"/>
    <s v="KUST - General"/>
    <x v="1"/>
    <x v="1"/>
    <n v="5800"/>
    <n v="0"/>
    <n v="0"/>
    <n v="0"/>
    <n v="0"/>
    <n v="0"/>
    <n v="0"/>
    <n v="0"/>
    <n v="0"/>
    <n v="0"/>
    <n v="0"/>
    <n v="0"/>
    <n v="0"/>
    <n v="0"/>
  </r>
  <r>
    <x v="2"/>
    <s v="847.8470420.1.425770.000000.847001.200179"/>
    <n v="8470420"/>
    <x v="59"/>
    <n v="425770"/>
    <x v="37"/>
    <n v="847001"/>
    <s v="KUST - General"/>
    <x v="1"/>
    <x v="1"/>
    <n v="31825"/>
    <n v="0"/>
    <n v="0"/>
    <n v="0"/>
    <n v="0"/>
    <n v="0"/>
    <n v="0"/>
    <n v="0"/>
    <n v="0"/>
    <n v="0"/>
    <n v="0"/>
    <n v="0"/>
    <n v="0"/>
    <n v="0"/>
  </r>
  <r>
    <x v="2"/>
    <s v="847.8470420.1.428090.000000.847001.200179"/>
    <n v="8470420"/>
    <x v="59"/>
    <n v="428090"/>
    <x v="13"/>
    <n v="847001"/>
    <s v="KUST - General"/>
    <x v="1"/>
    <x v="1"/>
    <n v="21792"/>
    <n v="0"/>
    <n v="0"/>
    <n v="0"/>
    <n v="0"/>
    <n v="0"/>
    <n v="0"/>
    <n v="0"/>
    <n v="0"/>
    <n v="0"/>
    <n v="0"/>
    <n v="0"/>
    <n v="0"/>
    <n v="0"/>
  </r>
  <r>
    <x v="2"/>
    <s v="847.8470420.1.492316.000000.847001.300180"/>
    <n v="8470420"/>
    <x v="59"/>
    <n v="492316"/>
    <x v="39"/>
    <n v="847001"/>
    <s v="KUST - General"/>
    <x v="2"/>
    <x v="2"/>
    <n v="1813790"/>
    <n v="0"/>
    <n v="0"/>
    <n v="0"/>
    <n v="0"/>
    <n v="0"/>
    <n v="0"/>
    <n v="0"/>
    <n v="0"/>
    <n v="0"/>
    <n v="0"/>
    <n v="0"/>
    <n v="0"/>
    <n v="0"/>
  </r>
  <r>
    <x v="2"/>
    <s v="847.8470425.1.421700.000000.847001.200179"/>
    <n v="8470425"/>
    <x v="13"/>
    <n v="421700"/>
    <x v="40"/>
    <n v="847001"/>
    <s v="KUST - General"/>
    <x v="1"/>
    <x v="1"/>
    <n v="5952"/>
    <n v="0"/>
    <n v="0"/>
    <n v="0"/>
    <n v="0"/>
    <n v="0"/>
    <n v="0"/>
    <n v="0"/>
    <n v="0"/>
    <n v="0"/>
    <n v="0"/>
    <n v="0"/>
    <n v="0"/>
    <n v="0"/>
  </r>
  <r>
    <x v="2"/>
    <s v="847.8470425.1.425761.000000.847001.200179"/>
    <n v="8470425"/>
    <x v="13"/>
    <n v="425761"/>
    <x v="9"/>
    <n v="847001"/>
    <s v="KUST - General"/>
    <x v="1"/>
    <x v="1"/>
    <n v="650"/>
    <n v="0"/>
    <n v="0"/>
    <n v="0"/>
    <n v="0"/>
    <n v="0"/>
    <n v="0"/>
    <n v="0"/>
    <n v="0"/>
    <n v="0"/>
    <n v="0"/>
    <n v="0"/>
    <n v="0"/>
    <n v="0"/>
  </r>
  <r>
    <x v="2"/>
    <s v="847.8470430.1.436600.000000.847001.200179"/>
    <n v="8470430"/>
    <x v="14"/>
    <n v="436600"/>
    <x v="48"/>
    <n v="847001"/>
    <s v="KUST - General"/>
    <x v="1"/>
    <x v="1"/>
    <n v="895"/>
    <n v="0"/>
    <n v="0"/>
    <n v="0"/>
    <n v="0"/>
    <n v="0"/>
    <n v="0"/>
    <n v="0"/>
    <n v="0"/>
    <n v="0"/>
    <n v="0"/>
    <n v="0"/>
    <n v="0"/>
    <n v="0"/>
  </r>
  <r>
    <x v="2"/>
    <s v="847.8470430.1.492316.000000.847001.300180"/>
    <n v="8470430"/>
    <x v="14"/>
    <n v="492316"/>
    <x v="39"/>
    <n v="847001"/>
    <s v="KUST - General"/>
    <x v="2"/>
    <x v="2"/>
    <n v="9198"/>
    <n v="0"/>
    <n v="0"/>
    <n v="0"/>
    <n v="0"/>
    <n v="0"/>
    <n v="0"/>
    <n v="0"/>
    <n v="0"/>
    <n v="0"/>
    <n v="0"/>
    <n v="0"/>
    <n v="0"/>
    <n v="0"/>
  </r>
  <r>
    <x v="2"/>
    <s v="847.8470440.1.495140.000000.847001.300180"/>
    <n v="8470440"/>
    <x v="16"/>
    <n v="495140"/>
    <x v="52"/>
    <n v="847001"/>
    <s v="KUST - General"/>
    <x v="2"/>
    <x v="2"/>
    <n v="24679"/>
    <n v="0"/>
    <n v="0"/>
    <n v="0"/>
    <n v="0"/>
    <n v="0"/>
    <n v="0"/>
    <n v="0"/>
    <n v="0"/>
    <n v="0"/>
    <n v="0"/>
    <n v="0"/>
    <n v="0"/>
    <n v="0"/>
  </r>
  <r>
    <x v="2"/>
    <s v="847.8470450.1.436600.000000.847001.200179"/>
    <n v="8470450"/>
    <x v="18"/>
    <n v="436600"/>
    <x v="48"/>
    <n v="847001"/>
    <s v="KUST - General"/>
    <x v="1"/>
    <x v="1"/>
    <n v="10200"/>
    <n v="0"/>
    <n v="0"/>
    <n v="0"/>
    <n v="0"/>
    <n v="0"/>
    <n v="0"/>
    <n v="0"/>
    <n v="0"/>
    <n v="0"/>
    <n v="0"/>
    <n v="0"/>
    <n v="0"/>
    <n v="0"/>
  </r>
  <r>
    <x v="10"/>
    <s v="847.8470520.1.421600.000000.847010.200179"/>
    <n v="8470520"/>
    <x v="47"/>
    <n v="421600"/>
    <x v="27"/>
    <n v="847010"/>
    <s v="KUST - Main Campus"/>
    <x v="1"/>
    <x v="1"/>
    <n v="3850039"/>
    <n v="330004"/>
    <n v="0"/>
    <n v="0"/>
    <n v="0"/>
    <n v="0"/>
    <n v="0"/>
    <n v="0"/>
    <n v="0"/>
    <n v="0"/>
    <n v="0"/>
    <n v="0"/>
    <n v="0"/>
    <n v="0"/>
  </r>
  <r>
    <x v="10"/>
    <s v="847.8470520.1.421600.000000.847020.200179"/>
    <n v="8470520"/>
    <x v="47"/>
    <n v="421600"/>
    <x v="27"/>
    <n v="847020"/>
    <s v="KUST- Sas Al Nakhl Campus"/>
    <x v="1"/>
    <x v="1"/>
    <n v="3706862"/>
    <n v="0"/>
    <n v="0"/>
    <n v="0"/>
    <n v="0"/>
    <n v="0"/>
    <n v="0"/>
    <n v="0"/>
    <n v="0"/>
    <n v="0"/>
    <n v="0"/>
    <n v="0"/>
    <n v="0"/>
    <n v="0"/>
  </r>
  <r>
    <x v="10"/>
    <s v="847.8470520.1.421700.000000.847001.200179"/>
    <n v="8470520"/>
    <x v="47"/>
    <n v="421700"/>
    <x v="40"/>
    <n v="847001"/>
    <s v="KUST - General"/>
    <x v="1"/>
    <x v="1"/>
    <n v="86250"/>
    <n v="0"/>
    <n v="0"/>
    <n v="0"/>
    <n v="0"/>
    <n v="0"/>
    <n v="0"/>
    <n v="0"/>
    <n v="0"/>
    <n v="0"/>
    <n v="0"/>
    <n v="0"/>
    <n v="0"/>
    <n v="0"/>
  </r>
  <r>
    <x v="10"/>
    <s v="847.8470520.1.426610.000000.847001.200179"/>
    <n v="8470520"/>
    <x v="47"/>
    <n v="426610"/>
    <x v="12"/>
    <n v="847001"/>
    <s v="KUST - General"/>
    <x v="1"/>
    <x v="1"/>
    <n v="178096"/>
    <n v="-918"/>
    <n v="0"/>
    <n v="0"/>
    <n v="0"/>
    <n v="0"/>
    <n v="0"/>
    <n v="0"/>
    <n v="0"/>
    <n v="0"/>
    <n v="0"/>
    <n v="0"/>
    <n v="0"/>
    <n v="0"/>
  </r>
  <r>
    <x v="10"/>
    <s v="847.8470530.1.420310.000000.847030.200179"/>
    <n v="8470530"/>
    <x v="48"/>
    <n v="420310"/>
    <x v="26"/>
    <n v="847030"/>
    <s v="KUST- Masdar city campus"/>
    <x v="1"/>
    <x v="1"/>
    <n v="1955517"/>
    <n v="2457310"/>
    <n v="0"/>
    <n v="0"/>
    <n v="0"/>
    <n v="0"/>
    <n v="0"/>
    <n v="0"/>
    <n v="0"/>
    <n v="0"/>
    <n v="0"/>
    <n v="0"/>
    <n v="0"/>
    <n v="0"/>
  </r>
  <r>
    <x v="10"/>
    <s v="847.8470530.1.421100.000000.847020.200179"/>
    <n v="8470530"/>
    <x v="48"/>
    <n v="421100"/>
    <x v="90"/>
    <n v="847020"/>
    <s v="KUST- Sas Al Nakhl Campus"/>
    <x v="1"/>
    <x v="1"/>
    <n v="140889"/>
    <n v="0"/>
    <n v="0"/>
    <n v="0"/>
    <n v="0"/>
    <n v="0"/>
    <n v="0"/>
    <n v="0"/>
    <n v="0"/>
    <n v="0"/>
    <n v="0"/>
    <n v="0"/>
    <n v="0"/>
    <n v="0"/>
  </r>
  <r>
    <x v="10"/>
    <s v="847.8470530.1.421100.000000.847030.200179"/>
    <n v="8470530"/>
    <x v="48"/>
    <n v="421100"/>
    <x v="90"/>
    <n v="847030"/>
    <s v="KUST- Masdar city campus"/>
    <x v="1"/>
    <x v="1"/>
    <n v="267837"/>
    <n v="0"/>
    <n v="0"/>
    <n v="0"/>
    <n v="0"/>
    <n v="0"/>
    <n v="0"/>
    <n v="0"/>
    <n v="0"/>
    <n v="0"/>
    <n v="0"/>
    <n v="0"/>
    <n v="0"/>
    <n v="0"/>
  </r>
  <r>
    <x v="10"/>
    <s v="847.8470530.1.422100.000000.847030.200179"/>
    <n v="8470530"/>
    <x v="48"/>
    <n v="422100"/>
    <x v="56"/>
    <n v="847030"/>
    <s v="KUST- Masdar city campus"/>
    <x v="1"/>
    <x v="1"/>
    <n v="126268"/>
    <n v="0"/>
    <n v="0"/>
    <n v="0"/>
    <n v="0"/>
    <n v="0"/>
    <n v="0"/>
    <n v="0"/>
    <n v="0"/>
    <n v="0"/>
    <n v="0"/>
    <n v="0"/>
    <n v="0"/>
    <n v="0"/>
  </r>
  <r>
    <x v="10"/>
    <s v="847.8470530.1.426210.000000.847010.200179"/>
    <n v="8470530"/>
    <x v="48"/>
    <n v="426210"/>
    <x v="73"/>
    <n v="847010"/>
    <s v="KUST - Main Campus"/>
    <x v="1"/>
    <x v="1"/>
    <n v="5079"/>
    <n v="3157"/>
    <n v="2826"/>
    <n v="0"/>
    <n v="0"/>
    <n v="0"/>
    <n v="0"/>
    <n v="0"/>
    <n v="0"/>
    <n v="0"/>
    <n v="0"/>
    <n v="0"/>
    <n v="0"/>
    <n v="0"/>
  </r>
  <r>
    <x v="10"/>
    <s v="847.8470530.1.426800.000000.847010.200179"/>
    <n v="8470530"/>
    <x v="48"/>
    <n v="426800"/>
    <x v="75"/>
    <n v="847010"/>
    <s v="KUST - Main Campus"/>
    <x v="1"/>
    <x v="1"/>
    <n v="5629"/>
    <n v="6771"/>
    <n v="6245"/>
    <n v="0"/>
    <n v="0"/>
    <n v="0"/>
    <n v="0"/>
    <n v="0"/>
    <n v="0"/>
    <n v="0"/>
    <n v="0"/>
    <n v="0"/>
    <n v="0"/>
    <n v="0"/>
  </r>
  <r>
    <x v="10"/>
    <s v="847.8470530.1.426800.000000.847020.200179"/>
    <n v="8470530"/>
    <x v="48"/>
    <n v="426800"/>
    <x v="75"/>
    <n v="847020"/>
    <s v="KUST- Sas Al Nakhl Campus"/>
    <x v="1"/>
    <x v="1"/>
    <n v="8235"/>
    <n v="0"/>
    <n v="0"/>
    <n v="0"/>
    <n v="0"/>
    <n v="0"/>
    <n v="0"/>
    <n v="0"/>
    <n v="0"/>
    <n v="0"/>
    <n v="0"/>
    <n v="0"/>
    <n v="0"/>
    <n v="0"/>
  </r>
  <r>
    <x v="10"/>
    <s v="847.8470530.1.426900.000000.847010.200179"/>
    <n v="8470530"/>
    <x v="48"/>
    <n v="426900"/>
    <x v="19"/>
    <n v="847010"/>
    <s v="KUST - Main Campus"/>
    <x v="1"/>
    <x v="1"/>
    <n v="24109"/>
    <n v="26537"/>
    <n v="17871"/>
    <n v="0"/>
    <n v="0"/>
    <n v="0"/>
    <n v="0"/>
    <n v="0"/>
    <n v="0"/>
    <n v="0"/>
    <n v="0"/>
    <n v="0"/>
    <n v="0"/>
    <n v="0"/>
  </r>
  <r>
    <x v="10"/>
    <s v="847.8470530.1.428090.000000.847010.200179"/>
    <n v="8470530"/>
    <x v="48"/>
    <n v="428090"/>
    <x v="13"/>
    <n v="847010"/>
    <s v="KUST - Main Campus"/>
    <x v="1"/>
    <x v="1"/>
    <n v="99865"/>
    <n v="0"/>
    <n v="0"/>
    <n v="0"/>
    <n v="0"/>
    <n v="0"/>
    <n v="0"/>
    <n v="0"/>
    <n v="0"/>
    <n v="0"/>
    <n v="0"/>
    <n v="0"/>
    <n v="0"/>
    <n v="0"/>
  </r>
  <r>
    <x v="10"/>
    <s v="847.8470530.1.428200.000000.847010.200179"/>
    <n v="8470530"/>
    <x v="48"/>
    <n v="428200"/>
    <x v="71"/>
    <n v="847010"/>
    <s v="KUST - Main Campus"/>
    <x v="1"/>
    <x v="1"/>
    <n v="210685"/>
    <n v="0"/>
    <n v="0"/>
    <n v="0"/>
    <n v="0"/>
    <n v="0"/>
    <n v="0"/>
    <n v="0"/>
    <n v="0"/>
    <n v="0"/>
    <n v="0"/>
    <n v="0"/>
    <n v="0"/>
    <n v="0"/>
  </r>
  <r>
    <x v="10"/>
    <s v="847.8470530.1.430330.000000.847020.200179"/>
    <n v="8470530"/>
    <x v="48"/>
    <n v="430330"/>
    <x v="78"/>
    <n v="847020"/>
    <s v="KUST- Sas Al Nakhl Campus"/>
    <x v="1"/>
    <x v="1"/>
    <n v="408596"/>
    <n v="0"/>
    <n v="-3600"/>
    <n v="0"/>
    <n v="0"/>
    <n v="0"/>
    <n v="0"/>
    <n v="0"/>
    <n v="0"/>
    <n v="0"/>
    <n v="0"/>
    <n v="0"/>
    <n v="0"/>
    <n v="0"/>
  </r>
  <r>
    <x v="10"/>
    <s v="847.8470530.1.432170.000000.847030.200179"/>
    <n v="8470530"/>
    <x v="48"/>
    <n v="432170"/>
    <x v="38"/>
    <n v="847030"/>
    <s v="KUST- Masdar city campus"/>
    <x v="1"/>
    <x v="1"/>
    <n v="44300"/>
    <n v="0"/>
    <n v="0"/>
    <n v="0"/>
    <n v="0"/>
    <n v="0"/>
    <n v="0"/>
    <n v="0"/>
    <n v="0"/>
    <n v="0"/>
    <n v="0"/>
    <n v="0"/>
    <n v="0"/>
    <n v="0"/>
  </r>
  <r>
    <x v="10"/>
    <s v="847.8470530.1.432540.000000.847010.200179"/>
    <n v="8470530"/>
    <x v="48"/>
    <n v="432540"/>
    <x v="80"/>
    <n v="847010"/>
    <s v="KUST - Main Campus"/>
    <x v="1"/>
    <x v="1"/>
    <n v="35251"/>
    <n v="43876"/>
    <n v="14584"/>
    <n v="0"/>
    <n v="0"/>
    <n v="0"/>
    <n v="0"/>
    <n v="0"/>
    <n v="0"/>
    <n v="0"/>
    <n v="0"/>
    <n v="0"/>
    <n v="0"/>
    <n v="0"/>
  </r>
  <r>
    <x v="10"/>
    <s v="847.8470530.1.432540.000000.847020.200179"/>
    <n v="8470530"/>
    <x v="48"/>
    <n v="432540"/>
    <x v="80"/>
    <n v="847020"/>
    <s v="KUST- Sas Al Nakhl Campus"/>
    <x v="1"/>
    <x v="1"/>
    <n v="28591"/>
    <n v="0"/>
    <n v="3160"/>
    <n v="0"/>
    <n v="0"/>
    <n v="0"/>
    <n v="0"/>
    <n v="0"/>
    <n v="0"/>
    <n v="0"/>
    <n v="0"/>
    <n v="0"/>
    <n v="0"/>
    <n v="0"/>
  </r>
  <r>
    <x v="10"/>
    <s v="847.8470530.1.435508.000000.847020.200179"/>
    <n v="8470530"/>
    <x v="48"/>
    <n v="435508"/>
    <x v="44"/>
    <n v="847020"/>
    <s v="KUST- Sas Al Nakhl Campus"/>
    <x v="1"/>
    <x v="1"/>
    <n v="150894"/>
    <n v="-114764"/>
    <n v="0"/>
    <n v="0"/>
    <n v="0"/>
    <n v="0"/>
    <n v="0"/>
    <n v="0"/>
    <n v="0"/>
    <n v="0"/>
    <n v="0"/>
    <n v="0"/>
    <n v="0"/>
    <n v="0"/>
  </r>
  <r>
    <x v="10"/>
    <s v="847.8470530.1.435508.000000.847030.200179"/>
    <n v="8470530"/>
    <x v="48"/>
    <n v="435508"/>
    <x v="44"/>
    <n v="847030"/>
    <s v="KUST- Masdar city campus"/>
    <x v="1"/>
    <x v="1"/>
    <n v="29220"/>
    <n v="0"/>
    <n v="0"/>
    <n v="0"/>
    <n v="0"/>
    <n v="0"/>
    <n v="0"/>
    <n v="0"/>
    <n v="0"/>
    <n v="0"/>
    <n v="0"/>
    <n v="0"/>
    <n v="0"/>
    <n v="0"/>
  </r>
  <r>
    <x v="10"/>
    <s v="847.8470530.1.435510.000000.847010.200179"/>
    <n v="8470530"/>
    <x v="48"/>
    <n v="435510"/>
    <x v="98"/>
    <n v="847010"/>
    <s v="KUST - Main Campus"/>
    <x v="1"/>
    <x v="1"/>
    <n v="280604"/>
    <n v="0"/>
    <n v="0"/>
    <n v="0"/>
    <n v="0"/>
    <n v="0"/>
    <n v="0"/>
    <n v="0"/>
    <n v="0"/>
    <n v="0"/>
    <n v="0"/>
    <n v="0"/>
    <n v="0"/>
    <n v="0"/>
  </r>
  <r>
    <x v="10"/>
    <s v="847.8470530.1.435510.000000.847020.200179"/>
    <n v="8470530"/>
    <x v="48"/>
    <n v="435510"/>
    <x v="98"/>
    <n v="847020"/>
    <s v="KUST- Sas Al Nakhl Campus"/>
    <x v="1"/>
    <x v="1"/>
    <n v="1077935"/>
    <n v="0"/>
    <n v="0"/>
    <n v="0"/>
    <n v="0"/>
    <n v="0"/>
    <n v="0"/>
    <n v="0"/>
    <n v="0"/>
    <n v="0"/>
    <n v="0"/>
    <n v="0"/>
    <n v="0"/>
    <n v="0"/>
  </r>
  <r>
    <x v="10"/>
    <s v="847.8470530.1.435510.000000.847030.200179"/>
    <n v="8470530"/>
    <x v="48"/>
    <n v="435510"/>
    <x v="98"/>
    <n v="847030"/>
    <s v="KUST- Masdar city campus"/>
    <x v="1"/>
    <x v="1"/>
    <n v="6840"/>
    <n v="0"/>
    <n v="0"/>
    <n v="0"/>
    <n v="0"/>
    <n v="0"/>
    <n v="0"/>
    <n v="0"/>
    <n v="0"/>
    <n v="0"/>
    <n v="0"/>
    <n v="0"/>
    <n v="0"/>
    <n v="0"/>
  </r>
  <r>
    <x v="10"/>
    <s v="847.8470530.1.435740.000000.847010.200179"/>
    <n v="8470530"/>
    <x v="48"/>
    <n v="435740"/>
    <x v="85"/>
    <n v="847010"/>
    <s v="KUST - Main Campus"/>
    <x v="1"/>
    <x v="1"/>
    <n v="25816"/>
    <n v="3162"/>
    <n v="0"/>
    <n v="0"/>
    <n v="0"/>
    <n v="0"/>
    <n v="0"/>
    <n v="0"/>
    <n v="0"/>
    <n v="0"/>
    <n v="0"/>
    <n v="0"/>
    <n v="0"/>
    <n v="0"/>
  </r>
  <r>
    <x v="10"/>
    <s v="847.8470530.1.435740.000000.847020.200179"/>
    <n v="8470530"/>
    <x v="48"/>
    <n v="435740"/>
    <x v="85"/>
    <n v="847020"/>
    <s v="KUST- Sas Al Nakhl Campus"/>
    <x v="1"/>
    <x v="1"/>
    <n v="18873"/>
    <n v="-14078"/>
    <n v="0"/>
    <n v="0"/>
    <n v="0"/>
    <n v="0"/>
    <n v="0"/>
    <n v="0"/>
    <n v="0"/>
    <n v="0"/>
    <n v="0"/>
    <n v="0"/>
    <n v="0"/>
    <n v="0"/>
  </r>
  <r>
    <x v="10"/>
    <s v="847.8470530.1.436110.000000.847010.200179"/>
    <n v="8470530"/>
    <x v="48"/>
    <n v="436110"/>
    <x v="15"/>
    <n v="847010"/>
    <s v="KUST - Main Campus"/>
    <x v="1"/>
    <x v="1"/>
    <n v="340611"/>
    <n v="205405"/>
    <n v="299550"/>
    <n v="0"/>
    <n v="0"/>
    <n v="0"/>
    <n v="0"/>
    <n v="0"/>
    <n v="0"/>
    <n v="0"/>
    <n v="0"/>
    <n v="0"/>
    <n v="0"/>
    <n v="0"/>
  </r>
  <r>
    <x v="10"/>
    <s v="847.8470530.1.436120.000000.847020.200179"/>
    <n v="8470530"/>
    <x v="48"/>
    <n v="436120"/>
    <x v="21"/>
    <n v="847020"/>
    <s v="KUST- Sas Al Nakhl Campus"/>
    <x v="1"/>
    <x v="1"/>
    <n v="-362"/>
    <n v="0"/>
    <n v="0"/>
    <n v="0"/>
    <n v="0"/>
    <n v="0"/>
    <n v="0"/>
    <n v="0"/>
    <n v="0"/>
    <n v="0"/>
    <n v="0"/>
    <n v="0"/>
    <n v="0"/>
    <n v="0"/>
  </r>
  <r>
    <x v="10"/>
    <s v="847.8470530.1.436220.000000.847010.200179"/>
    <n v="8470530"/>
    <x v="48"/>
    <n v="436220"/>
    <x v="81"/>
    <n v="847010"/>
    <s v="KUST - Main Campus"/>
    <x v="1"/>
    <x v="1"/>
    <n v="71100"/>
    <n v="0"/>
    <n v="0"/>
    <n v="0"/>
    <n v="0"/>
    <n v="0"/>
    <n v="0"/>
    <n v="0"/>
    <n v="0"/>
    <n v="0"/>
    <n v="0"/>
    <n v="0"/>
    <n v="0"/>
    <n v="0"/>
  </r>
  <r>
    <x v="10"/>
    <s v="847.8470530.1.492200.000000.847030.300180"/>
    <n v="8470530"/>
    <x v="48"/>
    <n v="492200"/>
    <x v="82"/>
    <n v="847030"/>
    <s v="KUST- Masdar city campus"/>
    <x v="2"/>
    <x v="2"/>
    <n v="563642"/>
    <n v="0"/>
    <n v="0"/>
    <n v="0"/>
    <n v="0"/>
    <n v="0"/>
    <n v="0"/>
    <n v="0"/>
    <n v="0"/>
    <n v="0"/>
    <n v="0"/>
    <n v="0"/>
    <n v="0"/>
    <n v="0"/>
  </r>
  <r>
    <x v="10"/>
    <s v="847.8470530.1.492316.000000.847030.300180"/>
    <n v="8470530"/>
    <x v="48"/>
    <n v="492316"/>
    <x v="39"/>
    <n v="847030"/>
    <s v="KUST- Masdar city campus"/>
    <x v="2"/>
    <x v="2"/>
    <n v="85500"/>
    <n v="0"/>
    <n v="0"/>
    <n v="0"/>
    <n v="0"/>
    <n v="0"/>
    <n v="0"/>
    <n v="0"/>
    <n v="0"/>
    <n v="0"/>
    <n v="0"/>
    <n v="0"/>
    <n v="0"/>
    <n v="0"/>
  </r>
  <r>
    <x v="10"/>
    <s v="847.8470530.1.492610.000000.847030.300180"/>
    <n v="8470530"/>
    <x v="48"/>
    <n v="492610"/>
    <x v="83"/>
    <n v="847030"/>
    <s v="KUST- Masdar city campus"/>
    <x v="2"/>
    <x v="2"/>
    <n v="6598"/>
    <n v="81760"/>
    <n v="-41759"/>
    <n v="0"/>
    <n v="0"/>
    <n v="0"/>
    <n v="0"/>
    <n v="0"/>
    <n v="0"/>
    <n v="0"/>
    <n v="0"/>
    <n v="0"/>
    <n v="0"/>
    <n v="0"/>
  </r>
  <r>
    <x v="10"/>
    <s v="847.8470620.1.421000.000000.847001.200179"/>
    <n v="8470620"/>
    <x v="50"/>
    <n v="421000"/>
    <x v="55"/>
    <n v="847001"/>
    <s v="KUST - General"/>
    <x v="1"/>
    <x v="1"/>
    <n v="212500"/>
    <n v="10000"/>
    <n v="0"/>
    <n v="0"/>
    <n v="0"/>
    <n v="0"/>
    <n v="0"/>
    <n v="0"/>
    <n v="0"/>
    <n v="0"/>
    <n v="0"/>
    <n v="0"/>
    <n v="0"/>
    <n v="0"/>
  </r>
  <r>
    <x v="10"/>
    <s v="847.8470620.1.425510.000000.847001.200179"/>
    <n v="8470620"/>
    <x v="50"/>
    <n v="425510"/>
    <x v="3"/>
    <n v="847001"/>
    <s v="KUST - General"/>
    <x v="1"/>
    <x v="1"/>
    <n v="0"/>
    <n v="0"/>
    <n v="0"/>
    <n v="0"/>
    <n v="0"/>
    <n v="0"/>
    <n v="0"/>
    <n v="0"/>
    <n v="0"/>
    <n v="0"/>
    <n v="0"/>
    <n v="0"/>
    <n v="0"/>
    <n v="0"/>
  </r>
  <r>
    <x v="10"/>
    <s v="847.8470620.1.428090.000000.847001.200179"/>
    <n v="8470620"/>
    <x v="50"/>
    <n v="428090"/>
    <x v="13"/>
    <n v="847001"/>
    <s v="KUST - General"/>
    <x v="1"/>
    <x v="1"/>
    <n v="3790"/>
    <n v="0"/>
    <n v="0"/>
    <n v="0"/>
    <n v="0"/>
    <n v="0"/>
    <n v="0"/>
    <n v="0"/>
    <n v="0"/>
    <n v="0"/>
    <n v="0"/>
    <n v="0"/>
    <n v="0"/>
    <n v="0"/>
  </r>
  <r>
    <x v="10"/>
    <s v="847.8470630.1.428090.000000.847001.200179"/>
    <n v="8470630"/>
    <x v="51"/>
    <n v="428090"/>
    <x v="13"/>
    <n v="847001"/>
    <s v="KUST - General"/>
    <x v="1"/>
    <x v="1"/>
    <n v="490"/>
    <n v="0"/>
    <n v="0"/>
    <n v="0"/>
    <n v="0"/>
    <n v="0"/>
    <n v="0"/>
    <n v="0"/>
    <n v="0"/>
    <n v="0"/>
    <n v="0"/>
    <n v="0"/>
    <n v="0"/>
    <n v="0"/>
  </r>
  <r>
    <x v="10"/>
    <s v="847.8470720.1.421000.000000.847001.200179"/>
    <n v="8470720"/>
    <x v="54"/>
    <n v="421000"/>
    <x v="55"/>
    <n v="847001"/>
    <s v="KUST - General"/>
    <x v="1"/>
    <x v="1"/>
    <n v="548400"/>
    <n v="-60833"/>
    <n v="-97933"/>
    <n v="0"/>
    <n v="0"/>
    <n v="0"/>
    <n v="0"/>
    <n v="0"/>
    <n v="0"/>
    <n v="0"/>
    <n v="0"/>
    <n v="0"/>
    <n v="0"/>
    <n v="0"/>
  </r>
  <r>
    <x v="10"/>
    <s v="847.8470730.1.421100.000000.847001.200179"/>
    <n v="8470730"/>
    <x v="52"/>
    <n v="421100"/>
    <x v="90"/>
    <n v="847001"/>
    <s v="KUST - General"/>
    <x v="1"/>
    <x v="1"/>
    <n v="532246"/>
    <n v="0"/>
    <n v="0"/>
    <n v="0"/>
    <n v="0"/>
    <n v="0"/>
    <n v="0"/>
    <n v="0"/>
    <n v="0"/>
    <n v="0"/>
    <n v="0"/>
    <n v="0"/>
    <n v="0"/>
    <n v="0"/>
  </r>
  <r>
    <x v="10"/>
    <s v="847.8470730.1.426290.000000.847001.200179"/>
    <n v="8470730"/>
    <x v="52"/>
    <n v="426290"/>
    <x v="99"/>
    <n v="847001"/>
    <s v="KUST - General"/>
    <x v="1"/>
    <x v="1"/>
    <n v="15608924"/>
    <n v="0"/>
    <n v="0"/>
    <n v="0"/>
    <n v="0"/>
    <n v="0"/>
    <n v="0"/>
    <n v="0"/>
    <n v="0"/>
    <n v="0"/>
    <n v="0"/>
    <n v="0"/>
    <n v="0"/>
    <n v="0"/>
  </r>
  <r>
    <x v="10"/>
    <s v="847.8470730.1.432205.000000.847001.200179"/>
    <n v="8470730"/>
    <x v="52"/>
    <n v="432205"/>
    <x v="59"/>
    <n v="847001"/>
    <s v="KUST - General"/>
    <x v="1"/>
    <x v="1"/>
    <n v="24000"/>
    <n v="0"/>
    <n v="0"/>
    <n v="0"/>
    <n v="0"/>
    <n v="0"/>
    <n v="0"/>
    <n v="0"/>
    <n v="0"/>
    <n v="0"/>
    <n v="0"/>
    <n v="0"/>
    <n v="0"/>
    <n v="0"/>
  </r>
  <r>
    <x v="10"/>
    <s v="847.8470810.1.421000.000000.847001.200179"/>
    <n v="8470810"/>
    <x v="53"/>
    <n v="421000"/>
    <x v="55"/>
    <n v="847001"/>
    <s v="KUST - General"/>
    <x v="1"/>
    <x v="1"/>
    <n v="875149"/>
    <n v="83751"/>
    <n v="0"/>
    <n v="0"/>
    <n v="0"/>
    <n v="0"/>
    <n v="0"/>
    <n v="0"/>
    <n v="0"/>
    <n v="0"/>
    <n v="0"/>
    <n v="0"/>
    <n v="0"/>
    <n v="0"/>
  </r>
  <r>
    <x v="10"/>
    <s v="847.8470810.1.425900.000000.847001.200179"/>
    <n v="8470810"/>
    <x v="53"/>
    <n v="425900"/>
    <x v="11"/>
    <n v="847001"/>
    <s v="KUST - General"/>
    <x v="1"/>
    <x v="1"/>
    <n v="1704"/>
    <n v="0"/>
    <n v="0"/>
    <n v="0"/>
    <n v="0"/>
    <n v="0"/>
    <n v="0"/>
    <n v="0"/>
    <n v="0"/>
    <n v="0"/>
    <n v="0"/>
    <n v="0"/>
    <n v="0"/>
    <n v="0"/>
  </r>
  <r>
    <x v="10"/>
    <s v="847.8470810.1.436120.000000.847001.200179"/>
    <n v="8470810"/>
    <x v="53"/>
    <n v="436120"/>
    <x v="21"/>
    <n v="847001"/>
    <s v="KUST - General"/>
    <x v="1"/>
    <x v="1"/>
    <n v="11591"/>
    <n v="0"/>
    <n v="0"/>
    <n v="0"/>
    <n v="0"/>
    <n v="0"/>
    <n v="0"/>
    <n v="0"/>
    <n v="0"/>
    <n v="0"/>
    <n v="0"/>
    <n v="0"/>
    <n v="0"/>
    <n v="0"/>
  </r>
  <r>
    <x v="9"/>
    <s v="847.8471110.1.421000.000000.847001.200179"/>
    <n v="8471110"/>
    <x v="41"/>
    <n v="421000"/>
    <x v="55"/>
    <n v="847001"/>
    <s v="KUST - General"/>
    <x v="1"/>
    <x v="1"/>
    <n v="398169"/>
    <n v="0"/>
    <n v="0"/>
    <n v="0"/>
    <n v="0"/>
    <n v="0"/>
    <n v="0"/>
    <n v="0"/>
    <n v="0"/>
    <n v="0"/>
    <n v="0"/>
    <n v="0"/>
    <n v="0"/>
    <n v="0"/>
  </r>
  <r>
    <x v="9"/>
    <s v="847.8471130.1.420570.000000.847001.200179"/>
    <n v="8471130"/>
    <x v="42"/>
    <n v="420570"/>
    <x v="49"/>
    <n v="847001"/>
    <s v="KUST - General"/>
    <x v="1"/>
    <x v="1"/>
    <n v="115883"/>
    <n v="100824"/>
    <n v="-551"/>
    <n v="0"/>
    <n v="0"/>
    <n v="0"/>
    <n v="0"/>
    <n v="0"/>
    <n v="0"/>
    <n v="0"/>
    <n v="0"/>
    <n v="0"/>
    <n v="0"/>
    <n v="0"/>
  </r>
  <r>
    <x v="9"/>
    <s v="847.8471130.1.492316.000000.847001.300180"/>
    <n v="8471130"/>
    <x v="42"/>
    <n v="492316"/>
    <x v="39"/>
    <n v="847001"/>
    <s v="KUST - General"/>
    <x v="2"/>
    <x v="2"/>
    <n v="27025"/>
    <n v="3032179"/>
    <n v="0"/>
    <n v="0"/>
    <n v="0"/>
    <n v="0"/>
    <n v="0"/>
    <n v="0"/>
    <n v="0"/>
    <n v="0"/>
    <n v="0"/>
    <n v="0"/>
    <n v="0"/>
    <n v="0"/>
  </r>
  <r>
    <x v="9"/>
    <s v="847.8471130.1.495140.000000.847001.300180"/>
    <n v="8471130"/>
    <x v="42"/>
    <n v="495140"/>
    <x v="52"/>
    <n v="847001"/>
    <s v="KUST - General"/>
    <x v="2"/>
    <x v="2"/>
    <n v="420727"/>
    <n v="280485"/>
    <n v="0"/>
    <n v="0"/>
    <n v="0"/>
    <n v="0"/>
    <n v="0"/>
    <n v="0"/>
    <n v="0"/>
    <n v="0"/>
    <n v="0"/>
    <n v="0"/>
    <n v="0"/>
    <n v="0"/>
  </r>
  <r>
    <x v="9"/>
    <s v="847.8471140.1.425900.000000.847001.200179"/>
    <n v="8471140"/>
    <x v="43"/>
    <n v="425900"/>
    <x v="11"/>
    <n v="847001"/>
    <s v="KUST - General"/>
    <x v="1"/>
    <x v="1"/>
    <n v="3342"/>
    <n v="0"/>
    <n v="0"/>
    <n v="0"/>
    <n v="0"/>
    <n v="0"/>
    <n v="0"/>
    <n v="0"/>
    <n v="0"/>
    <n v="0"/>
    <n v="0"/>
    <n v="0"/>
    <n v="0"/>
    <n v="0"/>
  </r>
  <r>
    <x v="9"/>
    <s v="847.8471150.1.421000.000000.847001.200179"/>
    <n v="8471150"/>
    <x v="44"/>
    <n v="421000"/>
    <x v="55"/>
    <n v="847001"/>
    <s v="KUST - General"/>
    <x v="1"/>
    <x v="1"/>
    <n v="91825"/>
    <n v="71624"/>
    <n v="0"/>
    <n v="0"/>
    <n v="0"/>
    <n v="0"/>
    <n v="0"/>
    <n v="0"/>
    <n v="0"/>
    <n v="0"/>
    <n v="0"/>
    <n v="0"/>
    <n v="0"/>
    <n v="0"/>
  </r>
  <r>
    <x v="9"/>
    <s v="847.8471160.1.422100.000000.847001.200179"/>
    <n v="8471160"/>
    <x v="58"/>
    <n v="422100"/>
    <x v="56"/>
    <n v="847001"/>
    <s v="KUST - General"/>
    <x v="1"/>
    <x v="1"/>
    <n v="72233"/>
    <n v="3122"/>
    <n v="100000"/>
    <n v="0"/>
    <n v="0"/>
    <n v="0"/>
    <n v="0"/>
    <n v="0"/>
    <n v="0"/>
    <n v="0"/>
    <n v="0"/>
    <n v="0"/>
    <n v="0"/>
    <n v="0"/>
  </r>
  <r>
    <x v="9"/>
    <s v="847.8471160.1.430330.000000.847001.200179"/>
    <n v="8471160"/>
    <x v="58"/>
    <n v="430330"/>
    <x v="78"/>
    <n v="847001"/>
    <s v="KUST - General"/>
    <x v="1"/>
    <x v="1"/>
    <n v="97138"/>
    <n v="-86772"/>
    <n v="-3673"/>
    <n v="0"/>
    <n v="0"/>
    <n v="0"/>
    <n v="0"/>
    <n v="0"/>
    <n v="0"/>
    <n v="0"/>
    <n v="0"/>
    <n v="0"/>
    <n v="0"/>
    <n v="0"/>
  </r>
  <r>
    <x v="9"/>
    <s v="847.8471170.1.421100.000000.847001.200179"/>
    <n v="8471170"/>
    <x v="45"/>
    <n v="421100"/>
    <x v="90"/>
    <n v="847001"/>
    <s v="KUST - General"/>
    <x v="1"/>
    <x v="1"/>
    <n v="444672"/>
    <n v="-866"/>
    <n v="0"/>
    <n v="0"/>
    <n v="0"/>
    <n v="0"/>
    <n v="0"/>
    <n v="0"/>
    <n v="0"/>
    <n v="0"/>
    <n v="0"/>
    <n v="0"/>
    <n v="0"/>
    <n v="0"/>
  </r>
  <r>
    <x v="1"/>
    <s v="847.8471210.1.426610.000000.847001.200179"/>
    <n v="8471210"/>
    <x v="2"/>
    <n v="426610"/>
    <x v="12"/>
    <n v="847001"/>
    <s v="KUST - General"/>
    <x v="1"/>
    <x v="1"/>
    <n v="5599"/>
    <n v="0"/>
    <n v="0"/>
    <n v="0"/>
    <n v="0"/>
    <n v="0"/>
    <n v="0"/>
    <n v="0"/>
    <n v="0"/>
    <n v="0"/>
    <n v="0"/>
    <n v="0"/>
    <n v="0"/>
    <n v="0"/>
  </r>
  <r>
    <x v="1"/>
    <s v="847.8471250.1.425761.000000.847001.200179"/>
    <n v="8471250"/>
    <x v="6"/>
    <n v="425761"/>
    <x v="9"/>
    <n v="847001"/>
    <s v="KUST - General"/>
    <x v="1"/>
    <x v="1"/>
    <n v="18335"/>
    <n v="0"/>
    <n v="0"/>
    <n v="0"/>
    <n v="0"/>
    <n v="0"/>
    <n v="0"/>
    <n v="0"/>
    <n v="0"/>
    <n v="0"/>
    <n v="0"/>
    <n v="0"/>
    <n v="0"/>
    <n v="0"/>
  </r>
  <r>
    <x v="1"/>
    <s v="847.8471260.1.425720.000000.847001.200179"/>
    <n v="8471260"/>
    <x v="7"/>
    <n v="425720"/>
    <x v="23"/>
    <n v="847001"/>
    <s v="KUST - General"/>
    <x v="1"/>
    <x v="1"/>
    <n v="27190"/>
    <n v="10500"/>
    <n v="0"/>
    <n v="0"/>
    <n v="0"/>
    <n v="0"/>
    <n v="0"/>
    <n v="0"/>
    <n v="0"/>
    <n v="0"/>
    <n v="0"/>
    <n v="0"/>
    <n v="0"/>
    <n v="0"/>
  </r>
  <r>
    <x v="1"/>
    <s v="847.8471260.1.427810.000000.847001.200179"/>
    <n v="8471260"/>
    <x v="7"/>
    <n v="427810"/>
    <x v="91"/>
    <n v="847001"/>
    <s v="KUST - General"/>
    <x v="1"/>
    <x v="1"/>
    <n v="39752"/>
    <n v="87520"/>
    <n v="0"/>
    <n v="0"/>
    <n v="0"/>
    <n v="0"/>
    <n v="0"/>
    <n v="0"/>
    <n v="0"/>
    <n v="0"/>
    <n v="0"/>
    <n v="0"/>
    <n v="0"/>
    <n v="0"/>
  </r>
  <r>
    <x v="1"/>
    <s v="847.8471260.1.435410.000000.847001.200179"/>
    <n v="8471260"/>
    <x v="7"/>
    <n v="435410"/>
    <x v="84"/>
    <n v="847001"/>
    <s v="KUST - General"/>
    <x v="1"/>
    <x v="1"/>
    <n v="155664"/>
    <n v="0"/>
    <n v="0"/>
    <n v="0"/>
    <n v="0"/>
    <n v="0"/>
    <n v="0"/>
    <n v="0"/>
    <n v="0"/>
    <n v="0"/>
    <n v="0"/>
    <n v="0"/>
    <n v="0"/>
    <n v="0"/>
  </r>
  <r>
    <x v="1"/>
    <s v="847.8471260.1.492610.000000.847001.300180"/>
    <n v="8471260"/>
    <x v="7"/>
    <n v="492610"/>
    <x v="83"/>
    <n v="847001"/>
    <s v="KUST - General"/>
    <x v="2"/>
    <x v="2"/>
    <n v="9124622"/>
    <n v="968930"/>
    <n v="0"/>
    <n v="0"/>
    <n v="0"/>
    <n v="0"/>
    <n v="0"/>
    <n v="0"/>
    <n v="0"/>
    <n v="0"/>
    <n v="0"/>
    <n v="0"/>
    <n v="0"/>
    <n v="0"/>
  </r>
  <r>
    <x v="1"/>
    <s v="847.8471270.1.425510.000000.847001.200179"/>
    <n v="8471270"/>
    <x v="8"/>
    <n v="425510"/>
    <x v="3"/>
    <n v="847001"/>
    <s v="KUST - General"/>
    <x v="1"/>
    <x v="1"/>
    <n v="0"/>
    <n v="16513"/>
    <n v="0"/>
    <n v="0"/>
    <n v="0"/>
    <n v="0"/>
    <n v="0"/>
    <n v="0"/>
    <n v="0"/>
    <n v="0"/>
    <n v="0"/>
    <n v="0"/>
    <n v="0"/>
    <n v="0"/>
  </r>
  <r>
    <x v="1"/>
    <s v="847.8471270.1.436120.000000.847001.200179"/>
    <n v="8471270"/>
    <x v="8"/>
    <n v="436120"/>
    <x v="21"/>
    <n v="847001"/>
    <s v="KUST - General"/>
    <x v="1"/>
    <x v="1"/>
    <n v="6479"/>
    <n v="0"/>
    <n v="0"/>
    <n v="0"/>
    <n v="0"/>
    <n v="0"/>
    <n v="0"/>
    <n v="0"/>
    <n v="0"/>
    <n v="0"/>
    <n v="0"/>
    <n v="0"/>
    <n v="0"/>
    <n v="0"/>
  </r>
  <r>
    <x v="4"/>
    <s v="847.8471305.1.420550.000000.847001.200179"/>
    <n v="8471305"/>
    <x v="30"/>
    <n v="420550"/>
    <x v="1"/>
    <n v="847001"/>
    <s v="KUST - General"/>
    <x v="1"/>
    <x v="1"/>
    <n v="72720"/>
    <n v="0"/>
    <n v="0"/>
    <n v="0"/>
    <n v="0"/>
    <n v="0"/>
    <n v="0"/>
    <n v="0"/>
    <n v="0"/>
    <n v="0"/>
    <n v="0"/>
    <n v="0"/>
    <n v="0"/>
    <n v="0"/>
  </r>
  <r>
    <x v="4"/>
    <s v="847.8471305.1.425741.000000.847001.200179"/>
    <n v="8471305"/>
    <x v="30"/>
    <n v="425741"/>
    <x v="18"/>
    <n v="847001"/>
    <s v="KUST - General"/>
    <x v="1"/>
    <x v="1"/>
    <n v="3126671"/>
    <n v="5265867"/>
    <n v="0"/>
    <n v="0"/>
    <n v="0"/>
    <n v="0"/>
    <n v="0"/>
    <n v="0"/>
    <n v="0"/>
    <n v="0"/>
    <n v="0"/>
    <n v="0"/>
    <n v="0"/>
    <n v="0"/>
  </r>
  <r>
    <x v="4"/>
    <s v="847.8471305.1.425760.000000.847001.200179"/>
    <n v="8471305"/>
    <x v="30"/>
    <n v="425760"/>
    <x v="30"/>
    <n v="847001"/>
    <s v="KUST - General"/>
    <x v="1"/>
    <x v="1"/>
    <n v="1365"/>
    <n v="4145"/>
    <n v="8694"/>
    <n v="0"/>
    <n v="0"/>
    <n v="0"/>
    <n v="0"/>
    <n v="0"/>
    <n v="0"/>
    <n v="0"/>
    <n v="0"/>
    <n v="0"/>
    <n v="0"/>
    <n v="0"/>
  </r>
  <r>
    <x v="4"/>
    <s v="847.8471305.1.435310.000000.847001.200179"/>
    <n v="8471305"/>
    <x v="30"/>
    <n v="435310"/>
    <x v="45"/>
    <n v="847001"/>
    <s v="KUST - General"/>
    <x v="1"/>
    <x v="1"/>
    <n v="1377"/>
    <n v="0"/>
    <n v="11085"/>
    <n v="0"/>
    <n v="0"/>
    <n v="0"/>
    <n v="0"/>
    <n v="0"/>
    <n v="0"/>
    <n v="0"/>
    <n v="0"/>
    <n v="0"/>
    <n v="0"/>
    <n v="0"/>
  </r>
  <r>
    <x v="4"/>
    <s v="847.8471305.1.435410.000000.847001.200179"/>
    <n v="8471305"/>
    <x v="30"/>
    <n v="435410"/>
    <x v="84"/>
    <n v="847001"/>
    <s v="KUST - General"/>
    <x v="1"/>
    <x v="1"/>
    <n v="2595"/>
    <n v="0"/>
    <n v="0"/>
    <n v="0"/>
    <n v="0"/>
    <n v="0"/>
    <n v="0"/>
    <n v="0"/>
    <n v="0"/>
    <n v="0"/>
    <n v="0"/>
    <n v="0"/>
    <n v="0"/>
    <n v="0"/>
  </r>
  <r>
    <x v="4"/>
    <s v="847.8471305.1.435519.000000.847001.200179"/>
    <n v="8471305"/>
    <x v="30"/>
    <n v="435519"/>
    <x v="63"/>
    <n v="847001"/>
    <s v="KUST - General"/>
    <x v="1"/>
    <x v="1"/>
    <n v="5300"/>
    <n v="2313"/>
    <n v="1000"/>
    <n v="0"/>
    <n v="0"/>
    <n v="0"/>
    <n v="0"/>
    <n v="0"/>
    <n v="0"/>
    <n v="0"/>
    <n v="0"/>
    <n v="0"/>
    <n v="0"/>
    <n v="0"/>
  </r>
  <r>
    <x v="7"/>
    <s v="847.8470110.1.427710.000000.847001.200179"/>
    <n v="8470110"/>
    <x v="35"/>
    <n v="427710"/>
    <x v="42"/>
    <n v="847001"/>
    <s v="KUST - General"/>
    <x v="1"/>
    <x v="1"/>
    <n v="0"/>
    <n v="3882"/>
    <n v="0"/>
    <n v="0"/>
    <n v="0"/>
    <n v="0"/>
    <n v="0"/>
    <n v="0"/>
    <n v="0"/>
    <n v="0"/>
    <n v="0"/>
    <n v="0"/>
    <n v="0"/>
    <n v="0"/>
  </r>
  <r>
    <x v="3"/>
    <s v="847.8470330.1.421700.000000.847001.200179"/>
    <n v="8470330"/>
    <x v="25"/>
    <n v="421700"/>
    <x v="40"/>
    <n v="847001"/>
    <s v="KUST - General"/>
    <x v="1"/>
    <x v="1"/>
    <n v="0"/>
    <n v="52799"/>
    <n v="0"/>
    <n v="0"/>
    <n v="0"/>
    <n v="0"/>
    <n v="0"/>
    <n v="0"/>
    <n v="0"/>
    <n v="0"/>
    <n v="0"/>
    <n v="0"/>
    <n v="0"/>
    <n v="0"/>
  </r>
  <r>
    <x v="2"/>
    <s v="847.8470435.1.425550.000000.847001.200179"/>
    <n v="8470435"/>
    <x v="15"/>
    <n v="425550"/>
    <x v="4"/>
    <n v="847001"/>
    <s v="KUST - General"/>
    <x v="1"/>
    <x v="1"/>
    <n v="0"/>
    <n v="5500"/>
    <n v="0"/>
    <n v="0"/>
    <n v="0"/>
    <n v="0"/>
    <n v="0"/>
    <n v="0"/>
    <n v="0"/>
    <n v="0"/>
    <n v="0"/>
    <n v="0"/>
    <n v="0"/>
    <n v="0"/>
  </r>
  <r>
    <x v="10"/>
    <s v="847.8470530.1.430330.000000.847010.200179"/>
    <n v="8470530"/>
    <x v="48"/>
    <n v="430330"/>
    <x v="78"/>
    <n v="847010"/>
    <s v="KUST - Main Campus"/>
    <x v="1"/>
    <x v="1"/>
    <n v="0"/>
    <n v="486391"/>
    <n v="0"/>
    <n v="0"/>
    <n v="0"/>
    <n v="0"/>
    <n v="0"/>
    <n v="0"/>
    <n v="0"/>
    <n v="0"/>
    <n v="0"/>
    <n v="0"/>
    <n v="0"/>
    <n v="0"/>
  </r>
  <r>
    <x v="10"/>
    <s v="847.8470530.1.436110.000000.847020.200179"/>
    <n v="8470530"/>
    <x v="48"/>
    <n v="436110"/>
    <x v="15"/>
    <n v="847020"/>
    <s v="KUST- Sas Al Nakhl Campus"/>
    <x v="1"/>
    <x v="1"/>
    <n v="0"/>
    <n v="98063"/>
    <n v="94794"/>
    <n v="0"/>
    <n v="0"/>
    <n v="0"/>
    <n v="0"/>
    <n v="0"/>
    <n v="0"/>
    <n v="0"/>
    <n v="0"/>
    <n v="0"/>
    <n v="0"/>
    <n v="0"/>
  </r>
  <r>
    <x v="10"/>
    <s v="847.8470730.1.427710.000000.847001.200179"/>
    <n v="8470730"/>
    <x v="52"/>
    <n v="427710"/>
    <x v="42"/>
    <n v="847001"/>
    <s v="KUST - General"/>
    <x v="1"/>
    <x v="1"/>
    <n v="0"/>
    <n v="32"/>
    <n v="0"/>
    <n v="0"/>
    <n v="0"/>
    <n v="0"/>
    <n v="0"/>
    <n v="0"/>
    <n v="0"/>
    <n v="0"/>
    <n v="0"/>
    <n v="0"/>
    <n v="0"/>
    <n v="0"/>
  </r>
  <r>
    <x v="10"/>
    <s v="847.8470730.1.495140.000000.847001.300180"/>
    <n v="8470730"/>
    <x v="52"/>
    <n v="495140"/>
    <x v="52"/>
    <n v="847001"/>
    <s v="KUST - General"/>
    <x v="2"/>
    <x v="2"/>
    <n v="0"/>
    <n v="29335"/>
    <n v="18150"/>
    <n v="0"/>
    <n v="0"/>
    <n v="0"/>
    <n v="0"/>
    <n v="0"/>
    <n v="0"/>
    <n v="0"/>
    <n v="0"/>
    <n v="0"/>
    <n v="0"/>
    <n v="0"/>
  </r>
  <r>
    <x v="9"/>
    <s v="847.8471130.1.428400.000000.847001.200179"/>
    <n v="8471130"/>
    <x v="42"/>
    <n v="428400"/>
    <x v="65"/>
    <n v="847001"/>
    <s v="KUST - General"/>
    <x v="1"/>
    <x v="1"/>
    <n v="0"/>
    <n v="2400000"/>
    <n v="0"/>
    <n v="0"/>
    <n v="0"/>
    <n v="0"/>
    <n v="0"/>
    <n v="0"/>
    <n v="0"/>
    <n v="0"/>
    <n v="0"/>
    <n v="0"/>
    <n v="0"/>
    <n v="0"/>
  </r>
  <r>
    <x v="9"/>
    <s v="847.8471140.1.425510.000000.847001.200179"/>
    <n v="8471140"/>
    <x v="43"/>
    <n v="425510"/>
    <x v="3"/>
    <n v="847001"/>
    <s v="KUST - General"/>
    <x v="1"/>
    <x v="1"/>
    <n v="0"/>
    <n v="468159"/>
    <n v="0"/>
    <n v="0"/>
    <n v="0"/>
    <n v="0"/>
    <n v="0"/>
    <n v="0"/>
    <n v="0"/>
    <n v="0"/>
    <n v="0"/>
    <n v="0"/>
    <n v="0"/>
    <n v="0"/>
  </r>
  <r>
    <x v="9"/>
    <s v="847.8471140.1.427200.000000.847001.200179"/>
    <n v="8471140"/>
    <x v="43"/>
    <n v="427200"/>
    <x v="46"/>
    <n v="847001"/>
    <s v="KUST - General"/>
    <x v="1"/>
    <x v="1"/>
    <n v="0"/>
    <n v="13774"/>
    <n v="0"/>
    <n v="0"/>
    <n v="0"/>
    <n v="0"/>
    <n v="0"/>
    <n v="0"/>
    <n v="0"/>
    <n v="0"/>
    <n v="0"/>
    <n v="0"/>
    <n v="0"/>
    <n v="0"/>
  </r>
  <r>
    <x v="9"/>
    <s v="847.8471160.1.421700.000000.847001.200179"/>
    <n v="8471160"/>
    <x v="58"/>
    <n v="421700"/>
    <x v="40"/>
    <n v="847001"/>
    <s v="KUST - General"/>
    <x v="1"/>
    <x v="1"/>
    <n v="0"/>
    <n v="6300"/>
    <n v="0"/>
    <n v="0"/>
    <n v="0"/>
    <n v="0"/>
    <n v="0"/>
    <n v="0"/>
    <n v="0"/>
    <n v="0"/>
    <n v="0"/>
    <n v="0"/>
    <n v="0"/>
    <n v="0"/>
  </r>
  <r>
    <x v="1"/>
    <s v="847.8471260.1.427850.000000.847001.200179"/>
    <n v="8471260"/>
    <x v="7"/>
    <n v="427850"/>
    <x v="92"/>
    <n v="847001"/>
    <s v="KUST - General"/>
    <x v="1"/>
    <x v="1"/>
    <n v="0"/>
    <n v="522604"/>
    <n v="0"/>
    <n v="0"/>
    <n v="0"/>
    <n v="0"/>
    <n v="0"/>
    <n v="0"/>
    <n v="0"/>
    <n v="0"/>
    <n v="0"/>
    <n v="0"/>
    <n v="0"/>
    <n v="0"/>
  </r>
  <r>
    <x v="1"/>
    <s v="847.8471260.1.492200.000000.847001.300180"/>
    <n v="8471260"/>
    <x v="7"/>
    <n v="492200"/>
    <x v="82"/>
    <n v="847001"/>
    <s v="KUST - General"/>
    <x v="2"/>
    <x v="2"/>
    <n v="0"/>
    <n v="995000"/>
    <n v="0"/>
    <n v="0"/>
    <n v="0"/>
    <n v="0"/>
    <n v="0"/>
    <n v="0"/>
    <n v="0"/>
    <n v="0"/>
    <n v="0"/>
    <n v="0"/>
    <n v="0"/>
    <n v="0"/>
  </r>
  <r>
    <x v="4"/>
    <s v="847.8471305.1.425770.000000.847001.200179"/>
    <n v="8471305"/>
    <x v="30"/>
    <n v="425770"/>
    <x v="37"/>
    <n v="847001"/>
    <s v="KUST - General"/>
    <x v="1"/>
    <x v="1"/>
    <n v="0"/>
    <n v="13000"/>
    <n v="25711"/>
    <n v="0"/>
    <n v="0"/>
    <n v="0"/>
    <n v="0"/>
    <n v="0"/>
    <n v="0"/>
    <n v="0"/>
    <n v="0"/>
    <n v="0"/>
    <n v="0"/>
    <n v="0"/>
  </r>
  <r>
    <x v="4"/>
    <s v="847.8471305.1.492200.000000.847001.300180"/>
    <n v="8471305"/>
    <x v="30"/>
    <n v="492200"/>
    <x v="82"/>
    <n v="847001"/>
    <s v="KUST - General"/>
    <x v="2"/>
    <x v="2"/>
    <n v="0"/>
    <n v="1143379"/>
    <n v="0"/>
    <n v="0"/>
    <n v="0"/>
    <n v="0"/>
    <n v="0"/>
    <n v="0"/>
    <n v="0"/>
    <n v="0"/>
    <n v="0"/>
    <n v="0"/>
    <n v="0"/>
    <n v="0"/>
  </r>
  <r>
    <x v="10"/>
    <s v="847.8470530.1.436220.000000.847020.200179"/>
    <n v="8470530"/>
    <x v="48"/>
    <n v="436220"/>
    <x v="81"/>
    <n v="847020"/>
    <s v="KUST- Sas Al Nakhl Campus"/>
    <x v="1"/>
    <x v="1"/>
    <n v="0"/>
    <n v="0"/>
    <n v="222400"/>
    <n v="0"/>
    <n v="0"/>
    <n v="0"/>
    <n v="0"/>
    <n v="0"/>
    <n v="0"/>
    <n v="0"/>
    <n v="0"/>
    <n v="0"/>
    <n v="0"/>
    <n v="0"/>
  </r>
  <r>
    <x v="10"/>
    <s v="847.8470530.1.492316.000000.847010.300180"/>
    <n v="8470530"/>
    <x v="48"/>
    <n v="492316"/>
    <x v="39"/>
    <n v="847010"/>
    <s v="KUST - Main Campus"/>
    <x v="2"/>
    <x v="2"/>
    <n v="0"/>
    <n v="0"/>
    <n v="146450"/>
    <n v="0"/>
    <n v="0"/>
    <n v="0"/>
    <n v="0"/>
    <n v="0"/>
    <n v="0"/>
    <n v="0"/>
    <n v="0"/>
    <n v="0"/>
    <n v="0"/>
    <n v="0"/>
  </r>
  <r>
    <x v="10"/>
    <s v="847.8470720.1.428200.000000.847951.200179"/>
    <n v="8470720"/>
    <x v="54"/>
    <n v="428200"/>
    <x v="71"/>
    <n v="847951"/>
    <s v="COVID-19 Pandemic"/>
    <x v="1"/>
    <x v="1"/>
    <n v="0"/>
    <n v="0"/>
    <n v="9300"/>
    <n v="0"/>
    <n v="0"/>
    <n v="0"/>
    <n v="0"/>
    <n v="0"/>
    <n v="0"/>
    <n v="0"/>
    <n v="0"/>
    <n v="0"/>
    <n v="0"/>
    <n v="0"/>
  </r>
  <r>
    <x v="10"/>
    <s v="847.8470730.1.427200.000000.847001.200179"/>
    <n v="8470730"/>
    <x v="52"/>
    <n v="427200"/>
    <x v="46"/>
    <n v="847001"/>
    <s v="KUST - General"/>
    <x v="1"/>
    <x v="1"/>
    <n v="0"/>
    <n v="0"/>
    <n v="9360"/>
    <n v="0"/>
    <n v="0"/>
    <n v="0"/>
    <n v="0"/>
    <n v="0"/>
    <n v="0"/>
    <n v="0"/>
    <n v="0"/>
    <n v="0"/>
    <n v="0"/>
    <n v="0"/>
  </r>
  <r>
    <x v="10"/>
    <s v="847.8470810.1.427850.000000.847951.200179"/>
    <n v="8470810"/>
    <x v="53"/>
    <n v="427850"/>
    <x v="92"/>
    <n v="847951"/>
    <s v="COVID-19 Pandemic"/>
    <x v="1"/>
    <x v="1"/>
    <n v="0"/>
    <n v="0"/>
    <n v="1695109"/>
    <n v="0"/>
    <n v="0"/>
    <n v="0"/>
    <n v="0"/>
    <n v="0"/>
    <n v="0"/>
    <n v="0"/>
    <n v="0"/>
    <n v="0"/>
    <n v="0"/>
    <n v="0"/>
  </r>
  <r>
    <x v="9"/>
    <s v="847.8471170.1.492310.000000.847001.300180"/>
    <n v="8471170"/>
    <x v="45"/>
    <n v="492310"/>
    <x v="16"/>
    <n v="847001"/>
    <s v="KUST - General"/>
    <x v="2"/>
    <x v="2"/>
    <n v="0"/>
    <n v="0"/>
    <n v="9510"/>
    <n v="0"/>
    <n v="0"/>
    <n v="0"/>
    <n v="0"/>
    <n v="0"/>
    <n v="0"/>
    <n v="0"/>
    <n v="0"/>
    <n v="0"/>
    <n v="0"/>
    <n v="0"/>
  </r>
  <r>
    <x v="1"/>
    <s v="847.8471220.1.425741.000000.847001.201211"/>
    <n v="8471220"/>
    <x v="3"/>
    <n v="425741"/>
    <x v="18"/>
    <n v="847001"/>
    <s v="KUST - General"/>
    <x v="3"/>
    <x v="1"/>
    <n v="0"/>
    <n v="0"/>
    <n v="40250800"/>
    <n v="0"/>
    <n v="0"/>
    <n v="0"/>
    <n v="0"/>
    <n v="0"/>
    <n v="0"/>
    <n v="0"/>
    <n v="0"/>
    <n v="0"/>
    <n v="0"/>
    <n v="0"/>
  </r>
  <r>
    <x v="1"/>
    <s v="847.8471260.1.422400.000000.847951.200179"/>
    <n v="8471260"/>
    <x v="7"/>
    <n v="422400"/>
    <x v="28"/>
    <n v="847951"/>
    <s v="COVID-19 Pandemic"/>
    <x v="1"/>
    <x v="1"/>
    <n v="0"/>
    <n v="0"/>
    <n v="1240"/>
    <n v="0"/>
    <n v="0"/>
    <n v="0"/>
    <n v="0"/>
    <n v="0"/>
    <n v="0"/>
    <n v="0"/>
    <n v="0"/>
    <n v="0"/>
    <n v="0"/>
    <n v="0"/>
  </r>
</pivotCacheRecords>
</file>

<file path=xl/pivotCache/pivotCacheRecords6.xml><?xml version="1.0" encoding="utf-8"?>
<pivotCacheRecords xmlns="http://schemas.openxmlformats.org/spreadsheetml/2006/main" xmlns:r="http://schemas.openxmlformats.org/officeDocument/2006/relationships" count="740">
  <r>
    <s v="Chapter-01"/>
    <s v="Chapter-01"/>
    <s v="Chapter-01"/>
    <s v="Chapter-01"/>
    <x v="0"/>
    <x v="0"/>
    <s v="Chapter-01"/>
    <s v="Chapter-01"/>
    <x v="0"/>
    <x v="0"/>
    <n v="734104574"/>
    <n v="541385100"/>
    <n v="583579295"/>
    <n v="622545692"/>
    <n v="601695721"/>
    <x v="0"/>
    <n v="1643996"/>
    <n v="7959693"/>
    <n v="696199047.14972389"/>
    <m/>
    <m/>
    <m/>
    <n v="714862760"/>
    <n v="779727079"/>
    <n v="0"/>
  </r>
  <r>
    <s v="Academic and Student Services Office"/>
    <s v="847.8470230.1.420550.000000.847001.200179"/>
    <n v="8470230"/>
    <s v="KUST - Graduate Studies"/>
    <x v="1"/>
    <x v="1"/>
    <n v="847001"/>
    <s v="KUST - General"/>
    <x v="1"/>
    <x v="1"/>
    <n v="346386"/>
    <n v="79120"/>
    <n v="56949"/>
    <n v="1020620"/>
    <n v="1020620"/>
    <x v="1"/>
    <n v="0"/>
    <n v="0"/>
    <n v="2009826"/>
    <n v="1808843"/>
    <n v="1607861"/>
    <n v="1406878"/>
    <n v="2764960"/>
    <n v="5655600"/>
    <n v="989206"/>
  </r>
  <r>
    <s v="Academic and Student Services Office"/>
    <s v="847.8470230.1.425100.000000.847001.200179"/>
    <n v="8470230"/>
    <s v="KUST - Graduate Studies"/>
    <x v="2"/>
    <x v="2"/>
    <n v="847001"/>
    <s v="KUST - General"/>
    <x v="1"/>
    <x v="1"/>
    <n v="251555"/>
    <n v="0"/>
    <n v="0"/>
    <n v="300000"/>
    <n v="300000"/>
    <x v="1"/>
    <n v="0"/>
    <n v="0"/>
    <n v="300000"/>
    <n v="270000"/>
    <n v="240000"/>
    <n v="210000"/>
    <n v="300000"/>
    <n v="300000"/>
    <n v="0"/>
  </r>
  <r>
    <s v="Academic and Student Services Office"/>
    <s v="847.8470230.1.425510.000000.847001.200179"/>
    <n v="8470230"/>
    <s v="KUST - Graduate Studies"/>
    <x v="3"/>
    <x v="3"/>
    <n v="847001"/>
    <s v="KUST - General"/>
    <x v="1"/>
    <x v="1"/>
    <n v="46161"/>
    <n v="17919"/>
    <n v="3706"/>
    <n v="34000"/>
    <n v="34000"/>
    <x v="1"/>
    <n v="0"/>
    <n v="0"/>
    <n v="38400"/>
    <n v="34560"/>
    <n v="30720"/>
    <n v="26880"/>
    <n v="48000"/>
    <n v="64000"/>
    <n v="4400"/>
  </r>
  <r>
    <s v="Academic and Student Services Office"/>
    <s v="847.8470230.1.425550.000000.847001.200179"/>
    <n v="8470230"/>
    <s v="KUST - Graduate Studies"/>
    <x v="4"/>
    <x v="4"/>
    <n v="847001"/>
    <s v="KUST - General"/>
    <x v="1"/>
    <x v="1"/>
    <n v="347020"/>
    <n v="25200"/>
    <n v="3326"/>
    <n v="222000"/>
    <n v="222000"/>
    <x v="2"/>
    <n v="0"/>
    <n v="0"/>
    <n v="355200"/>
    <n v="319680"/>
    <n v="284160"/>
    <n v="248640"/>
    <n v="444000"/>
    <n v="592000"/>
    <n v="133200"/>
  </r>
  <r>
    <s v="Academic and Student Services Office"/>
    <s v="847.8470230.1.425743.000000.847001.200179"/>
    <n v="8470230"/>
    <s v="KUST - Graduate Studies"/>
    <x v="5"/>
    <x v="5"/>
    <n v="847001"/>
    <s v="KUST - General"/>
    <x v="1"/>
    <x v="1"/>
    <n v="7340000"/>
    <n v="2010000"/>
    <n v="960000"/>
    <n v="240000"/>
    <n v="240000"/>
    <x v="3"/>
    <n v="0"/>
    <n v="0"/>
    <n v="0"/>
    <n v="0"/>
    <n v="0"/>
    <n v="0"/>
    <n v="0"/>
    <n v="0"/>
    <n v="-240000"/>
  </r>
  <r>
    <s v="Academic and Student Services Office"/>
    <s v="847.8470230.1.425744.000000.847001.200179"/>
    <n v="8470230"/>
    <s v="KUST - Graduate Studies"/>
    <x v="6"/>
    <x v="6"/>
    <n v="847001"/>
    <s v="KUST - General"/>
    <x v="1"/>
    <x v="1"/>
    <n v="0"/>
    <n v="0"/>
    <n v="0"/>
    <n v="4816800"/>
    <n v="4816800"/>
    <x v="4"/>
    <n v="0"/>
    <n v="0"/>
    <n v="3700000"/>
    <n v="3330000"/>
    <n v="2960000"/>
    <n v="2590000"/>
    <n v="4380000"/>
    <n v="4824000"/>
    <n v="-1116800"/>
  </r>
  <r>
    <s v="Academic and Student Services Office"/>
    <s v="847.8470230.1.425745.000000.847001.200179"/>
    <n v="8470230"/>
    <s v="KUST - Graduate Studies"/>
    <x v="7"/>
    <x v="7"/>
    <n v="847001"/>
    <s v="KUST - General"/>
    <x v="1"/>
    <x v="1"/>
    <n v="2585909"/>
    <n v="1706509"/>
    <n v="1286175"/>
    <n v="1971263"/>
    <n v="1971263"/>
    <x v="5"/>
    <n v="0"/>
    <n v="0"/>
    <n v="3104115"/>
    <n v="2793704"/>
    <n v="2483292"/>
    <n v="2172881"/>
    <n v="3663925"/>
    <n v="3931250"/>
    <n v="1132852"/>
  </r>
  <r>
    <s v="Academic and Student Services Office"/>
    <s v="847.8470230.1.425749.000000.847001.200179"/>
    <n v="8470230"/>
    <s v="KUST - Graduate Studies"/>
    <x v="8"/>
    <x v="8"/>
    <n v="847001"/>
    <s v="KUST - General"/>
    <x v="1"/>
    <x v="1"/>
    <n v="0"/>
    <n v="22420057"/>
    <n v="84701166"/>
    <n v="110824684"/>
    <n v="110824684"/>
    <x v="6"/>
    <n v="0"/>
    <n v="0"/>
    <n v="203750000"/>
    <n v="183375000"/>
    <n v="163000000"/>
    <n v="142625000"/>
    <n v="249200000"/>
    <n v="274120000"/>
    <n v="92925316"/>
  </r>
  <r>
    <s v="Academic and Student Services Office"/>
    <s v="847.8470230.1.425761.000000.847001.200179"/>
    <n v="8470230"/>
    <s v="KUST - Graduate Studies"/>
    <x v="9"/>
    <x v="9"/>
    <n v="847001"/>
    <s v="KUST - General"/>
    <x v="1"/>
    <x v="1"/>
    <n v="0"/>
    <n v="0"/>
    <n v="0"/>
    <n v="150000"/>
    <n v="150000"/>
    <x v="1"/>
    <n v="0"/>
    <n v="0"/>
    <n v="180000"/>
    <n v="162000"/>
    <n v="144000"/>
    <n v="126000"/>
    <n v="225000"/>
    <n v="300000"/>
    <n v="30000"/>
  </r>
  <r>
    <s v="Academic and Student Services Office"/>
    <s v="847.8470230.1.425762.000000.847001.200179"/>
    <n v="8470230"/>
    <s v="KUST - Graduate Studies"/>
    <x v="10"/>
    <x v="10"/>
    <n v="847001"/>
    <s v="KUST - General"/>
    <x v="1"/>
    <x v="1"/>
    <n v="0"/>
    <n v="0"/>
    <n v="0"/>
    <n v="150000"/>
    <n v="150000"/>
    <x v="1"/>
    <n v="0"/>
    <n v="0"/>
    <n v="180000"/>
    <n v="162000"/>
    <n v="144000"/>
    <n v="126000"/>
    <n v="225000"/>
    <n v="300000"/>
    <n v="30000"/>
  </r>
  <r>
    <s v="Academic and Student Services Office"/>
    <s v="847.8470230.1.425900.000000.847001.200179"/>
    <n v="8470230"/>
    <s v="KUST - Graduate Studies"/>
    <x v="11"/>
    <x v="11"/>
    <n v="847001"/>
    <s v="KUST - General"/>
    <x v="1"/>
    <x v="1"/>
    <n v="16320"/>
    <n v="6993"/>
    <n v="0"/>
    <n v="45648"/>
    <n v="45648"/>
    <x v="1"/>
    <n v="0"/>
    <n v="0"/>
    <n v="60078"/>
    <n v="54070"/>
    <n v="48062"/>
    <n v="42055"/>
    <n v="64320"/>
    <n v="77720"/>
    <n v="14430"/>
  </r>
  <r>
    <s v="Academic and Student Services Office"/>
    <s v="847.8470230.1.426610.000000.847001.200179"/>
    <n v="8470230"/>
    <s v="KUST - Graduate Studies"/>
    <x v="12"/>
    <x v="12"/>
    <n v="847001"/>
    <s v="KUST - General"/>
    <x v="1"/>
    <x v="1"/>
    <n v="0"/>
    <n v="0"/>
    <n v="0"/>
    <n v="10000"/>
    <n v="10000"/>
    <x v="1"/>
    <n v="0"/>
    <n v="0"/>
    <n v="10000"/>
    <n v="9000"/>
    <n v="8000"/>
    <n v="7000"/>
    <n v="10000"/>
    <n v="10000"/>
    <n v="0"/>
  </r>
  <r>
    <s v="Academic and Student Services Office"/>
    <s v="847.8470230.1.428090.000000.847001.200179"/>
    <n v="8470230"/>
    <s v="KUST - Graduate Studies"/>
    <x v="13"/>
    <x v="13"/>
    <n v="847001"/>
    <s v="KUST - General"/>
    <x v="1"/>
    <x v="1"/>
    <n v="166493"/>
    <n v="10779"/>
    <n v="0"/>
    <n v="97000"/>
    <n v="97000"/>
    <x v="1"/>
    <n v="0"/>
    <n v="0"/>
    <n v="95800"/>
    <n v="86220"/>
    <n v="76640"/>
    <n v="67060"/>
    <n v="95800"/>
    <n v="95800"/>
    <n v="-1200"/>
  </r>
  <r>
    <s v="Academic and Student Services Office"/>
    <s v="847.8470230.1.428640.000000.847001.200179"/>
    <n v="8470230"/>
    <s v="KUST - Graduate Studies"/>
    <x v="14"/>
    <x v="14"/>
    <n v="847001"/>
    <s v="KUST - General"/>
    <x v="1"/>
    <x v="1"/>
    <n v="4500"/>
    <n v="0"/>
    <n v="0"/>
    <n v="80000"/>
    <n v="80000"/>
    <x v="1"/>
    <n v="0"/>
    <n v="0"/>
    <n v="71221"/>
    <n v="64099"/>
    <n v="56977"/>
    <n v="49855"/>
    <n v="84864"/>
    <n v="128700"/>
    <n v="-8779"/>
  </r>
  <r>
    <s v="Academic and Student Services Office"/>
    <s v="847.8470230.1.436110.000000.847001.200179"/>
    <n v="8470230"/>
    <s v="KUST - Graduate Studies"/>
    <x v="15"/>
    <x v="15"/>
    <n v="847001"/>
    <s v="KUST - General"/>
    <x v="1"/>
    <x v="1"/>
    <n v="1400"/>
    <n v="42100"/>
    <n v="0"/>
    <n v="5000"/>
    <n v="5000"/>
    <x v="1"/>
    <n v="0"/>
    <n v="0"/>
    <n v="5000"/>
    <n v="4500"/>
    <n v="4000"/>
    <n v="3500"/>
    <n v="5000"/>
    <n v="5000"/>
    <n v="0"/>
  </r>
  <r>
    <s v="Academic and Student Services Office"/>
    <s v="847.8470230.1.492310.000000.847001.300180"/>
    <n v="8470230"/>
    <s v="KUST - Graduate Studies"/>
    <x v="16"/>
    <x v="16"/>
    <n v="847001"/>
    <s v="KUST - General"/>
    <x v="2"/>
    <x v="2"/>
    <n v="0"/>
    <n v="0"/>
    <n v="0"/>
    <n v="1380709"/>
    <n v="1380709"/>
    <x v="1"/>
    <n v="0"/>
    <n v="1333260"/>
    <n v="1561500"/>
    <n v="1405350"/>
    <n v="1249200"/>
    <n v="1093050"/>
    <n v="931500"/>
    <n v="931500"/>
    <n v="180791"/>
  </r>
  <r>
    <s v="Academic and Student Services Office"/>
    <s v="847.8471210.1.425900.000000.847001.200179"/>
    <n v="8471210"/>
    <s v="KUST - SVP/ Academic &amp; Student Services Office"/>
    <x v="11"/>
    <x v="11"/>
    <n v="847001"/>
    <s v="KUST - General"/>
    <x v="1"/>
    <x v="1"/>
    <n v="2218"/>
    <n v="0"/>
    <n v="0"/>
    <n v="15000"/>
    <n v="15000"/>
    <x v="7"/>
    <n v="0"/>
    <n v="0"/>
    <n v="15000"/>
    <n v="13500"/>
    <n v="12000"/>
    <n v="10500"/>
    <n v="15000"/>
    <n v="15000"/>
    <n v="0"/>
  </r>
  <r>
    <s v="Academic and Student Services Office"/>
    <s v="847.8471210.1.428090.000000.847001.200179"/>
    <n v="8471210"/>
    <s v="KUST - SVP/ Academic &amp; Student Services Office"/>
    <x v="13"/>
    <x v="13"/>
    <n v="847001"/>
    <s v="KUST - General"/>
    <x v="1"/>
    <x v="1"/>
    <n v="61140"/>
    <n v="9000"/>
    <n v="0"/>
    <n v="100000"/>
    <n v="100000"/>
    <x v="1"/>
    <n v="0"/>
    <n v="0"/>
    <n v="160000"/>
    <n v="144000"/>
    <n v="128000"/>
    <n v="112000"/>
    <n v="160000"/>
    <n v="160000"/>
    <n v="60000"/>
  </r>
  <r>
    <s v="Academic and Student Services Office"/>
    <s v="847.8471210.1.428640.000000.847001.200179"/>
    <n v="8471210"/>
    <s v="KUST - SVP/ Academic &amp; Student Services Office"/>
    <x v="14"/>
    <x v="14"/>
    <n v="847001"/>
    <s v="KUST - General"/>
    <x v="1"/>
    <x v="1"/>
    <n v="0"/>
    <n v="0"/>
    <n v="0"/>
    <n v="20000"/>
    <n v="20000"/>
    <x v="1"/>
    <n v="0"/>
    <n v="0"/>
    <n v="20000"/>
    <n v="18000"/>
    <n v="16000"/>
    <n v="14000"/>
    <n v="20000"/>
    <n v="20000"/>
    <n v="0"/>
  </r>
  <r>
    <s v="Academic and Student Services Office"/>
    <s v="847.8471210.1.435530.000000.847001.200179"/>
    <n v="8471210"/>
    <s v="KUST - SVP/ Academic &amp; Student Services Office"/>
    <x v="17"/>
    <x v="17"/>
    <n v="847001"/>
    <s v="KUST - General"/>
    <x v="1"/>
    <x v="1"/>
    <n v="0"/>
    <n v="0"/>
    <n v="0"/>
    <n v="20000"/>
    <n v="20000"/>
    <x v="1"/>
    <n v="0"/>
    <n v="0"/>
    <n v="20000"/>
    <n v="18000"/>
    <n v="16000"/>
    <n v="14000"/>
    <n v="20000"/>
    <n v="20000"/>
    <n v="0"/>
  </r>
  <r>
    <s v="Academic and Student Services Office"/>
    <s v="847.8471220.1.425510.000000.847001.200179"/>
    <n v="8471220"/>
    <s v="KUST - Registrar"/>
    <x v="3"/>
    <x v="3"/>
    <n v="847001"/>
    <s v="KUST - General"/>
    <x v="1"/>
    <x v="1"/>
    <n v="0"/>
    <n v="2200"/>
    <n v="0"/>
    <n v="2200"/>
    <n v="2200"/>
    <x v="1"/>
    <n v="0"/>
    <n v="0"/>
    <n v="4000"/>
    <n v="3600"/>
    <n v="3200"/>
    <n v="2800"/>
    <n v="4800"/>
    <n v="5760"/>
    <n v="1800"/>
  </r>
  <r>
    <s v="Academic and Student Services Office"/>
    <s v="847.8471220.1.425741.000000.847001.200179"/>
    <n v="8471220"/>
    <s v="KUST - Registrar"/>
    <x v="18"/>
    <x v="18"/>
    <n v="847001"/>
    <s v="KUST - General"/>
    <x v="1"/>
    <x v="1"/>
    <n v="47701100"/>
    <n v="27445103"/>
    <n v="-19400"/>
    <n v="80501600"/>
    <n v="80501600"/>
    <x v="8"/>
    <n v="0"/>
    <n v="0"/>
    <n v="98652604"/>
    <n v="88787344"/>
    <n v="78922083"/>
    <n v="69056823"/>
    <n v="118383125"/>
    <n v="142059750"/>
    <n v="18151004"/>
  </r>
  <r>
    <s v="Academic and Student Services Office"/>
    <s v="847.8471220.1.426900.000000.847001.200179"/>
    <n v="8471220"/>
    <s v="KUST - Registrar"/>
    <x v="19"/>
    <x v="19"/>
    <n v="847001"/>
    <s v="KUST - General"/>
    <x v="1"/>
    <x v="1"/>
    <n v="0"/>
    <n v="10807"/>
    <n v="0"/>
    <n v="11000"/>
    <n v="11000"/>
    <x v="1"/>
    <n v="0"/>
    <n v="0"/>
    <n v="5190"/>
    <n v="4671"/>
    <n v="4152"/>
    <n v="3633"/>
    <n v="6228"/>
    <n v="7474"/>
    <n v="-5810"/>
  </r>
  <r>
    <s v="Academic and Student Services Office"/>
    <s v="847.8471220.1.435340.000000.847001.200179"/>
    <n v="8471220"/>
    <s v="KUST - Registrar"/>
    <x v="20"/>
    <x v="20"/>
    <n v="847001"/>
    <s v="KUST - General"/>
    <x v="1"/>
    <x v="1"/>
    <n v="7518618"/>
    <n v="11132827"/>
    <n v="9483734"/>
    <n v="9500000"/>
    <n v="9500000"/>
    <x v="9"/>
    <n v="0"/>
    <n v="0"/>
    <n v="11400000"/>
    <n v="10260000"/>
    <n v="9120000"/>
    <n v="7980000"/>
    <n v="13680000"/>
    <n v="16416000"/>
    <n v="1900000"/>
  </r>
  <r>
    <s v="Academic and Student Services Office"/>
    <s v="847.8471220.1.436110.000000.847001.200179"/>
    <n v="8471220"/>
    <s v="KUST - Registrar"/>
    <x v="15"/>
    <x v="15"/>
    <n v="847001"/>
    <s v="KUST - General"/>
    <x v="1"/>
    <x v="1"/>
    <n v="15800"/>
    <n v="0"/>
    <n v="21820"/>
    <n v="300000"/>
    <n v="300000"/>
    <x v="10"/>
    <n v="0"/>
    <n v="63500"/>
    <n v="361000"/>
    <n v="324900"/>
    <n v="288800"/>
    <n v="252700"/>
    <n v="433200"/>
    <n v="519840"/>
    <n v="61000"/>
  </r>
  <r>
    <s v="Academic and Student Services Office"/>
    <s v="847.8471220.1.436120.000000.847001.200179"/>
    <n v="8471220"/>
    <s v="KUST - Registrar"/>
    <x v="21"/>
    <x v="21"/>
    <n v="847001"/>
    <s v="KUST - General"/>
    <x v="1"/>
    <x v="1"/>
    <n v="816"/>
    <n v="0"/>
    <n v="0"/>
    <n v="6000"/>
    <n v="6000"/>
    <x v="1"/>
    <n v="0"/>
    <n v="0"/>
    <n v="2400"/>
    <n v="2160"/>
    <n v="1920"/>
    <n v="1680"/>
    <n v="2880"/>
    <n v="3456"/>
    <n v="-3600"/>
  </r>
  <r>
    <s v="Academic and Student Services Office"/>
    <s v="847.8471230.1.425742.000000.847001.200179"/>
    <n v="8471230"/>
    <s v="KUST - Student Enrollment"/>
    <x v="22"/>
    <x v="22"/>
    <n v="847001"/>
    <s v="KUST - General"/>
    <x v="1"/>
    <x v="1"/>
    <n v="5721219"/>
    <n v="1691072"/>
    <n v="967573"/>
    <n v="1647000"/>
    <n v="1647000"/>
    <x v="11"/>
    <n v="110000"/>
    <n v="149008.60999999999"/>
    <n v="1980000"/>
    <n v="495000"/>
    <n v="440000"/>
    <n v="385000"/>
    <n v="2200000"/>
    <n v="2500000"/>
    <n v="333000"/>
  </r>
  <r>
    <s v="Academic and Student Services Office"/>
    <s v="847.8471230.1.426610.000000.847001.200179"/>
    <n v="8471230"/>
    <s v="KUST - Student Enrollment"/>
    <x v="12"/>
    <x v="12"/>
    <n v="847001"/>
    <s v="KUST - General"/>
    <x v="1"/>
    <x v="1"/>
    <n v="0"/>
    <n v="0"/>
    <n v="95605"/>
    <n v="120000"/>
    <n v="120000"/>
    <x v="1"/>
    <n v="0"/>
    <n v="0"/>
    <n v="100000"/>
    <n v="90000"/>
    <n v="80000"/>
    <n v="70000"/>
    <n v="100000"/>
    <n v="100000"/>
    <n v="-20000"/>
  </r>
  <r>
    <s v="Academic and Student Services Office"/>
    <s v="847.8471240.1.425510.000000.847001.200179"/>
    <n v="8471240"/>
    <s v="KUST - Student Success"/>
    <x v="3"/>
    <x v="3"/>
    <n v="847001"/>
    <s v="KUST - General"/>
    <x v="1"/>
    <x v="1"/>
    <n v="90097"/>
    <n v="42054"/>
    <n v="2888"/>
    <n v="220000"/>
    <n v="220000"/>
    <x v="12"/>
    <n v="0"/>
    <n v="0"/>
    <n v="220000"/>
    <n v="40500"/>
    <n v="36000"/>
    <n v="31500"/>
    <n v="220000"/>
    <n v="220000"/>
    <n v="0"/>
  </r>
  <r>
    <s v="Academic and Student Services Office"/>
    <s v="847.8471240.1.425720.000000.847001.200179"/>
    <n v="8471240"/>
    <s v="KUST - Student Success"/>
    <x v="23"/>
    <x v="23"/>
    <n v="847001"/>
    <s v="KUST - General"/>
    <x v="1"/>
    <x v="1"/>
    <n v="51422"/>
    <n v="107865"/>
    <n v="-95"/>
    <n v="128000"/>
    <n v="128000"/>
    <x v="1"/>
    <n v="0"/>
    <n v="0"/>
    <n v="128000"/>
    <n v="67500"/>
    <n v="60000"/>
    <n v="52500"/>
    <n v="128000"/>
    <n v="128000"/>
    <n v="0"/>
  </r>
  <r>
    <s v="Academic and Student Services Office"/>
    <s v="847.8471240.1.425750.000000.847001.200179"/>
    <n v="8471240"/>
    <s v="KUST - Student Success"/>
    <x v="24"/>
    <x v="24"/>
    <n v="847001"/>
    <s v="KUST - General"/>
    <x v="1"/>
    <x v="1"/>
    <n v="0"/>
    <n v="-16200"/>
    <n v="0"/>
    <n v="23000"/>
    <n v="23000"/>
    <x v="1"/>
    <n v="0"/>
    <n v="0"/>
    <n v="23000"/>
    <n v="7560"/>
    <n v="6720"/>
    <n v="5880"/>
    <n v="23000"/>
    <n v="23000"/>
    <n v="0"/>
  </r>
  <r>
    <s v="Academic and Student Services Office"/>
    <s v="847.8471240.1.425761.000000.847001.200179"/>
    <n v="8471240"/>
    <s v="KUST - Student Success"/>
    <x v="9"/>
    <x v="9"/>
    <n v="847001"/>
    <s v="KUST - General"/>
    <x v="1"/>
    <x v="1"/>
    <n v="144141"/>
    <n v="466665"/>
    <n v="236380"/>
    <n v="800000"/>
    <n v="800000"/>
    <x v="13"/>
    <n v="0"/>
    <n v="0"/>
    <n v="1000000"/>
    <n v="900000"/>
    <n v="800000"/>
    <n v="700000"/>
    <n v="1200000"/>
    <n v="1200000"/>
    <n v="200000"/>
  </r>
  <r>
    <s v="Academic and Student Services Office"/>
    <s v="847.8471240.1.425900.000000.847001.200179"/>
    <n v="8471240"/>
    <s v="KUST - Student Success"/>
    <x v="11"/>
    <x v="11"/>
    <n v="847001"/>
    <s v="KUST - General"/>
    <x v="1"/>
    <x v="1"/>
    <n v="1208"/>
    <n v="0"/>
    <n v="0"/>
    <n v="24000"/>
    <n v="24000"/>
    <x v="14"/>
    <n v="0"/>
    <n v="0"/>
    <n v="24000"/>
    <n v="13050"/>
    <n v="11600"/>
    <n v="10150"/>
    <n v="24000"/>
    <n v="24000"/>
    <n v="0"/>
  </r>
  <r>
    <s v="Academic and Student Services Office"/>
    <s v="847.8471240.1.426610.000000.847001.200179"/>
    <n v="8471240"/>
    <s v="KUST - Student Success"/>
    <x v="12"/>
    <x v="12"/>
    <n v="847001"/>
    <s v="KUST - General"/>
    <x v="1"/>
    <x v="1"/>
    <n v="0"/>
    <n v="0"/>
    <n v="495462"/>
    <n v="363000"/>
    <n v="363000"/>
    <x v="1"/>
    <n v="0"/>
    <n v="362782.21"/>
    <n v="400000"/>
    <n v="360000"/>
    <n v="320000"/>
    <n v="280000"/>
    <n v="400000"/>
    <n v="400000"/>
    <n v="37000"/>
  </r>
  <r>
    <s v="Academic and Student Services Office"/>
    <s v="847.8471240.1.428090.000000.847001.200179"/>
    <n v="8471240"/>
    <s v="KUST - Student Success"/>
    <x v="13"/>
    <x v="13"/>
    <n v="847001"/>
    <s v="KUST - General"/>
    <x v="1"/>
    <x v="1"/>
    <n v="0"/>
    <n v="0"/>
    <n v="0"/>
    <n v="60000"/>
    <n v="60000"/>
    <x v="1"/>
    <n v="0"/>
    <n v="0"/>
    <n v="60000"/>
    <n v="54000"/>
    <n v="48000"/>
    <n v="42000"/>
    <n v="60000"/>
    <n v="60000"/>
    <n v="0"/>
  </r>
  <r>
    <s v="Academic and Student Services Office"/>
    <s v="847.8471240.1.428640.000000.847001.200179"/>
    <n v="8471240"/>
    <s v="KUST - Student Success"/>
    <x v="14"/>
    <x v="14"/>
    <n v="847001"/>
    <s v="KUST - General"/>
    <x v="1"/>
    <x v="1"/>
    <n v="-72"/>
    <n v="4192"/>
    <n v="0"/>
    <n v="14000"/>
    <n v="14000"/>
    <x v="1"/>
    <n v="0"/>
    <n v="0"/>
    <n v="14000"/>
    <n v="9000"/>
    <n v="8000"/>
    <n v="7000"/>
    <n v="14000"/>
    <n v="14000"/>
    <n v="0"/>
  </r>
  <r>
    <s v="Academic and Student Services Office"/>
    <s v="847.8471240.1.435330.000000.847001.200179"/>
    <n v="8471240"/>
    <s v="KUST - Student Success"/>
    <x v="25"/>
    <x v="25"/>
    <n v="847001"/>
    <s v="KUST - General"/>
    <x v="1"/>
    <x v="1"/>
    <n v="0"/>
    <n v="0"/>
    <n v="0"/>
    <n v="4750"/>
    <n v="4750"/>
    <x v="1"/>
    <n v="0"/>
    <n v="0"/>
    <n v="4750"/>
    <n v="4275"/>
    <n v="3800"/>
    <n v="3325"/>
    <n v="4750"/>
    <n v="4750"/>
    <n v="0"/>
  </r>
  <r>
    <s v="Academic and Student Services Office"/>
    <s v="847.8471240.1.436110.000000.847001.200179"/>
    <n v="8471240"/>
    <s v="KUST - Student Success"/>
    <x v="15"/>
    <x v="15"/>
    <n v="847001"/>
    <s v="KUST - General"/>
    <x v="1"/>
    <x v="1"/>
    <n v="320"/>
    <n v="0"/>
    <n v="0"/>
    <n v="42000"/>
    <n v="42000"/>
    <x v="1"/>
    <n v="0"/>
    <n v="0"/>
    <n v="42000"/>
    <n v="31500"/>
    <n v="28000"/>
    <n v="24500"/>
    <n v="42000"/>
    <n v="42000"/>
    <n v="0"/>
  </r>
  <r>
    <s v="Academic and Student Services Office"/>
    <s v="847.8471240.1.436120.000000.847001.200179"/>
    <n v="8471240"/>
    <s v="KUST - Student Success"/>
    <x v="21"/>
    <x v="21"/>
    <n v="847001"/>
    <s v="KUST - General"/>
    <x v="1"/>
    <x v="1"/>
    <n v="-595"/>
    <n v="0"/>
    <n v="0"/>
    <n v="25000"/>
    <n v="25000"/>
    <x v="1"/>
    <n v="0"/>
    <n v="0"/>
    <n v="35000"/>
    <n v="30600"/>
    <n v="27200"/>
    <n v="23800"/>
    <n v="35000"/>
    <n v="35000"/>
    <n v="10000"/>
  </r>
  <r>
    <s v="Academic and Student Services Office"/>
    <s v="847.8471250.1.425510.000000.847001.200179"/>
    <n v="8471250"/>
    <s v="KUST - Career Services"/>
    <x v="3"/>
    <x v="3"/>
    <n v="847001"/>
    <s v="KUST - General"/>
    <x v="1"/>
    <x v="1"/>
    <n v="197232"/>
    <n v="391731"/>
    <n v="255065"/>
    <n v="867500"/>
    <n v="867500"/>
    <x v="1"/>
    <n v="867000"/>
    <n v="0"/>
    <n v="1000000"/>
    <n v="900000"/>
    <n v="800000"/>
    <n v="700000"/>
    <n v="1000000"/>
    <n v="1000000"/>
    <n v="132500"/>
  </r>
  <r>
    <s v="Academic and Student Services Office"/>
    <s v="847.8471250.1.425720.000000.847001.200179"/>
    <n v="8471250"/>
    <s v="KUST - Career Services"/>
    <x v="23"/>
    <x v="23"/>
    <n v="847001"/>
    <s v="KUST - General"/>
    <x v="1"/>
    <x v="1"/>
    <n v="116885"/>
    <n v="207900"/>
    <n v="370000"/>
    <n v="0"/>
    <n v="0"/>
    <x v="1"/>
    <n v="0"/>
    <n v="0"/>
    <n v="560000"/>
    <n v="504000"/>
    <n v="448000"/>
    <n v="392000"/>
    <n v="560000"/>
    <n v="560000"/>
    <n v="560000"/>
  </r>
  <r>
    <s v="Academic and Student Services Office"/>
    <s v="847.8471250.1.425762.000000.847001.200179"/>
    <n v="8471250"/>
    <s v="KUST - Career Services"/>
    <x v="10"/>
    <x v="10"/>
    <n v="847001"/>
    <s v="KUST - General"/>
    <x v="1"/>
    <x v="1"/>
    <n v="766233"/>
    <n v="243698"/>
    <n v="0"/>
    <n v="520000"/>
    <n v="520000"/>
    <x v="15"/>
    <n v="0"/>
    <n v="0"/>
    <n v="2144000"/>
    <n v="1929600"/>
    <n v="1715200"/>
    <n v="1500800"/>
    <n v="2144000"/>
    <n v="2144000"/>
    <n v="1624000"/>
  </r>
  <r>
    <s v="Academic and Student Services Office"/>
    <s v="847.8471250.1.425900.000000.847001.200179"/>
    <n v="8471250"/>
    <s v="KUST - Career Services"/>
    <x v="11"/>
    <x v="11"/>
    <n v="847001"/>
    <s v="KUST - General"/>
    <x v="1"/>
    <x v="1"/>
    <n v="377"/>
    <n v="18560"/>
    <n v="0"/>
    <n v="51000"/>
    <n v="51000"/>
    <x v="1"/>
    <n v="0"/>
    <n v="0"/>
    <n v="75000"/>
    <n v="67500"/>
    <n v="60000"/>
    <n v="52500"/>
    <n v="75000"/>
    <n v="75000"/>
    <n v="24000"/>
  </r>
  <r>
    <s v="Academic and Student Services Office"/>
    <s v="847.8471250.1.426610.000000.847001.200179"/>
    <n v="8471250"/>
    <s v="KUST - Career Services"/>
    <x v="12"/>
    <x v="12"/>
    <n v="847001"/>
    <s v="KUST - General"/>
    <x v="1"/>
    <x v="1"/>
    <n v="134380"/>
    <n v="238680"/>
    <n v="0"/>
    <n v="60608"/>
    <n v="60608"/>
    <x v="1"/>
    <n v="60604.5"/>
    <n v="0"/>
    <n v="373152"/>
    <n v="335837"/>
    <n v="298522"/>
    <n v="261206"/>
    <n v="1119456"/>
    <n v="1119456"/>
    <n v="312544"/>
  </r>
  <r>
    <s v="Academic and Student Services Office"/>
    <s v="847.8471250.1.428090.000000.847001.200179"/>
    <n v="8471250"/>
    <s v="KUST - Career Services"/>
    <x v="13"/>
    <x v="13"/>
    <n v="847001"/>
    <s v="KUST - General"/>
    <x v="1"/>
    <x v="1"/>
    <n v="0"/>
    <n v="0"/>
    <n v="0"/>
    <n v="10000"/>
    <n v="10000"/>
    <x v="16"/>
    <n v="0"/>
    <n v="0"/>
    <n v="0"/>
    <n v="0"/>
    <n v="0"/>
    <n v="0"/>
    <n v="0"/>
    <n v="0"/>
    <n v="-10000"/>
  </r>
  <r>
    <s v="Academic and Student Services Office"/>
    <s v="847.8471250.1.428640.000000.847001.200179"/>
    <n v="8471250"/>
    <s v="KUST - Career Services"/>
    <x v="14"/>
    <x v="14"/>
    <n v="847001"/>
    <s v="KUST - General"/>
    <x v="1"/>
    <x v="1"/>
    <n v="0"/>
    <n v="0"/>
    <n v="0"/>
    <n v="46500"/>
    <n v="46500"/>
    <x v="1"/>
    <n v="0"/>
    <n v="0"/>
    <n v="80000"/>
    <n v="72000"/>
    <n v="64000"/>
    <n v="56000"/>
    <n v="80000"/>
    <n v="80000"/>
    <n v="33500"/>
  </r>
  <r>
    <s v="Academic and Student Services Office"/>
    <s v="847.8471250.1.436110.000000.847001.200179"/>
    <n v="8471250"/>
    <s v="KUST - Career Services"/>
    <x v="15"/>
    <x v="15"/>
    <n v="847001"/>
    <s v="KUST - General"/>
    <x v="1"/>
    <x v="1"/>
    <n v="-14910"/>
    <n v="0"/>
    <n v="-5910"/>
    <n v="10000"/>
    <n v="10000"/>
    <x v="1"/>
    <n v="0"/>
    <n v="0"/>
    <n v="10000"/>
    <n v="9000"/>
    <n v="8000"/>
    <n v="7000"/>
    <n v="10000"/>
    <n v="10000"/>
    <n v="0"/>
  </r>
  <r>
    <s v="Academic and Student Services Office"/>
    <s v="847.8471260.1.420310.000000.847001.200179"/>
    <n v="8471260"/>
    <s v="KUST - Student Life"/>
    <x v="26"/>
    <x v="26"/>
    <n v="847001"/>
    <s v="KUST - General"/>
    <x v="1"/>
    <x v="1"/>
    <n v="2077931"/>
    <n v="2150684"/>
    <n v="-2820"/>
    <n v="0"/>
    <n v="0"/>
    <x v="1"/>
    <n v="0"/>
    <n v="0"/>
    <n v="0"/>
    <n v="0"/>
    <n v="0"/>
    <n v="0"/>
    <n v="0"/>
    <n v="0"/>
    <n v="0"/>
  </r>
  <r>
    <s v="Academic and Student Services Office"/>
    <s v="847.8471260.1.421600.000000.847001.200179"/>
    <n v="8471260"/>
    <s v="KUST - Student Life"/>
    <x v="27"/>
    <x v="27"/>
    <n v="847001"/>
    <s v="KUST - General"/>
    <x v="1"/>
    <x v="1"/>
    <n v="920424"/>
    <n v="1337824"/>
    <n v="1750"/>
    <n v="0"/>
    <n v="0"/>
    <x v="1"/>
    <n v="0"/>
    <n v="0"/>
    <n v="0"/>
    <n v="0"/>
    <n v="0"/>
    <n v="0"/>
    <n v="0"/>
    <n v="0"/>
    <n v="0"/>
  </r>
  <r>
    <s v="Academic and Student Services Office"/>
    <s v="847.8471260.1.422400.000000.847001.200179"/>
    <n v="8471260"/>
    <s v="KUST - Student Life"/>
    <x v="28"/>
    <x v="28"/>
    <n v="847001"/>
    <s v="KUST - General"/>
    <x v="1"/>
    <x v="1"/>
    <n v="0"/>
    <n v="0"/>
    <n v="0"/>
    <n v="0"/>
    <n v="0"/>
    <x v="1"/>
    <n v="0"/>
    <n v="0"/>
    <n v="0"/>
    <n v="0"/>
    <n v="0"/>
    <n v="0"/>
    <n v="0"/>
    <n v="0"/>
    <n v="0"/>
  </r>
  <r>
    <s v="Academic and Student Services Office"/>
    <s v="847.8471260.1.425510.000000.847001.200179"/>
    <n v="8471260"/>
    <s v="KUST - Student Life"/>
    <x v="3"/>
    <x v="3"/>
    <n v="847001"/>
    <s v="KUST - General"/>
    <x v="1"/>
    <x v="1"/>
    <n v="89382"/>
    <n v="20550"/>
    <n v="0"/>
    <n v="205000"/>
    <n v="205000"/>
    <x v="17"/>
    <n v="61320"/>
    <n v="0"/>
    <n v="274000"/>
    <n v="246600"/>
    <n v="219200"/>
    <n v="191800"/>
    <n v="301000"/>
    <n v="301000"/>
    <n v="69000"/>
  </r>
  <r>
    <s v="Academic and Student Services Office"/>
    <s v="847.8471260.1.425746.000000.847001.200179"/>
    <n v="8471260"/>
    <s v="KUST - Student Life"/>
    <x v="29"/>
    <x v="29"/>
    <n v="847001"/>
    <s v="KUST - General"/>
    <x v="1"/>
    <x v="1"/>
    <n v="9622796"/>
    <n v="3208632"/>
    <n v="8221711"/>
    <n v="9349361"/>
    <n v="9349361"/>
    <x v="18"/>
    <n v="0"/>
    <n v="662298.51"/>
    <n v="11316828"/>
    <n v="10185145.200000001"/>
    <n v="9053462.4000000004"/>
    <n v="7921779.5999999996"/>
    <n v="11616828"/>
    <n v="11616828"/>
    <n v="1967467"/>
  </r>
  <r>
    <s v="Academic and Student Services Office"/>
    <s v="847.8471260.1.425750.000000.847001.200179"/>
    <n v="8471260"/>
    <s v="KUST - Student Life"/>
    <x v="24"/>
    <x v="24"/>
    <n v="847001"/>
    <s v="KUST - General"/>
    <x v="1"/>
    <x v="1"/>
    <n v="0"/>
    <n v="0"/>
    <n v="25000"/>
    <n v="0"/>
    <n v="0"/>
    <x v="1"/>
    <n v="0"/>
    <n v="0"/>
    <n v="0"/>
    <n v="0"/>
    <n v="0"/>
    <n v="0"/>
    <n v="0"/>
    <n v="0"/>
    <n v="0"/>
  </r>
  <r>
    <s v="Academic and Student Services Office"/>
    <s v="847.8471260.1.425760.000000.847001.200179"/>
    <n v="8471260"/>
    <s v="KUST - Student Life"/>
    <x v="30"/>
    <x v="30"/>
    <n v="847001"/>
    <s v="KUST - General"/>
    <x v="1"/>
    <x v="1"/>
    <n v="430483"/>
    <n v="16013"/>
    <n v="229618"/>
    <n v="936870"/>
    <n v="936870"/>
    <x v="19"/>
    <n v="0"/>
    <n v="0"/>
    <n v="847520"/>
    <n v="762768"/>
    <n v="678016"/>
    <n v="593264"/>
    <n v="1001122"/>
    <n v="1188622"/>
    <n v="-89350"/>
  </r>
  <r>
    <s v="Academic and Student Services Office"/>
    <s v="847.8471260.1.425900.000000.847001.200179"/>
    <n v="8471260"/>
    <s v="KUST - Student Life"/>
    <x v="11"/>
    <x v="11"/>
    <n v="847001"/>
    <s v="KUST - General"/>
    <x v="1"/>
    <x v="1"/>
    <n v="54299"/>
    <n v="0"/>
    <n v="7086"/>
    <n v="70800"/>
    <n v="70800"/>
    <x v="20"/>
    <n v="0"/>
    <n v="0"/>
    <n v="170000"/>
    <n v="45900"/>
    <n v="40800"/>
    <n v="35700"/>
    <n v="170000"/>
    <n v="170000"/>
    <n v="99200"/>
  </r>
  <r>
    <s v="Academic and Student Services Office"/>
    <s v="847.8471260.1.426220.000000.847001.200179"/>
    <n v="8471260"/>
    <s v="KUST - Student Life"/>
    <x v="31"/>
    <x v="31"/>
    <n v="847001"/>
    <s v="KUST - General"/>
    <x v="1"/>
    <x v="1"/>
    <n v="535013"/>
    <n v="335082"/>
    <n v="7905"/>
    <n v="0"/>
    <n v="0"/>
    <x v="1"/>
    <n v="0"/>
    <n v="0"/>
    <n v="0"/>
    <n v="0"/>
    <n v="0"/>
    <n v="0"/>
    <n v="0"/>
    <n v="0"/>
    <n v="0"/>
  </r>
  <r>
    <s v="Academic and Student Services Office"/>
    <s v="847.8471260.1.428111.000000.847001.200179"/>
    <n v="8471260"/>
    <s v="KUST - Student Life"/>
    <x v="32"/>
    <x v="32"/>
    <n v="847001"/>
    <s v="KUST - General"/>
    <x v="1"/>
    <x v="1"/>
    <n v="5729606"/>
    <n v="6823015"/>
    <n v="506185"/>
    <n v="0"/>
    <n v="0"/>
    <x v="1"/>
    <n v="0"/>
    <n v="0"/>
    <n v="0"/>
    <n v="0"/>
    <n v="0"/>
    <n v="0"/>
    <n v="0"/>
    <n v="0"/>
    <n v="0"/>
  </r>
  <r>
    <s v="Academic and Student Services Office"/>
    <s v="847.8471260.1.428112.000000.847001.200179"/>
    <n v="8471260"/>
    <s v="KUST - Student Life"/>
    <x v="33"/>
    <x v="33"/>
    <n v="847001"/>
    <s v="KUST - General"/>
    <x v="1"/>
    <x v="1"/>
    <n v="308074"/>
    <n v="1875749"/>
    <n v="166805"/>
    <n v="0"/>
    <n v="0"/>
    <x v="1"/>
    <n v="0"/>
    <n v="0"/>
    <n v="0"/>
    <n v="0"/>
    <n v="0"/>
    <n v="0"/>
    <n v="0"/>
    <n v="0"/>
    <n v="0"/>
  </r>
  <r>
    <s v="Academic and Student Services Office"/>
    <s v="847.8471260.1.428640.000000.847001.200179"/>
    <n v="8471260"/>
    <s v="KUST - Student Life"/>
    <x v="14"/>
    <x v="14"/>
    <n v="847001"/>
    <s v="KUST - General"/>
    <x v="1"/>
    <x v="1"/>
    <n v="0"/>
    <n v="0"/>
    <n v="10810"/>
    <n v="32500"/>
    <n v="32500"/>
    <x v="21"/>
    <n v="0"/>
    <n v="0"/>
    <n v="32000"/>
    <n v="28800"/>
    <n v="25600"/>
    <n v="22400"/>
    <n v="32000"/>
    <n v="32000"/>
    <n v="-500"/>
  </r>
  <r>
    <s v="Academic and Student Services Office"/>
    <s v="847.8471260.1.430230.000000.847001.200179"/>
    <n v="8471260"/>
    <s v="KUST - Student Life"/>
    <x v="34"/>
    <x v="34"/>
    <n v="847001"/>
    <s v="KUST - General"/>
    <x v="1"/>
    <x v="1"/>
    <n v="2144"/>
    <n v="0"/>
    <n v="5500"/>
    <n v="0"/>
    <n v="0"/>
    <x v="1"/>
    <n v="0"/>
    <n v="0"/>
    <n v="0"/>
    <n v="0"/>
    <n v="0"/>
    <n v="0"/>
    <n v="0"/>
    <n v="0"/>
    <n v="0"/>
  </r>
  <r>
    <s v="Academic and Student Services Office"/>
    <s v="847.8471260.1.432120.000000.847001.200179"/>
    <n v="8471260"/>
    <s v="KUST - Student Life"/>
    <x v="35"/>
    <x v="35"/>
    <n v="847001"/>
    <s v="KUST - General"/>
    <x v="1"/>
    <x v="1"/>
    <n v="2170108"/>
    <n v="8001536"/>
    <n v="118836"/>
    <n v="0"/>
    <n v="0"/>
    <x v="1"/>
    <n v="0"/>
    <n v="0"/>
    <n v="0"/>
    <n v="0"/>
    <n v="0"/>
    <n v="0"/>
    <n v="0"/>
    <n v="0"/>
    <n v="0"/>
  </r>
  <r>
    <s v="Academic and Student Services Office"/>
    <s v="847.8471260.1.435530.000000.847001.200179"/>
    <n v="8471260"/>
    <s v="KUST - Student Life"/>
    <x v="17"/>
    <x v="17"/>
    <n v="847001"/>
    <s v="KUST - General"/>
    <x v="1"/>
    <x v="1"/>
    <n v="0"/>
    <n v="0"/>
    <n v="31417"/>
    <n v="12000"/>
    <n v="12000"/>
    <x v="22"/>
    <n v="0"/>
    <n v="0"/>
    <n v="80350"/>
    <n v="72315"/>
    <n v="64280"/>
    <n v="56245"/>
    <n v="85100"/>
    <n v="85100"/>
    <n v="68350"/>
  </r>
  <r>
    <s v="Academic and Student Services Office"/>
    <s v="847.8471260.1.436110.000000.847001.200179"/>
    <n v="8471260"/>
    <s v="KUST - Student Life"/>
    <x v="15"/>
    <x v="15"/>
    <n v="847001"/>
    <s v="KUST - General"/>
    <x v="1"/>
    <x v="1"/>
    <n v="21450"/>
    <n v="0"/>
    <n v="0"/>
    <n v="13500"/>
    <n v="13500"/>
    <x v="23"/>
    <n v="0"/>
    <n v="0"/>
    <n v="9600"/>
    <n v="8640"/>
    <n v="7680"/>
    <n v="6720"/>
    <n v="12400"/>
    <n v="12400"/>
    <n v="-3900"/>
  </r>
  <r>
    <s v="Academic and Student Services Office"/>
    <s v="847.8471270.1.425900.000000.847001.200179"/>
    <n v="8471270"/>
    <s v="KUST - Libraries"/>
    <x v="11"/>
    <x v="11"/>
    <n v="847001"/>
    <s v="KUST - General"/>
    <x v="1"/>
    <x v="1"/>
    <n v="1250"/>
    <n v="150"/>
    <n v="0"/>
    <n v="50000"/>
    <n v="50000"/>
    <x v="1"/>
    <n v="0"/>
    <n v="0"/>
    <n v="50000"/>
    <n v="45000"/>
    <n v="40000"/>
    <n v="35000"/>
    <n v="50000"/>
    <n v="50000"/>
    <n v="0"/>
  </r>
  <r>
    <s v="Academic and Student Services Office"/>
    <s v="847.8471270.1.428090.000000.847001.200179"/>
    <n v="8471270"/>
    <s v="KUST - Libraries"/>
    <x v="13"/>
    <x v="13"/>
    <n v="847001"/>
    <s v="KUST - General"/>
    <x v="1"/>
    <x v="1"/>
    <n v="8898"/>
    <n v="13309"/>
    <n v="0"/>
    <n v="300000"/>
    <n v="300000"/>
    <x v="1"/>
    <n v="0"/>
    <n v="0"/>
    <n v="300000"/>
    <n v="270000"/>
    <n v="240000"/>
    <n v="210000"/>
    <n v="300000"/>
    <n v="300000"/>
    <n v="0"/>
  </r>
  <r>
    <s v="Academic and Student Services Office"/>
    <s v="847.8471270.1.435330.000000.847001.200179"/>
    <n v="8471270"/>
    <s v="KUST - Libraries"/>
    <x v="25"/>
    <x v="25"/>
    <n v="847001"/>
    <s v="KUST - General"/>
    <x v="1"/>
    <x v="1"/>
    <n v="13899920"/>
    <n v="11619785"/>
    <n v="13236763"/>
    <n v="15199430"/>
    <n v="15199430"/>
    <x v="24"/>
    <n v="1501553.83"/>
    <n v="5718238.2300000004"/>
    <n v="15564000"/>
    <n v="14007600"/>
    <n v="12451200"/>
    <n v="10894800"/>
    <n v="16344000"/>
    <n v="17160000"/>
    <n v="364570"/>
  </r>
  <r>
    <s v="Academic and Student Services Office"/>
    <s v="847.8471270.1.436110.000000.847001.200179"/>
    <n v="8471270"/>
    <s v="KUST - Libraries"/>
    <x v="15"/>
    <x v="15"/>
    <n v="847001"/>
    <s v="KUST - General"/>
    <x v="1"/>
    <x v="1"/>
    <n v="0"/>
    <n v="0"/>
    <n v="0"/>
    <n v="50000"/>
    <n v="50000"/>
    <x v="1"/>
    <n v="0"/>
    <n v="0"/>
    <n v="48000"/>
    <n v="43200"/>
    <n v="38400"/>
    <n v="33600"/>
    <n v="44000"/>
    <n v="500000"/>
    <n v="-2000"/>
  </r>
  <r>
    <s v="Academic and Student Services Office"/>
    <s v="847.8471280.1.425100.000000.847001.200179"/>
    <n v="8471280"/>
    <s v="KUST - Center for Teaching &amp; Learning"/>
    <x v="2"/>
    <x v="2"/>
    <n v="847001"/>
    <s v="KUST - General"/>
    <x v="1"/>
    <x v="1"/>
    <n v="0"/>
    <n v="0"/>
    <n v="0"/>
    <n v="2500"/>
    <n v="2500"/>
    <x v="1"/>
    <n v="0"/>
    <n v="0"/>
    <n v="3000"/>
    <n v="2700"/>
    <n v="2400"/>
    <n v="2100"/>
    <n v="3750"/>
    <n v="4875"/>
    <n v="500"/>
  </r>
  <r>
    <s v="Academic and Student Services Office"/>
    <s v="847.8471280.1.425510.000000.847001.200179"/>
    <n v="8471280"/>
    <s v="KUST - Center for Teaching &amp; Learning"/>
    <x v="3"/>
    <x v="3"/>
    <n v="847001"/>
    <s v="KUST - General"/>
    <x v="1"/>
    <x v="1"/>
    <n v="24710"/>
    <n v="32792"/>
    <n v="14261"/>
    <n v="30000"/>
    <n v="30000"/>
    <x v="25"/>
    <n v="0"/>
    <n v="0"/>
    <n v="36000"/>
    <n v="32400"/>
    <n v="28800"/>
    <n v="25200"/>
    <n v="45000"/>
    <n v="58500"/>
    <n v="6000"/>
  </r>
  <r>
    <s v="Academic and Student Services Office"/>
    <s v="847.8471280.1.425550.000000.847001.200179"/>
    <n v="8471280"/>
    <s v="KUST - Center for Teaching &amp; Learning"/>
    <x v="4"/>
    <x v="4"/>
    <n v="847001"/>
    <s v="KUST - General"/>
    <x v="1"/>
    <x v="1"/>
    <n v="0"/>
    <n v="0"/>
    <n v="7346"/>
    <n v="60000"/>
    <n v="60000"/>
    <x v="26"/>
    <n v="0"/>
    <n v="0"/>
    <n v="72000"/>
    <n v="64800"/>
    <n v="57600"/>
    <n v="50400"/>
    <n v="90000"/>
    <n v="117000"/>
    <n v="12000"/>
  </r>
  <r>
    <s v="Academic and Student Services Office"/>
    <s v="847.8471280.1.425710.000000.847001.200179"/>
    <n v="8471280"/>
    <s v="KUST - Center for Teaching &amp; Learning"/>
    <x v="36"/>
    <x v="36"/>
    <n v="847001"/>
    <s v="KUST - General"/>
    <x v="1"/>
    <x v="1"/>
    <n v="0"/>
    <n v="0"/>
    <n v="0"/>
    <n v="300000"/>
    <n v="300000"/>
    <x v="1"/>
    <n v="0"/>
    <n v="0"/>
    <n v="360000"/>
    <n v="324000"/>
    <n v="288000"/>
    <n v="252000"/>
    <n v="450000"/>
    <n v="585000"/>
    <n v="60000"/>
  </r>
  <r>
    <s v="Academic and Student Services Office"/>
    <s v="847.8471280.1.425760.000000.847001.200179"/>
    <n v="8471280"/>
    <s v="KUST - Center for Teaching &amp; Learning"/>
    <x v="30"/>
    <x v="30"/>
    <n v="847001"/>
    <s v="KUST - General"/>
    <x v="1"/>
    <x v="1"/>
    <n v="0"/>
    <n v="0"/>
    <n v="0"/>
    <n v="30000"/>
    <n v="30000"/>
    <x v="1"/>
    <n v="0"/>
    <n v="0"/>
    <n v="36000"/>
    <n v="32400"/>
    <n v="28800"/>
    <n v="25200"/>
    <n v="45000"/>
    <n v="58500"/>
    <n v="6000"/>
  </r>
  <r>
    <s v="Academic and Student Services Office"/>
    <s v="847.8471280.1.425770.000000.847001.200179"/>
    <n v="8471280"/>
    <s v="KUST - Center for Teaching &amp; Learning"/>
    <x v="37"/>
    <x v="37"/>
    <n v="847001"/>
    <s v="KUST - General"/>
    <x v="1"/>
    <x v="1"/>
    <n v="33674"/>
    <n v="73608"/>
    <n v="30907"/>
    <n v="200000"/>
    <n v="200000"/>
    <x v="1"/>
    <n v="82642.5"/>
    <n v="0"/>
    <n v="240000"/>
    <n v="216000"/>
    <n v="192000"/>
    <n v="168000"/>
    <n v="300000"/>
    <n v="390000"/>
    <n v="40000"/>
  </r>
  <r>
    <s v="Academic and Student Services Office"/>
    <s v="847.8471280.1.426610.000000.847001.200179"/>
    <n v="8471280"/>
    <s v="KUST - Center for Teaching &amp; Learning"/>
    <x v="12"/>
    <x v="12"/>
    <n v="847001"/>
    <s v="KUST - General"/>
    <x v="1"/>
    <x v="1"/>
    <n v="11390"/>
    <n v="154275"/>
    <n v="117690"/>
    <n v="321000"/>
    <n v="321000"/>
    <x v="27"/>
    <n v="75749"/>
    <n v="5876.8"/>
    <n v="1585200"/>
    <n v="1426680"/>
    <n v="1268160"/>
    <n v="1109640"/>
    <n v="1902040"/>
    <n v="2852800"/>
    <n v="1264200"/>
  </r>
  <r>
    <s v="Academic and Student Services Office"/>
    <s v="847.8471280.1.428090.000000.847001.200179"/>
    <n v="8471280"/>
    <s v="KUST - Center for Teaching &amp; Learning"/>
    <x v="13"/>
    <x v="13"/>
    <n v="847001"/>
    <s v="KUST - General"/>
    <x v="1"/>
    <x v="1"/>
    <n v="0"/>
    <n v="0"/>
    <n v="2200"/>
    <n v="0"/>
    <n v="0"/>
    <x v="1"/>
    <n v="0"/>
    <n v="0"/>
    <n v="2640"/>
    <n v="2376"/>
    <n v="2112"/>
    <n v="1848"/>
    <n v="3300"/>
    <n v="4200"/>
    <n v="2640"/>
  </r>
  <r>
    <s v="Academic and Student Services Office"/>
    <s v="847.8471280.1.428640.000000.847001.200179"/>
    <n v="8471280"/>
    <s v="KUST - Center for Teaching &amp; Learning"/>
    <x v="14"/>
    <x v="14"/>
    <n v="847001"/>
    <s v="KUST - General"/>
    <x v="1"/>
    <x v="1"/>
    <n v="156"/>
    <n v="0"/>
    <n v="866"/>
    <n v="15000"/>
    <n v="15000"/>
    <x v="1"/>
    <n v="0"/>
    <n v="0"/>
    <n v="18000"/>
    <n v="16200"/>
    <n v="14400"/>
    <n v="12600"/>
    <n v="22500"/>
    <n v="30000"/>
    <n v="3000"/>
  </r>
  <r>
    <s v="Academic and Student Services Office"/>
    <s v="847.8471280.1.432170.000000.847001.200179"/>
    <n v="8471280"/>
    <s v="KUST - Center for Teaching &amp; Learning"/>
    <x v="38"/>
    <x v="38"/>
    <n v="847001"/>
    <s v="KUST - General"/>
    <x v="1"/>
    <x v="1"/>
    <n v="58140"/>
    <n v="0"/>
    <n v="0"/>
    <n v="200000"/>
    <n v="200000"/>
    <x v="1"/>
    <n v="0"/>
    <n v="0"/>
    <n v="240000"/>
    <n v="216000"/>
    <n v="192000"/>
    <n v="168000"/>
    <n v="300000"/>
    <n v="390000"/>
    <n v="40000"/>
  </r>
  <r>
    <s v="Academic and Student Services Office"/>
    <s v="847.8471280.1.435340.000000.847001.200179"/>
    <n v="8471280"/>
    <s v="KUST - Center for Teaching &amp; Learning"/>
    <x v="20"/>
    <x v="20"/>
    <n v="847001"/>
    <s v="KUST - General"/>
    <x v="1"/>
    <x v="1"/>
    <n v="0"/>
    <n v="0"/>
    <n v="0"/>
    <n v="10000"/>
    <n v="10000"/>
    <x v="1"/>
    <n v="0"/>
    <n v="0"/>
    <n v="12000"/>
    <n v="10800"/>
    <n v="9600"/>
    <n v="8400"/>
    <n v="15000"/>
    <n v="19500"/>
    <n v="2000"/>
  </r>
  <r>
    <s v="Academic and Student Services Office"/>
    <s v="847.8471280.1.435530.000000.847001.200179"/>
    <n v="8471280"/>
    <s v="KUST - Center for Teaching &amp; Learning"/>
    <x v="17"/>
    <x v="17"/>
    <n v="847001"/>
    <s v="KUST - General"/>
    <x v="1"/>
    <x v="1"/>
    <n v="740"/>
    <n v="894"/>
    <n v="0"/>
    <n v="5000"/>
    <n v="5000"/>
    <x v="1"/>
    <n v="0"/>
    <n v="0"/>
    <n v="6000"/>
    <n v="5400"/>
    <n v="4800"/>
    <n v="4200"/>
    <n v="7500"/>
    <n v="10000"/>
    <n v="1000"/>
  </r>
  <r>
    <s v="Academic and Student Services Office"/>
    <s v="847.8471280.1.492316.000000.847001.300180"/>
    <n v="8471280"/>
    <s v="KUST - Center for Teaching &amp; Learning"/>
    <x v="39"/>
    <x v="39"/>
    <n v="847001"/>
    <s v="KUST - General"/>
    <x v="2"/>
    <x v="2"/>
    <n v="0"/>
    <n v="0"/>
    <n v="0"/>
    <n v="6879"/>
    <n v="6879"/>
    <x v="1"/>
    <n v="0"/>
    <n v="0"/>
    <n v="8250"/>
    <n v="7425"/>
    <n v="6600"/>
    <n v="5775"/>
    <n v="10000"/>
    <n v="14000"/>
    <n v="1371"/>
  </r>
  <r>
    <s v="College of Arts &amp; Science"/>
    <s v="847.8470405.1.420550.000000.847001.200179"/>
    <n v="8470405"/>
    <s v="KUST - Dean Of Arts &amp; Science"/>
    <x v="1"/>
    <x v="1"/>
    <n v="847001"/>
    <s v="KUST - General"/>
    <x v="1"/>
    <x v="1"/>
    <n v="0"/>
    <n v="0"/>
    <n v="0"/>
    <n v="65692"/>
    <n v="65692"/>
    <x v="28"/>
    <n v="0"/>
    <n v="0"/>
    <n v="23504"/>
    <n v="21154"/>
    <n v="18803"/>
    <n v="16453"/>
    <n v="23504"/>
    <n v="26442"/>
    <n v="-42188"/>
  </r>
  <r>
    <s v="College of Arts &amp; Science"/>
    <s v="847.8470405.1.421700.000000.847001.200179"/>
    <n v="8470405"/>
    <s v="KUST - Dean Of Arts &amp; Science"/>
    <x v="40"/>
    <x v="40"/>
    <n v="847001"/>
    <s v="KUST - General"/>
    <x v="1"/>
    <x v="1"/>
    <n v="85877"/>
    <n v="345102"/>
    <n v="109525"/>
    <n v="500308"/>
    <n v="500308"/>
    <x v="29"/>
    <n v="0"/>
    <n v="0"/>
    <n v="280000"/>
    <n v="252000"/>
    <n v="224000"/>
    <n v="196000"/>
    <n v="280000"/>
    <n v="280000"/>
    <n v="-220308"/>
  </r>
  <r>
    <s v="College of Arts &amp; Science"/>
    <s v="847.8470405.1.425510.000000.847001.200179"/>
    <n v="8470405"/>
    <s v="KUST - Dean Of Arts &amp; Science"/>
    <x v="3"/>
    <x v="3"/>
    <n v="847001"/>
    <s v="KUST - General"/>
    <x v="1"/>
    <x v="1"/>
    <n v="7073"/>
    <n v="5943"/>
    <n v="4400"/>
    <n v="15000"/>
    <n v="15000"/>
    <x v="30"/>
    <n v="0"/>
    <n v="0"/>
    <n v="15000"/>
    <n v="13500"/>
    <n v="12000"/>
    <n v="10500"/>
    <n v="15000"/>
    <n v="15000"/>
    <n v="0"/>
  </r>
  <r>
    <s v="College of Arts &amp; Science"/>
    <s v="847.8470405.1.425550.000000.847001.200179"/>
    <n v="8470405"/>
    <s v="KUST - Dean Of Arts &amp; Science"/>
    <x v="4"/>
    <x v="4"/>
    <n v="847001"/>
    <s v="KUST - General"/>
    <x v="1"/>
    <x v="1"/>
    <n v="11599"/>
    <n v="10137"/>
    <n v="0"/>
    <n v="15000"/>
    <n v="15000"/>
    <x v="31"/>
    <n v="0"/>
    <n v="0"/>
    <n v="15000"/>
    <n v="13500"/>
    <n v="12000"/>
    <n v="10500"/>
    <n v="15000"/>
    <n v="15000"/>
    <n v="0"/>
  </r>
  <r>
    <s v="College of Arts &amp; Science"/>
    <s v="847.8470405.1.425720.000000.847001.200179"/>
    <n v="8470405"/>
    <s v="KUST - Dean Of Arts &amp; Science"/>
    <x v="23"/>
    <x v="23"/>
    <n v="847001"/>
    <s v="KUST - General"/>
    <x v="1"/>
    <x v="1"/>
    <n v="0"/>
    <n v="0"/>
    <n v="0"/>
    <n v="0"/>
    <n v="0"/>
    <x v="1"/>
    <n v="0"/>
    <n v="0"/>
    <n v="550000"/>
    <n v="189000"/>
    <n v="168000"/>
    <n v="147000"/>
    <n v="0"/>
    <n v="0"/>
    <n v="550000"/>
  </r>
  <r>
    <s v="College of Arts &amp; Science"/>
    <s v="847.8470405.1.425763.000000.847001.200179"/>
    <n v="8470405"/>
    <s v="KUST - Dean Of Arts &amp; Science"/>
    <x v="41"/>
    <x v="41"/>
    <n v="847001"/>
    <s v="KUST - General"/>
    <x v="1"/>
    <x v="1"/>
    <n v="0"/>
    <n v="0"/>
    <n v="0"/>
    <n v="0"/>
    <n v="0"/>
    <x v="1"/>
    <n v="0"/>
    <n v="0"/>
    <n v="150000"/>
    <n v="135000"/>
    <n v="120000"/>
    <n v="105000"/>
    <n v="0"/>
    <n v="0"/>
    <n v="150000"/>
  </r>
  <r>
    <s v="College of Arts &amp; Science"/>
    <s v="847.8470405.1.425770.000000.847001.200179"/>
    <n v="8470405"/>
    <s v="KUST - Dean Of Arts &amp; Science"/>
    <x v="37"/>
    <x v="37"/>
    <n v="847001"/>
    <s v="KUST - General"/>
    <x v="1"/>
    <x v="1"/>
    <n v="77977"/>
    <n v="13603"/>
    <n v="0"/>
    <n v="35825"/>
    <n v="35825"/>
    <x v="32"/>
    <n v="0"/>
    <n v="0"/>
    <n v="50000"/>
    <n v="45000"/>
    <n v="40000"/>
    <n v="35000"/>
    <n v="50000"/>
    <n v="50000"/>
    <n v="14175"/>
  </r>
  <r>
    <s v="College of Arts &amp; Science"/>
    <s v="847.8470405.1.427710.000000.847001.200179"/>
    <n v="8470405"/>
    <s v="KUST - Dean Of Arts &amp; Science"/>
    <x v="42"/>
    <x v="42"/>
    <n v="847001"/>
    <s v="KUST - General"/>
    <x v="1"/>
    <x v="1"/>
    <n v="0"/>
    <n v="0"/>
    <n v="12539"/>
    <n v="20175"/>
    <n v="20175"/>
    <x v="33"/>
    <n v="0"/>
    <n v="0"/>
    <n v="33620"/>
    <n v="30258"/>
    <n v="26896"/>
    <n v="23534"/>
    <n v="33620"/>
    <n v="33620"/>
    <n v="13445"/>
  </r>
  <r>
    <s v="College of Arts &amp; Science"/>
    <s v="847.8470405.1.435350.000000.847001.200179"/>
    <n v="8470405"/>
    <s v="KUST - Dean Of Arts &amp; Science"/>
    <x v="43"/>
    <x v="43"/>
    <n v="847001"/>
    <s v="KUST - General"/>
    <x v="1"/>
    <x v="1"/>
    <n v="5419"/>
    <n v="0"/>
    <n v="65753"/>
    <n v="30000"/>
    <n v="30000"/>
    <x v="34"/>
    <n v="0"/>
    <n v="0"/>
    <n v="30000"/>
    <n v="27000"/>
    <n v="24000"/>
    <n v="21000"/>
    <n v="30000"/>
    <n v="30000"/>
    <n v="0"/>
  </r>
  <r>
    <s v="College of Arts &amp; Science"/>
    <s v="847.8470405.1.435508.000000.847001.200179"/>
    <n v="8470405"/>
    <s v="KUST - Dean Of Arts &amp; Science"/>
    <x v="44"/>
    <x v="44"/>
    <n v="847001"/>
    <s v="KUST - General"/>
    <x v="1"/>
    <x v="1"/>
    <n v="0"/>
    <n v="0"/>
    <n v="0"/>
    <n v="0"/>
    <n v="0"/>
    <x v="1"/>
    <n v="0"/>
    <n v="0"/>
    <n v="200000"/>
    <n v="180000"/>
    <n v="160000"/>
    <n v="140000"/>
    <n v="200000"/>
    <n v="200000"/>
    <n v="200000"/>
  </r>
  <r>
    <s v="College of Arts &amp; Science"/>
    <s v="847.8470410.1.425761.000000.847001.200179"/>
    <n v="8470410"/>
    <s v="KUST - Institute of International &amp; Civil Security"/>
    <x v="9"/>
    <x v="9"/>
    <n v="847001"/>
    <s v="KUST - General"/>
    <x v="1"/>
    <x v="1"/>
    <n v="127"/>
    <n v="0"/>
    <n v="0"/>
    <n v="162000"/>
    <n v="162000"/>
    <x v="1"/>
    <n v="0"/>
    <n v="0"/>
    <n v="1000"/>
    <n v="900"/>
    <n v="800"/>
    <n v="700"/>
    <n v="1000"/>
    <n v="1000"/>
    <n v="-161000"/>
  </r>
  <r>
    <s v="College of Arts &amp; Science"/>
    <s v="847.8470410.1.425770.000000.847001.200179"/>
    <n v="8470410"/>
    <s v="KUST - Institute of International &amp; Civil Security"/>
    <x v="37"/>
    <x v="37"/>
    <n v="847001"/>
    <s v="KUST - General"/>
    <x v="1"/>
    <x v="1"/>
    <n v="226"/>
    <n v="-1861"/>
    <n v="2513"/>
    <n v="120000"/>
    <n v="120000"/>
    <x v="35"/>
    <n v="0"/>
    <n v="0"/>
    <n v="144000"/>
    <n v="129600"/>
    <n v="115200"/>
    <n v="100800"/>
    <n v="144000"/>
    <n v="144000"/>
    <n v="24000"/>
  </r>
  <r>
    <s v="College of Arts &amp; Science"/>
    <s v="847.8470410.1.426610.000000.847001.200179"/>
    <n v="8470410"/>
    <s v="KUST - Institute of International &amp; Civil Security"/>
    <x v="12"/>
    <x v="12"/>
    <n v="847001"/>
    <s v="KUST - General"/>
    <x v="1"/>
    <x v="1"/>
    <n v="0"/>
    <n v="0"/>
    <n v="346"/>
    <n v="5600"/>
    <n v="5600"/>
    <x v="36"/>
    <n v="0"/>
    <n v="0"/>
    <n v="5600"/>
    <n v="5040"/>
    <n v="4480"/>
    <n v="3920"/>
    <n v="5600"/>
    <n v="5600"/>
    <n v="0"/>
  </r>
  <r>
    <s v="College of Arts &amp; Science"/>
    <s v="847.8470410.1.435310.000000.847001.200179"/>
    <n v="8470410"/>
    <s v="KUST - Institute of International &amp; Civil Security"/>
    <x v="45"/>
    <x v="45"/>
    <n v="847001"/>
    <s v="KUST - General"/>
    <x v="1"/>
    <x v="1"/>
    <n v="0"/>
    <n v="0"/>
    <n v="0"/>
    <n v="85229"/>
    <n v="85229"/>
    <x v="37"/>
    <n v="8447.9"/>
    <n v="0"/>
    <n v="85228"/>
    <n v="76705"/>
    <n v="68182"/>
    <n v="59660"/>
    <n v="85228"/>
    <n v="85228"/>
    <n v="-1"/>
  </r>
  <r>
    <s v="College of Arts &amp; Science"/>
    <s v="847.8470410.1.435350.000000.847001.200179"/>
    <n v="8470410"/>
    <s v="KUST - Institute of International &amp; Civil Security"/>
    <x v="43"/>
    <x v="43"/>
    <n v="847001"/>
    <s v="KUST - General"/>
    <x v="1"/>
    <x v="1"/>
    <n v="0"/>
    <n v="0"/>
    <n v="4800"/>
    <n v="17900"/>
    <n v="17900"/>
    <x v="38"/>
    <n v="0"/>
    <n v="0"/>
    <n v="100000"/>
    <n v="90000"/>
    <n v="80000"/>
    <n v="70000"/>
    <n v="100000"/>
    <n v="100000"/>
    <n v="82100"/>
  </r>
  <r>
    <s v="College of Arts &amp; Science"/>
    <s v="847.8470415.1.421700.000000.847001.200179"/>
    <n v="8470415"/>
    <s v="KUST - Chemistry"/>
    <x v="40"/>
    <x v="40"/>
    <n v="847001"/>
    <s v="KUST - General"/>
    <x v="1"/>
    <x v="1"/>
    <n v="0"/>
    <n v="0"/>
    <n v="0"/>
    <n v="150000"/>
    <n v="150000"/>
    <x v="1"/>
    <n v="0"/>
    <n v="0"/>
    <n v="150000"/>
    <n v="135000"/>
    <n v="120000"/>
    <n v="105000"/>
    <n v="0"/>
    <n v="0"/>
    <n v="0"/>
  </r>
  <r>
    <s v="College of Arts &amp; Science"/>
    <s v="847.8470415.1.425100.000000.847001.200179"/>
    <n v="8470415"/>
    <s v="KUST - Chemistry"/>
    <x v="2"/>
    <x v="2"/>
    <n v="847001"/>
    <s v="KUST - General"/>
    <x v="1"/>
    <x v="1"/>
    <n v="0"/>
    <n v="0"/>
    <n v="0"/>
    <n v="50000"/>
    <n v="50000"/>
    <x v="1"/>
    <n v="0"/>
    <n v="0"/>
    <n v="50000"/>
    <n v="45000"/>
    <n v="40000"/>
    <n v="35000"/>
    <n v="50000"/>
    <n v="50000"/>
    <n v="0"/>
  </r>
  <r>
    <s v="College of Arts &amp; Science"/>
    <s v="847.8470415.1.425510.000000.847001.200179"/>
    <n v="8470415"/>
    <s v="KUST - Chemistry"/>
    <x v="3"/>
    <x v="3"/>
    <n v="847001"/>
    <s v="KUST - General"/>
    <x v="1"/>
    <x v="1"/>
    <n v="0"/>
    <n v="0"/>
    <n v="0"/>
    <n v="0"/>
    <n v="0"/>
    <x v="1"/>
    <n v="0"/>
    <n v="0"/>
    <n v="100000"/>
    <n v="90000"/>
    <n v="80000"/>
    <n v="70000"/>
    <n v="100000"/>
    <n v="0"/>
    <n v="100000"/>
  </r>
  <r>
    <s v="College of Arts &amp; Science"/>
    <s v="847.8470415.1.425760.000000.847001.200179"/>
    <n v="8470415"/>
    <s v="KUST - Chemistry"/>
    <x v="30"/>
    <x v="30"/>
    <n v="847001"/>
    <s v="KUST - General"/>
    <x v="1"/>
    <x v="1"/>
    <n v="0"/>
    <n v="0"/>
    <n v="0"/>
    <n v="5000"/>
    <n v="5000"/>
    <x v="1"/>
    <n v="0"/>
    <n v="0"/>
    <n v="20000"/>
    <n v="18000"/>
    <n v="16000"/>
    <n v="14000"/>
    <n v="20000"/>
    <n v="20000"/>
    <n v="15000"/>
  </r>
  <r>
    <s v="College of Arts &amp; Science"/>
    <s v="847.8470415.1.425763.000000.847001.200179"/>
    <n v="8470415"/>
    <s v="KUST - Chemistry"/>
    <x v="41"/>
    <x v="41"/>
    <n v="847001"/>
    <s v="KUST - General"/>
    <x v="1"/>
    <x v="1"/>
    <n v="0"/>
    <n v="0"/>
    <n v="0"/>
    <n v="80000"/>
    <n v="80000"/>
    <x v="39"/>
    <n v="0"/>
    <n v="17820"/>
    <n v="104000"/>
    <n v="21600"/>
    <n v="19200"/>
    <n v="16800"/>
    <n v="164000"/>
    <n v="189000"/>
    <n v="24000"/>
  </r>
  <r>
    <s v="College of Arts &amp; Science"/>
    <s v="847.8470415.1.425770.000000.847001.200179"/>
    <n v="8470415"/>
    <s v="KUST - Chemistry"/>
    <x v="37"/>
    <x v="37"/>
    <n v="847001"/>
    <s v="KUST - General"/>
    <x v="1"/>
    <x v="1"/>
    <n v="89008"/>
    <n v="8895"/>
    <n v="6028"/>
    <n v="285000"/>
    <n v="285000"/>
    <x v="40"/>
    <n v="0"/>
    <n v="0"/>
    <n v="435000"/>
    <n v="324000"/>
    <n v="288000"/>
    <n v="252000"/>
    <n v="495000"/>
    <n v="525000"/>
    <n v="150000"/>
  </r>
  <r>
    <s v="College of Arts &amp; Science"/>
    <s v="847.8470415.1.425900.000000.847001.200179"/>
    <n v="8470415"/>
    <s v="KUST - Chemistry"/>
    <x v="11"/>
    <x v="11"/>
    <n v="847001"/>
    <s v="KUST - General"/>
    <x v="1"/>
    <x v="1"/>
    <n v="0"/>
    <n v="794"/>
    <n v="0"/>
    <n v="140000"/>
    <n v="140000"/>
    <x v="41"/>
    <n v="0"/>
    <n v="0"/>
    <n v="376000"/>
    <n v="86400"/>
    <n v="76800"/>
    <n v="67200"/>
    <n v="260000"/>
    <n v="158000"/>
    <n v="236000"/>
  </r>
  <r>
    <s v="College of Arts &amp; Science"/>
    <s v="847.8470415.1.426610.000000.847001.200179"/>
    <n v="8470415"/>
    <s v="KUST - Chemistry"/>
    <x v="12"/>
    <x v="12"/>
    <n v="847001"/>
    <s v="KUST - General"/>
    <x v="1"/>
    <x v="1"/>
    <n v="0"/>
    <n v="42016"/>
    <n v="35235"/>
    <n v="229511"/>
    <n v="229511"/>
    <x v="42"/>
    <n v="0"/>
    <n v="31220.5"/>
    <n v="194962"/>
    <n v="87855"/>
    <n v="78094"/>
    <n v="68332"/>
    <n v="158812"/>
    <n v="158812"/>
    <n v="-34549"/>
  </r>
  <r>
    <s v="College of Arts &amp; Science"/>
    <s v="847.8470415.1.427200.000000.847001.200179"/>
    <n v="8470415"/>
    <s v="KUST - Chemistry"/>
    <x v="46"/>
    <x v="46"/>
    <n v="847001"/>
    <s v="KUST - General"/>
    <x v="1"/>
    <x v="1"/>
    <n v="0"/>
    <n v="0"/>
    <n v="0"/>
    <n v="0"/>
    <n v="0"/>
    <x v="1"/>
    <n v="0"/>
    <n v="0"/>
    <n v="10000"/>
    <n v="9000"/>
    <n v="8000"/>
    <n v="7000"/>
    <n v="10000"/>
    <n v="25000"/>
    <n v="10000"/>
  </r>
  <r>
    <s v="College of Arts &amp; Science"/>
    <s v="847.8470415.1.428090.000000.847001.200179"/>
    <n v="8470415"/>
    <s v="KUST - Chemistry"/>
    <x v="13"/>
    <x v="13"/>
    <n v="847001"/>
    <s v="KUST - General"/>
    <x v="1"/>
    <x v="1"/>
    <n v="20447"/>
    <n v="0"/>
    <n v="0"/>
    <n v="0"/>
    <n v="0"/>
    <x v="1"/>
    <n v="0"/>
    <n v="0"/>
    <n v="3000"/>
    <n v="2700"/>
    <n v="2400"/>
    <n v="2100"/>
    <n v="3000"/>
    <n v="5000"/>
    <n v="3000"/>
  </r>
  <r>
    <s v="College of Arts &amp; Science"/>
    <s v="847.8470415.1.428640.000000.847001.200179"/>
    <n v="8470415"/>
    <s v="KUST - Chemistry"/>
    <x v="14"/>
    <x v="14"/>
    <n v="847001"/>
    <s v="KUST - General"/>
    <x v="1"/>
    <x v="1"/>
    <n v="426"/>
    <n v="0"/>
    <n v="0"/>
    <n v="15000"/>
    <n v="15000"/>
    <x v="1"/>
    <n v="0"/>
    <n v="0"/>
    <n v="20000"/>
    <n v="18000"/>
    <n v="16000"/>
    <n v="14000"/>
    <n v="20000"/>
    <n v="25000"/>
    <n v="5000"/>
  </r>
  <r>
    <s v="College of Arts &amp; Science"/>
    <s v="847.8470415.1.432209.000000.847001.200179"/>
    <n v="8470415"/>
    <s v="KUST - Chemistry"/>
    <x v="47"/>
    <x v="47"/>
    <n v="847001"/>
    <s v="KUST - General"/>
    <x v="1"/>
    <x v="1"/>
    <n v="130434"/>
    <n v="71550"/>
    <n v="85887"/>
    <n v="301000"/>
    <n v="301000"/>
    <x v="43"/>
    <n v="82964.100000000006"/>
    <n v="82628.61"/>
    <n v="980000"/>
    <n v="391500"/>
    <n v="348000"/>
    <n v="304500"/>
    <n v="478500"/>
    <n v="526000"/>
    <n v="679000"/>
  </r>
  <r>
    <s v="College of Arts &amp; Science"/>
    <s v="847.8470415.1.435350.000000.847001.200179"/>
    <n v="8470415"/>
    <s v="KUST - Chemistry"/>
    <x v="43"/>
    <x v="43"/>
    <n v="847001"/>
    <s v="KUST - General"/>
    <x v="1"/>
    <x v="1"/>
    <n v="0"/>
    <n v="18074"/>
    <n v="15798"/>
    <n v="70000"/>
    <n v="70000"/>
    <x v="44"/>
    <n v="0"/>
    <n v="0"/>
    <n v="180000"/>
    <n v="162000"/>
    <n v="144000"/>
    <n v="126000"/>
    <n v="240000"/>
    <n v="300000"/>
    <n v="110000"/>
  </r>
  <r>
    <s v="College of Arts &amp; Science"/>
    <s v="847.8470415.1.435508.000000.847001.200179"/>
    <n v="8470415"/>
    <s v="KUST - Chemistry"/>
    <x v="44"/>
    <x v="44"/>
    <n v="847001"/>
    <s v="KUST - General"/>
    <x v="1"/>
    <x v="1"/>
    <n v="374661"/>
    <n v="267320"/>
    <n v="146217"/>
    <n v="525000"/>
    <n v="525000"/>
    <x v="45"/>
    <n v="36675"/>
    <n v="76210"/>
    <n v="1200000"/>
    <n v="675000"/>
    <n v="600000"/>
    <n v="525000"/>
    <n v="925000"/>
    <n v="900000"/>
    <n v="675000"/>
  </r>
  <r>
    <s v="College of Arts &amp; Science"/>
    <s v="847.8470415.1.492316.000000.847001.300180"/>
    <n v="8470415"/>
    <s v="KUST - Chemistry"/>
    <x v="39"/>
    <x v="39"/>
    <n v="847001"/>
    <s v="KUST - General"/>
    <x v="2"/>
    <x v="2"/>
    <n v="129251"/>
    <n v="0"/>
    <n v="751050"/>
    <n v="1891417"/>
    <n v="1891417"/>
    <x v="1"/>
    <n v="1774402"/>
    <n v="102313"/>
    <n v="3386780"/>
    <n v="103856"/>
    <n v="92316"/>
    <n v="80777"/>
    <n v="4494200"/>
    <n v="346260"/>
    <n v="1495363"/>
  </r>
  <r>
    <s v="College of Arts &amp; Science"/>
    <s v="847.8470425.1.425510.000000.847001.200179"/>
    <n v="8470425"/>
    <s v="KUST - Physics"/>
    <x v="3"/>
    <x v="3"/>
    <n v="847001"/>
    <s v="KUST - General"/>
    <x v="1"/>
    <x v="1"/>
    <n v="0"/>
    <n v="0"/>
    <n v="0"/>
    <n v="45000"/>
    <n v="45000"/>
    <x v="1"/>
    <n v="0"/>
    <n v="0"/>
    <n v="290000"/>
    <n v="40500"/>
    <n v="36000"/>
    <n v="31500"/>
    <n v="275000"/>
    <n v="295000"/>
    <n v="245000"/>
  </r>
  <r>
    <s v="College of Arts &amp; Science"/>
    <s v="847.8470425.1.425550.000000.847001.200179"/>
    <n v="8470425"/>
    <s v="KUST - Physics"/>
    <x v="4"/>
    <x v="4"/>
    <n v="847001"/>
    <s v="KUST - General"/>
    <x v="1"/>
    <x v="1"/>
    <n v="0"/>
    <n v="0"/>
    <n v="0"/>
    <n v="225000"/>
    <n v="225000"/>
    <x v="1"/>
    <n v="0"/>
    <n v="0"/>
    <n v="247500"/>
    <n v="222750"/>
    <n v="198000"/>
    <n v="173250"/>
    <n v="270000"/>
    <n v="337500"/>
    <n v="22500"/>
  </r>
  <r>
    <s v="College of Arts &amp; Science"/>
    <s v="847.8470425.1.425770.000000.847001.200179"/>
    <n v="8470425"/>
    <s v="KUST - Physics"/>
    <x v="37"/>
    <x v="37"/>
    <n v="847001"/>
    <s v="KUST - General"/>
    <x v="1"/>
    <x v="1"/>
    <n v="126527"/>
    <n v="66413"/>
    <n v="717"/>
    <n v="60000"/>
    <n v="60000"/>
    <x v="46"/>
    <n v="0"/>
    <n v="0"/>
    <n v="67500"/>
    <n v="60750"/>
    <n v="54000"/>
    <n v="47250"/>
    <n v="90000"/>
    <n v="112500"/>
    <n v="7500"/>
  </r>
  <r>
    <s v="College of Arts &amp; Science"/>
    <s v="847.8470425.1.425900.000000.847001.200179"/>
    <n v="8470425"/>
    <s v="KUST - Physics"/>
    <x v="11"/>
    <x v="11"/>
    <n v="847001"/>
    <s v="KUST - General"/>
    <x v="1"/>
    <x v="1"/>
    <n v="5798"/>
    <n v="5058"/>
    <n v="0"/>
    <n v="10116"/>
    <n v="10116"/>
    <x v="1"/>
    <n v="0"/>
    <n v="0"/>
    <n v="145000"/>
    <n v="112500"/>
    <n v="100000"/>
    <n v="87500"/>
    <n v="120000"/>
    <n v="120000"/>
    <n v="134884"/>
  </r>
  <r>
    <s v="College of Arts &amp; Science"/>
    <s v="847.8470425.1.426610.000000.847001.200179"/>
    <n v="8470425"/>
    <s v="KUST - Physics"/>
    <x v="12"/>
    <x v="12"/>
    <n v="847001"/>
    <s v="KUST - General"/>
    <x v="1"/>
    <x v="1"/>
    <n v="0"/>
    <n v="0"/>
    <n v="0"/>
    <n v="212000"/>
    <n v="212000"/>
    <x v="1"/>
    <n v="0"/>
    <n v="22497.13"/>
    <n v="200000"/>
    <n v="180000"/>
    <n v="160000"/>
    <n v="140000"/>
    <n v="450000"/>
    <n v="400000"/>
    <n v="-12000"/>
  </r>
  <r>
    <s v="College of Arts &amp; Science"/>
    <s v="847.8470425.1.428090.000000.847001.200179"/>
    <n v="8470425"/>
    <s v="KUST - Physics"/>
    <x v="13"/>
    <x v="13"/>
    <n v="847001"/>
    <s v="KUST - General"/>
    <x v="1"/>
    <x v="1"/>
    <n v="0"/>
    <n v="0"/>
    <n v="0"/>
    <n v="128000"/>
    <n v="128000"/>
    <x v="1"/>
    <n v="0"/>
    <n v="0"/>
    <n v="128000"/>
    <n v="115200"/>
    <n v="102400"/>
    <n v="89600"/>
    <n v="192000"/>
    <n v="112500"/>
    <n v="0"/>
  </r>
  <r>
    <s v="College of Arts &amp; Science"/>
    <s v="847.8470425.1.435350.000000.847001.200179"/>
    <n v="8470425"/>
    <s v="KUST - Physics"/>
    <x v="43"/>
    <x v="43"/>
    <n v="847001"/>
    <s v="KUST - General"/>
    <x v="1"/>
    <x v="1"/>
    <n v="14753"/>
    <n v="39563"/>
    <n v="31871"/>
    <n v="120000"/>
    <n v="120000"/>
    <x v="47"/>
    <n v="0"/>
    <n v="0"/>
    <n v="150000"/>
    <n v="135000"/>
    <n v="120000"/>
    <n v="105000"/>
    <n v="150000"/>
    <n v="250000"/>
    <n v="30000"/>
  </r>
  <r>
    <s v="College of Arts &amp; Science"/>
    <s v="847.8470425.1.435508.000000.847001.200179"/>
    <n v="8470425"/>
    <s v="KUST - Physics"/>
    <x v="44"/>
    <x v="44"/>
    <n v="847001"/>
    <s v="KUST - General"/>
    <x v="1"/>
    <x v="1"/>
    <n v="4600"/>
    <n v="42606"/>
    <n v="227"/>
    <n v="551566"/>
    <n v="551566"/>
    <x v="1"/>
    <n v="0"/>
    <n v="152675"/>
    <n v="854700"/>
    <n v="35100"/>
    <n v="31200"/>
    <n v="27300"/>
    <n v="840000"/>
    <n v="1000000"/>
    <n v="303134"/>
  </r>
  <r>
    <s v="College of Arts &amp; Science"/>
    <s v="847.8470425.1.492310.000000.847001.300180"/>
    <n v="8470425"/>
    <s v="KUST - Physics"/>
    <x v="16"/>
    <x v="16"/>
    <n v="847001"/>
    <s v="KUST - General"/>
    <x v="2"/>
    <x v="2"/>
    <n v="0"/>
    <n v="0"/>
    <n v="0"/>
    <n v="151348"/>
    <n v="151348"/>
    <x v="48"/>
    <n v="0"/>
    <n v="0"/>
    <n v="800000"/>
    <n v="720000"/>
    <n v="640000"/>
    <n v="560000"/>
    <n v="750000"/>
    <n v="750000"/>
    <n v="648652"/>
  </r>
  <r>
    <s v="College of Arts &amp; Science"/>
    <s v="847.8470425.1.492316.000000.847001.300180"/>
    <n v="8470425"/>
    <s v="KUST - Physics"/>
    <x v="39"/>
    <x v="39"/>
    <n v="847001"/>
    <s v="KUST - General"/>
    <x v="2"/>
    <x v="2"/>
    <n v="0"/>
    <n v="0"/>
    <n v="1788236"/>
    <n v="1551340"/>
    <n v="1551340"/>
    <x v="49"/>
    <n v="1119881.73"/>
    <n v="166330.07999999999"/>
    <n v="2235000"/>
    <n v="1350000"/>
    <n v="1200000"/>
    <n v="1050000"/>
    <n v="3370000"/>
    <n v="3000000"/>
    <n v="683660"/>
  </r>
  <r>
    <s v="College of Arts &amp; Science"/>
    <s v="847.8470430.1.425761.000000.847001.200179"/>
    <n v="8470430"/>
    <s v="KUST - Preparatory Program"/>
    <x v="9"/>
    <x v="9"/>
    <n v="847001"/>
    <s v="KUST - General"/>
    <x v="1"/>
    <x v="1"/>
    <n v="0"/>
    <n v="0"/>
    <n v="0"/>
    <n v="8500"/>
    <n v="8500"/>
    <x v="1"/>
    <n v="0"/>
    <n v="0"/>
    <n v="8500"/>
    <n v="7650"/>
    <n v="6800"/>
    <n v="5950"/>
    <n v="8500"/>
    <n v="8500"/>
    <n v="0"/>
  </r>
  <r>
    <s v="College of Arts &amp; Science"/>
    <s v="847.8470430.1.425770.000000.847001.200179"/>
    <n v="8470430"/>
    <s v="KUST - Preparatory Program"/>
    <x v="37"/>
    <x v="37"/>
    <n v="847001"/>
    <s v="KUST - General"/>
    <x v="1"/>
    <x v="1"/>
    <n v="157754"/>
    <n v="23515"/>
    <n v="-3393"/>
    <n v="373425"/>
    <n v="373425"/>
    <x v="50"/>
    <n v="0"/>
    <n v="0"/>
    <n v="373425"/>
    <n v="336083"/>
    <n v="298740"/>
    <n v="261398"/>
    <n v="373425"/>
    <n v="373425"/>
    <n v="0"/>
  </r>
  <r>
    <s v="College of Arts &amp; Science"/>
    <s v="847.8470430.1.425900.000000.847001.200179"/>
    <n v="8470430"/>
    <s v="KUST - Preparatory Program"/>
    <x v="11"/>
    <x v="11"/>
    <n v="847001"/>
    <s v="KUST - General"/>
    <x v="1"/>
    <x v="1"/>
    <n v="13951"/>
    <n v="6195"/>
    <n v="0"/>
    <n v="12000"/>
    <n v="12000"/>
    <x v="1"/>
    <n v="0"/>
    <n v="0"/>
    <n v="12000"/>
    <n v="10800"/>
    <n v="9600"/>
    <n v="8400"/>
    <n v="12000"/>
    <n v="12000"/>
    <n v="0"/>
  </r>
  <r>
    <s v="College of Arts &amp; Science"/>
    <s v="847.8470430.1.426610.000000.847001.200179"/>
    <n v="8470430"/>
    <s v="KUST - Preparatory Program"/>
    <x v="12"/>
    <x v="12"/>
    <n v="847001"/>
    <s v="KUST - General"/>
    <x v="1"/>
    <x v="1"/>
    <n v="35196"/>
    <n v="7461"/>
    <n v="21822"/>
    <n v="26152"/>
    <n v="26152"/>
    <x v="51"/>
    <n v="0"/>
    <n v="15518.43"/>
    <n v="26152"/>
    <n v="23537"/>
    <n v="20922"/>
    <n v="18306"/>
    <n v="26152"/>
    <n v="26152"/>
    <n v="0"/>
  </r>
  <r>
    <s v="College of Arts &amp; Science"/>
    <s v="847.8470430.1.432209.000000.847001.200179"/>
    <n v="8470430"/>
    <s v="KUST - Preparatory Program"/>
    <x v="47"/>
    <x v="47"/>
    <n v="847001"/>
    <s v="KUST - General"/>
    <x v="1"/>
    <x v="1"/>
    <n v="0"/>
    <n v="0"/>
    <n v="0"/>
    <n v="1575"/>
    <n v="1575"/>
    <x v="38"/>
    <n v="0"/>
    <n v="0"/>
    <n v="1575"/>
    <n v="1418"/>
    <n v="1260"/>
    <n v="1103"/>
    <n v="1575"/>
    <n v="1575"/>
    <n v="0"/>
  </r>
  <r>
    <s v="College of Arts &amp; Science"/>
    <s v="847.8470430.1.435508.000000.847001.200179"/>
    <n v="8470430"/>
    <s v="KUST - Preparatory Program"/>
    <x v="44"/>
    <x v="44"/>
    <n v="847001"/>
    <s v="KUST - General"/>
    <x v="1"/>
    <x v="1"/>
    <n v="40358"/>
    <n v="-1184"/>
    <n v="0"/>
    <n v="84600"/>
    <n v="84600"/>
    <x v="1"/>
    <n v="0"/>
    <n v="0"/>
    <n v="84600"/>
    <n v="76140"/>
    <n v="67680"/>
    <n v="59220"/>
    <n v="84600"/>
    <n v="84600"/>
    <n v="0"/>
  </r>
  <r>
    <s v="College of Arts &amp; Science"/>
    <s v="847.8470435.1.425900.000000.847001.200179"/>
    <n v="8470435"/>
    <s v="KUST - Department of English"/>
    <x v="11"/>
    <x v="11"/>
    <n v="847001"/>
    <s v="KUST - General"/>
    <x v="1"/>
    <x v="1"/>
    <n v="0"/>
    <n v="0"/>
    <n v="0"/>
    <n v="0"/>
    <n v="0"/>
    <x v="1"/>
    <n v="0"/>
    <n v="0"/>
    <n v="100000"/>
    <n v="90000"/>
    <n v="80000"/>
    <n v="70000"/>
    <n v="0"/>
    <n v="0"/>
    <n v="100000"/>
  </r>
  <r>
    <s v="College of Arts &amp; Science"/>
    <s v="847.8470435.1.427710.000000.847001.200179"/>
    <n v="8470435"/>
    <s v="KUST - Department of English"/>
    <x v="42"/>
    <x v="42"/>
    <n v="847001"/>
    <s v="KUST - General"/>
    <x v="1"/>
    <x v="1"/>
    <n v="0"/>
    <n v="0"/>
    <n v="0"/>
    <n v="0"/>
    <n v="0"/>
    <x v="1"/>
    <n v="0"/>
    <n v="0"/>
    <n v="30000"/>
    <n v="27000"/>
    <n v="24000"/>
    <n v="21000"/>
    <n v="0"/>
    <n v="0"/>
    <n v="30000"/>
  </r>
  <r>
    <s v="College of Arts &amp; Science"/>
    <s v="847.8470435.1.435508.000000.847001.200179"/>
    <n v="8470435"/>
    <s v="KUST - Department of English"/>
    <x v="44"/>
    <x v="44"/>
    <n v="847001"/>
    <s v="KUST - General"/>
    <x v="1"/>
    <x v="1"/>
    <n v="0"/>
    <n v="0"/>
    <n v="0"/>
    <n v="0"/>
    <n v="0"/>
    <x v="1"/>
    <n v="0"/>
    <n v="0"/>
    <n v="30000"/>
    <n v="27000"/>
    <n v="24000"/>
    <n v="21000"/>
    <n v="0"/>
    <n v="0"/>
    <n v="30000"/>
  </r>
  <r>
    <s v="College of Arts &amp; Science"/>
    <s v="847.8470435.1.436600.000000.847001.200179"/>
    <n v="8470435"/>
    <s v="KUST - Department of English"/>
    <x v="48"/>
    <x v="48"/>
    <n v="847001"/>
    <s v="KUST - General"/>
    <x v="1"/>
    <x v="1"/>
    <n v="0"/>
    <n v="0"/>
    <n v="0"/>
    <n v="30000"/>
    <n v="30000"/>
    <x v="1"/>
    <n v="0"/>
    <n v="0"/>
    <n v="35000"/>
    <n v="31500"/>
    <n v="28000"/>
    <n v="24500"/>
    <n v="0"/>
    <n v="0"/>
    <n v="5000"/>
  </r>
  <r>
    <s v="College of Arts &amp; Science"/>
    <s v="847.8470440.1.420550.000000.847001.200179"/>
    <n v="8470440"/>
    <s v="KUST - Humanities &amp; Social Sciences"/>
    <x v="1"/>
    <x v="1"/>
    <n v="847001"/>
    <s v="KUST - General"/>
    <x v="1"/>
    <x v="1"/>
    <n v="0"/>
    <n v="0"/>
    <n v="0"/>
    <n v="560000"/>
    <n v="560000"/>
    <x v="1"/>
    <n v="0"/>
    <n v="0"/>
    <n v="560000"/>
    <n v="504000"/>
    <n v="448000"/>
    <n v="392000"/>
    <n v="560000"/>
    <n v="560000"/>
    <n v="0"/>
  </r>
  <r>
    <s v="College of Arts &amp; Science"/>
    <s v="847.8470440.1.420570.000000.847001.200179"/>
    <n v="8470440"/>
    <s v="KUST - Humanities &amp; Social Sciences"/>
    <x v="49"/>
    <x v="49"/>
    <n v="847001"/>
    <s v="KUST - General"/>
    <x v="1"/>
    <x v="1"/>
    <n v="0"/>
    <n v="0"/>
    <n v="0"/>
    <n v="150000"/>
    <n v="150000"/>
    <x v="1"/>
    <n v="0"/>
    <n v="0"/>
    <n v="150000"/>
    <n v="135000"/>
    <n v="120000"/>
    <n v="105000"/>
    <n v="150000"/>
    <n v="150000"/>
    <n v="0"/>
  </r>
  <r>
    <s v="College of Arts &amp; Science"/>
    <s v="847.8470440.1.421700.000000.847001.200179"/>
    <n v="8470440"/>
    <s v="KUST - Humanities &amp; Social Sciences"/>
    <x v="40"/>
    <x v="40"/>
    <n v="847001"/>
    <s v="KUST - General"/>
    <x v="1"/>
    <x v="1"/>
    <n v="0"/>
    <n v="0"/>
    <n v="0"/>
    <n v="280000"/>
    <n v="280000"/>
    <x v="1"/>
    <n v="0"/>
    <n v="0"/>
    <n v="280000"/>
    <n v="252000"/>
    <n v="224000"/>
    <n v="196000"/>
    <n v="280000"/>
    <n v="280000"/>
    <n v="0"/>
  </r>
  <r>
    <s v="College of Arts &amp; Science"/>
    <s v="847.8470440.1.425100.000000.847001.200179"/>
    <n v="8470440"/>
    <s v="KUST - Humanities &amp; Social Sciences"/>
    <x v="2"/>
    <x v="2"/>
    <n v="847001"/>
    <s v="KUST - General"/>
    <x v="1"/>
    <x v="1"/>
    <n v="0"/>
    <n v="0"/>
    <n v="0"/>
    <n v="10000"/>
    <n v="10000"/>
    <x v="1"/>
    <n v="0"/>
    <n v="0"/>
    <n v="10000"/>
    <n v="9000"/>
    <n v="8000"/>
    <n v="7000"/>
    <n v="10000"/>
    <n v="10000"/>
    <n v="0"/>
  </r>
  <r>
    <s v="College of Arts &amp; Science"/>
    <s v="847.8470440.1.425510.000000.847001.200179"/>
    <n v="8470440"/>
    <s v="KUST - Humanities &amp; Social Sciences"/>
    <x v="3"/>
    <x v="3"/>
    <n v="847001"/>
    <s v="KUST - General"/>
    <x v="1"/>
    <x v="1"/>
    <n v="0"/>
    <n v="0"/>
    <n v="0"/>
    <n v="225000"/>
    <n v="225000"/>
    <x v="1"/>
    <n v="0"/>
    <n v="0"/>
    <n v="225000"/>
    <n v="202500"/>
    <n v="180000"/>
    <n v="157500"/>
    <n v="225000"/>
    <n v="225000"/>
    <n v="0"/>
  </r>
  <r>
    <s v="College of Arts &amp; Science"/>
    <s v="847.8470440.1.425550.000000.847001.200179"/>
    <n v="8470440"/>
    <s v="KUST - Humanities &amp; Social Sciences"/>
    <x v="4"/>
    <x v="4"/>
    <n v="847001"/>
    <s v="KUST - General"/>
    <x v="1"/>
    <x v="1"/>
    <n v="0"/>
    <n v="0"/>
    <n v="0"/>
    <n v="225000"/>
    <n v="225000"/>
    <x v="1"/>
    <n v="0"/>
    <n v="0"/>
    <n v="225000"/>
    <n v="202500"/>
    <n v="180000"/>
    <n v="157500"/>
    <n v="225000"/>
    <n v="225000"/>
    <n v="0"/>
  </r>
  <r>
    <s v="College of Arts &amp; Science"/>
    <s v="847.8470440.1.425761.000000.847001.200179"/>
    <n v="8470440"/>
    <s v="KUST - Humanities &amp; Social Sciences"/>
    <x v="9"/>
    <x v="9"/>
    <n v="847001"/>
    <s v="KUST - General"/>
    <x v="1"/>
    <x v="1"/>
    <n v="914"/>
    <n v="4400"/>
    <n v="0"/>
    <n v="750000"/>
    <n v="750000"/>
    <x v="1"/>
    <n v="0"/>
    <n v="0"/>
    <n v="750000"/>
    <n v="675000"/>
    <n v="600000"/>
    <n v="525000"/>
    <n v="750000"/>
    <n v="750000"/>
    <n v="0"/>
  </r>
  <r>
    <s v="College of Arts &amp; Science"/>
    <s v="847.8470440.1.425770.000000.847001.200179"/>
    <n v="8470440"/>
    <s v="KUST - Humanities &amp; Social Sciences"/>
    <x v="37"/>
    <x v="37"/>
    <n v="847001"/>
    <s v="KUST - General"/>
    <x v="1"/>
    <x v="1"/>
    <n v="137812"/>
    <n v="173862"/>
    <n v="16120"/>
    <n v="300000"/>
    <n v="300000"/>
    <x v="52"/>
    <n v="0"/>
    <n v="0"/>
    <n v="300000"/>
    <n v="270000"/>
    <n v="240000"/>
    <n v="210000"/>
    <n v="300000"/>
    <n v="300000"/>
    <n v="0"/>
  </r>
  <r>
    <s v="College of Arts &amp; Science"/>
    <s v="847.8470440.1.425900.000000.847001.200179"/>
    <n v="8470440"/>
    <s v="KUST - Humanities &amp; Social Sciences"/>
    <x v="11"/>
    <x v="11"/>
    <n v="847001"/>
    <s v="KUST - General"/>
    <x v="1"/>
    <x v="1"/>
    <n v="0"/>
    <n v="0"/>
    <n v="0"/>
    <n v="24000"/>
    <n v="24000"/>
    <x v="1"/>
    <n v="0"/>
    <n v="0"/>
    <n v="24000"/>
    <n v="21600"/>
    <n v="19200"/>
    <n v="16800"/>
    <n v="0"/>
    <n v="0"/>
    <n v="0"/>
  </r>
  <r>
    <s v="College of Arts &amp; Science"/>
    <s v="847.8470440.1.426610.000000.847001.200179"/>
    <n v="8470440"/>
    <s v="KUST - Humanities &amp; Social Sciences"/>
    <x v="12"/>
    <x v="12"/>
    <n v="847001"/>
    <s v="KUST - General"/>
    <x v="1"/>
    <x v="1"/>
    <n v="2165"/>
    <n v="0"/>
    <n v="6399"/>
    <n v="120000"/>
    <n v="120000"/>
    <x v="1"/>
    <n v="6398.78"/>
    <n v="0"/>
    <n v="120000"/>
    <n v="108000"/>
    <n v="96000"/>
    <n v="84000"/>
    <n v="120000"/>
    <n v="120000"/>
    <n v="0"/>
  </r>
  <r>
    <s v="College of Arts &amp; Science"/>
    <s v="847.8470440.1.427710.000000.847001.200179"/>
    <n v="8470440"/>
    <s v="KUST - Humanities &amp; Social Sciences"/>
    <x v="42"/>
    <x v="42"/>
    <n v="847001"/>
    <s v="KUST - General"/>
    <x v="1"/>
    <x v="1"/>
    <n v="0"/>
    <n v="0"/>
    <n v="0"/>
    <n v="15000"/>
    <n v="15000"/>
    <x v="1"/>
    <n v="0"/>
    <n v="0"/>
    <n v="15000"/>
    <n v="13500"/>
    <n v="12000"/>
    <n v="10500"/>
    <n v="15000"/>
    <n v="15000"/>
    <n v="0"/>
  </r>
  <r>
    <s v="College of Arts &amp; Science"/>
    <s v="847.8470440.1.428090.000000.847001.200179"/>
    <n v="8470440"/>
    <s v="KUST - Humanities &amp; Social Sciences"/>
    <x v="13"/>
    <x v="13"/>
    <n v="847001"/>
    <s v="KUST - General"/>
    <x v="1"/>
    <x v="1"/>
    <n v="118543"/>
    <n v="0"/>
    <n v="0"/>
    <n v="225000"/>
    <n v="225000"/>
    <x v="1"/>
    <n v="0"/>
    <n v="0"/>
    <n v="225000"/>
    <n v="202500"/>
    <n v="180000"/>
    <n v="157500"/>
    <n v="225000"/>
    <n v="225000"/>
    <n v="0"/>
  </r>
  <r>
    <s v="College of Arts &amp; Science"/>
    <s v="847.8470440.1.428640.000000.847001.200179"/>
    <n v="8470440"/>
    <s v="KUST - Humanities &amp; Social Sciences"/>
    <x v="14"/>
    <x v="14"/>
    <n v="847001"/>
    <s v="KUST - General"/>
    <x v="1"/>
    <x v="1"/>
    <n v="0"/>
    <n v="0"/>
    <n v="0"/>
    <n v="100000"/>
    <n v="100000"/>
    <x v="1"/>
    <n v="0"/>
    <n v="0"/>
    <n v="100000"/>
    <n v="90000"/>
    <n v="80000"/>
    <n v="70000"/>
    <n v="100000"/>
    <n v="100000"/>
    <n v="0"/>
  </r>
  <r>
    <s v="College of Arts &amp; Science"/>
    <s v="847.8470440.1.435340.000000.847001.200179"/>
    <n v="8470440"/>
    <s v="KUST - Humanities &amp; Social Sciences"/>
    <x v="20"/>
    <x v="20"/>
    <n v="847001"/>
    <s v="KUST - General"/>
    <x v="1"/>
    <x v="1"/>
    <n v="0"/>
    <n v="0"/>
    <n v="0"/>
    <n v="120000"/>
    <n v="120000"/>
    <x v="1"/>
    <n v="0"/>
    <n v="0"/>
    <n v="120000"/>
    <n v="108000"/>
    <n v="96000"/>
    <n v="84000"/>
    <n v="120000"/>
    <n v="120000"/>
    <n v="0"/>
  </r>
  <r>
    <s v="College of Arts &amp; Science"/>
    <s v="847.8470440.1.435350.000000.847001.200179"/>
    <n v="8470440"/>
    <s v="KUST - Humanities &amp; Social Sciences"/>
    <x v="43"/>
    <x v="43"/>
    <n v="847001"/>
    <s v="KUST - General"/>
    <x v="1"/>
    <x v="1"/>
    <n v="0"/>
    <n v="0"/>
    <n v="11001"/>
    <n v="40000"/>
    <n v="40000"/>
    <x v="53"/>
    <n v="0"/>
    <n v="0"/>
    <n v="40000"/>
    <n v="36000"/>
    <n v="32000"/>
    <n v="28000"/>
    <n v="40000"/>
    <n v="40000"/>
    <n v="0"/>
  </r>
  <r>
    <s v="College of Arts &amp; Science"/>
    <s v="847.8470440.1.436600.000000.847001.200179"/>
    <n v="8470440"/>
    <s v="KUST - Humanities &amp; Social Sciences"/>
    <x v="48"/>
    <x v="48"/>
    <n v="847001"/>
    <s v="KUST - General"/>
    <x v="1"/>
    <x v="1"/>
    <n v="0"/>
    <n v="227"/>
    <n v="0"/>
    <n v="22500"/>
    <n v="22500"/>
    <x v="54"/>
    <n v="0"/>
    <n v="0"/>
    <n v="22500"/>
    <n v="20250"/>
    <n v="18000"/>
    <n v="15750"/>
    <n v="22500"/>
    <n v="22500"/>
    <n v="0"/>
  </r>
  <r>
    <s v="College of Arts &amp; Science"/>
    <s v="847.8470445.1.420550.000000.847001.200179"/>
    <n v="8470445"/>
    <s v="KUST - Mathematics"/>
    <x v="1"/>
    <x v="1"/>
    <n v="847001"/>
    <s v="KUST - General"/>
    <x v="1"/>
    <x v="1"/>
    <n v="0"/>
    <n v="0"/>
    <n v="0"/>
    <n v="0"/>
    <n v="0"/>
    <x v="1"/>
    <n v="0"/>
    <n v="0"/>
    <n v="200000"/>
    <n v="180000"/>
    <n v="160000"/>
    <n v="140000"/>
    <n v="400000"/>
    <n v="200000"/>
    <n v="200000"/>
  </r>
  <r>
    <s v="College of Arts &amp; Science"/>
    <s v="847.8470445.1.425100.000000.847001.200179"/>
    <n v="8470445"/>
    <s v="KUST - Mathematics"/>
    <x v="2"/>
    <x v="2"/>
    <n v="847001"/>
    <s v="KUST - General"/>
    <x v="1"/>
    <x v="1"/>
    <n v="0"/>
    <n v="0"/>
    <n v="0"/>
    <n v="150000"/>
    <n v="150000"/>
    <x v="1"/>
    <n v="0"/>
    <n v="0"/>
    <n v="100000"/>
    <n v="90000"/>
    <n v="80000"/>
    <n v="70000"/>
    <n v="0"/>
    <n v="100000"/>
    <n v="-50000"/>
  </r>
  <r>
    <s v="College of Arts &amp; Science"/>
    <s v="847.8470445.1.425510.000000.847001.200179"/>
    <n v="8470445"/>
    <s v="KUST - Mathematics"/>
    <x v="3"/>
    <x v="3"/>
    <n v="847001"/>
    <s v="KUST - General"/>
    <x v="1"/>
    <x v="1"/>
    <n v="0"/>
    <n v="0"/>
    <n v="0"/>
    <n v="0"/>
    <n v="0"/>
    <x v="1"/>
    <n v="0"/>
    <n v="0"/>
    <n v="300000"/>
    <n v="270000"/>
    <n v="240000"/>
    <n v="210000"/>
    <n v="450000"/>
    <n v="0"/>
    <n v="300000"/>
  </r>
  <r>
    <s v="College of Arts &amp; Science"/>
    <s v="847.8470445.1.425720.000000.847001.200179"/>
    <n v="8470445"/>
    <s v="KUST - Mathematics"/>
    <x v="23"/>
    <x v="23"/>
    <n v="847001"/>
    <s v="KUST - General"/>
    <x v="1"/>
    <x v="1"/>
    <n v="0"/>
    <n v="0"/>
    <n v="0"/>
    <n v="19350"/>
    <n v="19350"/>
    <x v="55"/>
    <n v="0"/>
    <n v="0"/>
    <n v="36730"/>
    <n v="33057"/>
    <n v="29384"/>
    <n v="25711"/>
    <n v="0"/>
    <n v="36730"/>
    <n v="17380"/>
  </r>
  <r>
    <s v="College of Arts &amp; Science"/>
    <s v="847.8470445.1.425760.000000.847001.200179"/>
    <n v="8470445"/>
    <s v="KUST - Mathematics"/>
    <x v="30"/>
    <x v="30"/>
    <n v="847001"/>
    <s v="KUST - General"/>
    <x v="1"/>
    <x v="1"/>
    <n v="0"/>
    <n v="0"/>
    <n v="0"/>
    <n v="35630"/>
    <n v="35630"/>
    <x v="1"/>
    <n v="0"/>
    <n v="0"/>
    <n v="106850"/>
    <n v="96165"/>
    <n v="85480"/>
    <n v="74795"/>
    <n v="0"/>
    <n v="165000"/>
    <n v="71220"/>
  </r>
  <r>
    <s v="College of Arts &amp; Science"/>
    <s v="847.8470445.1.425763.000000.847001.200179"/>
    <n v="8470445"/>
    <s v="KUST - Mathematics"/>
    <x v="41"/>
    <x v="41"/>
    <n v="847001"/>
    <s v="KUST - General"/>
    <x v="1"/>
    <x v="1"/>
    <n v="0"/>
    <n v="0"/>
    <n v="0"/>
    <n v="7590"/>
    <n v="7590"/>
    <x v="1"/>
    <n v="0"/>
    <n v="0"/>
    <n v="10000"/>
    <n v="9000"/>
    <n v="8000"/>
    <n v="7000"/>
    <n v="0"/>
    <n v="15000"/>
    <n v="2410"/>
  </r>
  <r>
    <s v="College of Arts &amp; Science"/>
    <s v="847.8470445.1.425770.000000.847001.200179"/>
    <n v="8470445"/>
    <s v="KUST - Mathematics"/>
    <x v="37"/>
    <x v="37"/>
    <n v="847001"/>
    <s v="KUST - General"/>
    <x v="1"/>
    <x v="1"/>
    <n v="301152"/>
    <n v="92814"/>
    <n v="6600"/>
    <n v="570000"/>
    <n v="570000"/>
    <x v="56"/>
    <n v="0"/>
    <n v="0"/>
    <n v="600000"/>
    <n v="540000"/>
    <n v="480000"/>
    <n v="420000"/>
    <n v="0"/>
    <n v="600000"/>
    <n v="30000"/>
  </r>
  <r>
    <s v="College of Arts &amp; Science"/>
    <s v="847.8470445.1.425900.000000.847001.200179"/>
    <n v="8470445"/>
    <s v="KUST - Mathematics"/>
    <x v="11"/>
    <x v="11"/>
    <n v="847001"/>
    <s v="KUST - General"/>
    <x v="1"/>
    <x v="1"/>
    <n v="0"/>
    <n v="0"/>
    <n v="0"/>
    <n v="0"/>
    <n v="0"/>
    <x v="1"/>
    <n v="0"/>
    <n v="0"/>
    <n v="120000"/>
    <n v="108000"/>
    <n v="96000"/>
    <n v="84000"/>
    <n v="120000"/>
    <n v="120000"/>
    <n v="120000"/>
  </r>
  <r>
    <s v="College of Arts &amp; Science"/>
    <s v="847.8470445.1.426610.000000.847001.200179"/>
    <n v="8470445"/>
    <s v="KUST - Mathematics"/>
    <x v="12"/>
    <x v="12"/>
    <n v="847001"/>
    <s v="KUST - General"/>
    <x v="1"/>
    <x v="1"/>
    <n v="0"/>
    <n v="0"/>
    <n v="53832"/>
    <n v="37650"/>
    <n v="37650"/>
    <x v="57"/>
    <n v="8983.82"/>
    <n v="1774.06"/>
    <n v="25000"/>
    <n v="22500"/>
    <n v="20000"/>
    <n v="17500"/>
    <n v="0"/>
    <n v="25000"/>
    <n v="-12650"/>
  </r>
  <r>
    <s v="College of Arts &amp; Science"/>
    <s v="847.8470445.1.427710.000000.847001.200179"/>
    <n v="8470445"/>
    <s v="KUST - Mathematics"/>
    <x v="42"/>
    <x v="42"/>
    <n v="847001"/>
    <s v="KUST - General"/>
    <x v="1"/>
    <x v="1"/>
    <n v="0"/>
    <n v="0"/>
    <n v="0"/>
    <n v="0"/>
    <n v="0"/>
    <x v="1"/>
    <n v="0"/>
    <n v="0"/>
    <n v="12576"/>
    <n v="11318"/>
    <n v="10061"/>
    <n v="8803"/>
    <n v="13138"/>
    <n v="13700"/>
    <n v="12576"/>
  </r>
  <r>
    <s v="College of Arts &amp; Science"/>
    <s v="847.8470445.1.435350.000000.847001.200179"/>
    <n v="8470445"/>
    <s v="KUST - Mathematics"/>
    <x v="43"/>
    <x v="43"/>
    <n v="847001"/>
    <s v="KUST - General"/>
    <x v="1"/>
    <x v="1"/>
    <n v="0"/>
    <n v="0"/>
    <n v="0"/>
    <n v="600000"/>
    <n v="600000"/>
    <x v="58"/>
    <n v="0"/>
    <n v="0"/>
    <n v="675000"/>
    <n v="607500"/>
    <n v="540000"/>
    <n v="472500"/>
    <n v="0"/>
    <n v="880000"/>
    <n v="75000"/>
  </r>
  <r>
    <s v="College of Arts &amp; Science"/>
    <s v="847.8470445.1.492354.000000.847001.300180"/>
    <n v="8470445"/>
    <s v="KUST - Mathematics"/>
    <x v="50"/>
    <x v="50"/>
    <n v="847001"/>
    <s v="KUST - General"/>
    <x v="2"/>
    <x v="2"/>
    <n v="0"/>
    <n v="0"/>
    <n v="0"/>
    <n v="0"/>
    <n v="0"/>
    <x v="1"/>
    <n v="0"/>
    <n v="0"/>
    <n v="1140000"/>
    <n v="810000"/>
    <n v="720000"/>
    <n v="630000"/>
    <n v="600000"/>
    <n v="0"/>
    <n v="1140000"/>
  </r>
  <r>
    <s v="College of Arts &amp; Science"/>
    <s v="847.8470450.1.425761.000000.847001.200179"/>
    <n v="8470450"/>
    <s v="KUST - Earth Science"/>
    <x v="9"/>
    <x v="9"/>
    <n v="847001"/>
    <s v="KUST - General"/>
    <x v="1"/>
    <x v="1"/>
    <n v="627375"/>
    <n v="69322"/>
    <n v="40740"/>
    <n v="500000"/>
    <n v="500000"/>
    <x v="59"/>
    <n v="0"/>
    <n v="0"/>
    <n v="500000"/>
    <n v="450000"/>
    <n v="400000"/>
    <n v="350000"/>
    <n v="0"/>
    <n v="600000"/>
    <n v="0"/>
  </r>
  <r>
    <s v="College of Arts &amp; Science"/>
    <s v="847.8470450.1.425770.000000.847001.200179"/>
    <n v="8470450"/>
    <s v="KUST - Earth Science"/>
    <x v="37"/>
    <x v="37"/>
    <n v="847001"/>
    <s v="KUST - General"/>
    <x v="1"/>
    <x v="1"/>
    <n v="91583"/>
    <n v="-5700"/>
    <n v="0"/>
    <n v="180000"/>
    <n v="180000"/>
    <x v="60"/>
    <n v="0"/>
    <n v="0"/>
    <n v="210000"/>
    <n v="189000"/>
    <n v="168000"/>
    <n v="147000"/>
    <n v="0"/>
    <n v="210000"/>
    <n v="30000"/>
  </r>
  <r>
    <s v="College of Arts &amp; Science"/>
    <s v="847.8470450.1.426610.000000.847001.200179"/>
    <n v="8470450"/>
    <s v="KUST - Earth Science"/>
    <x v="12"/>
    <x v="12"/>
    <n v="847001"/>
    <s v="KUST - General"/>
    <x v="1"/>
    <x v="1"/>
    <n v="12803"/>
    <n v="-4358"/>
    <n v="0"/>
    <n v="313605"/>
    <n v="313605"/>
    <x v="1"/>
    <n v="0"/>
    <n v="35628.1"/>
    <n v="89500"/>
    <n v="80550"/>
    <n v="71600"/>
    <n v="62650"/>
    <n v="0"/>
    <n v="81000"/>
    <n v="-224105"/>
  </r>
  <r>
    <s v="College of Arts &amp; Science"/>
    <s v="847.8470450.1.428090.000000.847001.200179"/>
    <n v="8470450"/>
    <s v="KUST - Earth Science"/>
    <x v="13"/>
    <x v="13"/>
    <n v="847001"/>
    <s v="KUST - General"/>
    <x v="1"/>
    <x v="1"/>
    <n v="0"/>
    <n v="0"/>
    <n v="0"/>
    <n v="20000"/>
    <n v="20000"/>
    <x v="61"/>
    <n v="0"/>
    <n v="0"/>
    <n v="0"/>
    <n v="0"/>
    <n v="0"/>
    <n v="0"/>
    <n v="0"/>
    <n v="0"/>
    <n v="-20000"/>
  </r>
  <r>
    <s v="College of Arts &amp; Science"/>
    <s v="847.8470450.1.432209.000000.847001.200179"/>
    <n v="8470450"/>
    <s v="KUST - Earth Science"/>
    <x v="47"/>
    <x v="47"/>
    <n v="847001"/>
    <s v="KUST - General"/>
    <x v="1"/>
    <x v="1"/>
    <n v="135193"/>
    <n v="228008"/>
    <n v="-35634"/>
    <n v="118157"/>
    <n v="118157"/>
    <x v="62"/>
    <n v="46480.73"/>
    <n v="21900"/>
    <n v="0"/>
    <n v="0"/>
    <n v="0"/>
    <n v="0"/>
    <n v="0"/>
    <n v="0"/>
    <n v="-118157"/>
  </r>
  <r>
    <s v="College of Arts &amp; Science"/>
    <s v="847.8470450.1.435350.000000.847001.200179"/>
    <n v="8470450"/>
    <s v="KUST - Earth Science"/>
    <x v="43"/>
    <x v="43"/>
    <n v="847001"/>
    <s v="KUST - General"/>
    <x v="1"/>
    <x v="1"/>
    <n v="16225"/>
    <n v="0"/>
    <n v="0"/>
    <n v="40000"/>
    <n v="40000"/>
    <x v="1"/>
    <n v="0"/>
    <n v="0"/>
    <n v="120000"/>
    <n v="108000"/>
    <n v="96000"/>
    <n v="84000"/>
    <n v="120000"/>
    <n v="140000"/>
    <n v="80000"/>
  </r>
  <r>
    <s v="College of Arts &amp; Science"/>
    <s v="847.8470450.1.435508.000000.847001.200179"/>
    <n v="8470450"/>
    <s v="KUST - Earth Science"/>
    <x v="44"/>
    <x v="44"/>
    <n v="847001"/>
    <s v="KUST - General"/>
    <x v="1"/>
    <x v="1"/>
    <n v="21574"/>
    <n v="-6793"/>
    <n v="4090"/>
    <n v="16500"/>
    <n v="16500"/>
    <x v="1"/>
    <n v="7272.54"/>
    <n v="4700"/>
    <n v="220000"/>
    <n v="198000"/>
    <n v="176000"/>
    <n v="154000"/>
    <n v="280000"/>
    <n v="320000"/>
    <n v="203500"/>
  </r>
  <r>
    <s v="College of Arts &amp; Science"/>
    <s v="847.8470450.1.492310.000000.847001.300180"/>
    <n v="8470450"/>
    <s v="KUST - Earth Science"/>
    <x v="16"/>
    <x v="16"/>
    <n v="847001"/>
    <s v="KUST - General"/>
    <x v="2"/>
    <x v="2"/>
    <n v="0"/>
    <n v="0"/>
    <n v="0"/>
    <n v="126346"/>
    <n v="126346"/>
    <x v="1"/>
    <n v="0"/>
    <n v="80205"/>
    <n v="100000"/>
    <n v="90000"/>
    <n v="80000"/>
    <n v="70000"/>
    <n v="125000"/>
    <n v="100000"/>
    <n v="-26346"/>
  </r>
  <r>
    <s v="College of Arts &amp; Science"/>
    <s v="847.8470450.1.492316.000000.847001.300180"/>
    <n v="8470450"/>
    <s v="KUST - Earth Science"/>
    <x v="39"/>
    <x v="39"/>
    <n v="847001"/>
    <s v="KUST - General"/>
    <x v="2"/>
    <x v="2"/>
    <n v="0"/>
    <n v="0"/>
    <n v="0"/>
    <n v="146498"/>
    <n v="146498"/>
    <x v="63"/>
    <n v="117930"/>
    <n v="0"/>
    <n v="2469000"/>
    <n v="54000"/>
    <n v="48000"/>
    <n v="42000"/>
    <n v="250000"/>
    <n v="0"/>
    <n v="2322502"/>
  </r>
  <r>
    <s v="College of Arts &amp; Science"/>
    <s v="847.8470455.1.425760.000000.847001.200179"/>
    <n v="8470455"/>
    <s v="KUST – Biology"/>
    <x v="30"/>
    <x v="30"/>
    <n v="847001"/>
    <s v="KUST - General"/>
    <x v="1"/>
    <x v="1"/>
    <n v="0"/>
    <n v="0"/>
    <n v="0"/>
    <n v="10000"/>
    <n v="10000"/>
    <x v="1"/>
    <n v="0"/>
    <n v="0"/>
    <n v="10500"/>
    <n v="9450"/>
    <n v="8400"/>
    <n v="7350"/>
    <n v="12600"/>
    <n v="15150"/>
    <n v="500"/>
  </r>
  <r>
    <s v="College of Arts &amp; Science"/>
    <s v="847.8470455.1.425770.000000.847001.200179"/>
    <n v="8470455"/>
    <s v="KUST – Biology"/>
    <x v="37"/>
    <x v="37"/>
    <n v="847001"/>
    <s v="KUST - General"/>
    <x v="1"/>
    <x v="1"/>
    <n v="0"/>
    <n v="0"/>
    <n v="0"/>
    <n v="80000"/>
    <n v="80000"/>
    <x v="1"/>
    <n v="0"/>
    <n v="0"/>
    <n v="112000"/>
    <n v="100800"/>
    <n v="89600"/>
    <n v="78400"/>
    <n v="128000"/>
    <n v="160000"/>
    <n v="32000"/>
  </r>
  <r>
    <s v="College of Arts &amp; Science"/>
    <s v="847.8470455.1.425900.000000.847001.200179"/>
    <n v="8470455"/>
    <s v="KUST – Biology"/>
    <x v="11"/>
    <x v="11"/>
    <n v="847001"/>
    <s v="KUST - General"/>
    <x v="1"/>
    <x v="1"/>
    <n v="0"/>
    <n v="0"/>
    <n v="0"/>
    <n v="15000"/>
    <n v="15000"/>
    <x v="64"/>
    <n v="0"/>
    <n v="0"/>
    <n v="30000"/>
    <n v="27000"/>
    <n v="24000"/>
    <n v="21000"/>
    <n v="45000"/>
    <n v="45000"/>
    <n v="15000"/>
  </r>
  <r>
    <s v="College of Arts &amp; Science"/>
    <s v="847.8470455.1.426610.000000.847001.200179"/>
    <n v="8470455"/>
    <s v="KUST – Biology"/>
    <x v="12"/>
    <x v="12"/>
    <n v="847001"/>
    <s v="KUST - General"/>
    <x v="1"/>
    <x v="1"/>
    <n v="0"/>
    <n v="0"/>
    <n v="0"/>
    <n v="50000"/>
    <n v="50000"/>
    <x v="65"/>
    <n v="0"/>
    <n v="0"/>
    <n v="35000"/>
    <n v="31500"/>
    <n v="28000"/>
    <n v="24500"/>
    <n v="45000"/>
    <n v="50000"/>
    <n v="-15000"/>
  </r>
  <r>
    <s v="College of Arts &amp; Science"/>
    <s v="847.8470455.1.428090.000000.847001.200179"/>
    <n v="8470455"/>
    <s v="KUST – Biology"/>
    <x v="13"/>
    <x v="13"/>
    <n v="847001"/>
    <s v="KUST - General"/>
    <x v="1"/>
    <x v="1"/>
    <n v="0"/>
    <n v="0"/>
    <n v="0"/>
    <n v="50000"/>
    <n v="50000"/>
    <x v="1"/>
    <n v="0"/>
    <n v="0"/>
    <n v="50000"/>
    <n v="45000"/>
    <n v="40000"/>
    <n v="35000"/>
    <n v="75000"/>
    <n v="75000"/>
    <n v="0"/>
  </r>
  <r>
    <s v="College of Arts &amp; Science"/>
    <s v="847.8470455.1.428640.000000.847001.200179"/>
    <n v="8470455"/>
    <s v="KUST – Biology"/>
    <x v="14"/>
    <x v="14"/>
    <n v="847001"/>
    <s v="KUST - General"/>
    <x v="1"/>
    <x v="1"/>
    <n v="0"/>
    <n v="0"/>
    <n v="0"/>
    <n v="5000"/>
    <n v="5000"/>
    <x v="1"/>
    <n v="0"/>
    <n v="0"/>
    <n v="12500"/>
    <n v="11250"/>
    <n v="10000"/>
    <n v="8750"/>
    <n v="15000"/>
    <n v="17500"/>
    <n v="7500"/>
  </r>
  <r>
    <s v="College of Arts &amp; Science"/>
    <s v="847.8470455.1.432209.000000.847001.200179"/>
    <n v="8470455"/>
    <s v="KUST – Biology"/>
    <x v="47"/>
    <x v="47"/>
    <n v="847001"/>
    <s v="KUST - General"/>
    <x v="1"/>
    <x v="1"/>
    <n v="0"/>
    <n v="0"/>
    <n v="0"/>
    <n v="300000"/>
    <n v="300000"/>
    <x v="1"/>
    <n v="0"/>
    <n v="0"/>
    <n v="300000"/>
    <n v="270000"/>
    <n v="240000"/>
    <n v="210000"/>
    <n v="360000"/>
    <n v="600000"/>
    <n v="0"/>
  </r>
  <r>
    <s v="College of Arts &amp; Science"/>
    <s v="847.8470455.1.435350.000000.847001.200179"/>
    <n v="8470455"/>
    <s v="KUST – Biology"/>
    <x v="43"/>
    <x v="43"/>
    <n v="847001"/>
    <s v="KUST - General"/>
    <x v="1"/>
    <x v="1"/>
    <n v="0"/>
    <n v="0"/>
    <n v="0"/>
    <n v="80000"/>
    <n v="80000"/>
    <x v="66"/>
    <n v="0"/>
    <n v="0"/>
    <n v="140000"/>
    <n v="126000"/>
    <n v="112000"/>
    <n v="98000"/>
    <n v="170000"/>
    <n v="200000"/>
    <n v="60000"/>
  </r>
  <r>
    <s v="College of Arts &amp; Science"/>
    <s v="847.8470455.1.435508.000000.847001.200179"/>
    <n v="8470455"/>
    <s v="KUST – Biology"/>
    <x v="44"/>
    <x v="44"/>
    <n v="847001"/>
    <s v="KUST - General"/>
    <x v="1"/>
    <x v="1"/>
    <n v="0"/>
    <n v="0"/>
    <n v="0"/>
    <n v="675000"/>
    <n v="675000"/>
    <x v="67"/>
    <n v="432250"/>
    <n v="0"/>
    <n v="781000"/>
    <n v="702900"/>
    <n v="624800"/>
    <n v="546700"/>
    <n v="275000"/>
    <n v="1122000"/>
    <n v="106000"/>
  </r>
  <r>
    <s v="College of Arts &amp; Science"/>
    <s v="847.8470455.1.436110.000000.847001.200179"/>
    <n v="8470455"/>
    <s v="KUST – Biology"/>
    <x v="15"/>
    <x v="15"/>
    <n v="847001"/>
    <s v="KUST - General"/>
    <x v="1"/>
    <x v="1"/>
    <n v="0"/>
    <n v="0"/>
    <n v="0"/>
    <n v="5000"/>
    <n v="5000"/>
    <x v="1"/>
    <n v="0"/>
    <n v="0"/>
    <n v="7000"/>
    <n v="6300"/>
    <n v="5600"/>
    <n v="4900"/>
    <n v="9000"/>
    <n v="10000"/>
    <n v="2000"/>
  </r>
  <r>
    <s v="College of Arts &amp; Science"/>
    <s v="847.8470455.1.492316.000000.847001.300180"/>
    <n v="8470455"/>
    <s v="KUST – Biology"/>
    <x v="39"/>
    <x v="39"/>
    <n v="847001"/>
    <s v="KUST - General"/>
    <x v="2"/>
    <x v="2"/>
    <n v="0"/>
    <n v="0"/>
    <n v="0"/>
    <n v="1754263"/>
    <n v="1754263"/>
    <x v="1"/>
    <n v="1603654"/>
    <n v="106062.5"/>
    <n v="2014622"/>
    <n v="1813160"/>
    <n v="1611698"/>
    <n v="1410235"/>
    <n v="2700000"/>
    <n v="3000000"/>
    <n v="260359"/>
  </r>
  <r>
    <s v="College of Engineering"/>
    <s v="847.8470305.1.420550.000000.847001.200179"/>
    <n v="8470305"/>
    <s v="KUST - Dean Of Engineering"/>
    <x v="1"/>
    <x v="1"/>
    <n v="847001"/>
    <s v="KUST - General"/>
    <x v="1"/>
    <x v="1"/>
    <n v="0"/>
    <n v="0"/>
    <n v="0"/>
    <n v="100000"/>
    <n v="100000"/>
    <x v="68"/>
    <n v="0"/>
    <n v="0"/>
    <n v="100000"/>
    <n v="90000"/>
    <n v="0"/>
    <n v="70000"/>
    <n v="100000"/>
    <n v="100000"/>
    <n v="0"/>
  </r>
  <r>
    <s v="College of Engineering"/>
    <s v="847.8470305.1.420570.000000.847001.200179"/>
    <n v="8470305"/>
    <s v="KUST - Dean Of Engineering"/>
    <x v="49"/>
    <x v="49"/>
    <n v="847001"/>
    <s v="KUST - General"/>
    <x v="1"/>
    <x v="1"/>
    <n v="4591"/>
    <n v="4591"/>
    <n v="4591"/>
    <n v="10000"/>
    <n v="10000"/>
    <x v="1"/>
    <n v="0"/>
    <n v="0"/>
    <n v="10000"/>
    <n v="9000"/>
    <n v="0"/>
    <n v="7000"/>
    <n v="10000"/>
    <n v="15000"/>
    <n v="0"/>
  </r>
  <r>
    <s v="College of Engineering"/>
    <s v="847.8470305.1.421700.000000.847001.200179"/>
    <n v="8470305"/>
    <s v="KUST - Dean Of Engineering"/>
    <x v="40"/>
    <x v="40"/>
    <n v="847001"/>
    <s v="KUST - General"/>
    <x v="1"/>
    <x v="1"/>
    <n v="391361"/>
    <n v="597851"/>
    <n v="123489"/>
    <n v="506004"/>
    <n v="506004"/>
    <x v="69"/>
    <n v="0"/>
    <n v="0"/>
    <n v="300000"/>
    <n v="270000"/>
    <n v="0"/>
    <n v="210000"/>
    <n v="90000"/>
    <n v="150000"/>
    <n v="-206004"/>
  </r>
  <r>
    <s v="College of Engineering"/>
    <s v="847.8470305.1.425510.000000.847001.200179"/>
    <n v="8470305"/>
    <s v="KUST - Dean Of Engineering"/>
    <x v="3"/>
    <x v="3"/>
    <n v="847001"/>
    <s v="KUST - General"/>
    <x v="1"/>
    <x v="1"/>
    <n v="38554"/>
    <n v="10444"/>
    <n v="-252"/>
    <n v="20000"/>
    <n v="20000"/>
    <x v="70"/>
    <n v="0"/>
    <n v="0"/>
    <n v="20000"/>
    <n v="18000"/>
    <n v="0"/>
    <n v="14000"/>
    <n v="30000"/>
    <n v="60000"/>
    <n v="0"/>
  </r>
  <r>
    <s v="College of Engineering"/>
    <s v="847.8470305.1.425720.000000.847001.200179"/>
    <n v="8470305"/>
    <s v="KUST - Dean Of Engineering"/>
    <x v="23"/>
    <x v="23"/>
    <n v="847001"/>
    <s v="KUST - General"/>
    <x v="1"/>
    <x v="1"/>
    <n v="29384"/>
    <n v="0"/>
    <n v="-3416"/>
    <n v="0"/>
    <n v="0"/>
    <x v="1"/>
    <n v="0"/>
    <n v="0"/>
    <n v="40000"/>
    <n v="36000"/>
    <n v="0"/>
    <n v="28000"/>
    <n v="80000"/>
    <n v="40000"/>
    <n v="40000"/>
  </r>
  <r>
    <s v="College of Engineering"/>
    <s v="847.8470305.1.425763.000000.847001.200179"/>
    <n v="8470305"/>
    <s v="KUST - Dean Of Engineering"/>
    <x v="41"/>
    <x v="41"/>
    <n v="847001"/>
    <s v="KUST - General"/>
    <x v="1"/>
    <x v="1"/>
    <n v="19184"/>
    <n v="617638"/>
    <n v="55390"/>
    <n v="170000"/>
    <n v="170000"/>
    <x v="71"/>
    <n v="112260.3"/>
    <n v="0"/>
    <n v="120000"/>
    <n v="108000"/>
    <n v="0"/>
    <n v="84000"/>
    <n v="120000"/>
    <n v="120000"/>
    <n v="-50000"/>
  </r>
  <r>
    <s v="College of Engineering"/>
    <s v="847.8470305.1.425770.000000.847001.200179"/>
    <n v="8470305"/>
    <s v="KUST - Dean Of Engineering"/>
    <x v="37"/>
    <x v="37"/>
    <n v="847001"/>
    <s v="KUST - General"/>
    <x v="1"/>
    <x v="1"/>
    <n v="96239"/>
    <n v="7219"/>
    <n v="22015"/>
    <n v="579499"/>
    <n v="579499"/>
    <x v="72"/>
    <n v="0"/>
    <n v="0"/>
    <n v="1000000"/>
    <n v="900000"/>
    <n v="0"/>
    <n v="700000"/>
    <n v="1160000"/>
    <n v="1100000"/>
    <n v="420501"/>
  </r>
  <r>
    <s v="College of Engineering"/>
    <s v="847.8470305.1.425900.000000.847001.200179"/>
    <n v="8470305"/>
    <s v="KUST - Dean Of Engineering"/>
    <x v="11"/>
    <x v="11"/>
    <n v="847001"/>
    <s v="KUST - General"/>
    <x v="1"/>
    <x v="1"/>
    <n v="19369"/>
    <n v="-10521"/>
    <n v="-131"/>
    <n v="18000"/>
    <n v="18000"/>
    <x v="73"/>
    <n v="0"/>
    <n v="0"/>
    <n v="30000"/>
    <n v="27000"/>
    <n v="0"/>
    <n v="21000"/>
    <n v="40000"/>
    <n v="30000"/>
    <n v="12000"/>
  </r>
  <r>
    <s v="College of Engineering"/>
    <s v="847.8470305.1.426610.000000.847001.200179"/>
    <n v="8470305"/>
    <s v="KUST - Dean Of Engineering"/>
    <x v="12"/>
    <x v="12"/>
    <n v="847001"/>
    <s v="KUST - General"/>
    <x v="1"/>
    <x v="1"/>
    <n v="185613"/>
    <n v="236658"/>
    <n v="62198"/>
    <n v="100000"/>
    <n v="100000"/>
    <x v="74"/>
    <n v="0"/>
    <n v="39668.400000000001"/>
    <n v="120000"/>
    <n v="108000"/>
    <n v="0"/>
    <n v="84000"/>
    <n v="150000"/>
    <n v="120000"/>
    <n v="20000"/>
  </r>
  <r>
    <s v="College of Engineering"/>
    <s v="847.8470305.1.428090.000000.847001.200179"/>
    <n v="8470305"/>
    <s v="KUST - Dean Of Engineering"/>
    <x v="13"/>
    <x v="13"/>
    <n v="847001"/>
    <s v="KUST - General"/>
    <x v="1"/>
    <x v="1"/>
    <n v="0"/>
    <n v="0"/>
    <n v="0"/>
    <n v="35000"/>
    <n v="35000"/>
    <x v="1"/>
    <n v="0"/>
    <n v="0"/>
    <n v="90000"/>
    <n v="81000"/>
    <n v="0"/>
    <n v="63000"/>
    <n v="90000"/>
    <n v="60000"/>
    <n v="55000"/>
  </r>
  <r>
    <s v="College of Engineering"/>
    <s v="847.8470305.1.428640.000000.847001.200179"/>
    <n v="8470305"/>
    <s v="KUST - Dean Of Engineering"/>
    <x v="14"/>
    <x v="14"/>
    <n v="847001"/>
    <s v="KUST - General"/>
    <x v="1"/>
    <x v="1"/>
    <n v="11200"/>
    <n v="-3637"/>
    <n v="0"/>
    <n v="45000"/>
    <n v="45000"/>
    <x v="1"/>
    <n v="0"/>
    <n v="0"/>
    <n v="30000"/>
    <n v="27000"/>
    <n v="0"/>
    <n v="21000"/>
    <n v="36000"/>
    <n v="30000"/>
    <n v="-15000"/>
  </r>
  <r>
    <s v="College of Engineering"/>
    <s v="847.8470305.1.432209.000000.847001.200179"/>
    <n v="8470305"/>
    <s v="KUST - Dean Of Engineering"/>
    <x v="47"/>
    <x v="47"/>
    <n v="847001"/>
    <s v="KUST - General"/>
    <x v="1"/>
    <x v="1"/>
    <n v="979024"/>
    <n v="786039"/>
    <n v="201150"/>
    <n v="45292"/>
    <n v="45292"/>
    <x v="75"/>
    <n v="0"/>
    <n v="8000"/>
    <n v="220000"/>
    <n v="198000"/>
    <n v="0"/>
    <n v="154000"/>
    <n v="319000"/>
    <n v="297000"/>
    <n v="174708"/>
  </r>
  <r>
    <s v="College of Engineering"/>
    <s v="847.8470305.1.432690.000000.847001.200179"/>
    <n v="8470305"/>
    <s v="KUST - Dean Of Engineering"/>
    <x v="51"/>
    <x v="51"/>
    <n v="847001"/>
    <s v="KUST - General"/>
    <x v="1"/>
    <x v="1"/>
    <n v="6925"/>
    <n v="-2820"/>
    <n v="5000"/>
    <n v="0"/>
    <n v="0"/>
    <x v="1"/>
    <n v="0"/>
    <n v="0"/>
    <n v="0"/>
    <n v="0"/>
    <n v="0"/>
    <n v="0"/>
    <n v="0"/>
    <n v="0"/>
    <n v="0"/>
  </r>
  <r>
    <s v="College of Engineering"/>
    <s v="847.8470305.1.435340.000000.847001.200179"/>
    <n v="8470305"/>
    <s v="KUST - Dean Of Engineering"/>
    <x v="20"/>
    <x v="20"/>
    <n v="847001"/>
    <s v="KUST - General"/>
    <x v="1"/>
    <x v="1"/>
    <n v="0"/>
    <n v="0"/>
    <n v="-13614"/>
    <n v="0"/>
    <n v="0"/>
    <x v="1"/>
    <n v="0"/>
    <n v="0"/>
    <n v="0"/>
    <n v="0"/>
    <n v="0"/>
    <n v="0"/>
    <n v="0"/>
    <n v="0"/>
    <n v="0"/>
  </r>
  <r>
    <s v="College of Engineering"/>
    <s v="847.8470305.1.435350.000000.847001.200179"/>
    <n v="8470305"/>
    <s v="KUST - Dean Of Engineering"/>
    <x v="43"/>
    <x v="43"/>
    <n v="847001"/>
    <s v="KUST - General"/>
    <x v="1"/>
    <x v="1"/>
    <n v="0"/>
    <n v="2389"/>
    <n v="0"/>
    <n v="260000"/>
    <n v="260000"/>
    <x v="76"/>
    <n v="0"/>
    <n v="0"/>
    <n v="270000"/>
    <n v="243000"/>
    <n v="0"/>
    <n v="189000"/>
    <n v="360000"/>
    <n v="315000"/>
    <n v="10000"/>
  </r>
  <r>
    <s v="College of Engineering"/>
    <s v="847.8470305.1.435508.000000.847001.200179"/>
    <n v="8470305"/>
    <s v="KUST - Dean Of Engineering"/>
    <x v="44"/>
    <x v="44"/>
    <n v="847001"/>
    <s v="KUST - General"/>
    <x v="1"/>
    <x v="1"/>
    <n v="148739"/>
    <n v="22872"/>
    <n v="35692"/>
    <n v="65000"/>
    <n v="65000"/>
    <x v="71"/>
    <n v="0"/>
    <n v="0"/>
    <n v="120000"/>
    <n v="108000"/>
    <n v="0"/>
    <n v="84000"/>
    <n v="180000"/>
    <n v="120000"/>
    <n v="55000"/>
  </r>
  <r>
    <s v="College of Engineering"/>
    <s v="847.8470305.1.436600.000000.847001.200179"/>
    <n v="8470305"/>
    <s v="KUST - Dean Of Engineering"/>
    <x v="48"/>
    <x v="48"/>
    <n v="847001"/>
    <s v="KUST - General"/>
    <x v="1"/>
    <x v="1"/>
    <n v="0"/>
    <n v="0"/>
    <n v="0"/>
    <n v="25000"/>
    <n v="25000"/>
    <x v="1"/>
    <n v="0"/>
    <n v="0"/>
    <n v="40000"/>
    <n v="36000"/>
    <n v="0"/>
    <n v="28000"/>
    <n v="60000"/>
    <n v="40000"/>
    <n v="15000"/>
  </r>
  <r>
    <s v="College of Engineering"/>
    <s v="847.8470310.1.420550.000000.847001.200179"/>
    <n v="8470310"/>
    <s v="KUST - Aerospace Engineering"/>
    <x v="1"/>
    <x v="1"/>
    <n v="847001"/>
    <s v="KUST - General"/>
    <x v="1"/>
    <x v="1"/>
    <n v="0"/>
    <n v="0"/>
    <n v="0"/>
    <n v="20000"/>
    <n v="20000"/>
    <x v="1"/>
    <n v="0"/>
    <n v="0"/>
    <n v="20000"/>
    <n v="18000"/>
    <n v="0"/>
    <n v="14000"/>
    <n v="20000"/>
    <n v="20000"/>
    <n v="0"/>
  </r>
  <r>
    <s v="College of Engineering"/>
    <s v="847.8470310.1.425510.000000.847001.200179"/>
    <n v="8470310"/>
    <s v="KUST - Aerospace Engineering"/>
    <x v="3"/>
    <x v="3"/>
    <n v="847001"/>
    <s v="KUST - General"/>
    <x v="1"/>
    <x v="1"/>
    <n v="2815"/>
    <n v="0"/>
    <n v="0"/>
    <n v="15000"/>
    <n v="15000"/>
    <x v="77"/>
    <n v="0"/>
    <n v="0"/>
    <n v="30000"/>
    <n v="27000"/>
    <n v="0"/>
    <n v="21000"/>
    <n v="30000"/>
    <n v="30000"/>
    <n v="15000"/>
  </r>
  <r>
    <s v="College of Engineering"/>
    <s v="847.8470310.1.425760.000000.847001.200179"/>
    <n v="8470310"/>
    <s v="KUST - Aerospace Engineering"/>
    <x v="30"/>
    <x v="30"/>
    <n v="847001"/>
    <s v="KUST - General"/>
    <x v="1"/>
    <x v="1"/>
    <n v="44454"/>
    <n v="0"/>
    <n v="0"/>
    <n v="150000"/>
    <n v="150000"/>
    <x v="1"/>
    <n v="0"/>
    <n v="0"/>
    <n v="150000"/>
    <n v="135000"/>
    <n v="0"/>
    <n v="105000"/>
    <n v="150000"/>
    <n v="150000"/>
    <n v="0"/>
  </r>
  <r>
    <s v="College of Engineering"/>
    <s v="847.8470310.1.425763.000000.847001.200179"/>
    <n v="8470310"/>
    <s v="KUST - Aerospace Engineering"/>
    <x v="41"/>
    <x v="41"/>
    <n v="847001"/>
    <s v="KUST - General"/>
    <x v="1"/>
    <x v="1"/>
    <n v="155851"/>
    <n v="62464"/>
    <n v="113543"/>
    <n v="350000"/>
    <n v="350000"/>
    <x v="78"/>
    <n v="0"/>
    <n v="0"/>
    <n v="360000"/>
    <n v="324000"/>
    <n v="0"/>
    <n v="252000"/>
    <n v="360000"/>
    <n v="360000"/>
    <n v="10000"/>
  </r>
  <r>
    <s v="College of Engineering"/>
    <s v="847.8470310.1.425770.000000.847001.200179"/>
    <n v="8470310"/>
    <s v="KUST - Aerospace Engineering"/>
    <x v="37"/>
    <x v="37"/>
    <n v="847001"/>
    <s v="KUST - General"/>
    <x v="1"/>
    <x v="1"/>
    <n v="50028"/>
    <n v="2890"/>
    <n v="0"/>
    <n v="210000"/>
    <n v="210000"/>
    <x v="79"/>
    <n v="0"/>
    <n v="0"/>
    <n v="340000"/>
    <n v="306000"/>
    <n v="0"/>
    <n v="238000"/>
    <n v="340000"/>
    <n v="340000"/>
    <n v="130000"/>
  </r>
  <r>
    <s v="College of Engineering"/>
    <s v="847.8470310.1.425900.000000.847001.200179"/>
    <n v="8470310"/>
    <s v="KUST - Aerospace Engineering"/>
    <x v="11"/>
    <x v="11"/>
    <n v="847001"/>
    <s v="KUST - General"/>
    <x v="1"/>
    <x v="1"/>
    <n v="8829"/>
    <n v="392"/>
    <n v="0"/>
    <n v="8500"/>
    <n v="8500"/>
    <x v="1"/>
    <n v="0"/>
    <n v="0"/>
    <n v="8500"/>
    <n v="7650"/>
    <n v="0"/>
    <n v="5950"/>
    <n v="8500"/>
    <n v="8500"/>
    <n v="0"/>
  </r>
  <r>
    <s v="College of Engineering"/>
    <s v="847.8470310.1.426610.000000.847001.200179"/>
    <n v="8470310"/>
    <s v="KUST - Aerospace Engineering"/>
    <x v="12"/>
    <x v="12"/>
    <n v="847001"/>
    <s v="KUST - General"/>
    <x v="1"/>
    <x v="1"/>
    <n v="16763"/>
    <n v="8348"/>
    <n v="0"/>
    <n v="9114"/>
    <n v="9114"/>
    <x v="80"/>
    <n v="0"/>
    <n v="0"/>
    <n v="10000"/>
    <n v="9000"/>
    <n v="0"/>
    <n v="7000"/>
    <n v="10000"/>
    <n v="10000"/>
    <n v="886"/>
  </r>
  <r>
    <s v="College of Engineering"/>
    <s v="847.8470310.1.428090.000000.847001.200179"/>
    <n v="8470310"/>
    <s v="KUST - Aerospace Engineering"/>
    <x v="13"/>
    <x v="13"/>
    <n v="847001"/>
    <s v="KUST - General"/>
    <x v="1"/>
    <x v="1"/>
    <n v="0"/>
    <n v="0"/>
    <n v="0"/>
    <n v="40000"/>
    <n v="40000"/>
    <x v="1"/>
    <n v="0"/>
    <n v="0"/>
    <n v="40000"/>
    <n v="36000"/>
    <n v="0"/>
    <n v="28000"/>
    <n v="340000"/>
    <n v="340000"/>
    <n v="0"/>
  </r>
  <r>
    <s v="College of Engineering"/>
    <s v="847.8470310.1.432209.000000.847001.200179"/>
    <n v="8470310"/>
    <s v="KUST - Aerospace Engineering"/>
    <x v="47"/>
    <x v="47"/>
    <n v="847001"/>
    <s v="KUST - General"/>
    <x v="1"/>
    <x v="1"/>
    <n v="0"/>
    <n v="0"/>
    <n v="0"/>
    <n v="5000"/>
    <n v="5000"/>
    <x v="1"/>
    <n v="0"/>
    <n v="0"/>
    <n v="85000"/>
    <n v="76500"/>
    <n v="0"/>
    <n v="59500"/>
    <n v="85000"/>
    <n v="85000"/>
    <n v="80000"/>
  </r>
  <r>
    <s v="College of Engineering"/>
    <s v="847.8470310.1.435350.000000.847001.200179"/>
    <n v="8470310"/>
    <s v="KUST - Aerospace Engineering"/>
    <x v="43"/>
    <x v="43"/>
    <n v="847001"/>
    <s v="KUST - General"/>
    <x v="1"/>
    <x v="1"/>
    <n v="3243"/>
    <n v="0"/>
    <n v="48732"/>
    <n v="182000"/>
    <n v="182000"/>
    <x v="81"/>
    <n v="0"/>
    <n v="0"/>
    <n v="221000"/>
    <n v="198900"/>
    <n v="0"/>
    <n v="154700"/>
    <n v="221000"/>
    <n v="221000"/>
    <n v="39000"/>
  </r>
  <r>
    <s v="College of Engineering"/>
    <s v="847.8470310.1.435508.000000.847001.200179"/>
    <n v="8470310"/>
    <s v="KUST - Aerospace Engineering"/>
    <x v="44"/>
    <x v="44"/>
    <n v="847001"/>
    <s v="KUST - General"/>
    <x v="1"/>
    <x v="1"/>
    <n v="61347"/>
    <n v="119604"/>
    <n v="52948"/>
    <n v="155000"/>
    <n v="155000"/>
    <x v="82"/>
    <n v="122810"/>
    <n v="0"/>
    <n v="133008"/>
    <n v="119707"/>
    <n v="0"/>
    <n v="93106"/>
    <n v="255000"/>
    <n v="289000"/>
    <n v="-21992"/>
  </r>
  <r>
    <s v="College of Engineering"/>
    <s v="847.8470310.1.436110.000000.847001.200179"/>
    <n v="8470310"/>
    <s v="KUST - Aerospace Engineering"/>
    <x v="15"/>
    <x v="15"/>
    <n v="847001"/>
    <s v="KUST - General"/>
    <x v="1"/>
    <x v="1"/>
    <n v="0"/>
    <n v="0"/>
    <n v="0"/>
    <n v="4000"/>
    <n v="4000"/>
    <x v="1"/>
    <n v="0"/>
    <n v="0"/>
    <n v="5100"/>
    <n v="4590"/>
    <n v="0"/>
    <n v="3570"/>
    <n v="5100"/>
    <n v="5100"/>
    <n v="1100"/>
  </r>
  <r>
    <s v="College of Engineering"/>
    <s v="847.8470310.1.436600.000000.847001.200179"/>
    <n v="8470310"/>
    <s v="KUST - Aerospace Engineering"/>
    <x v="48"/>
    <x v="48"/>
    <n v="847001"/>
    <s v="KUST - General"/>
    <x v="1"/>
    <x v="1"/>
    <n v="0"/>
    <n v="0"/>
    <n v="505"/>
    <n v="5000"/>
    <n v="5000"/>
    <x v="1"/>
    <n v="0"/>
    <n v="0"/>
    <n v="5950"/>
    <n v="5355"/>
    <n v="0"/>
    <n v="4165"/>
    <n v="5950"/>
    <n v="5950"/>
    <n v="950"/>
  </r>
  <r>
    <s v="College of Engineering"/>
    <s v="847.8470310.1.492316.000000.847001.300180"/>
    <n v="8470310"/>
    <s v="KUST - Aerospace Engineering"/>
    <x v="39"/>
    <x v="39"/>
    <n v="847001"/>
    <s v="KUST - General"/>
    <x v="2"/>
    <x v="2"/>
    <n v="0"/>
    <n v="433999"/>
    <n v="658396"/>
    <n v="1174460"/>
    <n v="1174460"/>
    <x v="83"/>
    <n v="805100"/>
    <n v="95078.62"/>
    <n v="2526100"/>
    <n v="2273490"/>
    <n v="0"/>
    <n v="1768270"/>
    <n v="2500000"/>
    <n v="2750000"/>
    <n v="1351640"/>
  </r>
  <r>
    <s v="College of Engineering"/>
    <s v="847.8470315.1.420550.000000.847001.200179"/>
    <n v="8470315"/>
    <s v="KUST - Biomedical Engineering"/>
    <x v="1"/>
    <x v="1"/>
    <n v="847001"/>
    <s v="KUST - General"/>
    <x v="1"/>
    <x v="1"/>
    <n v="0"/>
    <n v="0"/>
    <n v="0"/>
    <n v="1000"/>
    <n v="1000"/>
    <x v="1"/>
    <n v="0"/>
    <n v="0"/>
    <n v="7000"/>
    <n v="6300"/>
    <n v="0"/>
    <n v="4900"/>
    <n v="7000"/>
    <n v="7000"/>
    <n v="6000"/>
  </r>
  <r>
    <s v="College of Engineering"/>
    <s v="847.8470315.1.425510.000000.847001.200179"/>
    <n v="8470315"/>
    <s v="KUST - Biomedical Engineering"/>
    <x v="3"/>
    <x v="3"/>
    <n v="847001"/>
    <s v="KUST - General"/>
    <x v="1"/>
    <x v="1"/>
    <n v="5000"/>
    <n v="1502"/>
    <n v="100"/>
    <n v="4000"/>
    <n v="4000"/>
    <x v="1"/>
    <n v="0"/>
    <n v="0"/>
    <n v="9000"/>
    <n v="8100"/>
    <n v="0"/>
    <n v="6300"/>
    <n v="10000"/>
    <n v="12000"/>
    <n v="5000"/>
  </r>
  <r>
    <s v="College of Engineering"/>
    <s v="847.8470315.1.425760.000000.847001.200179"/>
    <n v="8470315"/>
    <s v="KUST - Biomedical Engineering"/>
    <x v="30"/>
    <x v="30"/>
    <n v="847001"/>
    <s v="KUST - General"/>
    <x v="1"/>
    <x v="1"/>
    <n v="0"/>
    <n v="875"/>
    <n v="0"/>
    <n v="20000"/>
    <n v="20000"/>
    <x v="84"/>
    <n v="0"/>
    <n v="0"/>
    <n v="20000"/>
    <n v="18000"/>
    <n v="0"/>
    <n v="14000"/>
    <n v="24000"/>
    <n v="35000"/>
    <n v="0"/>
  </r>
  <r>
    <s v="College of Engineering"/>
    <s v="847.8470315.1.425763.000000.847001.200179"/>
    <n v="8470315"/>
    <s v="KUST - Biomedical Engineering"/>
    <x v="41"/>
    <x v="41"/>
    <n v="847001"/>
    <s v="KUST - General"/>
    <x v="1"/>
    <x v="1"/>
    <n v="18774"/>
    <n v="54243"/>
    <n v="56577"/>
    <n v="180000"/>
    <n v="180000"/>
    <x v="85"/>
    <n v="0"/>
    <n v="0"/>
    <n v="204000"/>
    <n v="183600"/>
    <n v="0"/>
    <n v="142800"/>
    <n v="204000"/>
    <n v="210000"/>
    <n v="24000"/>
  </r>
  <r>
    <s v="College of Engineering"/>
    <s v="847.8470315.1.425770.000000.847001.200179"/>
    <n v="8470315"/>
    <s v="KUST - Biomedical Engineering"/>
    <x v="37"/>
    <x v="37"/>
    <n v="847001"/>
    <s v="KUST - General"/>
    <x v="1"/>
    <x v="1"/>
    <n v="64039"/>
    <n v="30570"/>
    <n v="1102"/>
    <n v="180000"/>
    <n v="180000"/>
    <x v="86"/>
    <n v="0"/>
    <n v="0"/>
    <n v="300000"/>
    <n v="270000"/>
    <n v="0"/>
    <n v="210000"/>
    <n v="320000"/>
    <n v="360000"/>
    <n v="120000"/>
  </r>
  <r>
    <s v="College of Engineering"/>
    <s v="847.8470315.1.425900.000000.847001.200179"/>
    <n v="8470315"/>
    <s v="KUST - Biomedical Engineering"/>
    <x v="11"/>
    <x v="11"/>
    <n v="847001"/>
    <s v="KUST - General"/>
    <x v="1"/>
    <x v="1"/>
    <n v="9582"/>
    <n v="1024"/>
    <n v="315"/>
    <n v="10000"/>
    <n v="10000"/>
    <x v="87"/>
    <n v="0"/>
    <n v="0"/>
    <n v="19200"/>
    <n v="17280"/>
    <n v="0"/>
    <n v="13440"/>
    <n v="24000"/>
    <n v="32000"/>
    <n v="9200"/>
  </r>
  <r>
    <s v="College of Engineering"/>
    <s v="847.8470315.1.426610.000000.847001.200179"/>
    <n v="8470315"/>
    <s v="KUST - Biomedical Engineering"/>
    <x v="12"/>
    <x v="12"/>
    <n v="847001"/>
    <s v="KUST - General"/>
    <x v="1"/>
    <x v="1"/>
    <n v="0"/>
    <n v="8705"/>
    <n v="3816"/>
    <n v="99576"/>
    <n v="99576"/>
    <x v="88"/>
    <n v="0"/>
    <n v="0"/>
    <n v="104554"/>
    <n v="94099"/>
    <n v="0"/>
    <n v="73188"/>
    <n v="105000"/>
    <n v="107000"/>
    <n v="4978"/>
  </r>
  <r>
    <s v="College of Engineering"/>
    <s v="847.8470315.1.428090.000000.847001.200179"/>
    <n v="8470315"/>
    <s v="KUST - Biomedical Engineering"/>
    <x v="13"/>
    <x v="13"/>
    <n v="847001"/>
    <s v="KUST - General"/>
    <x v="1"/>
    <x v="1"/>
    <n v="8000"/>
    <n v="0"/>
    <n v="0"/>
    <n v="10000"/>
    <n v="10000"/>
    <x v="1"/>
    <n v="0"/>
    <n v="0"/>
    <n v="20000"/>
    <n v="18000"/>
    <n v="0"/>
    <n v="14000"/>
    <n v="20000"/>
    <n v="20000"/>
    <n v="10000"/>
  </r>
  <r>
    <s v="College of Engineering"/>
    <s v="847.8470315.1.432209.000000.847001.200179"/>
    <n v="8470315"/>
    <s v="KUST - Biomedical Engineering"/>
    <x v="47"/>
    <x v="47"/>
    <n v="847001"/>
    <s v="KUST - General"/>
    <x v="1"/>
    <x v="1"/>
    <n v="64961"/>
    <n v="0"/>
    <n v="5900"/>
    <n v="90250"/>
    <n v="90250"/>
    <x v="1"/>
    <n v="0"/>
    <n v="71500"/>
    <n v="200000"/>
    <n v="180000"/>
    <n v="0"/>
    <n v="140000"/>
    <n v="150000"/>
    <n v="18000"/>
    <n v="109750"/>
  </r>
  <r>
    <s v="College of Engineering"/>
    <s v="847.8470315.1.435350.000000.847001.200179"/>
    <n v="8470315"/>
    <s v="KUST - Biomedical Engineering"/>
    <x v="43"/>
    <x v="43"/>
    <n v="847001"/>
    <s v="KUST - General"/>
    <x v="1"/>
    <x v="1"/>
    <n v="0"/>
    <n v="0"/>
    <n v="9804"/>
    <n v="38400"/>
    <n v="38400"/>
    <x v="89"/>
    <n v="0"/>
    <n v="0"/>
    <n v="75000"/>
    <n v="67500"/>
    <n v="0"/>
    <n v="52500"/>
    <n v="80000"/>
    <n v="80000"/>
    <n v="36600"/>
  </r>
  <r>
    <s v="College of Engineering"/>
    <s v="847.8470315.1.435508.000000.847001.200179"/>
    <n v="8470315"/>
    <s v="KUST - Biomedical Engineering"/>
    <x v="44"/>
    <x v="44"/>
    <n v="847001"/>
    <s v="KUST - General"/>
    <x v="1"/>
    <x v="1"/>
    <n v="271761"/>
    <n v="186107"/>
    <n v="120668"/>
    <n v="150000"/>
    <n v="150000"/>
    <x v="90"/>
    <n v="7511.12"/>
    <n v="39416.46"/>
    <n v="220000"/>
    <n v="198000"/>
    <n v="0"/>
    <n v="154000"/>
    <n v="220000"/>
    <n v="250000"/>
    <n v="70000"/>
  </r>
  <r>
    <s v="College of Engineering"/>
    <s v="847.8470315.1.436110.000000.847001.200179"/>
    <n v="8470315"/>
    <s v="KUST - Biomedical Engineering"/>
    <x v="15"/>
    <x v="15"/>
    <n v="847001"/>
    <s v="KUST - General"/>
    <x v="1"/>
    <x v="1"/>
    <n v="0"/>
    <n v="0"/>
    <n v="0"/>
    <n v="2000"/>
    <n v="2000"/>
    <x v="1"/>
    <n v="0"/>
    <n v="0"/>
    <n v="2500"/>
    <n v="2250"/>
    <n v="0"/>
    <n v="1750"/>
    <n v="2500"/>
    <n v="2500"/>
    <n v="500"/>
  </r>
  <r>
    <s v="College of Engineering"/>
    <s v="847.8470315.1.436600.000000.847001.200179"/>
    <n v="8470315"/>
    <s v="KUST - Biomedical Engineering"/>
    <x v="48"/>
    <x v="48"/>
    <n v="847001"/>
    <s v="KUST - General"/>
    <x v="1"/>
    <x v="1"/>
    <n v="0"/>
    <n v="0"/>
    <n v="0"/>
    <n v="3000"/>
    <n v="3000"/>
    <x v="1"/>
    <n v="0"/>
    <n v="0"/>
    <n v="22500"/>
    <n v="20250"/>
    <n v="0"/>
    <n v="15750"/>
    <n v="32000"/>
    <n v="16000"/>
    <n v="19500"/>
  </r>
  <r>
    <s v="College of Engineering"/>
    <s v="847.8470315.1.492316.000000.847001.300180"/>
    <n v="8470315"/>
    <s v="KUST - Biomedical Engineering"/>
    <x v="39"/>
    <x v="39"/>
    <n v="847001"/>
    <s v="KUST - General"/>
    <x v="2"/>
    <x v="2"/>
    <n v="113194"/>
    <n v="187000"/>
    <n v="106915"/>
    <n v="700693"/>
    <n v="700693"/>
    <x v="91"/>
    <n v="22325.13"/>
    <n v="441097.9"/>
    <n v="2088520"/>
    <n v="29700"/>
    <n v="0"/>
    <n v="23100"/>
    <n v="2137302"/>
    <n v="2706002"/>
    <n v="1387827"/>
  </r>
  <r>
    <s v="College of Engineering"/>
    <s v="847.8470320.1.420550.000000.847001.200179"/>
    <n v="8470320"/>
    <s v="KUST - Chemical Engineering"/>
    <x v="1"/>
    <x v="1"/>
    <n v="847001"/>
    <s v="KUST - General"/>
    <x v="1"/>
    <x v="1"/>
    <n v="0"/>
    <n v="0"/>
    <n v="0"/>
    <n v="20000"/>
    <n v="20000"/>
    <x v="1"/>
    <n v="0"/>
    <n v="0"/>
    <n v="60000"/>
    <n v="54000"/>
    <n v="0"/>
    <n v="42000"/>
    <n v="60000"/>
    <n v="60000"/>
    <n v="40000"/>
  </r>
  <r>
    <s v="College of Engineering"/>
    <s v="847.8470320.1.425510.000000.847001.200179"/>
    <n v="8470320"/>
    <s v="KUST - Chemical Engineering"/>
    <x v="3"/>
    <x v="3"/>
    <n v="847001"/>
    <s v="KUST - General"/>
    <x v="1"/>
    <x v="1"/>
    <n v="0"/>
    <n v="0"/>
    <n v="0"/>
    <n v="30000"/>
    <n v="30000"/>
    <x v="1"/>
    <n v="0"/>
    <n v="0"/>
    <n v="30000"/>
    <n v="27000"/>
    <n v="0"/>
    <n v="21000"/>
    <n v="30000"/>
    <n v="30000"/>
    <n v="0"/>
  </r>
  <r>
    <s v="College of Engineering"/>
    <s v="847.8470320.1.425760.000000.847001.200179"/>
    <n v="8470320"/>
    <s v="KUST - Chemical Engineering"/>
    <x v="30"/>
    <x v="30"/>
    <n v="847001"/>
    <s v="KUST - General"/>
    <x v="1"/>
    <x v="1"/>
    <n v="0"/>
    <n v="0"/>
    <n v="0"/>
    <n v="25000"/>
    <n v="25000"/>
    <x v="1"/>
    <n v="0"/>
    <n v="0"/>
    <n v="25000"/>
    <n v="22500"/>
    <n v="0"/>
    <n v="17500"/>
    <n v="25000"/>
    <n v="25000"/>
    <n v="0"/>
  </r>
  <r>
    <s v="College of Engineering"/>
    <s v="847.8470320.1.425763.000000.847001.200179"/>
    <n v="8470320"/>
    <s v="KUST - Chemical Engineering"/>
    <x v="41"/>
    <x v="41"/>
    <n v="847001"/>
    <s v="KUST - General"/>
    <x v="1"/>
    <x v="1"/>
    <n v="0"/>
    <n v="95178"/>
    <n v="19694"/>
    <n v="100000"/>
    <n v="100000"/>
    <x v="92"/>
    <n v="0"/>
    <n v="1226.5"/>
    <n v="120000"/>
    <n v="108000"/>
    <n v="0"/>
    <n v="84000"/>
    <n v="120000"/>
    <n v="120000"/>
    <n v="20000"/>
  </r>
  <r>
    <s v="College of Engineering"/>
    <s v="847.8470320.1.425770.000000.847001.200179"/>
    <n v="8470320"/>
    <s v="KUST - Chemical Engineering"/>
    <x v="37"/>
    <x v="37"/>
    <n v="847001"/>
    <s v="KUST - General"/>
    <x v="1"/>
    <x v="1"/>
    <n v="198877"/>
    <n v="1494"/>
    <n v="0"/>
    <n v="450000"/>
    <n v="450000"/>
    <x v="93"/>
    <n v="0"/>
    <n v="0"/>
    <n v="450000"/>
    <n v="405000"/>
    <n v="0"/>
    <n v="315000"/>
    <n v="450000"/>
    <n v="450000"/>
    <n v="0"/>
  </r>
  <r>
    <s v="College of Engineering"/>
    <s v="847.8470320.1.425900.000000.847001.200179"/>
    <n v="8470320"/>
    <s v="KUST - Chemical Engineering"/>
    <x v="11"/>
    <x v="11"/>
    <n v="847001"/>
    <s v="KUST - General"/>
    <x v="1"/>
    <x v="1"/>
    <n v="8823"/>
    <n v="1890"/>
    <n v="0"/>
    <n v="20000"/>
    <n v="20000"/>
    <x v="94"/>
    <n v="0"/>
    <n v="0"/>
    <n v="25000"/>
    <n v="22500"/>
    <n v="0"/>
    <n v="17500"/>
    <n v="25000"/>
    <n v="25000"/>
    <n v="5000"/>
  </r>
  <r>
    <s v="College of Engineering"/>
    <s v="847.8470320.1.426610.000000.847001.200179"/>
    <n v="8470320"/>
    <s v="KUST - Chemical Engineering"/>
    <x v="12"/>
    <x v="12"/>
    <n v="847001"/>
    <s v="KUST - General"/>
    <x v="1"/>
    <x v="1"/>
    <n v="18938"/>
    <n v="8099"/>
    <n v="32332"/>
    <n v="75000"/>
    <n v="75000"/>
    <x v="95"/>
    <n v="0"/>
    <n v="5917.2"/>
    <n v="115000"/>
    <n v="103500"/>
    <n v="0"/>
    <n v="80500"/>
    <n v="115000"/>
    <n v="120000"/>
    <n v="40000"/>
  </r>
  <r>
    <s v="College of Engineering"/>
    <s v="847.8470320.1.428090.000000.847001.200179"/>
    <n v="8470320"/>
    <s v="KUST - Chemical Engineering"/>
    <x v="13"/>
    <x v="13"/>
    <n v="847001"/>
    <s v="KUST - General"/>
    <x v="1"/>
    <x v="1"/>
    <n v="7262"/>
    <n v="0"/>
    <n v="0"/>
    <n v="35000"/>
    <n v="35000"/>
    <x v="1"/>
    <n v="0"/>
    <n v="0"/>
    <n v="35000"/>
    <n v="31500"/>
    <n v="0"/>
    <n v="24500"/>
    <n v="35000"/>
    <n v="35000"/>
    <n v="0"/>
  </r>
  <r>
    <s v="College of Engineering"/>
    <s v="847.8470320.1.435350.000000.847001.200179"/>
    <n v="8470320"/>
    <s v="KUST - Chemical Engineering"/>
    <x v="43"/>
    <x v="43"/>
    <n v="847001"/>
    <s v="KUST - General"/>
    <x v="1"/>
    <x v="1"/>
    <n v="6174"/>
    <n v="0"/>
    <n v="0"/>
    <n v="50000"/>
    <n v="50000"/>
    <x v="96"/>
    <n v="0"/>
    <n v="0"/>
    <n v="60000"/>
    <n v="54000"/>
    <n v="0"/>
    <n v="42000"/>
    <n v="60000"/>
    <n v="60000"/>
    <n v="10000"/>
  </r>
  <r>
    <s v="College of Engineering"/>
    <s v="847.8470320.1.435508.000000.847001.200179"/>
    <n v="8470320"/>
    <s v="KUST - Chemical Engineering"/>
    <x v="44"/>
    <x v="44"/>
    <n v="847001"/>
    <s v="KUST - General"/>
    <x v="1"/>
    <x v="1"/>
    <n v="191336"/>
    <n v="161059"/>
    <n v="100846"/>
    <n v="200000"/>
    <n v="200000"/>
    <x v="1"/>
    <n v="199588"/>
    <n v="0"/>
    <n v="150000"/>
    <n v="135000"/>
    <n v="0"/>
    <n v="105000"/>
    <n v="175000"/>
    <n v="175000"/>
    <n v="-50000"/>
  </r>
  <r>
    <s v="College of Engineering"/>
    <s v="847.8470320.1.436110.000000.847001.200179"/>
    <n v="8470320"/>
    <s v="KUST - Chemical Engineering"/>
    <x v="15"/>
    <x v="15"/>
    <n v="847001"/>
    <s v="KUST - General"/>
    <x v="1"/>
    <x v="1"/>
    <n v="0"/>
    <n v="0"/>
    <n v="0"/>
    <n v="35000"/>
    <n v="35000"/>
    <x v="1"/>
    <n v="0"/>
    <n v="0"/>
    <n v="35000"/>
    <n v="31500"/>
    <n v="0"/>
    <n v="24500"/>
    <n v="35000"/>
    <n v="35000"/>
    <n v="0"/>
  </r>
  <r>
    <s v="College of Engineering"/>
    <s v="847.8470320.1.436600.000000.847001.200179"/>
    <n v="8470320"/>
    <s v="KUST - Chemical Engineering"/>
    <x v="48"/>
    <x v="48"/>
    <n v="847001"/>
    <s v="KUST - General"/>
    <x v="1"/>
    <x v="1"/>
    <n v="0"/>
    <n v="0"/>
    <n v="0"/>
    <n v="45000"/>
    <n v="45000"/>
    <x v="97"/>
    <n v="0"/>
    <n v="0"/>
    <n v="45000"/>
    <n v="40500"/>
    <n v="0"/>
    <n v="31500"/>
    <n v="45000"/>
    <n v="45000"/>
    <n v="0"/>
  </r>
  <r>
    <s v="College of Engineering"/>
    <s v="847.8470320.1.492316.000000.847001.300180"/>
    <n v="8470320"/>
    <s v="KUST - Chemical Engineering"/>
    <x v="39"/>
    <x v="39"/>
    <n v="847001"/>
    <s v="KUST - General"/>
    <x v="2"/>
    <x v="2"/>
    <n v="844169"/>
    <n v="0"/>
    <n v="0"/>
    <n v="1813427"/>
    <n v="1813427"/>
    <x v="1"/>
    <n v="1748015.1"/>
    <n v="39000"/>
    <n v="1272000"/>
    <n v="34200"/>
    <n v="0"/>
    <n v="26600"/>
    <n v="544000"/>
    <n v="835000"/>
    <n v="-541427"/>
  </r>
  <r>
    <s v="College of Engineering"/>
    <s v="847.8470320.1.495140.000000.847001.300180"/>
    <n v="8470320"/>
    <s v="KUST - Chemical Engineering"/>
    <x v="52"/>
    <x v="52"/>
    <n v="847001"/>
    <s v="KUST - General"/>
    <x v="2"/>
    <x v="2"/>
    <n v="0"/>
    <n v="0"/>
    <n v="0"/>
    <n v="16097"/>
    <n v="16097"/>
    <x v="1"/>
    <n v="0"/>
    <n v="0"/>
    <n v="18000"/>
    <n v="16200"/>
    <n v="0"/>
    <n v="12600"/>
    <n v="18000"/>
    <n v="18000"/>
    <n v="1903"/>
  </r>
  <r>
    <s v="College of Engineering"/>
    <s v="847.8470325.1.420550.000000.847001.200179"/>
    <n v="8470325"/>
    <s v="KUST - Civil Engineering"/>
    <x v="1"/>
    <x v="1"/>
    <n v="847001"/>
    <s v="KUST - General"/>
    <x v="1"/>
    <x v="1"/>
    <n v="1000"/>
    <n v="0"/>
    <n v="0"/>
    <n v="4000"/>
    <n v="4000"/>
    <x v="1"/>
    <n v="0"/>
    <n v="0"/>
    <n v="2000"/>
    <n v="1800"/>
    <n v="0"/>
    <n v="1400"/>
    <n v="4000"/>
    <n v="4000"/>
    <n v="-2000"/>
  </r>
  <r>
    <s v="College of Engineering"/>
    <s v="847.8470325.1.425510.000000.847001.200179"/>
    <n v="8470325"/>
    <s v="KUST - Civil Engineering"/>
    <x v="3"/>
    <x v="3"/>
    <n v="847001"/>
    <s v="KUST - General"/>
    <x v="1"/>
    <x v="1"/>
    <n v="2055"/>
    <n v="0"/>
    <n v="0"/>
    <n v="6600"/>
    <n v="6600"/>
    <x v="98"/>
    <n v="0"/>
    <n v="0"/>
    <n v="6600"/>
    <n v="5940"/>
    <n v="0"/>
    <n v="4620"/>
    <n v="6600"/>
    <n v="6600"/>
    <n v="0"/>
  </r>
  <r>
    <s v="College of Engineering"/>
    <s v="847.8470325.1.425760.000000.847001.200179"/>
    <n v="8470325"/>
    <s v="KUST - Civil Engineering"/>
    <x v="30"/>
    <x v="30"/>
    <n v="847001"/>
    <s v="KUST - General"/>
    <x v="1"/>
    <x v="1"/>
    <n v="2175"/>
    <n v="0"/>
    <n v="0"/>
    <n v="5000"/>
    <n v="5000"/>
    <x v="1"/>
    <n v="0"/>
    <n v="0"/>
    <n v="5000"/>
    <n v="4500"/>
    <n v="0"/>
    <n v="3500"/>
    <n v="5000"/>
    <n v="5000"/>
    <n v="0"/>
  </r>
  <r>
    <s v="College of Engineering"/>
    <s v="847.8470325.1.425762.000000.847001.200179"/>
    <n v="8470325"/>
    <s v="KUST - Civil Engineering"/>
    <x v="10"/>
    <x v="10"/>
    <n v="847001"/>
    <s v="KUST - General"/>
    <x v="1"/>
    <x v="1"/>
    <n v="0"/>
    <n v="0"/>
    <n v="0"/>
    <n v="0"/>
    <n v="0"/>
    <x v="1"/>
    <n v="0"/>
    <n v="0"/>
    <n v="40000"/>
    <n v="36000"/>
    <n v="0"/>
    <n v="28000"/>
    <n v="40000"/>
    <n v="40000"/>
    <n v="40000"/>
  </r>
  <r>
    <s v="College of Engineering"/>
    <s v="847.8470325.1.425763.000000.847001.200179"/>
    <n v="8470325"/>
    <s v="KUST - Civil Engineering"/>
    <x v="41"/>
    <x v="41"/>
    <n v="847001"/>
    <s v="KUST - General"/>
    <x v="1"/>
    <x v="1"/>
    <n v="15677"/>
    <n v="89792"/>
    <n v="3020203"/>
    <n v="370000"/>
    <n v="370000"/>
    <x v="99"/>
    <n v="0"/>
    <n v="0"/>
    <n v="60000"/>
    <n v="54000"/>
    <n v="0"/>
    <n v="42000"/>
    <n v="60000"/>
    <n v="60000"/>
    <n v="-310000"/>
  </r>
  <r>
    <s v="College of Engineering"/>
    <s v="847.8470325.1.425770.000000.847001.200179"/>
    <n v="8470325"/>
    <s v="KUST - Civil Engineering"/>
    <x v="37"/>
    <x v="37"/>
    <n v="847001"/>
    <s v="KUST - General"/>
    <x v="1"/>
    <x v="1"/>
    <n v="54382"/>
    <n v="12268"/>
    <n v="0"/>
    <n v="165000"/>
    <n v="165000"/>
    <x v="100"/>
    <n v="0"/>
    <n v="0"/>
    <n v="220000"/>
    <n v="198000"/>
    <n v="0"/>
    <n v="154000"/>
    <n v="220000"/>
    <n v="220000"/>
    <n v="55000"/>
  </r>
  <r>
    <s v="College of Engineering"/>
    <s v="847.8470325.1.426610.000000.847001.200179"/>
    <n v="8470325"/>
    <s v="KUST - Civil Engineering"/>
    <x v="12"/>
    <x v="12"/>
    <n v="847001"/>
    <s v="KUST - General"/>
    <x v="1"/>
    <x v="1"/>
    <n v="16473"/>
    <n v="28272"/>
    <n v="0"/>
    <n v="34910"/>
    <n v="34910"/>
    <x v="1"/>
    <n v="0"/>
    <n v="17263.099999999999"/>
    <n v="45000"/>
    <n v="40500"/>
    <n v="0"/>
    <n v="31500"/>
    <n v="45000"/>
    <n v="45000"/>
    <n v="10090"/>
  </r>
  <r>
    <s v="College of Engineering"/>
    <s v="847.8470325.1.428090.000000.847001.200179"/>
    <n v="8470325"/>
    <s v="KUST - Civil Engineering"/>
    <x v="13"/>
    <x v="13"/>
    <n v="847001"/>
    <s v="KUST - General"/>
    <x v="1"/>
    <x v="1"/>
    <n v="88610"/>
    <n v="26477"/>
    <n v="0"/>
    <n v="0"/>
    <n v="0"/>
    <x v="1"/>
    <n v="0"/>
    <n v="0"/>
    <n v="20000"/>
    <n v="18000"/>
    <n v="0"/>
    <n v="14000"/>
    <n v="20000"/>
    <n v="20000"/>
    <n v="20000"/>
  </r>
  <r>
    <s v="College of Engineering"/>
    <s v="847.8470325.1.432209.000000.847001.200179"/>
    <n v="8470325"/>
    <s v="KUST - Civil Engineering"/>
    <x v="47"/>
    <x v="47"/>
    <n v="847001"/>
    <s v="KUST - General"/>
    <x v="1"/>
    <x v="1"/>
    <n v="0"/>
    <n v="0"/>
    <n v="0"/>
    <n v="201550"/>
    <n v="201550"/>
    <x v="101"/>
    <n v="0"/>
    <n v="80950"/>
    <n v="175000"/>
    <n v="157500"/>
    <n v="0"/>
    <n v="122500"/>
    <n v="200000"/>
    <n v="200000"/>
    <n v="-26550"/>
  </r>
  <r>
    <s v="College of Engineering"/>
    <s v="847.8470325.1.435350.000000.847001.200179"/>
    <n v="8470325"/>
    <s v="KUST - Civil Engineering"/>
    <x v="43"/>
    <x v="43"/>
    <n v="847001"/>
    <s v="KUST - General"/>
    <x v="1"/>
    <x v="1"/>
    <n v="0"/>
    <n v="0"/>
    <n v="0"/>
    <n v="80000"/>
    <n v="80000"/>
    <x v="102"/>
    <n v="0"/>
    <n v="0"/>
    <n v="80000"/>
    <n v="72000"/>
    <n v="0"/>
    <n v="56000"/>
    <n v="80000"/>
    <n v="80000"/>
    <n v="0"/>
  </r>
  <r>
    <s v="College of Engineering"/>
    <s v="847.8470325.1.435508.000000.847001.200179"/>
    <n v="8470325"/>
    <s v="KUST - Civil Engineering"/>
    <x v="44"/>
    <x v="44"/>
    <n v="847001"/>
    <s v="KUST - General"/>
    <x v="1"/>
    <x v="1"/>
    <n v="165659"/>
    <n v="54573"/>
    <n v="35833"/>
    <n v="92573"/>
    <n v="92573"/>
    <x v="103"/>
    <n v="0"/>
    <n v="60944.26"/>
    <n v="95000"/>
    <n v="85500"/>
    <n v="0"/>
    <n v="66500"/>
    <n v="110000"/>
    <n v="110000"/>
    <n v="2427"/>
  </r>
  <r>
    <s v="College of Engineering"/>
    <s v="847.8470325.1.492316.000000.847001.300180"/>
    <n v="8470325"/>
    <s v="KUST - Civil Engineering"/>
    <x v="39"/>
    <x v="39"/>
    <n v="847001"/>
    <s v="KUST - General"/>
    <x v="2"/>
    <x v="2"/>
    <n v="-3138"/>
    <n v="707801"/>
    <n v="190263"/>
    <n v="611783"/>
    <n v="611783"/>
    <x v="104"/>
    <n v="0"/>
    <n v="435945"/>
    <n v="1208362"/>
    <n v="157286"/>
    <n v="0"/>
    <n v="122333"/>
    <n v="1285000"/>
    <n v="775000"/>
    <n v="596579"/>
  </r>
  <r>
    <s v="College of Engineering"/>
    <s v="847.8470330.1.420550.000000.847001.200179"/>
    <n v="8470330"/>
    <s v="KUST - Electrical &amp; Computer Engineering"/>
    <x v="1"/>
    <x v="1"/>
    <n v="847001"/>
    <s v="KUST - General"/>
    <x v="1"/>
    <x v="1"/>
    <n v="0"/>
    <n v="0"/>
    <n v="0"/>
    <n v="3000"/>
    <n v="3000"/>
    <x v="1"/>
    <n v="0"/>
    <n v="0"/>
    <n v="3000"/>
    <n v="2700"/>
    <n v="0"/>
    <n v="2100"/>
    <n v="3000"/>
    <n v="3000"/>
    <n v="0"/>
  </r>
  <r>
    <s v="College of Engineering"/>
    <s v="847.8470330.1.425510.000000.847001.200179"/>
    <n v="8470330"/>
    <s v="KUST - Electrical &amp; Computer Engineering"/>
    <x v="3"/>
    <x v="3"/>
    <n v="847001"/>
    <s v="KUST - General"/>
    <x v="1"/>
    <x v="1"/>
    <n v="8058"/>
    <n v="2185"/>
    <n v="0"/>
    <n v="42000"/>
    <n v="42000"/>
    <x v="16"/>
    <n v="0"/>
    <n v="0"/>
    <n v="10000"/>
    <n v="9000"/>
    <n v="0"/>
    <n v="7000"/>
    <n v="10000"/>
    <n v="10000"/>
    <n v="-32000"/>
  </r>
  <r>
    <s v="College of Engineering"/>
    <s v="847.8470330.1.425760.000000.847001.200179"/>
    <n v="8470330"/>
    <s v="KUST - Electrical &amp; Computer Engineering"/>
    <x v="30"/>
    <x v="30"/>
    <n v="847001"/>
    <s v="KUST - General"/>
    <x v="1"/>
    <x v="1"/>
    <n v="272484"/>
    <n v="0"/>
    <n v="0"/>
    <n v="72000"/>
    <n v="72000"/>
    <x v="1"/>
    <n v="0"/>
    <n v="0"/>
    <n v="75000"/>
    <n v="67500"/>
    <n v="0"/>
    <n v="52500"/>
    <n v="75000"/>
    <n v="75000"/>
    <n v="3000"/>
  </r>
  <r>
    <s v="College of Engineering"/>
    <s v="847.8470330.1.425763.000000.847001.200179"/>
    <n v="8470330"/>
    <s v="KUST - Electrical &amp; Computer Engineering"/>
    <x v="41"/>
    <x v="41"/>
    <n v="847001"/>
    <s v="KUST - General"/>
    <x v="1"/>
    <x v="1"/>
    <n v="190324"/>
    <n v="217038"/>
    <n v="216899"/>
    <n v="405000"/>
    <n v="405000"/>
    <x v="105"/>
    <n v="0"/>
    <n v="0"/>
    <n v="435000"/>
    <n v="391500"/>
    <n v="0"/>
    <n v="304500"/>
    <n v="435000"/>
    <n v="435000"/>
    <n v="30000"/>
  </r>
  <r>
    <s v="College of Engineering"/>
    <s v="847.8470330.1.425770.000000.847001.200179"/>
    <n v="8470330"/>
    <s v="KUST - Electrical &amp; Computer Engineering"/>
    <x v="37"/>
    <x v="37"/>
    <n v="847001"/>
    <s v="KUST - General"/>
    <x v="1"/>
    <x v="1"/>
    <n v="338379"/>
    <n v="89564"/>
    <n v="12190"/>
    <n v="650000"/>
    <n v="650000"/>
    <x v="106"/>
    <n v="0"/>
    <n v="0"/>
    <n v="1260000"/>
    <n v="1134000"/>
    <n v="0"/>
    <n v="882000"/>
    <n v="1260000"/>
    <n v="1260000"/>
    <n v="610000"/>
  </r>
  <r>
    <s v="College of Engineering"/>
    <s v="847.8470330.1.425900.000000.847001.200179"/>
    <n v="8470330"/>
    <s v="KUST - Electrical &amp; Computer Engineering"/>
    <x v="11"/>
    <x v="11"/>
    <n v="847001"/>
    <s v="KUST - General"/>
    <x v="1"/>
    <x v="1"/>
    <n v="15320"/>
    <n v="6983"/>
    <n v="0"/>
    <n v="16000"/>
    <n v="16000"/>
    <x v="1"/>
    <n v="0"/>
    <n v="0"/>
    <n v="30000"/>
    <n v="27000"/>
    <n v="0"/>
    <n v="21000"/>
    <n v="30000"/>
    <n v="30000"/>
    <n v="14000"/>
  </r>
  <r>
    <s v="College of Engineering"/>
    <s v="847.8470330.1.426610.000000.847001.200179"/>
    <n v="8470330"/>
    <s v="KUST - Electrical &amp; Computer Engineering"/>
    <x v="12"/>
    <x v="12"/>
    <n v="847001"/>
    <s v="KUST - General"/>
    <x v="1"/>
    <x v="1"/>
    <n v="0"/>
    <n v="224906"/>
    <n v="122132"/>
    <n v="720500"/>
    <n v="720500"/>
    <x v="107"/>
    <n v="0"/>
    <n v="366838"/>
    <n v="710622"/>
    <n v="639560"/>
    <n v="0"/>
    <n v="497435"/>
    <n v="710622"/>
    <n v="870620"/>
    <n v="-9878"/>
  </r>
  <r>
    <s v="College of Engineering"/>
    <s v="847.8470330.1.428640.000000.847001.200179"/>
    <n v="8470330"/>
    <s v="KUST - Electrical &amp; Computer Engineering"/>
    <x v="14"/>
    <x v="14"/>
    <n v="847001"/>
    <s v="KUST - General"/>
    <x v="1"/>
    <x v="1"/>
    <n v="0"/>
    <n v="0"/>
    <n v="4488"/>
    <n v="302000"/>
    <n v="302000"/>
    <x v="1"/>
    <n v="0"/>
    <n v="0"/>
    <n v="302000"/>
    <n v="271800"/>
    <n v="0"/>
    <n v="211400"/>
    <n v="302000"/>
    <n v="302000"/>
    <n v="0"/>
  </r>
  <r>
    <s v="College of Engineering"/>
    <s v="847.8470330.1.432209.000000.847001.200179"/>
    <n v="8470330"/>
    <s v="KUST - Electrical &amp; Computer Engineering"/>
    <x v="47"/>
    <x v="47"/>
    <n v="847001"/>
    <s v="KUST - General"/>
    <x v="1"/>
    <x v="1"/>
    <n v="0"/>
    <n v="0"/>
    <n v="0"/>
    <n v="67400"/>
    <n v="67400"/>
    <x v="1"/>
    <n v="0"/>
    <n v="0"/>
    <n v="50000"/>
    <n v="45000"/>
    <n v="0"/>
    <n v="35000"/>
    <n v="50000"/>
    <n v="50000"/>
    <n v="-17400"/>
  </r>
  <r>
    <s v="College of Engineering"/>
    <s v="847.8470330.1.435350.000000.847001.200179"/>
    <n v="8470330"/>
    <s v="KUST - Electrical &amp; Computer Engineering"/>
    <x v="43"/>
    <x v="43"/>
    <n v="847001"/>
    <s v="KUST - General"/>
    <x v="1"/>
    <x v="1"/>
    <n v="98310"/>
    <n v="269679"/>
    <n v="49195"/>
    <n v="420000"/>
    <n v="420000"/>
    <x v="108"/>
    <n v="0"/>
    <n v="0"/>
    <n v="441000"/>
    <n v="396900"/>
    <n v="0"/>
    <n v="308700"/>
    <n v="441000"/>
    <n v="441000"/>
    <n v="21000"/>
  </r>
  <r>
    <s v="College of Engineering"/>
    <s v="847.8470330.1.435508.000000.847001.200179"/>
    <n v="8470330"/>
    <s v="KUST - Electrical &amp; Computer Engineering"/>
    <x v="44"/>
    <x v="44"/>
    <n v="847001"/>
    <s v="KUST - General"/>
    <x v="1"/>
    <x v="1"/>
    <n v="13926"/>
    <n v="19880"/>
    <n v="82455"/>
    <n v="20000"/>
    <n v="20000"/>
    <x v="1"/>
    <n v="17347.59"/>
    <n v="0"/>
    <n v="80000"/>
    <n v="72000"/>
    <n v="0"/>
    <n v="56000"/>
    <n v="80000"/>
    <n v="80000"/>
    <n v="60000"/>
  </r>
  <r>
    <s v="College of Engineering"/>
    <s v="847.8470330.1.436600.000000.847001.200179"/>
    <n v="8470330"/>
    <s v="KUST - Electrical &amp; Computer Engineering"/>
    <x v="48"/>
    <x v="48"/>
    <n v="847001"/>
    <s v="KUST - General"/>
    <x v="1"/>
    <x v="1"/>
    <n v="0"/>
    <n v="0"/>
    <n v="0"/>
    <n v="60000"/>
    <n v="60000"/>
    <x v="1"/>
    <n v="0"/>
    <n v="15740"/>
    <n v="16000"/>
    <n v="14400"/>
    <n v="0"/>
    <n v="11200"/>
    <n v="16000"/>
    <n v="16000"/>
    <n v="-44000"/>
  </r>
  <r>
    <s v="College of Engineering"/>
    <s v="847.8470330.1.492316.000000.847001.300180"/>
    <n v="8470330"/>
    <s v="KUST - Electrical &amp; Computer Engineering"/>
    <x v="39"/>
    <x v="39"/>
    <n v="847001"/>
    <s v="KUST - General"/>
    <x v="2"/>
    <x v="2"/>
    <n v="441732"/>
    <n v="585059"/>
    <n v="228093"/>
    <n v="456796"/>
    <n v="456796"/>
    <x v="1"/>
    <n v="412250"/>
    <n v="38500"/>
    <n v="1041552"/>
    <n v="937397"/>
    <n v="0"/>
    <n v="729086"/>
    <n v="500000"/>
    <n v="500000"/>
    <n v="584756"/>
  </r>
  <r>
    <s v="College of Engineering"/>
    <s v="847.8470335.1.420550.000000.847001.200179"/>
    <n v="8470335"/>
    <s v="KUST - Industrial &amp; Systems Engineering"/>
    <x v="1"/>
    <x v="1"/>
    <n v="847001"/>
    <s v="KUST - General"/>
    <x v="1"/>
    <x v="1"/>
    <n v="0"/>
    <n v="0"/>
    <n v="0"/>
    <n v="10000"/>
    <n v="10000"/>
    <x v="1"/>
    <n v="0"/>
    <n v="0"/>
    <n v="12000"/>
    <n v="10800"/>
    <n v="0"/>
    <n v="8400"/>
    <n v="13000"/>
    <n v="13600"/>
    <n v="2000"/>
  </r>
  <r>
    <s v="College of Engineering"/>
    <s v="847.8470335.1.425510.000000.847001.200179"/>
    <n v="8470335"/>
    <s v="KUST - Industrial &amp; Systems Engineering"/>
    <x v="3"/>
    <x v="3"/>
    <n v="847001"/>
    <s v="KUST - General"/>
    <x v="1"/>
    <x v="1"/>
    <n v="6385"/>
    <n v="0"/>
    <n v="0"/>
    <n v="20000"/>
    <n v="20000"/>
    <x v="1"/>
    <n v="0"/>
    <n v="0"/>
    <n v="20000"/>
    <n v="18000"/>
    <n v="0"/>
    <n v="14000"/>
    <n v="22000"/>
    <n v="22000"/>
    <n v="0"/>
  </r>
  <r>
    <s v="College of Engineering"/>
    <s v="847.8470335.1.425760.000000.847001.200179"/>
    <n v="8470335"/>
    <s v="KUST - Industrial &amp; Systems Engineering"/>
    <x v="30"/>
    <x v="30"/>
    <n v="847001"/>
    <s v="KUST - General"/>
    <x v="1"/>
    <x v="1"/>
    <n v="2520"/>
    <n v="2400"/>
    <n v="0"/>
    <n v="10000"/>
    <n v="10000"/>
    <x v="1"/>
    <n v="0"/>
    <n v="0"/>
    <n v="10000"/>
    <n v="9000"/>
    <n v="0"/>
    <n v="7000"/>
    <n v="10000"/>
    <n v="12500"/>
    <n v="0"/>
  </r>
  <r>
    <s v="College of Engineering"/>
    <s v="847.8470335.1.425763.000000.847001.200179"/>
    <n v="8470335"/>
    <s v="KUST - Industrial &amp; Systems Engineering"/>
    <x v="41"/>
    <x v="41"/>
    <n v="847001"/>
    <s v="KUST - General"/>
    <x v="1"/>
    <x v="1"/>
    <n v="23595"/>
    <n v="40126"/>
    <n v="24128"/>
    <n v="50000"/>
    <n v="50000"/>
    <x v="109"/>
    <n v="0"/>
    <n v="0"/>
    <n v="80000"/>
    <n v="72000"/>
    <n v="0"/>
    <n v="56000"/>
    <n v="90000"/>
    <n v="96000"/>
    <n v="30000"/>
  </r>
  <r>
    <s v="College of Engineering"/>
    <s v="847.8470335.1.425770.000000.847001.200179"/>
    <n v="8470335"/>
    <s v="KUST - Industrial &amp; Systems Engineering"/>
    <x v="37"/>
    <x v="37"/>
    <n v="847001"/>
    <s v="KUST - General"/>
    <x v="1"/>
    <x v="1"/>
    <n v="124463"/>
    <n v="54555"/>
    <n v="-3762"/>
    <n v="166000"/>
    <n v="166000"/>
    <x v="110"/>
    <n v="0"/>
    <n v="0"/>
    <n v="400000"/>
    <n v="360000"/>
    <n v="0"/>
    <n v="280000"/>
    <n v="440000"/>
    <n v="440000"/>
    <n v="234000"/>
  </r>
  <r>
    <s v="College of Engineering"/>
    <s v="847.8470335.1.425900.000000.847001.200179"/>
    <n v="8470335"/>
    <s v="KUST - Industrial &amp; Systems Engineering"/>
    <x v="11"/>
    <x v="11"/>
    <n v="847001"/>
    <s v="KUST - General"/>
    <x v="1"/>
    <x v="1"/>
    <n v="931"/>
    <n v="4447"/>
    <n v="0"/>
    <n v="20000"/>
    <n v="20000"/>
    <x v="1"/>
    <n v="0"/>
    <n v="0"/>
    <n v="36000"/>
    <n v="32400"/>
    <n v="0"/>
    <n v="25200"/>
    <n v="36000"/>
    <n v="36000"/>
    <n v="16000"/>
  </r>
  <r>
    <s v="College of Engineering"/>
    <s v="847.8470335.1.426610.000000.847001.200179"/>
    <n v="8470335"/>
    <s v="KUST - Industrial &amp; Systems Engineering"/>
    <x v="12"/>
    <x v="12"/>
    <n v="847001"/>
    <s v="KUST - General"/>
    <x v="1"/>
    <x v="1"/>
    <n v="111804"/>
    <n v="124805"/>
    <n v="134362"/>
    <n v="150257"/>
    <n v="150257"/>
    <x v="111"/>
    <n v="15473.61"/>
    <n v="64773.69"/>
    <n v="198000"/>
    <n v="178200"/>
    <n v="0"/>
    <n v="138600"/>
    <n v="210000"/>
    <n v="222000"/>
    <n v="47743"/>
  </r>
  <r>
    <s v="College of Engineering"/>
    <s v="847.8470335.1.428090.000000.847001.200179"/>
    <n v="8470335"/>
    <s v="KUST - Industrial &amp; Systems Engineering"/>
    <x v="13"/>
    <x v="13"/>
    <n v="847001"/>
    <s v="KUST - General"/>
    <x v="1"/>
    <x v="1"/>
    <n v="44774"/>
    <n v="0"/>
    <n v="0"/>
    <n v="40000"/>
    <n v="40000"/>
    <x v="1"/>
    <n v="0"/>
    <n v="0"/>
    <n v="45000"/>
    <n v="40500"/>
    <n v="0"/>
    <n v="31500"/>
    <n v="45000"/>
    <n v="45000"/>
    <n v="5000"/>
  </r>
  <r>
    <s v="College of Engineering"/>
    <s v="847.8470335.1.435350.000000.847001.200179"/>
    <n v="8470335"/>
    <s v="KUST - Industrial &amp; Systems Engineering"/>
    <x v="43"/>
    <x v="43"/>
    <n v="847001"/>
    <s v="KUST - General"/>
    <x v="1"/>
    <x v="1"/>
    <n v="5626"/>
    <n v="38004"/>
    <n v="22480"/>
    <n v="51520"/>
    <n v="51520"/>
    <x v="112"/>
    <n v="0"/>
    <n v="0"/>
    <n v="65000"/>
    <n v="58500"/>
    <n v="0"/>
    <n v="45500"/>
    <n v="65000"/>
    <n v="71500"/>
    <n v="13480"/>
  </r>
  <r>
    <s v="College of Engineering"/>
    <s v="847.8470335.1.435508.000000.847001.200179"/>
    <n v="8470335"/>
    <s v="KUST - Industrial &amp; Systems Engineering"/>
    <x v="44"/>
    <x v="44"/>
    <n v="847001"/>
    <s v="KUST - General"/>
    <x v="1"/>
    <x v="1"/>
    <n v="156426"/>
    <n v="99044"/>
    <n v="66172"/>
    <n v="243000"/>
    <n v="243000"/>
    <x v="113"/>
    <n v="11037.37"/>
    <n v="156924.71"/>
    <n v="205500"/>
    <n v="184950"/>
    <n v="0"/>
    <n v="143850"/>
    <n v="220000"/>
    <n v="120000"/>
    <n v="-37500"/>
  </r>
  <r>
    <s v="College of Engineering"/>
    <s v="847.8470335.1.436110.000000.847001.200179"/>
    <n v="8470335"/>
    <s v="KUST - Industrial &amp; Systems Engineering"/>
    <x v="15"/>
    <x v="15"/>
    <n v="847001"/>
    <s v="KUST - General"/>
    <x v="1"/>
    <x v="1"/>
    <n v="3577"/>
    <n v="3778"/>
    <n v="0"/>
    <n v="4000"/>
    <n v="4000"/>
    <x v="1"/>
    <n v="0"/>
    <n v="0"/>
    <n v="8750"/>
    <n v="7875"/>
    <n v="0"/>
    <n v="6125"/>
    <n v="8750"/>
    <n v="9000"/>
    <n v="4750"/>
  </r>
  <r>
    <s v="College of Engineering"/>
    <s v="847.8470335.1.436600.000000.847001.200179"/>
    <n v="8470335"/>
    <s v="KUST - Industrial &amp; Systems Engineering"/>
    <x v="48"/>
    <x v="48"/>
    <n v="847001"/>
    <s v="KUST - General"/>
    <x v="1"/>
    <x v="1"/>
    <n v="0"/>
    <n v="12141"/>
    <n v="11193"/>
    <n v="12000"/>
    <n v="12000"/>
    <x v="114"/>
    <n v="0"/>
    <n v="0"/>
    <n v="12000"/>
    <n v="10800"/>
    <n v="0"/>
    <n v="8400"/>
    <n v="12000"/>
    <n v="12600"/>
    <n v="0"/>
  </r>
  <r>
    <s v="College of Engineering"/>
    <s v="847.8470335.1.492316.000000.847001.300180"/>
    <n v="8470335"/>
    <s v="KUST - Industrial &amp; Systems Engineering"/>
    <x v="39"/>
    <x v="39"/>
    <n v="847001"/>
    <s v="KUST - General"/>
    <x v="2"/>
    <x v="2"/>
    <n v="0"/>
    <n v="283271"/>
    <n v="31330"/>
    <n v="234334"/>
    <n v="234334"/>
    <x v="115"/>
    <n v="177000"/>
    <n v="46277"/>
    <n v="290000"/>
    <n v="261000"/>
    <n v="0"/>
    <n v="203000"/>
    <n v="520000"/>
    <n v="0"/>
    <n v="55666"/>
  </r>
  <r>
    <s v="College of Engineering"/>
    <s v="847.8470340.1.420550.000000.847001.200179"/>
    <n v="8470340"/>
    <s v="KUST - Mechanical Engineering"/>
    <x v="1"/>
    <x v="1"/>
    <n v="847001"/>
    <s v="KUST - General"/>
    <x v="1"/>
    <x v="1"/>
    <n v="0"/>
    <n v="0"/>
    <n v="0"/>
    <n v="3000"/>
    <n v="3000"/>
    <x v="1"/>
    <n v="0"/>
    <n v="0"/>
    <n v="3000"/>
    <n v="2700"/>
    <n v="0"/>
    <n v="2100"/>
    <n v="3000"/>
    <n v="3000"/>
    <n v="0"/>
  </r>
  <r>
    <s v="College of Engineering"/>
    <s v="847.8470340.1.425510.000000.847001.200179"/>
    <n v="8470340"/>
    <s v="KUST - Mechanical Engineering"/>
    <x v="3"/>
    <x v="3"/>
    <n v="847001"/>
    <s v="KUST - General"/>
    <x v="1"/>
    <x v="1"/>
    <n v="7200"/>
    <n v="2080"/>
    <n v="0"/>
    <n v="10000"/>
    <n v="10000"/>
    <x v="1"/>
    <n v="0"/>
    <n v="0"/>
    <n v="10000"/>
    <n v="9000"/>
    <n v="0"/>
    <n v="7000"/>
    <n v="10000"/>
    <n v="10000"/>
    <n v="0"/>
  </r>
  <r>
    <s v="College of Engineering"/>
    <s v="847.8470340.1.425720.000000.847001.200179"/>
    <n v="8470340"/>
    <s v="KUST - Mechanical Engineering"/>
    <x v="23"/>
    <x v="23"/>
    <n v="847001"/>
    <s v="KUST - General"/>
    <x v="1"/>
    <x v="1"/>
    <n v="0"/>
    <n v="0"/>
    <n v="0"/>
    <n v="30000"/>
    <n v="30000"/>
    <x v="1"/>
    <n v="0"/>
    <n v="0"/>
    <n v="10000"/>
    <n v="9000"/>
    <n v="0"/>
    <n v="7000"/>
    <n v="10000"/>
    <n v="10000"/>
    <n v="-20000"/>
  </r>
  <r>
    <s v="College of Engineering"/>
    <s v="847.8470340.1.425760.000000.847001.200179"/>
    <n v="8470340"/>
    <s v="KUST - Mechanical Engineering"/>
    <x v="30"/>
    <x v="30"/>
    <n v="847001"/>
    <s v="KUST - General"/>
    <x v="1"/>
    <x v="1"/>
    <n v="4762"/>
    <n v="2750"/>
    <n v="0"/>
    <n v="12000"/>
    <n v="12000"/>
    <x v="1"/>
    <n v="0"/>
    <n v="0"/>
    <n v="12000"/>
    <n v="10800"/>
    <n v="0"/>
    <n v="8400"/>
    <n v="12000"/>
    <n v="12000"/>
    <n v="0"/>
  </r>
  <r>
    <s v="College of Engineering"/>
    <s v="847.8470340.1.425763.000000.847001.200179"/>
    <n v="8470340"/>
    <s v="KUST - Mechanical Engineering"/>
    <x v="41"/>
    <x v="41"/>
    <n v="847001"/>
    <s v="KUST - General"/>
    <x v="1"/>
    <x v="1"/>
    <n v="208321"/>
    <n v="225403"/>
    <n v="252926"/>
    <n v="460000"/>
    <n v="460000"/>
    <x v="116"/>
    <n v="0"/>
    <n v="0"/>
    <n v="500000"/>
    <n v="450000"/>
    <n v="0"/>
    <n v="350000"/>
    <n v="550000"/>
    <n v="600000"/>
    <n v="40000"/>
  </r>
  <r>
    <s v="College of Engineering"/>
    <s v="847.8470340.1.425770.000000.847001.200179"/>
    <n v="8470340"/>
    <s v="KUST - Mechanical Engineering"/>
    <x v="37"/>
    <x v="37"/>
    <n v="847001"/>
    <s v="KUST - General"/>
    <x v="1"/>
    <x v="1"/>
    <n v="276102"/>
    <n v="54007"/>
    <n v="30018"/>
    <n v="630000"/>
    <n v="630000"/>
    <x v="117"/>
    <n v="0"/>
    <n v="0"/>
    <n v="700000"/>
    <n v="630000"/>
    <n v="0"/>
    <n v="490000"/>
    <n v="740000"/>
    <n v="880000"/>
    <n v="70000"/>
  </r>
  <r>
    <s v="College of Engineering"/>
    <s v="847.8470340.1.425900.000000.847001.200179"/>
    <n v="8470340"/>
    <s v="KUST - Mechanical Engineering"/>
    <x v="11"/>
    <x v="11"/>
    <n v="847001"/>
    <s v="KUST - General"/>
    <x v="1"/>
    <x v="1"/>
    <n v="16813"/>
    <n v="7287"/>
    <n v="0"/>
    <n v="54000"/>
    <n v="54000"/>
    <x v="118"/>
    <n v="8800"/>
    <n v="0"/>
    <n v="20000"/>
    <n v="18000"/>
    <n v="0"/>
    <n v="14000"/>
    <n v="20000"/>
    <n v="0"/>
    <n v="-34000"/>
  </r>
  <r>
    <s v="College of Engineering"/>
    <s v="847.8470340.1.426610.000000.847001.200179"/>
    <n v="8470340"/>
    <s v="KUST - Mechanical Engineering"/>
    <x v="12"/>
    <x v="12"/>
    <n v="847001"/>
    <s v="KUST - General"/>
    <x v="1"/>
    <x v="1"/>
    <n v="93818"/>
    <n v="173961"/>
    <n v="167257"/>
    <n v="210000"/>
    <n v="210000"/>
    <x v="119"/>
    <n v="75567.38"/>
    <n v="41508.99"/>
    <n v="230000"/>
    <n v="207000"/>
    <n v="0"/>
    <n v="161000"/>
    <n v="240000"/>
    <n v="240000"/>
    <n v="20000"/>
  </r>
  <r>
    <s v="College of Engineering"/>
    <s v="847.8470340.1.432209.000000.847001.200179"/>
    <n v="8470340"/>
    <s v="KUST - Mechanical Engineering"/>
    <x v="47"/>
    <x v="47"/>
    <n v="847001"/>
    <s v="KUST - General"/>
    <x v="1"/>
    <x v="1"/>
    <n v="0"/>
    <n v="0"/>
    <n v="44819"/>
    <n v="100000"/>
    <n v="100000"/>
    <x v="1"/>
    <n v="80000"/>
    <n v="20000"/>
    <n v="80000"/>
    <n v="72000"/>
    <n v="0"/>
    <n v="56000"/>
    <n v="80000"/>
    <n v="80000"/>
    <n v="-20000"/>
  </r>
  <r>
    <s v="College of Engineering"/>
    <s v="847.8470340.1.435350.000000.847001.200179"/>
    <n v="8470340"/>
    <s v="KUST - Mechanical Engineering"/>
    <x v="43"/>
    <x v="43"/>
    <n v="847001"/>
    <s v="KUST - General"/>
    <x v="1"/>
    <x v="1"/>
    <n v="0"/>
    <n v="50303"/>
    <n v="98141"/>
    <n v="336000"/>
    <n v="336000"/>
    <x v="120"/>
    <n v="0"/>
    <n v="0"/>
    <n v="350000"/>
    <n v="315000"/>
    <n v="0"/>
    <n v="245000"/>
    <n v="407000"/>
    <n v="480000"/>
    <n v="14000"/>
  </r>
  <r>
    <s v="College of Engineering"/>
    <s v="847.8470340.1.435508.000000.847001.200179"/>
    <n v="8470340"/>
    <s v="KUST - Mechanical Engineering"/>
    <x v="44"/>
    <x v="44"/>
    <n v="847001"/>
    <s v="KUST - General"/>
    <x v="1"/>
    <x v="1"/>
    <n v="177480"/>
    <n v="252646"/>
    <n v="71574"/>
    <n v="264000"/>
    <n v="264000"/>
    <x v="121"/>
    <n v="0"/>
    <n v="94645.3"/>
    <n v="240000"/>
    <n v="216000"/>
    <n v="0"/>
    <n v="168000"/>
    <n v="240000"/>
    <n v="240000"/>
    <n v="-24000"/>
  </r>
  <r>
    <s v="College of Engineering"/>
    <s v="847.8470340.1.492316.000000.847001.300180"/>
    <n v="8470340"/>
    <s v="KUST - Mechanical Engineering"/>
    <x v="39"/>
    <x v="39"/>
    <n v="847001"/>
    <s v="KUST - General"/>
    <x v="2"/>
    <x v="2"/>
    <n v="519069"/>
    <n v="815546"/>
    <n v="267712"/>
    <n v="533159"/>
    <n v="533159"/>
    <x v="1"/>
    <n v="0"/>
    <n v="532460"/>
    <n v="515000"/>
    <n v="166500"/>
    <n v="0"/>
    <n v="129500"/>
    <n v="295000"/>
    <n v="700000"/>
    <n v="-18159"/>
  </r>
  <r>
    <s v="College of Engineering"/>
    <s v="847.8470345.1.420550.000000.847001.200179"/>
    <n v="8470345"/>
    <s v="KUST - Nuclear Engineering"/>
    <x v="1"/>
    <x v="1"/>
    <n v="847001"/>
    <s v="KUST - General"/>
    <x v="1"/>
    <x v="1"/>
    <n v="71607"/>
    <n v="41000"/>
    <n v="0"/>
    <n v="20000"/>
    <n v="20000"/>
    <x v="1"/>
    <n v="0"/>
    <n v="0"/>
    <n v="20000"/>
    <n v="18000"/>
    <n v="0"/>
    <n v="14000"/>
    <n v="20000"/>
    <n v="20000"/>
    <n v="0"/>
  </r>
  <r>
    <s v="College of Engineering"/>
    <s v="847.8470345.1.425510.000000.847001.200179"/>
    <n v="8470345"/>
    <s v="KUST - Nuclear Engineering"/>
    <x v="3"/>
    <x v="3"/>
    <n v="847001"/>
    <s v="KUST - General"/>
    <x v="1"/>
    <x v="1"/>
    <n v="0"/>
    <n v="0"/>
    <n v="65000"/>
    <n v="30000"/>
    <n v="30000"/>
    <x v="122"/>
    <n v="0"/>
    <n v="0"/>
    <n v="35000"/>
    <n v="31500"/>
    <n v="0"/>
    <n v="24500"/>
    <n v="35000"/>
    <n v="35000"/>
    <n v="5000"/>
  </r>
  <r>
    <s v="College of Engineering"/>
    <s v="847.8470345.1.425760.000000.847001.200179"/>
    <n v="8470345"/>
    <s v="KUST - Nuclear Engineering"/>
    <x v="30"/>
    <x v="30"/>
    <n v="847001"/>
    <s v="KUST - General"/>
    <x v="1"/>
    <x v="1"/>
    <n v="0"/>
    <n v="0"/>
    <n v="0"/>
    <n v="120000"/>
    <n v="120000"/>
    <x v="1"/>
    <n v="0"/>
    <n v="0"/>
    <n v="160000"/>
    <n v="144000"/>
    <n v="0"/>
    <n v="112000"/>
    <n v="160000"/>
    <n v="160000"/>
    <n v="40000"/>
  </r>
  <r>
    <s v="College of Engineering"/>
    <s v="847.8470345.1.425770.000000.847001.200179"/>
    <n v="8470345"/>
    <s v="KUST - Nuclear Engineering"/>
    <x v="37"/>
    <x v="37"/>
    <n v="847001"/>
    <s v="KUST - General"/>
    <x v="1"/>
    <x v="1"/>
    <n v="149937"/>
    <n v="-2805"/>
    <n v="20865"/>
    <n v="105000"/>
    <n v="105000"/>
    <x v="123"/>
    <n v="0"/>
    <n v="0"/>
    <n v="140000"/>
    <n v="126000"/>
    <n v="0"/>
    <n v="98000"/>
    <n v="140000"/>
    <n v="199217"/>
    <n v="35000"/>
  </r>
  <r>
    <s v="College of Engineering"/>
    <s v="847.8470345.1.425900.000000.847001.200179"/>
    <n v="8470345"/>
    <s v="KUST - Nuclear Engineering"/>
    <x v="11"/>
    <x v="11"/>
    <n v="847001"/>
    <s v="KUST - General"/>
    <x v="1"/>
    <x v="1"/>
    <n v="686"/>
    <n v="0"/>
    <n v="0"/>
    <n v="3000"/>
    <n v="3000"/>
    <x v="1"/>
    <n v="0"/>
    <n v="0"/>
    <n v="3000"/>
    <n v="2700"/>
    <n v="0"/>
    <n v="2100"/>
    <n v="3000"/>
    <n v="53000"/>
    <n v="0"/>
  </r>
  <r>
    <s v="College of Engineering"/>
    <s v="847.8470345.1.426610.000000.847001.200179"/>
    <n v="8470345"/>
    <s v="KUST - Nuclear Engineering"/>
    <x v="12"/>
    <x v="12"/>
    <n v="847001"/>
    <s v="KUST - General"/>
    <x v="1"/>
    <x v="1"/>
    <n v="94303"/>
    <n v="-7076"/>
    <n v="-38268"/>
    <n v="146983"/>
    <n v="146983"/>
    <x v="124"/>
    <n v="7346"/>
    <n v="49585.5"/>
    <n v="59217"/>
    <n v="53295"/>
    <n v="0"/>
    <n v="41452"/>
    <n v="59217"/>
    <n v="168000"/>
    <n v="-87766"/>
  </r>
  <r>
    <s v="College of Engineering"/>
    <s v="847.8470345.1.428090.000000.847001.200179"/>
    <n v="8470345"/>
    <s v="KUST - Nuclear Engineering"/>
    <x v="13"/>
    <x v="13"/>
    <n v="847001"/>
    <s v="KUST - General"/>
    <x v="1"/>
    <x v="1"/>
    <n v="35959"/>
    <n v="5109"/>
    <n v="3908"/>
    <n v="44592"/>
    <n v="44592"/>
    <x v="125"/>
    <n v="0"/>
    <n v="0"/>
    <n v="50000"/>
    <n v="45000"/>
    <n v="0"/>
    <n v="35000"/>
    <n v="50000"/>
    <n v="549184"/>
    <n v="5408"/>
  </r>
  <r>
    <s v="College of Engineering"/>
    <s v="847.8470345.1.435350.000000.847001.200179"/>
    <n v="8470345"/>
    <s v="KUST - Nuclear Engineering"/>
    <x v="43"/>
    <x v="43"/>
    <n v="847001"/>
    <s v="KUST - General"/>
    <x v="1"/>
    <x v="1"/>
    <n v="900"/>
    <n v="0"/>
    <n v="17036"/>
    <n v="70000"/>
    <n v="70000"/>
    <x v="126"/>
    <n v="0"/>
    <n v="0"/>
    <n v="168000"/>
    <n v="151200"/>
    <n v="0"/>
    <n v="117600"/>
    <n v="168000"/>
    <n v="6000"/>
    <n v="98000"/>
  </r>
  <r>
    <s v="College of Engineering"/>
    <s v="847.8470345.1.435508.000000.847001.200179"/>
    <n v="8470345"/>
    <s v="KUST - Nuclear Engineering"/>
    <x v="44"/>
    <x v="44"/>
    <n v="847001"/>
    <s v="KUST - General"/>
    <x v="1"/>
    <x v="1"/>
    <n v="136686"/>
    <n v="85883"/>
    <n v="52976"/>
    <n v="197477"/>
    <n v="197477"/>
    <x v="127"/>
    <n v="1156"/>
    <n v="60119.77"/>
    <n v="549184"/>
    <n v="494266"/>
    <n v="0"/>
    <n v="384429"/>
    <n v="549184"/>
    <n v="0"/>
    <n v="351707"/>
  </r>
  <r>
    <s v="College of Engineering"/>
    <s v="847.8470345.1.436110.000000.847001.200179"/>
    <n v="8470345"/>
    <s v="KUST - Nuclear Engineering"/>
    <x v="15"/>
    <x v="15"/>
    <n v="847001"/>
    <s v="KUST - General"/>
    <x v="1"/>
    <x v="1"/>
    <n v="120"/>
    <n v="0"/>
    <n v="0"/>
    <n v="5742"/>
    <n v="5742"/>
    <x v="128"/>
    <n v="0"/>
    <n v="0"/>
    <n v="6000"/>
    <n v="5400"/>
    <n v="0"/>
    <n v="4200"/>
    <n v="6000"/>
    <n v="0"/>
    <n v="258"/>
  </r>
  <r>
    <s v="College of Engineering"/>
    <s v="847.8470345.1.436600.000000.847001.200179"/>
    <n v="8470345"/>
    <s v="KUST - Nuclear Engineering"/>
    <x v="48"/>
    <x v="48"/>
    <n v="847001"/>
    <s v="KUST - General"/>
    <x v="1"/>
    <x v="1"/>
    <n v="0"/>
    <n v="0"/>
    <n v="0"/>
    <n v="9640"/>
    <n v="9640"/>
    <x v="1"/>
    <n v="0"/>
    <n v="0"/>
    <n v="578400"/>
    <n v="520560"/>
    <n v="0"/>
    <n v="404880"/>
    <n v="0"/>
    <n v="0"/>
    <n v="568760"/>
  </r>
  <r>
    <s v="College of Engineering"/>
    <s v="847.8470345.1.492316.000000.847001.300180"/>
    <n v="8470345"/>
    <s v="KUST - Nuclear Engineering"/>
    <x v="39"/>
    <x v="39"/>
    <n v="847001"/>
    <s v="KUST - General"/>
    <x v="2"/>
    <x v="2"/>
    <n v="465000"/>
    <n v="0"/>
    <n v="77504"/>
    <n v="551330"/>
    <n v="551330"/>
    <x v="129"/>
    <n v="95000"/>
    <n v="370670"/>
    <n v="2090046"/>
    <n v="1881041"/>
    <n v="0"/>
    <n v="1463032"/>
    <n v="780474"/>
    <n v="578400"/>
    <n v="1538716"/>
  </r>
  <r>
    <s v="College of Engineering"/>
    <s v="847.8470350.1.425510.000000.847001.200179"/>
    <n v="8470350"/>
    <s v="KUST - Petroleum Engineering"/>
    <x v="3"/>
    <x v="3"/>
    <n v="847001"/>
    <s v="KUST - General"/>
    <x v="1"/>
    <x v="1"/>
    <n v="2894"/>
    <n v="8528"/>
    <n v="2679"/>
    <n v="16000"/>
    <n v="16000"/>
    <x v="130"/>
    <n v="0"/>
    <n v="0"/>
    <n v="20000"/>
    <n v="18000"/>
    <n v="0"/>
    <n v="14000"/>
    <n v="25000"/>
    <n v="27500"/>
    <n v="4000"/>
  </r>
  <r>
    <s v="College of Engineering"/>
    <s v="847.8470350.1.425760.000000.847001.200179"/>
    <n v="8470350"/>
    <s v="KUST - Petroleum Engineering"/>
    <x v="30"/>
    <x v="30"/>
    <n v="847001"/>
    <s v="KUST - General"/>
    <x v="1"/>
    <x v="1"/>
    <n v="107425"/>
    <n v="1248"/>
    <n v="0"/>
    <n v="25000"/>
    <n v="25000"/>
    <x v="131"/>
    <n v="0"/>
    <n v="0"/>
    <n v="25000"/>
    <n v="22500"/>
    <n v="0"/>
    <n v="17500"/>
    <n v="30000"/>
    <n v="35000"/>
    <n v="0"/>
  </r>
  <r>
    <s v="College of Engineering"/>
    <s v="847.8470350.1.425763.000000.847001.200179"/>
    <n v="8470350"/>
    <s v="KUST - Petroleum Engineering"/>
    <x v="41"/>
    <x v="41"/>
    <n v="847001"/>
    <s v="KUST - General"/>
    <x v="1"/>
    <x v="1"/>
    <n v="116788"/>
    <n v="0"/>
    <n v="0"/>
    <n v="30000"/>
    <n v="30000"/>
    <x v="1"/>
    <n v="0"/>
    <n v="0"/>
    <n v="10000"/>
    <n v="9000"/>
    <n v="0"/>
    <n v="7000"/>
    <n v="15000"/>
    <n v="20000"/>
    <n v="-20000"/>
  </r>
  <r>
    <s v="College of Engineering"/>
    <s v="847.8470350.1.425770.000000.847001.200179"/>
    <n v="8470350"/>
    <s v="KUST - Petroleum Engineering"/>
    <x v="37"/>
    <x v="37"/>
    <n v="847001"/>
    <s v="KUST - General"/>
    <x v="1"/>
    <x v="1"/>
    <n v="101152"/>
    <n v="48725"/>
    <n v="30383"/>
    <n v="150000"/>
    <n v="150000"/>
    <x v="132"/>
    <n v="0"/>
    <n v="0"/>
    <n v="220000"/>
    <n v="198000"/>
    <n v="0"/>
    <n v="154000"/>
    <n v="264000"/>
    <n v="325000"/>
    <n v="70000"/>
  </r>
  <r>
    <s v="College of Engineering"/>
    <s v="847.8470350.1.425900.000000.847001.200179"/>
    <n v="8470350"/>
    <s v="KUST - Petroleum Engineering"/>
    <x v="11"/>
    <x v="11"/>
    <n v="847001"/>
    <s v="KUST - General"/>
    <x v="1"/>
    <x v="1"/>
    <n v="14101"/>
    <n v="9656"/>
    <n v="0"/>
    <n v="8500"/>
    <n v="8500"/>
    <x v="133"/>
    <n v="0"/>
    <n v="0"/>
    <n v="20000"/>
    <n v="18000"/>
    <n v="0"/>
    <n v="14000"/>
    <n v="30000"/>
    <n v="40000"/>
    <n v="11500"/>
  </r>
  <r>
    <s v="College of Engineering"/>
    <s v="847.8470350.1.426610.000000.847001.200179"/>
    <n v="8470350"/>
    <s v="KUST - Petroleum Engineering"/>
    <x v="12"/>
    <x v="12"/>
    <n v="847001"/>
    <s v="KUST - General"/>
    <x v="1"/>
    <x v="1"/>
    <n v="61238"/>
    <n v="10055"/>
    <n v="114405"/>
    <n v="210200"/>
    <n v="210200"/>
    <x v="134"/>
    <n v="0"/>
    <n v="172888.11"/>
    <n v="280200"/>
    <n v="4680"/>
    <n v="0"/>
    <n v="3640"/>
    <n v="413000"/>
    <n v="323000"/>
    <n v="70000"/>
  </r>
  <r>
    <s v="College of Engineering"/>
    <s v="847.8470350.1.432209.000000.847001.200179"/>
    <n v="8470350"/>
    <s v="KUST - Petroleum Engineering"/>
    <x v="47"/>
    <x v="47"/>
    <n v="847001"/>
    <s v="KUST - General"/>
    <x v="1"/>
    <x v="1"/>
    <n v="352318"/>
    <n v="413126"/>
    <n v="215417"/>
    <n v="305000"/>
    <n v="305000"/>
    <x v="1"/>
    <n v="0"/>
    <n v="143841.45000000001"/>
    <n v="979000"/>
    <n v="315000"/>
    <n v="0"/>
    <n v="245000"/>
    <n v="510000"/>
    <n v="425000"/>
    <n v="674000"/>
  </r>
  <r>
    <s v="College of Engineering"/>
    <s v="847.8470350.1.435340.000000.847001.200179"/>
    <n v="8470350"/>
    <s v="KUST - Petroleum Engineering"/>
    <x v="20"/>
    <x v="20"/>
    <n v="847001"/>
    <s v="KUST - General"/>
    <x v="1"/>
    <x v="1"/>
    <n v="0"/>
    <n v="0"/>
    <n v="0"/>
    <n v="10000"/>
    <n v="10000"/>
    <x v="1"/>
    <n v="0"/>
    <n v="0"/>
    <n v="10000"/>
    <n v="9000"/>
    <n v="0"/>
    <n v="7000"/>
    <n v="20000"/>
    <n v="30000"/>
    <n v="0"/>
  </r>
  <r>
    <s v="College of Engineering"/>
    <s v="847.8470350.1.435350.000000.847001.200179"/>
    <n v="8470350"/>
    <s v="KUST - Petroleum Engineering"/>
    <x v="43"/>
    <x v="43"/>
    <n v="847001"/>
    <s v="KUST - General"/>
    <x v="1"/>
    <x v="1"/>
    <n v="8202"/>
    <n v="18571"/>
    <n v="31762"/>
    <n v="50000"/>
    <n v="50000"/>
    <x v="1"/>
    <n v="0"/>
    <n v="0"/>
    <n v="90000"/>
    <n v="81000"/>
    <n v="0"/>
    <n v="63000"/>
    <n v="120000"/>
    <n v="156000"/>
    <n v="40000"/>
  </r>
  <r>
    <s v="College of Engineering"/>
    <s v="847.8470350.1.435508.000000.847001.200179"/>
    <n v="8470350"/>
    <s v="KUST - Petroleum Engineering"/>
    <x v="44"/>
    <x v="44"/>
    <n v="847001"/>
    <s v="KUST - General"/>
    <x v="1"/>
    <x v="1"/>
    <n v="142169"/>
    <n v="25049"/>
    <n v="29960"/>
    <n v="100000"/>
    <n v="100000"/>
    <x v="135"/>
    <n v="0"/>
    <n v="13002.42"/>
    <n v="110000"/>
    <n v="22500"/>
    <n v="0"/>
    <n v="17500"/>
    <n v="132000"/>
    <n v="132000"/>
    <n v="10000"/>
  </r>
  <r>
    <s v="College of Engineering"/>
    <s v="847.8470350.1.436110.000000.847001.200179"/>
    <n v="8470350"/>
    <s v="KUST - Petroleum Engineering"/>
    <x v="15"/>
    <x v="15"/>
    <n v="847001"/>
    <s v="KUST - General"/>
    <x v="1"/>
    <x v="1"/>
    <n v="700"/>
    <n v="0"/>
    <n v="0"/>
    <n v="7500"/>
    <n v="7500"/>
    <x v="1"/>
    <n v="0"/>
    <n v="0"/>
    <n v="7500"/>
    <n v="6750"/>
    <n v="0"/>
    <n v="5250"/>
    <n v="5000"/>
    <n v="5000"/>
    <n v="0"/>
  </r>
  <r>
    <s v="College of Engineering"/>
    <s v="847.8470350.1.436600.000000.847001.200179"/>
    <n v="8470350"/>
    <s v="KUST - Petroleum Engineering"/>
    <x v="48"/>
    <x v="48"/>
    <n v="847001"/>
    <s v="KUST - General"/>
    <x v="1"/>
    <x v="1"/>
    <n v="0"/>
    <n v="0"/>
    <n v="0"/>
    <n v="60000"/>
    <n v="60000"/>
    <x v="1"/>
    <n v="0"/>
    <n v="0"/>
    <n v="100000"/>
    <n v="90000"/>
    <n v="0"/>
    <n v="70000"/>
    <n v="100000"/>
    <n v="108000"/>
    <n v="40000"/>
  </r>
  <r>
    <s v="College of Engineering"/>
    <s v="847.8470350.1.492316.000000.847001.300180"/>
    <n v="8470350"/>
    <s v="KUST - Petroleum Engineering"/>
    <x v="39"/>
    <x v="39"/>
    <n v="847001"/>
    <s v="KUST - General"/>
    <x v="2"/>
    <x v="2"/>
    <n v="191760"/>
    <n v="584893"/>
    <n v="0"/>
    <n v="1446520"/>
    <n v="1446520"/>
    <x v="136"/>
    <n v="578702.18000000005"/>
    <n v="0"/>
    <n v="1969500"/>
    <n v="146250"/>
    <n v="0"/>
    <n v="113750"/>
    <n v="2200000"/>
    <n v="3190000"/>
    <n v="522980"/>
  </r>
  <r>
    <s v="College of Engineering"/>
    <s v="847.8470350.1.495110.000000.847001.300180"/>
    <n v="8470350"/>
    <s v="KUST - Petroleum Engineering"/>
    <x v="53"/>
    <x v="53"/>
    <n v="847001"/>
    <s v="KUST - General"/>
    <x v="2"/>
    <x v="2"/>
    <n v="0"/>
    <n v="0"/>
    <n v="0"/>
    <n v="0"/>
    <n v="0"/>
    <x v="1"/>
    <n v="0"/>
    <n v="0"/>
    <n v="59500"/>
    <n v="40500"/>
    <n v="0"/>
    <n v="31500"/>
    <n v="0"/>
    <n v="0"/>
    <n v="59500"/>
  </r>
  <r>
    <s v="College of Medicine &amp; Health Sciences"/>
    <s v="847.8471305.1.420570.000000.847001.200179"/>
    <n v="8471305"/>
    <s v="KUST - Dean Of Medicine"/>
    <x v="49"/>
    <x v="49"/>
    <n v="847001"/>
    <s v="KUST - General"/>
    <x v="1"/>
    <x v="1"/>
    <n v="0"/>
    <n v="0"/>
    <n v="16778285"/>
    <n v="21895944"/>
    <n v="21895944"/>
    <x v="1"/>
    <n v="0"/>
    <n v="0"/>
    <n v="33130272"/>
    <n v="29817245"/>
    <n v="0"/>
    <n v="23191190"/>
    <n v="34786786"/>
    <n v="36443299"/>
    <n v="11234328"/>
  </r>
  <r>
    <s v="College of Medicine &amp; Health Sciences"/>
    <s v="847.8471305.1.420811.000000.847001.200179"/>
    <n v="8471305"/>
    <s v="KUST - Dean Of Medicine"/>
    <x v="54"/>
    <x v="54"/>
    <n v="847001"/>
    <s v="KUST - General"/>
    <x v="1"/>
    <x v="1"/>
    <n v="0"/>
    <n v="0"/>
    <n v="0"/>
    <n v="0"/>
    <n v="0"/>
    <x v="1"/>
    <n v="0"/>
    <n v="0"/>
    <n v="408900"/>
    <n v="368010"/>
    <n v="0"/>
    <n v="286230"/>
    <n v="429356"/>
    <n v="449801"/>
    <n v="408900"/>
  </r>
  <r>
    <s v="College of Medicine &amp; Health Sciences"/>
    <s v="847.8471305.1.421000.000000.847001.200179"/>
    <n v="8471305"/>
    <s v="KUST - Dean Of Medicine"/>
    <x v="55"/>
    <x v="55"/>
    <n v="847001"/>
    <s v="KUST - General"/>
    <x v="1"/>
    <x v="1"/>
    <n v="74170"/>
    <n v="332159"/>
    <n v="0"/>
    <n v="271000"/>
    <n v="271000"/>
    <x v="137"/>
    <n v="0"/>
    <n v="0"/>
    <n v="400000"/>
    <n v="360000"/>
    <n v="0"/>
    <n v="280000"/>
    <n v="420000"/>
    <n v="500000"/>
    <n v="129000"/>
  </r>
  <r>
    <s v="College of Medicine &amp; Health Sciences"/>
    <s v="847.8471305.1.421700.000000.847001.200179"/>
    <n v="8471305"/>
    <s v="KUST - Dean Of Medicine"/>
    <x v="40"/>
    <x v="40"/>
    <n v="847001"/>
    <s v="KUST - General"/>
    <x v="1"/>
    <x v="1"/>
    <n v="156500"/>
    <n v="196900"/>
    <n v="85014"/>
    <n v="170000"/>
    <n v="170000"/>
    <x v="138"/>
    <n v="0"/>
    <n v="0"/>
    <n v="360000"/>
    <n v="324000"/>
    <n v="0"/>
    <n v="252000"/>
    <n v="378000"/>
    <n v="440000"/>
    <n v="190000"/>
  </r>
  <r>
    <s v="College of Medicine &amp; Health Sciences"/>
    <s v="847.8471305.1.422100.000000.847001.200179"/>
    <n v="8471305"/>
    <s v="KUST - Dean Of Medicine"/>
    <x v="56"/>
    <x v="56"/>
    <n v="847001"/>
    <s v="KUST - General"/>
    <x v="1"/>
    <x v="1"/>
    <n v="0"/>
    <n v="0"/>
    <n v="31000"/>
    <n v="12000"/>
    <n v="12000"/>
    <x v="1"/>
    <n v="0"/>
    <n v="0"/>
    <n v="12000"/>
    <n v="10800"/>
    <n v="0"/>
    <n v="8400"/>
    <n v="12600"/>
    <n v="396000"/>
    <n v="0"/>
  </r>
  <r>
    <s v="College of Medicine &amp; Health Sciences"/>
    <s v="847.8471305.1.422900.000000.847001.200179"/>
    <n v="8471305"/>
    <s v="KUST - Dean Of Medicine"/>
    <x v="57"/>
    <x v="57"/>
    <n v="847001"/>
    <s v="KUST - General"/>
    <x v="1"/>
    <x v="1"/>
    <n v="0"/>
    <n v="15989"/>
    <n v="53742"/>
    <n v="0"/>
    <n v="0"/>
    <x v="1"/>
    <n v="0"/>
    <n v="0"/>
    <n v="225000"/>
    <n v="202500"/>
    <n v="0"/>
    <n v="157500"/>
    <n v="236250"/>
    <n v="275000"/>
    <n v="225000"/>
  </r>
  <r>
    <s v="College of Medicine &amp; Health Sciences"/>
    <s v="847.8471305.1.425100.000000.847001.200179"/>
    <n v="8471305"/>
    <s v="KUST - Dean Of Medicine"/>
    <x v="2"/>
    <x v="2"/>
    <n v="847001"/>
    <s v="KUST - General"/>
    <x v="1"/>
    <x v="1"/>
    <n v="0"/>
    <n v="129219"/>
    <n v="258"/>
    <n v="0"/>
    <n v="0"/>
    <x v="1"/>
    <n v="0"/>
    <n v="0"/>
    <n v="250000"/>
    <n v="225000"/>
    <n v="0"/>
    <n v="175000"/>
    <n v="315000"/>
    <n v="1122000"/>
    <n v="250000"/>
  </r>
  <r>
    <s v="College of Medicine &amp; Health Sciences"/>
    <s v="847.8471305.1.425510.000000.847001.200179"/>
    <n v="8471305"/>
    <s v="KUST - Dean Of Medicine"/>
    <x v="3"/>
    <x v="3"/>
    <n v="847001"/>
    <s v="KUST - General"/>
    <x v="1"/>
    <x v="1"/>
    <n v="4713"/>
    <n v="114960"/>
    <n v="83486"/>
    <n v="670000"/>
    <n v="670000"/>
    <x v="139"/>
    <n v="0"/>
    <n v="15500"/>
    <n v="1020000"/>
    <n v="918000"/>
    <n v="0"/>
    <n v="714000"/>
    <n v="1071000"/>
    <n v="1020000"/>
    <n v="350000"/>
  </r>
  <r>
    <s v="College of Medicine &amp; Health Sciences"/>
    <s v="847.8471305.1.425550.000000.847001.200179"/>
    <n v="8471305"/>
    <s v="KUST - Dean Of Medicine"/>
    <x v="4"/>
    <x v="4"/>
    <n v="847001"/>
    <s v="KUST - General"/>
    <x v="1"/>
    <x v="1"/>
    <n v="45316"/>
    <n v="38256"/>
    <n v="47147"/>
    <n v="622000"/>
    <n v="622000"/>
    <x v="140"/>
    <n v="0"/>
    <n v="0"/>
    <n v="1140000"/>
    <n v="1026000"/>
    <n v="0"/>
    <n v="798000"/>
    <n v="1197000"/>
    <n v="1140000"/>
    <n v="518000"/>
  </r>
  <r>
    <s v="College of Medicine &amp; Health Sciences"/>
    <s v="847.8471305.1.425720.000000.847001.200179"/>
    <n v="8471305"/>
    <s v="KUST - Dean Of Medicine"/>
    <x v="23"/>
    <x v="23"/>
    <n v="847001"/>
    <s v="KUST - General"/>
    <x v="1"/>
    <x v="1"/>
    <n v="739107"/>
    <n v="1194435"/>
    <n v="1377538"/>
    <n v="2424345"/>
    <n v="2424345"/>
    <x v="141"/>
    <n v="0"/>
    <n v="1130000"/>
    <n v="3000000"/>
    <n v="2700000"/>
    <n v="0"/>
    <n v="2100000"/>
    <n v="3150000"/>
    <n v="3100000"/>
    <n v="575655"/>
  </r>
  <r>
    <s v="College of Medicine &amp; Health Sciences"/>
    <s v="847.8471305.1.425742.000000.847001.200179"/>
    <n v="8471305"/>
    <s v="KUST - Dean Of Medicine"/>
    <x v="22"/>
    <x v="22"/>
    <n v="847001"/>
    <s v="KUST - General"/>
    <x v="1"/>
    <x v="1"/>
    <n v="0"/>
    <n v="0"/>
    <n v="74620"/>
    <n v="180000"/>
    <n v="180000"/>
    <x v="142"/>
    <n v="0"/>
    <n v="0"/>
    <n v="297975"/>
    <n v="268178"/>
    <n v="0"/>
    <n v="208583"/>
    <n v="312874"/>
    <n v="304500"/>
    <n v="117975"/>
  </r>
  <r>
    <s v="College of Medicine &amp; Health Sciences"/>
    <s v="847.8471305.1.425745.000000.847001.200179"/>
    <n v="8471305"/>
    <s v="KUST - Dean Of Medicine"/>
    <x v="7"/>
    <x v="7"/>
    <n v="847001"/>
    <s v="KUST - General"/>
    <x v="1"/>
    <x v="1"/>
    <n v="225790"/>
    <n v="23762"/>
    <n v="16828"/>
    <n v="24400"/>
    <n v="24400"/>
    <x v="143"/>
    <n v="0"/>
    <n v="0"/>
    <n v="825000"/>
    <n v="742500"/>
    <n v="0"/>
    <n v="577500"/>
    <n v="866250"/>
    <n v="825000"/>
    <n v="800600"/>
  </r>
  <r>
    <s v="College of Medicine &amp; Health Sciences"/>
    <s v="847.8471305.1.425746.000000.847001.200179"/>
    <n v="8471305"/>
    <s v="KUST - Dean Of Medicine"/>
    <x v="29"/>
    <x v="29"/>
    <n v="847001"/>
    <s v="KUST - General"/>
    <x v="1"/>
    <x v="1"/>
    <n v="0"/>
    <n v="0"/>
    <n v="0"/>
    <n v="292600"/>
    <n v="292600"/>
    <x v="1"/>
    <n v="0"/>
    <n v="0"/>
    <n v="376200"/>
    <n v="338580"/>
    <n v="0"/>
    <n v="263340"/>
    <n v="395010"/>
    <n v="378000"/>
    <n v="83600"/>
  </r>
  <r>
    <s v="College of Medicine &amp; Health Sciences"/>
    <s v="847.8471305.1.425749.000000.847001.200179"/>
    <n v="8471305"/>
    <s v="KUST - Dean Of Medicine"/>
    <x v="8"/>
    <x v="8"/>
    <n v="847001"/>
    <s v="KUST - General"/>
    <x v="1"/>
    <x v="1"/>
    <n v="0"/>
    <n v="3826667"/>
    <n v="14604066"/>
    <n v="24213178"/>
    <n v="24213178"/>
    <x v="144"/>
    <n v="0"/>
    <n v="0"/>
    <n v="40876000"/>
    <n v="36788400"/>
    <n v="0"/>
    <n v="28613200"/>
    <n v="42919800"/>
    <n v="44963600"/>
    <n v="16662822"/>
  </r>
  <r>
    <s v="College of Medicine &amp; Health Sciences"/>
    <s v="847.8471305.1.425750.000000.847001.200179"/>
    <n v="8471305"/>
    <s v="KUST - Dean Of Medicine"/>
    <x v="24"/>
    <x v="24"/>
    <n v="847001"/>
    <s v="KUST - General"/>
    <x v="1"/>
    <x v="1"/>
    <n v="4185"/>
    <n v="0"/>
    <n v="0"/>
    <n v="864069"/>
    <n v="864069"/>
    <x v="145"/>
    <n v="0"/>
    <n v="0"/>
    <n v="2681485"/>
    <n v="2413337"/>
    <n v="0"/>
    <n v="1877040"/>
    <n v="2815559"/>
    <n v="2949634"/>
    <n v="1817416"/>
  </r>
  <r>
    <s v="College of Medicine &amp; Health Sciences"/>
    <s v="847.8471305.1.425762.000000.847001.200179"/>
    <n v="8471305"/>
    <s v="KUST - Dean Of Medicine"/>
    <x v="10"/>
    <x v="10"/>
    <n v="847001"/>
    <s v="KUST - General"/>
    <x v="1"/>
    <x v="1"/>
    <n v="0"/>
    <n v="19800"/>
    <n v="0"/>
    <n v="2759974"/>
    <n v="2759974"/>
    <x v="1"/>
    <n v="0"/>
    <n v="0"/>
    <n v="3311974"/>
    <n v="2980777"/>
    <n v="0"/>
    <n v="2318382"/>
    <n v="3477573"/>
    <n v="3643171"/>
    <n v="552000"/>
  </r>
  <r>
    <s v="College of Medicine &amp; Health Sciences"/>
    <s v="847.8471305.1.425763.000000.847001.200179"/>
    <n v="8471305"/>
    <s v="KUST - Dean Of Medicine"/>
    <x v="41"/>
    <x v="41"/>
    <n v="847001"/>
    <s v="KUST - General"/>
    <x v="1"/>
    <x v="1"/>
    <n v="0"/>
    <n v="38873"/>
    <n v="32580"/>
    <n v="200000"/>
    <n v="200000"/>
    <x v="146"/>
    <n v="0"/>
    <n v="0"/>
    <n v="256795"/>
    <n v="231116"/>
    <n v="0"/>
    <n v="179757"/>
    <n v="269635"/>
    <n v="282475"/>
    <n v="56795"/>
  </r>
  <r>
    <s v="College of Medicine &amp; Health Sciences"/>
    <s v="847.8471305.1.425900.000000.847001.200179"/>
    <n v="8471305"/>
    <s v="KUST - Dean Of Medicine"/>
    <x v="11"/>
    <x v="11"/>
    <n v="847001"/>
    <s v="KUST - General"/>
    <x v="1"/>
    <x v="1"/>
    <n v="61724"/>
    <n v="14964"/>
    <n v="20411"/>
    <n v="185000"/>
    <n v="185000"/>
    <x v="147"/>
    <n v="0"/>
    <n v="0"/>
    <n v="368650"/>
    <n v="331785"/>
    <n v="0"/>
    <n v="258055"/>
    <n v="387083"/>
    <n v="405515"/>
    <n v="183650"/>
  </r>
  <r>
    <s v="College of Medicine &amp; Health Sciences"/>
    <s v="847.8471305.1.426100.000000.847001.200179"/>
    <n v="8471305"/>
    <s v="KUST - Dean Of Medicine"/>
    <x v="58"/>
    <x v="58"/>
    <n v="847001"/>
    <s v="KUST - General"/>
    <x v="1"/>
    <x v="1"/>
    <n v="0"/>
    <n v="63"/>
    <n v="0"/>
    <n v="90000"/>
    <n v="90000"/>
    <x v="1"/>
    <n v="0"/>
    <n v="0"/>
    <n v="102000"/>
    <n v="91800"/>
    <n v="0"/>
    <n v="71400"/>
    <n v="107100"/>
    <n v="112200"/>
    <n v="12000"/>
  </r>
  <r>
    <s v="College of Medicine &amp; Health Sciences"/>
    <s v="847.8471305.1.426610.000000.847001.200179"/>
    <n v="8471305"/>
    <s v="KUST - Dean Of Medicine"/>
    <x v="12"/>
    <x v="12"/>
    <n v="847001"/>
    <s v="KUST - General"/>
    <x v="1"/>
    <x v="1"/>
    <n v="384507"/>
    <n v="499959"/>
    <n v="1212148"/>
    <n v="977363"/>
    <n v="977363"/>
    <x v="148"/>
    <n v="39819.370000000003"/>
    <n v="115842.8"/>
    <n v="977363"/>
    <n v="879627"/>
    <n v="0"/>
    <n v="684154"/>
    <n v="1026231"/>
    <n v="1075099"/>
    <n v="0"/>
  </r>
  <r>
    <s v="College of Medicine &amp; Health Sciences"/>
    <s v="847.8471305.1.426900.000000.847001.200179"/>
    <n v="8471305"/>
    <s v="KUST - Dean Of Medicine"/>
    <x v="19"/>
    <x v="19"/>
    <n v="847001"/>
    <s v="KUST - General"/>
    <x v="1"/>
    <x v="1"/>
    <n v="0"/>
    <n v="0"/>
    <n v="290"/>
    <n v="21000"/>
    <n v="21000"/>
    <x v="149"/>
    <n v="0"/>
    <n v="0"/>
    <n v="21000"/>
    <n v="18900"/>
    <n v="0"/>
    <n v="14700"/>
    <n v="22050"/>
    <n v="23100"/>
    <n v="0"/>
  </r>
  <r>
    <s v="College of Medicine &amp; Health Sciences"/>
    <s v="847.8471305.1.427200.000000.847001.200179"/>
    <n v="8471305"/>
    <s v="KUST - Dean Of Medicine"/>
    <x v="46"/>
    <x v="46"/>
    <n v="847001"/>
    <s v="KUST - General"/>
    <x v="1"/>
    <x v="1"/>
    <n v="1788"/>
    <n v="81656"/>
    <n v="158352"/>
    <n v="627674"/>
    <n v="627674"/>
    <x v="1"/>
    <n v="0"/>
    <n v="0"/>
    <n v="675000"/>
    <n v="607500"/>
    <n v="0"/>
    <n v="472500"/>
    <n v="708750"/>
    <n v="742500"/>
    <n v="47326"/>
  </r>
  <r>
    <s v="College of Medicine &amp; Health Sciences"/>
    <s v="847.8471305.1.427710.000000.847001.200179"/>
    <n v="8471305"/>
    <s v="KUST - Dean Of Medicine"/>
    <x v="42"/>
    <x v="42"/>
    <n v="847001"/>
    <s v="KUST - General"/>
    <x v="1"/>
    <x v="1"/>
    <n v="28358"/>
    <n v="47805"/>
    <n v="14707"/>
    <n v="153178"/>
    <n v="153178"/>
    <x v="150"/>
    <n v="0"/>
    <n v="37231"/>
    <n v="237360"/>
    <n v="213624"/>
    <n v="0"/>
    <n v="166152"/>
    <n v="249228"/>
    <n v="261096"/>
    <n v="84182"/>
  </r>
  <r>
    <s v="College of Medicine &amp; Health Sciences"/>
    <s v="847.8471305.1.428090.000000.847001.200179"/>
    <n v="8471305"/>
    <s v="KUST - Dean Of Medicine"/>
    <x v="13"/>
    <x v="13"/>
    <n v="847001"/>
    <s v="KUST - General"/>
    <x v="1"/>
    <x v="1"/>
    <n v="438236"/>
    <n v="17600"/>
    <n v="0"/>
    <n v="183500"/>
    <n v="183500"/>
    <x v="151"/>
    <n v="0"/>
    <n v="0"/>
    <n v="450000"/>
    <n v="405000"/>
    <n v="0"/>
    <n v="315000"/>
    <n v="1050000"/>
    <n v="495000"/>
    <n v="266500"/>
  </r>
  <r>
    <s v="College of Medicine &amp; Health Sciences"/>
    <s v="847.8471305.1.428640.000000.847001.200179"/>
    <n v="8471305"/>
    <s v="KUST - Dean Of Medicine"/>
    <x v="14"/>
    <x v="14"/>
    <n v="847001"/>
    <s v="KUST - General"/>
    <x v="1"/>
    <x v="1"/>
    <n v="2345"/>
    <n v="1935"/>
    <n v="1200"/>
    <n v="5000"/>
    <n v="5000"/>
    <x v="152"/>
    <n v="0"/>
    <n v="0"/>
    <n v="100000"/>
    <n v="90000"/>
    <n v="0"/>
    <n v="70000"/>
    <n v="472500"/>
    <n v="110000"/>
    <n v="95000"/>
  </r>
  <r>
    <s v="College of Medicine &amp; Health Sciences"/>
    <s v="847.8471305.1.432205.000000.847001.200179"/>
    <n v="8471305"/>
    <s v="KUST - Dean Of Medicine"/>
    <x v="59"/>
    <x v="59"/>
    <n v="847001"/>
    <s v="KUST - General"/>
    <x v="1"/>
    <x v="1"/>
    <n v="0"/>
    <n v="37226"/>
    <n v="99533"/>
    <n v="565385"/>
    <n v="565385"/>
    <x v="1"/>
    <n v="545000"/>
    <n v="0"/>
    <n v="1949500"/>
    <n v="1754550"/>
    <n v="0"/>
    <n v="1364650"/>
    <n v="105000"/>
    <n v="2144450"/>
    <n v="1384115"/>
  </r>
  <r>
    <s v="College of Medicine &amp; Health Sciences"/>
    <s v="847.8471305.1.432209.000000.847001.200179"/>
    <n v="8471305"/>
    <s v="KUST - Dean Of Medicine"/>
    <x v="47"/>
    <x v="47"/>
    <n v="847001"/>
    <s v="KUST - General"/>
    <x v="1"/>
    <x v="1"/>
    <n v="0"/>
    <n v="0"/>
    <n v="55632"/>
    <n v="586900"/>
    <n v="586900"/>
    <x v="153"/>
    <n v="223000"/>
    <n v="337087"/>
    <n v="600000"/>
    <n v="540000"/>
    <n v="0"/>
    <n v="420000"/>
    <n v="2046975"/>
    <n v="660000"/>
    <n v="13100"/>
  </r>
  <r>
    <s v="College of Medicine &amp; Health Sciences"/>
    <s v="847.8471305.1.432210.000000.847001.200179"/>
    <n v="8471305"/>
    <s v="KUST - Dean Of Medicine"/>
    <x v="60"/>
    <x v="60"/>
    <n v="847001"/>
    <s v="KUST - General"/>
    <x v="1"/>
    <x v="1"/>
    <n v="0"/>
    <n v="0"/>
    <n v="0"/>
    <n v="35000"/>
    <n v="35000"/>
    <x v="1"/>
    <n v="0"/>
    <n v="0"/>
    <n v="200000"/>
    <n v="180000"/>
    <n v="0"/>
    <n v="140000"/>
    <n v="630000"/>
    <n v="220000"/>
    <n v="165000"/>
  </r>
  <r>
    <s v="College of Medicine &amp; Health Sciences"/>
    <s v="847.8471305.1.435330.000000.847001.200179"/>
    <n v="8471305"/>
    <s v="KUST - Dean Of Medicine"/>
    <x v="25"/>
    <x v="25"/>
    <n v="847001"/>
    <s v="KUST - General"/>
    <x v="1"/>
    <x v="1"/>
    <n v="670253"/>
    <n v="-22448"/>
    <n v="-22387"/>
    <n v="657390"/>
    <n v="657390"/>
    <x v="1"/>
    <n v="312750.33"/>
    <n v="0"/>
    <n v="641904"/>
    <n v="577714"/>
    <n v="0"/>
    <n v="449333"/>
    <n v="210000"/>
    <n v="706094"/>
    <n v="-15486"/>
  </r>
  <r>
    <s v="College of Medicine &amp; Health Sciences"/>
    <s v="847.8471305.1.435340.000000.847001.200179"/>
    <n v="8471305"/>
    <s v="KUST - Dean Of Medicine"/>
    <x v="20"/>
    <x v="20"/>
    <n v="847001"/>
    <s v="KUST - General"/>
    <x v="1"/>
    <x v="1"/>
    <n v="0"/>
    <n v="418002"/>
    <n v="82604"/>
    <n v="6515"/>
    <n v="6515"/>
    <x v="1"/>
    <n v="0"/>
    <n v="0"/>
    <n v="300000"/>
    <n v="270000"/>
    <n v="0"/>
    <n v="210000"/>
    <n v="673999"/>
    <n v="330000"/>
    <n v="293485"/>
  </r>
  <r>
    <s v="College of Medicine &amp; Health Sciences"/>
    <s v="847.8471305.1.435350.000000.847001.200179"/>
    <n v="8471305"/>
    <s v="KUST - Dean Of Medicine"/>
    <x v="43"/>
    <x v="43"/>
    <n v="847001"/>
    <s v="KUST - General"/>
    <x v="1"/>
    <x v="1"/>
    <n v="0"/>
    <n v="0"/>
    <n v="74471"/>
    <n v="359100"/>
    <n v="359100"/>
    <x v="154"/>
    <n v="0"/>
    <n v="0"/>
    <n v="1260000"/>
    <n v="1134000"/>
    <n v="0"/>
    <n v="882000"/>
    <n v="315000"/>
    <n v="1386000"/>
    <n v="900900"/>
  </r>
  <r>
    <s v="College of Medicine &amp; Health Sciences"/>
    <s v="847.8471305.1.435508.000000.847001.200179"/>
    <n v="8471305"/>
    <s v="KUST - Dean Of Medicine"/>
    <x v="44"/>
    <x v="44"/>
    <n v="847001"/>
    <s v="KUST - General"/>
    <x v="1"/>
    <x v="1"/>
    <n v="909033"/>
    <n v="897989"/>
    <n v="241815"/>
    <n v="1892072"/>
    <n v="1892072"/>
    <x v="155"/>
    <n v="5630"/>
    <n v="1347219.44"/>
    <n v="14077987"/>
    <n v="12670188"/>
    <n v="0"/>
    <n v="9854591"/>
    <n v="1323000"/>
    <n v="15485786"/>
    <n v="12185915"/>
  </r>
  <r>
    <s v="College of Medicine &amp; Health Sciences"/>
    <s v="847.8471305.1.435530.000000.847001.200179"/>
    <n v="8471305"/>
    <s v="KUST - Dean Of Medicine"/>
    <x v="17"/>
    <x v="17"/>
    <n v="847001"/>
    <s v="KUST - General"/>
    <x v="1"/>
    <x v="1"/>
    <n v="228"/>
    <n v="851"/>
    <n v="924"/>
    <n v="10000"/>
    <n v="10000"/>
    <x v="156"/>
    <n v="0"/>
    <n v="0"/>
    <n v="225000"/>
    <n v="202500"/>
    <n v="0"/>
    <n v="157500"/>
    <n v="14781886"/>
    <n v="247500"/>
    <n v="215000"/>
  </r>
  <r>
    <s v="College of Medicine &amp; Health Sciences"/>
    <s v="847.8471305.1.436110.000000.847001.200179"/>
    <n v="8471305"/>
    <s v="KUST - Dean Of Medicine"/>
    <x v="15"/>
    <x v="15"/>
    <n v="847001"/>
    <s v="KUST - General"/>
    <x v="1"/>
    <x v="1"/>
    <n v="2359"/>
    <n v="0"/>
    <n v="22000"/>
    <n v="0"/>
    <n v="0"/>
    <x v="1"/>
    <n v="0"/>
    <n v="0"/>
    <n v="300000"/>
    <n v="270000"/>
    <n v="0"/>
    <n v="210000"/>
    <n v="236250"/>
    <n v="330000"/>
    <n v="300000"/>
  </r>
  <r>
    <s v="College of Medicine &amp; Health Sciences"/>
    <s v="847.8471305.1.436120.000000.847001.200179"/>
    <n v="8471305"/>
    <s v="KUST - Dean Of Medicine"/>
    <x v="21"/>
    <x v="21"/>
    <n v="847001"/>
    <s v="KUST - General"/>
    <x v="1"/>
    <x v="1"/>
    <n v="5604"/>
    <n v="6669"/>
    <n v="7188"/>
    <n v="112000"/>
    <n v="112000"/>
    <x v="1"/>
    <n v="0"/>
    <n v="0"/>
    <n v="320000"/>
    <n v="288000"/>
    <n v="0"/>
    <n v="224000"/>
    <n v="236250"/>
    <n v="352000"/>
    <n v="208000"/>
  </r>
  <r>
    <s v="College of Medicine &amp; Health Sciences"/>
    <s v="847.8471305.1.492316.000000.847001.300180"/>
    <n v="8471305"/>
    <s v="KUST - Dean Of Medicine"/>
    <x v="39"/>
    <x v="39"/>
    <n v="847001"/>
    <s v="KUST - General"/>
    <x v="2"/>
    <x v="2"/>
    <n v="57068649"/>
    <n v="15725666"/>
    <n v="11810091"/>
    <n v="17513291"/>
    <n v="17513291"/>
    <x v="157"/>
    <n v="411735"/>
    <n v="14689537.720000001"/>
    <n v="23622096"/>
    <n v="1620000"/>
    <n v="0"/>
    <n v="1260000"/>
    <n v="0"/>
    <n v="0"/>
    <n v="6108805"/>
  </r>
  <r>
    <s v="College of Medicine &amp; Health Sciences"/>
    <s v="847.8471305.1.492354.000000.847001.300180"/>
    <n v="8471305"/>
    <s v="KUST - Dean Of Medicine"/>
    <x v="50"/>
    <x v="50"/>
    <n v="847001"/>
    <s v="KUST - General"/>
    <x v="2"/>
    <x v="2"/>
    <n v="0"/>
    <n v="0"/>
    <n v="0"/>
    <n v="0"/>
    <n v="0"/>
    <x v="1"/>
    <n v="0"/>
    <n v="0"/>
    <n v="1098800"/>
    <n v="988920"/>
    <n v="0"/>
    <n v="769160"/>
    <n v="0"/>
    <n v="0"/>
    <n v="1098800"/>
  </r>
  <r>
    <s v="College of Medicine &amp; Health Sciences"/>
    <s v="847.8471305.1.495113.000000.847001.300180"/>
    <n v="8471305"/>
    <s v="KUST - Dean Of Medicine"/>
    <x v="61"/>
    <x v="61"/>
    <n v="847001"/>
    <s v="KUST - General"/>
    <x v="2"/>
    <x v="2"/>
    <n v="0"/>
    <n v="0"/>
    <n v="0"/>
    <n v="0"/>
    <n v="0"/>
    <x v="1"/>
    <n v="0"/>
    <n v="0"/>
    <n v="250000"/>
    <n v="225000"/>
    <n v="0"/>
    <n v="175000"/>
    <n v="0"/>
    <n v="0"/>
    <n v="250000"/>
  </r>
  <r>
    <s v="Continuing Education"/>
    <s v="847.8471010.1.425100.000000.847001.200179"/>
    <n v="8471010"/>
    <s v="KUST - Continuing Education Office"/>
    <x v="2"/>
    <x v="2"/>
    <n v="847001"/>
    <s v="KUST - General"/>
    <x v="1"/>
    <x v="1"/>
    <n v="0"/>
    <n v="0"/>
    <n v="86900"/>
    <n v="107500"/>
    <n v="107500"/>
    <x v="1"/>
    <n v="0"/>
    <n v="0"/>
    <n v="120000"/>
    <n v="108000"/>
    <n v="96000"/>
    <n v="84000"/>
    <n v="130000"/>
    <n v="140000"/>
    <n v="12500"/>
  </r>
  <r>
    <s v="Continuing Education"/>
    <s v="847.8471010.1.425510.000000.847001.200179"/>
    <n v="8471010"/>
    <s v="KUST - Continuing Education Office"/>
    <x v="3"/>
    <x v="3"/>
    <n v="847001"/>
    <s v="KUST - General"/>
    <x v="1"/>
    <x v="1"/>
    <n v="0"/>
    <n v="0"/>
    <n v="0"/>
    <n v="100000"/>
    <n v="100000"/>
    <x v="1"/>
    <n v="0"/>
    <n v="0"/>
    <n v="100000"/>
    <n v="90000"/>
    <n v="80000"/>
    <n v="70000"/>
    <n v="100000"/>
    <n v="100000"/>
    <n v="0"/>
  </r>
  <r>
    <s v="Continuing Education"/>
    <s v="847.8471010.1.425720.000000.847001.200179"/>
    <n v="8471010"/>
    <s v="KUST - Continuing Education Office"/>
    <x v="23"/>
    <x v="23"/>
    <n v="847001"/>
    <s v="KUST - General"/>
    <x v="1"/>
    <x v="1"/>
    <n v="0"/>
    <n v="0"/>
    <n v="23528"/>
    <n v="76120"/>
    <n v="76120"/>
    <x v="158"/>
    <n v="0"/>
    <n v="0"/>
    <n v="76120"/>
    <n v="68508"/>
    <n v="60896"/>
    <n v="53284"/>
    <n v="145320"/>
    <n v="166080"/>
    <n v="0"/>
  </r>
  <r>
    <s v="Continuing Education"/>
    <s v="847.8471010.1.425900.000000.847001.200179"/>
    <n v="8471010"/>
    <s v="KUST - Continuing Education Office"/>
    <x v="11"/>
    <x v="11"/>
    <n v="847001"/>
    <s v="KUST - General"/>
    <x v="1"/>
    <x v="1"/>
    <n v="0"/>
    <n v="0"/>
    <n v="26586"/>
    <n v="162500"/>
    <n v="162500"/>
    <x v="1"/>
    <n v="0"/>
    <n v="0"/>
    <n v="88400"/>
    <n v="79560"/>
    <n v="70720"/>
    <n v="61880"/>
    <n v="97500"/>
    <n v="105000"/>
    <n v="-74100"/>
  </r>
  <r>
    <s v="Continuing Education"/>
    <s v="847.8471010.1.436110.000000.847001.200179"/>
    <n v="8471010"/>
    <s v="KUST - Continuing Education Office"/>
    <x v="15"/>
    <x v="15"/>
    <n v="847001"/>
    <s v="KUST - General"/>
    <x v="1"/>
    <x v="1"/>
    <n v="0"/>
    <n v="0"/>
    <n v="0"/>
    <n v="50625"/>
    <n v="50625"/>
    <x v="1"/>
    <n v="0"/>
    <n v="0"/>
    <n v="20000"/>
    <n v="18000"/>
    <n v="16000"/>
    <n v="14000"/>
    <n v="32000"/>
    <n v="32000"/>
    <n v="-30625"/>
  </r>
  <r>
    <s v="Continuing Education"/>
    <s v="847.8471010.1.436120.000000.847001.200179"/>
    <n v="8471010"/>
    <s v="KUST - Continuing Education Office"/>
    <x v="21"/>
    <x v="21"/>
    <n v="847001"/>
    <s v="KUST - General"/>
    <x v="1"/>
    <x v="1"/>
    <n v="0"/>
    <n v="0"/>
    <n v="0"/>
    <n v="5625"/>
    <n v="5625"/>
    <x v="1"/>
    <n v="0"/>
    <n v="0"/>
    <n v="6000"/>
    <n v="5400"/>
    <n v="4800"/>
    <n v="4200"/>
    <n v="6000"/>
    <n v="6000"/>
    <n v="375"/>
  </r>
  <r>
    <s v="Executive Vice President Office"/>
    <s v="847.8470130.1.421000.000000.847001.200179"/>
    <n v="8470130"/>
    <s v="KUST - Institutional Research &amp; Planning"/>
    <x v="55"/>
    <x v="55"/>
    <n v="847001"/>
    <s v="KUST - General"/>
    <x v="1"/>
    <x v="1"/>
    <n v="0"/>
    <n v="28466"/>
    <n v="690716"/>
    <n v="604900"/>
    <n v="604900"/>
    <x v="1"/>
    <n v="0"/>
    <n v="0"/>
    <n v="540000"/>
    <n v="486000"/>
    <n v="432000"/>
    <n v="378000"/>
    <n v="540000"/>
    <n v="540000"/>
    <n v="-64900"/>
  </r>
  <r>
    <s v="Executive Vice President Office"/>
    <s v="847.8470130.1.426610.000000.847001.200179"/>
    <n v="8470130"/>
    <s v="KUST - Institutional Research &amp; Planning"/>
    <x v="12"/>
    <x v="12"/>
    <n v="847001"/>
    <s v="KUST - General"/>
    <x v="1"/>
    <x v="1"/>
    <n v="0"/>
    <n v="0"/>
    <n v="0"/>
    <n v="735000"/>
    <n v="735000"/>
    <x v="1"/>
    <n v="0"/>
    <n v="0"/>
    <n v="180000"/>
    <n v="162000"/>
    <n v="144000"/>
    <n v="126000"/>
    <n v="180000"/>
    <n v="180000"/>
    <n v="-555000"/>
  </r>
  <r>
    <s v="Executive Vice President Office"/>
    <s v="847.8470130.1.428090.000000.847001.200179"/>
    <n v="8470130"/>
    <s v="KUST - Institutional Research &amp; Planning"/>
    <x v="13"/>
    <x v="13"/>
    <n v="847001"/>
    <s v="KUST - General"/>
    <x v="1"/>
    <x v="1"/>
    <n v="0"/>
    <n v="0"/>
    <n v="1100"/>
    <n v="180000"/>
    <n v="180000"/>
    <x v="159"/>
    <n v="0"/>
    <n v="0"/>
    <n v="551250"/>
    <n v="496125"/>
    <n v="441000"/>
    <n v="385875"/>
    <n v="551250"/>
    <n v="551250"/>
    <n v="371250"/>
  </r>
  <r>
    <s v="Executive Vice President Office"/>
    <s v="847.8470140.1.425100.000000.847001.200179"/>
    <n v="8470140"/>
    <s v="KUST - Communication"/>
    <x v="2"/>
    <x v="2"/>
    <n v="847001"/>
    <s v="KUST - General"/>
    <x v="1"/>
    <x v="1"/>
    <n v="5116144"/>
    <n v="2353627"/>
    <n v="1900038"/>
    <n v="5827464"/>
    <n v="5827464"/>
    <x v="160"/>
    <n v="3357368"/>
    <n v="234463.48"/>
    <n v="14983000"/>
    <n v="1800000"/>
    <n v="1600000"/>
    <n v="1400000"/>
    <n v="14404666"/>
    <n v="16429640"/>
    <n v="9155536"/>
  </r>
  <r>
    <s v="Executive Vice President Office"/>
    <s v="847.8470140.1.425510.000000.847001.200179"/>
    <n v="8470140"/>
    <s v="KUST - Communication"/>
    <x v="3"/>
    <x v="3"/>
    <n v="847001"/>
    <s v="KUST - General"/>
    <x v="1"/>
    <x v="1"/>
    <n v="9740820"/>
    <n v="2727959"/>
    <n v="3922844"/>
    <n v="5025358"/>
    <n v="5025358"/>
    <x v="161"/>
    <n v="2745800"/>
    <n v="405340"/>
    <n v="6585400"/>
    <n v="180000"/>
    <n v="160000"/>
    <n v="140000"/>
    <n v="8025304"/>
    <n v="8985370"/>
    <n v="1560042"/>
  </r>
  <r>
    <s v="Executive Vice President Office"/>
    <s v="847.8470140.1.425550.000000.847001.200179"/>
    <n v="8470140"/>
    <s v="KUST - Communication"/>
    <x v="4"/>
    <x v="4"/>
    <n v="847001"/>
    <s v="KUST - General"/>
    <x v="1"/>
    <x v="1"/>
    <n v="73717"/>
    <n v="0"/>
    <n v="0"/>
    <n v="2955"/>
    <n v="2955"/>
    <x v="162"/>
    <n v="0"/>
    <n v="0"/>
    <n v="2150328"/>
    <n v="1935295"/>
    <n v="1720262"/>
    <n v="1505230"/>
    <n v="3000000"/>
    <n v="3001800"/>
    <n v="2147373"/>
  </r>
  <r>
    <s v="Executive Vice President Office"/>
    <s v="847.8470140.1.425763.000000.847050.200179"/>
    <n v="8470140"/>
    <s v="KUST - Communication"/>
    <x v="41"/>
    <x v="41"/>
    <n v="847050"/>
    <s v="KUST - CSR Activities"/>
    <x v="1"/>
    <x v="1"/>
    <n v="0"/>
    <n v="0"/>
    <n v="0"/>
    <n v="400000"/>
    <n v="400000"/>
    <x v="163"/>
    <n v="0"/>
    <n v="45809.52"/>
    <n v="400000"/>
    <n v="360000"/>
    <n v="320000"/>
    <n v="280000"/>
    <n v="0"/>
    <n v="0"/>
    <n v="0"/>
  </r>
  <r>
    <s v="Executive Vice President Office"/>
    <s v="847.8470140.1.427100.000000.847001.200179"/>
    <n v="8470140"/>
    <s v="KUST - Communication"/>
    <x v="62"/>
    <x v="62"/>
    <n v="847001"/>
    <s v="KUST - General"/>
    <x v="1"/>
    <x v="1"/>
    <n v="1380274"/>
    <n v="129310"/>
    <n v="-820"/>
    <n v="1157850"/>
    <n v="1157850"/>
    <x v="1"/>
    <n v="909458.75"/>
    <n v="0"/>
    <n v="2500000"/>
    <n v="90000"/>
    <n v="80000"/>
    <n v="70000"/>
    <n v="2500000"/>
    <n v="2500000"/>
    <n v="1342150"/>
  </r>
  <r>
    <s v="Executive Vice President Office"/>
    <s v="847.8470140.1.427200.000000.847001.200179"/>
    <n v="8470140"/>
    <s v="KUST - Communication"/>
    <x v="46"/>
    <x v="46"/>
    <n v="847001"/>
    <s v="KUST - General"/>
    <x v="1"/>
    <x v="1"/>
    <n v="332619"/>
    <n v="125003"/>
    <n v="-7379"/>
    <n v="750000"/>
    <n v="750000"/>
    <x v="164"/>
    <n v="0"/>
    <n v="0"/>
    <n v="750005"/>
    <n v="121500"/>
    <n v="108000"/>
    <n v="94500"/>
    <n v="750000"/>
    <n v="750000"/>
    <n v="5"/>
  </r>
  <r>
    <s v="Executive Vice President Office"/>
    <s v="847.8470140.1.428640.000000.847001.200179"/>
    <n v="8470140"/>
    <s v="KUST - Communication"/>
    <x v="14"/>
    <x v="14"/>
    <n v="847001"/>
    <s v="KUST - General"/>
    <x v="1"/>
    <x v="1"/>
    <n v="0"/>
    <n v="0"/>
    <n v="0"/>
    <n v="538000"/>
    <n v="538000"/>
    <x v="165"/>
    <n v="0"/>
    <n v="177011"/>
    <n v="998000"/>
    <n v="99000"/>
    <n v="88000"/>
    <n v="77000"/>
    <n v="998000"/>
    <n v="920000"/>
    <n v="460000"/>
  </r>
  <r>
    <s v="Executive Vice President Office"/>
    <s v="847.8470140.1.435310.000000.847001.200179"/>
    <n v="8470140"/>
    <s v="KUST - Communication"/>
    <x v="45"/>
    <x v="45"/>
    <n v="847001"/>
    <s v="KUST - General"/>
    <x v="1"/>
    <x v="1"/>
    <n v="17260"/>
    <n v="13568"/>
    <n v="0"/>
    <n v="10000"/>
    <n v="10000"/>
    <x v="1"/>
    <n v="0"/>
    <n v="0"/>
    <n v="10000"/>
    <n v="9000"/>
    <n v="8000"/>
    <n v="7000"/>
    <n v="10000"/>
    <n v="10000"/>
    <n v="0"/>
  </r>
  <r>
    <s v="Executive Vice President Office"/>
    <s v="847.8470140.1.435519.000000.847001.200179"/>
    <n v="8470140"/>
    <s v="KUST - Communication"/>
    <x v="63"/>
    <x v="63"/>
    <n v="847001"/>
    <s v="KUST - General"/>
    <x v="1"/>
    <x v="1"/>
    <n v="0"/>
    <n v="53870"/>
    <n v="0"/>
    <n v="135000"/>
    <n v="135000"/>
    <x v="166"/>
    <n v="0"/>
    <n v="0"/>
    <n v="135000"/>
    <n v="121500"/>
    <n v="108000"/>
    <n v="94500"/>
    <n v="135000"/>
    <n v="135000"/>
    <n v="0"/>
  </r>
  <r>
    <s v="Executive Vice President Office"/>
    <s v="847.8470140.1.492310.000000.847001.300180"/>
    <n v="8470140"/>
    <s v="KUST - Communication"/>
    <x v="16"/>
    <x v="16"/>
    <n v="847001"/>
    <s v="KUST - General"/>
    <x v="2"/>
    <x v="2"/>
    <n v="0"/>
    <n v="0"/>
    <n v="248690"/>
    <n v="137589"/>
    <n v="137589"/>
    <x v="1"/>
    <n v="0"/>
    <n v="0"/>
    <n v="200000"/>
    <n v="180000"/>
    <n v="160000"/>
    <n v="140000"/>
    <n v="200000"/>
    <n v="200000"/>
    <n v="62411"/>
  </r>
  <r>
    <s v="Executive Vice President Office"/>
    <s v="847.8470910.1.420570.000000.847001.200179"/>
    <n v="8470910"/>
    <s v="KUST - Executive Vice President Office"/>
    <x v="49"/>
    <x v="49"/>
    <n v="847001"/>
    <s v="KUST - General"/>
    <x v="1"/>
    <x v="1"/>
    <n v="0"/>
    <n v="0"/>
    <n v="0"/>
    <n v="0"/>
    <n v="0"/>
    <x v="1"/>
    <n v="0"/>
    <n v="0"/>
    <n v="15000000"/>
    <n v="13500000"/>
    <n v="12000000"/>
    <n v="10500000"/>
    <n v="15000000"/>
    <n v="15000000"/>
    <n v="15000000"/>
  </r>
  <r>
    <s v="Executive Vice President Office"/>
    <s v="847.8470910.1.425900.000000.847001.200179"/>
    <n v="8470910"/>
    <s v="KUST - Executive Vice President Office"/>
    <x v="11"/>
    <x v="11"/>
    <n v="847001"/>
    <s v="KUST - General"/>
    <x v="1"/>
    <x v="1"/>
    <n v="0"/>
    <n v="0"/>
    <n v="0"/>
    <n v="0"/>
    <n v="0"/>
    <x v="1"/>
    <n v="0"/>
    <n v="0"/>
    <n v="50000"/>
    <n v="45000"/>
    <n v="40000"/>
    <n v="35000"/>
    <n v="50000"/>
    <n v="50000"/>
    <n v="50000"/>
  </r>
  <r>
    <s v="Executive Vice President Office"/>
    <s v="847.8470910.1.428090.000000.847001.200179"/>
    <n v="8470910"/>
    <s v="KUST - Executive Vice President Office"/>
    <x v="13"/>
    <x v="13"/>
    <n v="847001"/>
    <s v="KUST - General"/>
    <x v="1"/>
    <x v="1"/>
    <n v="0"/>
    <n v="0"/>
    <n v="0"/>
    <n v="0"/>
    <n v="0"/>
    <x v="1"/>
    <n v="0"/>
    <n v="0"/>
    <n v="1000000"/>
    <n v="900000"/>
    <n v="800000"/>
    <n v="700000"/>
    <n v="1000000"/>
    <n v="1000000"/>
    <n v="1000000"/>
  </r>
  <r>
    <s v="Executive Vice President Office"/>
    <s v="847.8470910.1.429900.000000.847001.200179"/>
    <n v="8470910"/>
    <s v="KUST - Executive Vice President Office"/>
    <x v="64"/>
    <x v="64"/>
    <n v="847001"/>
    <s v="KUST - General"/>
    <x v="1"/>
    <x v="1"/>
    <n v="0"/>
    <n v="0"/>
    <n v="0"/>
    <n v="0"/>
    <n v="0"/>
    <x v="1"/>
    <n v="0"/>
    <n v="0"/>
    <n v="3000000"/>
    <n v="2700000"/>
    <n v="2400000"/>
    <n v="2100000"/>
    <n v="3000000"/>
    <n v="3000000"/>
    <n v="3000000"/>
  </r>
  <r>
    <s v="President's Office "/>
    <s v="847.8470110.1.420550.000000.847001.200179"/>
    <n v="8470110"/>
    <s v="KUST - Office of the President"/>
    <x v="1"/>
    <x v="1"/>
    <n v="847001"/>
    <s v="KUST - General"/>
    <x v="1"/>
    <x v="1"/>
    <n v="0"/>
    <n v="29118"/>
    <n v="0"/>
    <n v="30000"/>
    <n v="30000"/>
    <x v="1"/>
    <n v="0"/>
    <n v="0"/>
    <n v="100000"/>
    <n v="90000"/>
    <n v="80000"/>
    <n v="70000"/>
    <n v="100000"/>
    <n v="100000"/>
    <n v="70000"/>
  </r>
  <r>
    <s v="President's Office "/>
    <s v="847.8470110.1.420570.000000.847001.200179"/>
    <n v="8470110"/>
    <s v="KUST - Office of the President"/>
    <x v="49"/>
    <x v="49"/>
    <n v="847001"/>
    <s v="KUST - General"/>
    <x v="1"/>
    <x v="1"/>
    <n v="0"/>
    <n v="0"/>
    <n v="0"/>
    <n v="3684121"/>
    <n v="3684121"/>
    <x v="1"/>
    <n v="0"/>
    <n v="0"/>
    <n v="5000000"/>
    <n v="4500000"/>
    <n v="4000000"/>
    <n v="3500000"/>
    <n v="5000000"/>
    <n v="5000000"/>
    <n v="1315879"/>
  </r>
  <r>
    <s v="President's Office "/>
    <s v="847.8470110.1.421000.000000.847001.200179"/>
    <n v="8470110"/>
    <s v="KUST - Office of the President"/>
    <x v="55"/>
    <x v="55"/>
    <n v="847001"/>
    <s v="KUST - General"/>
    <x v="1"/>
    <x v="1"/>
    <n v="204013"/>
    <n v="0"/>
    <n v="0"/>
    <n v="200000"/>
    <n v="200000"/>
    <x v="1"/>
    <n v="0"/>
    <n v="0"/>
    <n v="200000"/>
    <n v="180000"/>
    <n v="160000"/>
    <n v="140000"/>
    <n v="200000"/>
    <n v="200000"/>
    <n v="0"/>
  </r>
  <r>
    <s v="President's Office "/>
    <s v="847.8470110.1.425510.000000.847001.200179"/>
    <n v="8470110"/>
    <s v="KUST - Office of the President"/>
    <x v="3"/>
    <x v="3"/>
    <n v="847001"/>
    <s v="KUST - General"/>
    <x v="1"/>
    <x v="1"/>
    <n v="10546039"/>
    <n v="277368"/>
    <n v="-188794"/>
    <n v="300000"/>
    <n v="300000"/>
    <x v="1"/>
    <n v="0"/>
    <n v="0"/>
    <n v="300000"/>
    <n v="270000"/>
    <n v="240000"/>
    <n v="210000"/>
    <n v="300000"/>
    <n v="300000"/>
    <n v="0"/>
  </r>
  <r>
    <s v="President's Office "/>
    <s v="847.8470110.1.425550.000000.847001.200179"/>
    <n v="8470110"/>
    <s v="KUST - Office of the President"/>
    <x v="4"/>
    <x v="4"/>
    <n v="847001"/>
    <s v="KUST - General"/>
    <x v="1"/>
    <x v="1"/>
    <n v="0"/>
    <n v="0"/>
    <n v="0"/>
    <n v="300000"/>
    <n v="300000"/>
    <x v="1"/>
    <n v="0"/>
    <n v="0"/>
    <n v="300000"/>
    <n v="270000"/>
    <n v="240000"/>
    <n v="210000"/>
    <n v="300000"/>
    <n v="300000"/>
    <n v="0"/>
  </r>
  <r>
    <s v="President's Office "/>
    <s v="847.8470110.1.425900.000000.847001.200179"/>
    <n v="8470110"/>
    <s v="KUST - Office of the President"/>
    <x v="11"/>
    <x v="11"/>
    <n v="847001"/>
    <s v="KUST - General"/>
    <x v="1"/>
    <x v="1"/>
    <n v="146141"/>
    <n v="13356"/>
    <n v="1328"/>
    <n v="10000"/>
    <n v="10000"/>
    <x v="167"/>
    <n v="0"/>
    <n v="0"/>
    <n v="50000"/>
    <n v="45000"/>
    <n v="40000"/>
    <n v="35000"/>
    <n v="50000"/>
    <n v="50000"/>
    <n v="40000"/>
  </r>
  <r>
    <s v="President's Office "/>
    <s v="847.8470110.1.428090.000000.847001.200179"/>
    <n v="8470110"/>
    <s v="KUST - Office of the President"/>
    <x v="13"/>
    <x v="13"/>
    <n v="847001"/>
    <s v="KUST - General"/>
    <x v="1"/>
    <x v="1"/>
    <n v="1236161"/>
    <n v="64375"/>
    <n v="15481"/>
    <n v="1000000"/>
    <n v="1000000"/>
    <x v="168"/>
    <n v="0"/>
    <n v="0"/>
    <n v="1000000"/>
    <n v="900000"/>
    <n v="800000"/>
    <n v="700000"/>
    <n v="1000000"/>
    <n v="1000000"/>
    <n v="0"/>
  </r>
  <r>
    <s v="President's Office "/>
    <s v="847.8470110.1.428400.000000.847001.200179"/>
    <n v="8470110"/>
    <s v="KUST - Office of the President"/>
    <x v="65"/>
    <x v="65"/>
    <n v="847001"/>
    <s v="KUST - General"/>
    <x v="1"/>
    <x v="1"/>
    <n v="11807880"/>
    <n v="22708675"/>
    <n v="0"/>
    <n v="50000"/>
    <n v="50000"/>
    <x v="1"/>
    <n v="0"/>
    <n v="0"/>
    <n v="50000"/>
    <n v="45000"/>
    <n v="40000"/>
    <n v="35000"/>
    <n v="50000"/>
    <n v="50000"/>
    <n v="0"/>
  </r>
  <r>
    <s v="President's Office "/>
    <s v="847.8470110.1.428640.000000.847001.200179"/>
    <n v="8470110"/>
    <s v="KUST - Office of the President"/>
    <x v="14"/>
    <x v="14"/>
    <n v="847001"/>
    <s v="KUST - General"/>
    <x v="1"/>
    <x v="1"/>
    <n v="0"/>
    <n v="0"/>
    <n v="0"/>
    <n v="100000"/>
    <n v="100000"/>
    <x v="1"/>
    <n v="0"/>
    <n v="0"/>
    <n v="50000"/>
    <n v="45000"/>
    <n v="40000"/>
    <n v="35000"/>
    <n v="50000"/>
    <n v="50000"/>
    <n v="-50000"/>
  </r>
  <r>
    <s v="President's Office "/>
    <s v="847.8470120.1.420120.000000.847001.200179"/>
    <n v="8470120"/>
    <s v="KUST - Audit"/>
    <x v="66"/>
    <x v="66"/>
    <n v="847001"/>
    <s v="KUST - General"/>
    <x v="1"/>
    <x v="1"/>
    <n v="304116"/>
    <n v="-493500"/>
    <n v="383814"/>
    <n v="500000"/>
    <n v="500000"/>
    <x v="1"/>
    <n v="500000"/>
    <n v="0"/>
    <n v="520000"/>
    <n v="378000"/>
    <n v="336000"/>
    <n v="294000"/>
    <n v="514889"/>
    <n v="490000"/>
    <n v="20000"/>
  </r>
  <r>
    <s v="President's Office "/>
    <s v="847.8470120.1.426610.000000.847001.200179"/>
    <n v="8470120"/>
    <s v="KUST - Audit"/>
    <x v="12"/>
    <x v="12"/>
    <n v="847001"/>
    <s v="KUST - General"/>
    <x v="1"/>
    <x v="1"/>
    <n v="0"/>
    <n v="0"/>
    <n v="0"/>
    <n v="0"/>
    <n v="0"/>
    <x v="1"/>
    <n v="0"/>
    <n v="0"/>
    <n v="24889"/>
    <n v="22400"/>
    <n v="19911"/>
    <n v="17422"/>
    <n v="0"/>
    <n v="24889"/>
    <n v="24889"/>
  </r>
  <r>
    <s v="President's Office "/>
    <s v="847.8470121.1.421000.000000.847001.200179"/>
    <n v="8470121"/>
    <s v="KUST - Compliance and Risk Management"/>
    <x v="55"/>
    <x v="55"/>
    <n v="847001"/>
    <s v="KUST - General"/>
    <x v="1"/>
    <x v="1"/>
    <n v="0"/>
    <n v="0"/>
    <n v="0"/>
    <n v="0"/>
    <n v="0"/>
    <x v="1"/>
    <n v="0"/>
    <n v="0"/>
    <n v="150000"/>
    <n v="45000"/>
    <n v="40000"/>
    <n v="35000"/>
    <n v="165000"/>
    <n v="181500"/>
    <n v="150000"/>
  </r>
  <r>
    <s v="President's Office "/>
    <s v="847.8470121.1.421700.000000.847001.200179"/>
    <n v="8470121"/>
    <s v="KUST - Compliance and Risk Management"/>
    <x v="40"/>
    <x v="40"/>
    <n v="847001"/>
    <s v="KUST - General"/>
    <x v="1"/>
    <x v="1"/>
    <n v="0"/>
    <n v="0"/>
    <n v="0"/>
    <n v="0"/>
    <n v="0"/>
    <x v="1"/>
    <n v="0"/>
    <n v="0"/>
    <n v="150000"/>
    <n v="135000"/>
    <n v="120000"/>
    <n v="105000"/>
    <n v="165000"/>
    <n v="181500"/>
    <n v="150000"/>
  </r>
  <r>
    <s v="President's Office "/>
    <s v="847.8470121.1.425900.000000.847001.200179"/>
    <n v="8470121"/>
    <s v="KUST - Compliance and Risk Management"/>
    <x v="11"/>
    <x v="11"/>
    <n v="847001"/>
    <s v="KUST - General"/>
    <x v="1"/>
    <x v="1"/>
    <n v="0"/>
    <n v="0"/>
    <n v="0"/>
    <n v="0"/>
    <n v="0"/>
    <x v="1"/>
    <n v="0"/>
    <n v="0"/>
    <n v="15000"/>
    <n v="13500"/>
    <n v="12000"/>
    <n v="10500"/>
    <n v="16500"/>
    <n v="18250"/>
    <n v="15000"/>
  </r>
  <r>
    <s v="President's Office "/>
    <s v="847.8470121.1.426610.000000.847001.200179"/>
    <n v="8470121"/>
    <s v="KUST - Compliance and Risk Management"/>
    <x v="12"/>
    <x v="12"/>
    <n v="847001"/>
    <s v="KUST - General"/>
    <x v="1"/>
    <x v="1"/>
    <n v="0"/>
    <n v="0"/>
    <n v="0"/>
    <n v="0"/>
    <n v="0"/>
    <x v="1"/>
    <n v="0"/>
    <n v="0"/>
    <n v="150000"/>
    <n v="135000"/>
    <n v="120000"/>
    <n v="105000"/>
    <n v="165000"/>
    <n v="181500"/>
    <n v="150000"/>
  </r>
  <r>
    <s v="President's Office "/>
    <s v="847.8470150.1.420900.000000.847001.200179"/>
    <n v="8470150"/>
    <s v="KUST - General Counsel"/>
    <x v="67"/>
    <x v="67"/>
    <n v="847001"/>
    <s v="KUST - General"/>
    <x v="1"/>
    <x v="1"/>
    <n v="0"/>
    <n v="16996"/>
    <n v="1350"/>
    <n v="21100"/>
    <n v="21100"/>
    <x v="169"/>
    <n v="0"/>
    <n v="0"/>
    <n v="320000"/>
    <n v="18000"/>
    <n v="16000"/>
    <n v="14000"/>
    <n v="320000"/>
    <n v="320000"/>
    <n v="298900"/>
  </r>
  <r>
    <s v="President's Office "/>
    <s v="847.8470150.1.427710.000000.847001.200179"/>
    <n v="8470150"/>
    <s v="KUST - General Counsel"/>
    <x v="42"/>
    <x v="42"/>
    <n v="847001"/>
    <s v="KUST - General"/>
    <x v="1"/>
    <x v="1"/>
    <n v="0"/>
    <n v="0"/>
    <n v="0"/>
    <n v="0"/>
    <n v="0"/>
    <x v="1"/>
    <n v="0"/>
    <n v="0"/>
    <n v="25000"/>
    <n v="22500"/>
    <n v="20000"/>
    <n v="17500"/>
    <n v="25000"/>
    <n v="25000"/>
    <n v="25000"/>
  </r>
  <r>
    <s v="President's Office "/>
    <s v="847.8470160.1.425550.000000.847001.200179"/>
    <n v="8470160"/>
    <s v="KUST - SVP/ Support Services Office"/>
    <x v="4"/>
    <x v="4"/>
    <n v="847001"/>
    <s v="KUST - General"/>
    <x v="1"/>
    <x v="1"/>
    <n v="0"/>
    <n v="0"/>
    <n v="0"/>
    <n v="0"/>
    <n v="0"/>
    <x v="1"/>
    <n v="0"/>
    <n v="0"/>
    <n v="100000"/>
    <n v="90000"/>
    <n v="80000"/>
    <n v="70000"/>
    <n v="100000"/>
    <n v="100000"/>
    <n v="100000"/>
  </r>
  <r>
    <s v="President's Office "/>
    <s v="847.8470160.1.425900.000000.847001.200179"/>
    <n v="8470160"/>
    <s v="KUST - SVP/ Support Services Office"/>
    <x v="11"/>
    <x v="11"/>
    <n v="847001"/>
    <s v="KUST - General"/>
    <x v="1"/>
    <x v="1"/>
    <n v="0"/>
    <n v="0"/>
    <n v="0"/>
    <n v="0"/>
    <n v="0"/>
    <x v="1"/>
    <n v="0"/>
    <n v="0"/>
    <n v="1200000"/>
    <n v="1080000"/>
    <n v="960000"/>
    <n v="840000"/>
    <n v="1800000"/>
    <n v="3000000"/>
    <n v="1200000"/>
  </r>
  <r>
    <s v="President's Office "/>
    <s v="847.8470160.1.428090.000000.847001.200179"/>
    <n v="8470160"/>
    <s v="KUST - SVP/ Support Services Office"/>
    <x v="13"/>
    <x v="13"/>
    <n v="847001"/>
    <s v="KUST - General"/>
    <x v="1"/>
    <x v="1"/>
    <n v="0"/>
    <n v="0"/>
    <n v="0"/>
    <n v="0"/>
    <n v="0"/>
    <x v="1"/>
    <n v="0"/>
    <n v="0"/>
    <n v="100000"/>
    <n v="90000"/>
    <n v="80000"/>
    <n v="70000"/>
    <n v="100000"/>
    <n v="100000"/>
    <n v="100000"/>
  </r>
  <r>
    <s v="President's Office "/>
    <s v="847.8470160.1.428640.000000.847001.200179"/>
    <n v="8470160"/>
    <s v="KUST - SVP/ Support Services Office"/>
    <x v="14"/>
    <x v="14"/>
    <n v="847001"/>
    <s v="KUST - General"/>
    <x v="1"/>
    <x v="1"/>
    <n v="0"/>
    <n v="0"/>
    <n v="0"/>
    <n v="0"/>
    <n v="0"/>
    <x v="1"/>
    <n v="0"/>
    <n v="0"/>
    <n v="100000"/>
    <n v="90000"/>
    <n v="80000"/>
    <n v="70000"/>
    <n v="100000"/>
    <n v="100000"/>
    <n v="100000"/>
  </r>
  <r>
    <s v="Provost"/>
    <s v="847.8470220.1.420550.000000.847001.200179"/>
    <n v="8470220"/>
    <s v="KUST - Office of the Provost"/>
    <x v="1"/>
    <x v="1"/>
    <n v="847001"/>
    <s v="KUST - General"/>
    <x v="1"/>
    <x v="1"/>
    <n v="0"/>
    <n v="0"/>
    <n v="0"/>
    <n v="60000"/>
    <n v="60000"/>
    <x v="1"/>
    <n v="0"/>
    <n v="0"/>
    <n v="420500"/>
    <n v="378450"/>
    <n v="0"/>
    <n v="294350"/>
    <n v="462550"/>
    <n v="504600"/>
    <n v="360500"/>
  </r>
  <r>
    <s v="Provost"/>
    <s v="847.8470220.1.420570.000000.847001.200179"/>
    <n v="8470220"/>
    <s v="KUST - Office of the Provost"/>
    <x v="49"/>
    <x v="49"/>
    <n v="847001"/>
    <s v="KUST - General"/>
    <x v="1"/>
    <x v="1"/>
    <n v="0"/>
    <n v="0"/>
    <n v="0"/>
    <n v="392387"/>
    <n v="392387"/>
    <x v="1"/>
    <n v="0"/>
    <n v="0"/>
    <n v="3000000"/>
    <n v="2700000"/>
    <n v="0"/>
    <n v="2100000"/>
    <n v="3300000"/>
    <n v="3600000"/>
    <n v="2607613"/>
  </r>
  <r>
    <s v="Provost"/>
    <s v="847.8470220.1.421700.000000.847001.200179"/>
    <n v="8470220"/>
    <s v="KUST - Office of the Provost"/>
    <x v="40"/>
    <x v="40"/>
    <n v="847001"/>
    <s v="KUST - General"/>
    <x v="1"/>
    <x v="1"/>
    <n v="0"/>
    <n v="0"/>
    <n v="0"/>
    <n v="375000"/>
    <n v="375000"/>
    <x v="1"/>
    <n v="0"/>
    <n v="0"/>
    <n v="3450000"/>
    <n v="3105000"/>
    <n v="0"/>
    <n v="2415000"/>
    <n v="150000"/>
    <n v="1"/>
    <n v="3075000"/>
  </r>
  <r>
    <s v="Provost"/>
    <s v="847.8470220.1.425510.000000.847001.200179"/>
    <n v="8470220"/>
    <s v="KUST - Office of the Provost"/>
    <x v="3"/>
    <x v="3"/>
    <n v="847001"/>
    <s v="KUST - General"/>
    <x v="1"/>
    <x v="1"/>
    <n v="0"/>
    <n v="0"/>
    <n v="0"/>
    <n v="10000"/>
    <n v="10000"/>
    <x v="170"/>
    <n v="0"/>
    <n v="0"/>
    <n v="100000"/>
    <n v="90000"/>
    <n v="0"/>
    <n v="70000"/>
    <n v="110000"/>
    <n v="120000"/>
    <n v="90000"/>
  </r>
  <r>
    <s v="Provost"/>
    <s v="847.8470220.1.425550.000000.847001.200179"/>
    <n v="8470220"/>
    <s v="KUST - Office of the Provost"/>
    <x v="4"/>
    <x v="4"/>
    <n v="847001"/>
    <s v="KUST - General"/>
    <x v="1"/>
    <x v="1"/>
    <n v="0"/>
    <n v="0"/>
    <n v="0"/>
    <n v="25000"/>
    <n v="25000"/>
    <x v="1"/>
    <n v="0"/>
    <n v="0"/>
    <n v="100000"/>
    <n v="90000"/>
    <n v="0"/>
    <n v="70000"/>
    <n v="110000"/>
    <n v="120000"/>
    <n v="75000"/>
  </r>
  <r>
    <s v="Provost"/>
    <s v="847.8470220.1.425740.000000.847001.200179"/>
    <n v="8470220"/>
    <s v="KUST - Office of the Provost"/>
    <x v="68"/>
    <x v="68"/>
    <n v="847001"/>
    <s v="KUST - General"/>
    <x v="1"/>
    <x v="1"/>
    <n v="0"/>
    <n v="0"/>
    <n v="0"/>
    <n v="694710"/>
    <n v="694710"/>
    <x v="1"/>
    <n v="0"/>
    <n v="0"/>
    <n v="3600012"/>
    <n v="3240011"/>
    <n v="0"/>
    <n v="2520008"/>
    <n v="3965260"/>
    <n v="4320030"/>
    <n v="2905302"/>
  </r>
  <r>
    <s v="Provost"/>
    <s v="847.8470220.1.425900.000000.847001.200179"/>
    <n v="8470220"/>
    <s v="KUST - Office of the Provost"/>
    <x v="11"/>
    <x v="11"/>
    <n v="847001"/>
    <s v="KUST - General"/>
    <x v="1"/>
    <x v="1"/>
    <n v="0"/>
    <n v="0"/>
    <n v="0"/>
    <n v="12000"/>
    <n v="12000"/>
    <x v="171"/>
    <n v="0"/>
    <n v="0"/>
    <n v="128004"/>
    <n v="115204"/>
    <n v="0"/>
    <n v="89603"/>
    <n v="140820"/>
    <n v="153612"/>
    <n v="116004"/>
  </r>
  <r>
    <s v="Provost"/>
    <s v="847.8470220.1.426610.000000.847001.200179"/>
    <n v="8470220"/>
    <s v="KUST - Office of the Provost"/>
    <x v="12"/>
    <x v="12"/>
    <n v="847001"/>
    <s v="KUST - General"/>
    <x v="1"/>
    <x v="1"/>
    <n v="0"/>
    <n v="0"/>
    <n v="0"/>
    <n v="50000"/>
    <n v="50000"/>
    <x v="1"/>
    <n v="0"/>
    <n v="0"/>
    <n v="45000"/>
    <n v="40500"/>
    <n v="0"/>
    <n v="31500"/>
    <n v="50000"/>
    <n v="55000"/>
    <n v="-5000"/>
  </r>
  <r>
    <s v="Provost"/>
    <s v="847.8470220.1.428090.000000.847001.200179"/>
    <n v="8470220"/>
    <s v="KUST - Office of the Provost"/>
    <x v="13"/>
    <x v="13"/>
    <n v="847001"/>
    <s v="KUST - General"/>
    <x v="1"/>
    <x v="1"/>
    <n v="0"/>
    <n v="0"/>
    <n v="0"/>
    <n v="165500"/>
    <n v="165500"/>
    <x v="172"/>
    <n v="0"/>
    <n v="0"/>
    <n v="320000"/>
    <n v="288000"/>
    <n v="0"/>
    <n v="224000"/>
    <n v="396000"/>
    <n v="384000"/>
    <n v="154500"/>
  </r>
  <r>
    <s v="Provost"/>
    <s v="847.8470220.1.428640.000000.847001.200179"/>
    <n v="8470220"/>
    <s v="KUST - Office of the Provost"/>
    <x v="14"/>
    <x v="14"/>
    <n v="847001"/>
    <s v="KUST - General"/>
    <x v="1"/>
    <x v="1"/>
    <n v="0"/>
    <n v="0"/>
    <n v="0"/>
    <n v="20000"/>
    <n v="20000"/>
    <x v="173"/>
    <n v="0"/>
    <n v="0"/>
    <n v="2000000"/>
    <n v="1800000"/>
    <n v="0"/>
    <n v="1400000"/>
    <n v="2200000"/>
    <n v="2400000"/>
    <n v="1980000"/>
  </r>
  <r>
    <s v="Provost"/>
    <s v="847.8470220.1.432205.000000.847001.200179"/>
    <n v="8470220"/>
    <s v="KUST - Office of the Provost"/>
    <x v="59"/>
    <x v="59"/>
    <n v="847001"/>
    <s v="KUST - General"/>
    <x v="1"/>
    <x v="1"/>
    <n v="0"/>
    <n v="0"/>
    <n v="0"/>
    <n v="10000"/>
    <n v="10000"/>
    <x v="1"/>
    <n v="0"/>
    <n v="0"/>
    <n v="60000"/>
    <n v="54000"/>
    <n v="0"/>
    <n v="42000"/>
    <n v="66000"/>
    <n v="72000"/>
    <n v="50000"/>
  </r>
  <r>
    <s v="Provost"/>
    <s v="847.8470220.1.436120.000000.847001.200179"/>
    <n v="8470220"/>
    <s v="KUST - Office of the Provost"/>
    <x v="21"/>
    <x v="21"/>
    <n v="847001"/>
    <s v="KUST - General"/>
    <x v="1"/>
    <x v="1"/>
    <n v="0"/>
    <n v="0"/>
    <n v="0"/>
    <n v="0"/>
    <n v="0"/>
    <x v="1"/>
    <n v="0"/>
    <n v="0"/>
    <n v="6000"/>
    <n v="5400"/>
    <n v="0"/>
    <n v="4200"/>
    <n v="6600"/>
    <n v="7200"/>
    <n v="6000"/>
  </r>
  <r>
    <s v="Provost"/>
    <s v="847.8470220.1.492316.000000.847001.300180"/>
    <n v="8470220"/>
    <s v="KUST - Office of the Provost"/>
    <x v="39"/>
    <x v="39"/>
    <n v="847001"/>
    <s v="KUST - General"/>
    <x v="2"/>
    <x v="2"/>
    <n v="2004424"/>
    <n v="1481224"/>
    <n v="160720"/>
    <n v="0"/>
    <n v="0"/>
    <x v="1"/>
    <n v="0"/>
    <n v="0"/>
    <n v="300000"/>
    <n v="270000"/>
    <n v="0"/>
    <n v="210000"/>
    <n v="330000"/>
    <n v="360000"/>
    <n v="300000"/>
  </r>
  <r>
    <s v="Senior Vice President, Research Office"/>
    <s v="847.8471110.1.425900.000000.847001.200179"/>
    <n v="8471110"/>
    <s v="KUST - SVP/ Research &amp; Development Office"/>
    <x v="11"/>
    <x v="11"/>
    <n v="847001"/>
    <s v="KUST - General"/>
    <x v="1"/>
    <x v="1"/>
    <n v="23071"/>
    <n v="12495"/>
    <n v="0"/>
    <n v="30000"/>
    <n v="30000"/>
    <x v="1"/>
    <n v="0"/>
    <n v="0"/>
    <n v="30000"/>
    <n v="27000"/>
    <n v="0"/>
    <n v="21000"/>
    <n v="30000"/>
    <n v="30000"/>
    <n v="0"/>
  </r>
  <r>
    <s v="Senior Vice President, Research Office"/>
    <s v="847.8471110.1.427710.000000.847001.200179"/>
    <n v="8471110"/>
    <s v="KUST - SVP/ Research &amp; Development Office"/>
    <x v="42"/>
    <x v="42"/>
    <n v="847001"/>
    <s v="KUST - General"/>
    <x v="1"/>
    <x v="1"/>
    <n v="9642"/>
    <n v="52891"/>
    <n v="0"/>
    <n v="428951"/>
    <n v="428951"/>
    <x v="174"/>
    <n v="332272.18"/>
    <n v="16161.2"/>
    <n v="448835"/>
    <n v="403952"/>
    <n v="0"/>
    <n v="314185"/>
    <n v="481840"/>
    <n v="389707"/>
    <n v="19884"/>
  </r>
  <r>
    <s v="Senior Vice President, Research Office"/>
    <s v="847.8471110.1.428090.000000.847001.200179"/>
    <n v="8471110"/>
    <s v="KUST - SVP/ Research &amp; Development Office"/>
    <x v="13"/>
    <x v="13"/>
    <n v="847001"/>
    <s v="KUST - General"/>
    <x v="1"/>
    <x v="1"/>
    <n v="90100"/>
    <n v="30379"/>
    <n v="0"/>
    <n v="100000"/>
    <n v="100000"/>
    <x v="1"/>
    <n v="0"/>
    <n v="0"/>
    <n v="150000"/>
    <n v="135000"/>
    <n v="0"/>
    <n v="105000"/>
    <n v="150000"/>
    <n v="150000"/>
    <n v="50000"/>
  </r>
  <r>
    <s v="Senior Vice President, Research Office"/>
    <s v="847.8471130.1.420811.000000.847001.200179"/>
    <n v="8471130"/>
    <s v="KUST - Research Service"/>
    <x v="54"/>
    <x v="54"/>
    <n v="847001"/>
    <s v="KUST - General"/>
    <x v="1"/>
    <x v="1"/>
    <n v="0"/>
    <n v="0"/>
    <n v="0"/>
    <n v="300000"/>
    <n v="300000"/>
    <x v="1"/>
    <n v="276944.2"/>
    <n v="0"/>
    <n v="170004"/>
    <n v="153004"/>
    <n v="0"/>
    <n v="119003"/>
    <n v="180000"/>
    <n v="180000"/>
    <n v="-129996"/>
  </r>
  <r>
    <s v="Senior Vice President, Research Office"/>
    <s v="847.8471130.1.426610.000000.847001.200179"/>
    <n v="8471130"/>
    <s v="KUST - Research Service"/>
    <x v="12"/>
    <x v="12"/>
    <n v="847001"/>
    <s v="KUST - General"/>
    <x v="1"/>
    <x v="1"/>
    <n v="15099"/>
    <n v="-2890"/>
    <n v="214871"/>
    <n v="171900"/>
    <n v="171900"/>
    <x v="175"/>
    <n v="0"/>
    <n v="0"/>
    <n v="187323"/>
    <n v="168591"/>
    <n v="0"/>
    <n v="131126"/>
    <n v="120000"/>
    <n v="120000"/>
    <n v="15423"/>
  </r>
  <r>
    <s v="Senior Vice President, Research Office"/>
    <s v="847.8471130.1.427900.000000.847001.200179"/>
    <n v="8471130"/>
    <s v="KUST - Research Service"/>
    <x v="69"/>
    <x v="69"/>
    <n v="847001"/>
    <s v="KUST - General"/>
    <x v="1"/>
    <x v="1"/>
    <n v="0"/>
    <n v="0"/>
    <n v="0"/>
    <n v="5000"/>
    <n v="5000"/>
    <x v="1"/>
    <n v="0"/>
    <n v="0"/>
    <n v="5000"/>
    <n v="4500"/>
    <n v="0"/>
    <n v="3500"/>
    <n v="187500"/>
    <n v="187500"/>
    <n v="0"/>
  </r>
  <r>
    <s v="Senior Vice President, Research Office"/>
    <s v="847.8471130.1.428090.000000.847001.200179"/>
    <n v="8471130"/>
    <s v="KUST - Research Service"/>
    <x v="13"/>
    <x v="13"/>
    <n v="847001"/>
    <s v="KUST - General"/>
    <x v="1"/>
    <x v="1"/>
    <n v="350"/>
    <n v="14448"/>
    <n v="0"/>
    <n v="70000"/>
    <n v="70000"/>
    <x v="1"/>
    <n v="0"/>
    <n v="0"/>
    <n v="120000"/>
    <n v="108000"/>
    <n v="0"/>
    <n v="84000"/>
    <n v="5000"/>
    <n v="5000"/>
    <n v="50000"/>
  </r>
  <r>
    <s v="Senior Vice President, Research Office"/>
    <s v="847.8471130.1.435523.000000.847001.200179"/>
    <n v="8471130"/>
    <s v="KUST - Research Service"/>
    <x v="70"/>
    <x v="70"/>
    <n v="847001"/>
    <s v="KUST - General"/>
    <x v="1"/>
    <x v="1"/>
    <n v="64438059"/>
    <n v="93594271"/>
    <n v="198468"/>
    <n v="205962"/>
    <n v="205962"/>
    <x v="176"/>
    <n v="0"/>
    <n v="29590.09"/>
    <n v="200000"/>
    <n v="180000"/>
    <n v="0"/>
    <n v="140000"/>
    <n v="200000"/>
    <n v="200000"/>
    <n v="-5962"/>
  </r>
  <r>
    <s v="Senior Vice President, Research Office"/>
    <s v="847.8471140.1.420570.000000.847001.200179"/>
    <n v="8471140"/>
    <s v="KUST - University Sponsored Research"/>
    <x v="49"/>
    <x v="49"/>
    <n v="847001"/>
    <s v="KUST - General"/>
    <x v="1"/>
    <x v="1"/>
    <n v="0"/>
    <n v="0"/>
    <n v="11867278"/>
    <n v="231840"/>
    <n v="231840"/>
    <x v="177"/>
    <n v="0"/>
    <n v="0"/>
    <n v="305025"/>
    <n v="274523"/>
    <n v="0"/>
    <n v="213518"/>
    <n v="231525"/>
    <n v="231525"/>
    <n v="73185"/>
  </r>
  <r>
    <s v="Senior Vice President, Research Office"/>
    <s v="847.8471140.1.428090.000000.847001.200179"/>
    <n v="8471140"/>
    <s v="KUST - University Sponsored Research"/>
    <x v="13"/>
    <x v="13"/>
    <n v="847001"/>
    <s v="KUST - General"/>
    <x v="1"/>
    <x v="1"/>
    <n v="54648"/>
    <n v="0"/>
    <n v="0"/>
    <n v="80000"/>
    <n v="80000"/>
    <x v="178"/>
    <n v="0"/>
    <n v="0"/>
    <n v="100000"/>
    <n v="90000"/>
    <n v="0"/>
    <n v="70000"/>
    <n v="120000"/>
    <n v="120000"/>
    <n v="20000"/>
  </r>
  <r>
    <s v="Senior Vice President, Research Office"/>
    <s v="847.8471140.1.435523.000000.847001.200179"/>
    <n v="8471140"/>
    <s v="KUST - University Sponsored Research"/>
    <x v="70"/>
    <x v="70"/>
    <n v="847001"/>
    <s v="KUST - General"/>
    <x v="1"/>
    <x v="1"/>
    <n v="0"/>
    <n v="0"/>
    <n v="83770903"/>
    <n v="99885358"/>
    <n v="99885358"/>
    <x v="179"/>
    <n v="980501.29"/>
    <n v="3956547.04"/>
    <n v="113448860"/>
    <n v="73543318"/>
    <n v="0"/>
    <n v="57200358"/>
    <n v="131130084"/>
    <n v="148199258"/>
    <n v="13563502"/>
  </r>
  <r>
    <s v="Senior Vice President, Research Office"/>
    <s v="847.8471150.1.420900.000000.847001.200179"/>
    <n v="8471150"/>
    <s v="KUST - Technology Management &amp; Innovation"/>
    <x v="67"/>
    <x v="67"/>
    <n v="847001"/>
    <s v="KUST - General"/>
    <x v="1"/>
    <x v="1"/>
    <n v="2436634"/>
    <n v="2676268"/>
    <n v="2639907"/>
    <n v="3332844"/>
    <n v="3332844"/>
    <x v="180"/>
    <n v="568570.87"/>
    <n v="99038.92"/>
    <n v="4978500"/>
    <n v="4480650"/>
    <n v="0"/>
    <n v="3484950"/>
    <n v="5725275"/>
    <n v="6303000"/>
    <n v="1645656"/>
  </r>
  <r>
    <s v="Senior Vice President, Research Office"/>
    <s v="847.8471150.1.425510.000000.847001.200179"/>
    <n v="8471150"/>
    <s v="KUST - Technology Management &amp; Innovation"/>
    <x v="3"/>
    <x v="3"/>
    <n v="847001"/>
    <s v="KUST - General"/>
    <x v="1"/>
    <x v="1"/>
    <n v="0"/>
    <n v="0"/>
    <n v="10138"/>
    <n v="100002"/>
    <n v="100002"/>
    <x v="1"/>
    <n v="0"/>
    <n v="0"/>
    <n v="72000"/>
    <n v="64800"/>
    <n v="0"/>
    <n v="50400"/>
    <n v="70000"/>
    <n v="70000"/>
    <n v="-28002"/>
  </r>
  <r>
    <s v="Senior Vice President, Research Office"/>
    <s v="847.8471150.1.425550.000000.847001.200179"/>
    <n v="8471150"/>
    <s v="KUST - Technology Management &amp; Innovation"/>
    <x v="4"/>
    <x v="4"/>
    <n v="847001"/>
    <s v="KUST - General"/>
    <x v="1"/>
    <x v="1"/>
    <n v="0"/>
    <n v="0"/>
    <n v="0"/>
    <n v="100002"/>
    <n v="100002"/>
    <x v="181"/>
    <n v="0"/>
    <n v="0"/>
    <n v="100002"/>
    <n v="90002"/>
    <n v="0"/>
    <n v="70001"/>
    <n v="102000"/>
    <n v="150000"/>
    <n v="0"/>
  </r>
  <r>
    <s v="Senior Vice President, Research Office"/>
    <s v="847.8471150.1.426610.000000.847001.200179"/>
    <n v="8471150"/>
    <s v="KUST - Technology Management &amp; Innovation"/>
    <x v="12"/>
    <x v="12"/>
    <n v="847001"/>
    <s v="KUST - General"/>
    <x v="1"/>
    <x v="1"/>
    <n v="135012"/>
    <n v="26784"/>
    <n v="76379"/>
    <n v="120000"/>
    <n v="120000"/>
    <x v="1"/>
    <n v="0"/>
    <n v="0"/>
    <n v="165000"/>
    <n v="148500"/>
    <n v="0"/>
    <n v="115500"/>
    <n v="304000"/>
    <n v="200000"/>
    <n v="45000"/>
  </r>
  <r>
    <s v="Senior Vice President, Research Office"/>
    <s v="847.8471150.1.428090.000000.847001.200179"/>
    <n v="8471150"/>
    <s v="KUST - Technology Management &amp; Innovation"/>
    <x v="13"/>
    <x v="13"/>
    <n v="847001"/>
    <s v="KUST - General"/>
    <x v="1"/>
    <x v="1"/>
    <n v="41709"/>
    <n v="0"/>
    <n v="0"/>
    <n v="50001"/>
    <n v="50001"/>
    <x v="1"/>
    <n v="0"/>
    <n v="0"/>
    <n v="50400"/>
    <n v="45360"/>
    <n v="0"/>
    <n v="35280"/>
    <n v="150000"/>
    <n v="150000"/>
    <n v="399"/>
  </r>
  <r>
    <s v="Senior Vice President, Research Office"/>
    <s v="847.8471150.1.435310.000000.847001.200179"/>
    <n v="8471150"/>
    <s v="KUST - Technology Management &amp; Innovation"/>
    <x v="45"/>
    <x v="45"/>
    <n v="847001"/>
    <s v="KUST - General"/>
    <x v="1"/>
    <x v="1"/>
    <n v="11001"/>
    <n v="0"/>
    <n v="0"/>
    <n v="0"/>
    <n v="0"/>
    <x v="1"/>
    <n v="0"/>
    <n v="0"/>
    <n v="12000"/>
    <n v="10800"/>
    <n v="0"/>
    <n v="8400"/>
    <n v="15000"/>
    <n v="15000"/>
    <n v="12000"/>
  </r>
  <r>
    <s v="Senior Vice President, Research Office"/>
    <s v="847.8471170.1.420811.000000.847001.200179"/>
    <n v="8471170"/>
    <s v="KUST - Research Computing"/>
    <x v="54"/>
    <x v="54"/>
    <n v="847001"/>
    <s v="KUST - General"/>
    <x v="1"/>
    <x v="1"/>
    <n v="0"/>
    <n v="0"/>
    <n v="0"/>
    <n v="1709607"/>
    <n v="1709607"/>
    <x v="1"/>
    <n v="0"/>
    <n v="0"/>
    <n v="5437179"/>
    <n v="4443458"/>
    <n v="0"/>
    <n v="3456023"/>
    <n v="5807782"/>
    <n v="5807782"/>
    <n v="3727572"/>
  </r>
  <r>
    <s v="Senior Vice President, Research Office"/>
    <s v="847.8471170.1.425900.000000.847001.200179"/>
    <n v="8471170"/>
    <s v="KUST - Research Computing"/>
    <x v="11"/>
    <x v="11"/>
    <n v="847001"/>
    <s v="KUST - General"/>
    <x v="1"/>
    <x v="1"/>
    <n v="0"/>
    <n v="0"/>
    <n v="0"/>
    <n v="10000"/>
    <n v="10000"/>
    <x v="1"/>
    <n v="0"/>
    <n v="0"/>
    <n v="10000"/>
    <n v="9000"/>
    <n v="0"/>
    <n v="7000"/>
    <n v="10000"/>
    <n v="10000"/>
    <n v="0"/>
  </r>
  <r>
    <s v="Senior Vice President, Research Office"/>
    <s v="847.8471170.1.426610.000000.847001.200179"/>
    <n v="8471170"/>
    <s v="KUST - Research Computing"/>
    <x v="12"/>
    <x v="12"/>
    <n v="847001"/>
    <s v="KUST - General"/>
    <x v="1"/>
    <x v="1"/>
    <n v="677191"/>
    <n v="866024"/>
    <n v="1268350"/>
    <n v="2618576"/>
    <n v="2618576"/>
    <x v="182"/>
    <n v="1045883.62"/>
    <n v="507382.75"/>
    <n v="5406326"/>
    <n v="4865693"/>
    <n v="0"/>
    <n v="3784428"/>
    <n v="5406326"/>
    <n v="6541654"/>
    <n v="2787750"/>
  </r>
  <r>
    <s v="Senior Vice President, Research Office"/>
    <s v="847.8471170.1.428090.000000.847001.200179"/>
    <n v="8471170"/>
    <s v="KUST - Research Computing"/>
    <x v="13"/>
    <x v="13"/>
    <n v="847001"/>
    <s v="KUST - General"/>
    <x v="1"/>
    <x v="1"/>
    <n v="2750"/>
    <n v="0"/>
    <n v="0"/>
    <n v="45000"/>
    <n v="45000"/>
    <x v="1"/>
    <n v="0"/>
    <n v="0"/>
    <n v="45000"/>
    <n v="40500"/>
    <n v="0"/>
    <n v="31500"/>
    <n v="45000"/>
    <n v="45000"/>
    <n v="0"/>
  </r>
  <r>
    <s v="Senior Vice President, Research Office"/>
    <s v="847.8471170.1.492316.000000.847001.300180"/>
    <n v="8471170"/>
    <s v="KUST - Research Computing"/>
    <x v="39"/>
    <x v="39"/>
    <n v="847001"/>
    <s v="KUST - General"/>
    <x v="2"/>
    <x v="2"/>
    <n v="0"/>
    <n v="5545455"/>
    <n v="6593486"/>
    <n v="3308433"/>
    <n v="3308433"/>
    <x v="1"/>
    <n v="0"/>
    <n v="0"/>
    <n v="22181820"/>
    <n v="19963638"/>
    <n v="0"/>
    <n v="15527274"/>
    <n v="0"/>
    <n v="0"/>
    <n v="18873387"/>
  </r>
  <r>
    <s v="Senior Vice President, Research Office"/>
    <s v="847.8471170.1.495113.000000.847001.300180"/>
    <n v="8471170"/>
    <s v="KUST - Research Computing"/>
    <x v="61"/>
    <x v="61"/>
    <n v="847001"/>
    <s v="KUST - General"/>
    <x v="2"/>
    <x v="2"/>
    <n v="0"/>
    <n v="0"/>
    <n v="0"/>
    <n v="277018"/>
    <n v="277018"/>
    <x v="183"/>
    <n v="0"/>
    <n v="0"/>
    <n v="300000"/>
    <n v="270000"/>
    <n v="0"/>
    <n v="210000"/>
    <n v="0"/>
    <n v="0"/>
    <n v="22982"/>
  </r>
  <r>
    <s v="SVP/ Support Services Office"/>
    <s v="847.8470510.1.425550.000000.847001.200179"/>
    <n v="8470510"/>
    <s v="KUST - VP/ Administration, Facilities &amp; EHS Office"/>
    <x v="4"/>
    <x v="4"/>
    <n v="847001"/>
    <s v="KUST - General"/>
    <x v="1"/>
    <x v="1"/>
    <n v="0"/>
    <n v="0"/>
    <n v="0"/>
    <n v="0"/>
    <n v="0"/>
    <x v="1"/>
    <n v="0"/>
    <n v="0"/>
    <n v="30000"/>
    <n v="27000"/>
    <n v="24000"/>
    <n v="21000"/>
    <n v="0"/>
    <n v="0"/>
    <n v="30000"/>
  </r>
  <r>
    <s v="SVP/ Support Services Office"/>
    <s v="847.8470510.1.425900.000000.847001.200179"/>
    <n v="8470510"/>
    <s v="KUST - VP/ Administration, Facilities &amp; EHS Office"/>
    <x v="11"/>
    <x v="11"/>
    <n v="847001"/>
    <s v="KUST - General"/>
    <x v="1"/>
    <x v="1"/>
    <n v="0"/>
    <n v="0"/>
    <n v="0"/>
    <n v="0"/>
    <n v="0"/>
    <x v="1"/>
    <n v="0"/>
    <n v="0"/>
    <n v="40000"/>
    <n v="36000"/>
    <n v="32000"/>
    <n v="28000"/>
    <n v="50000"/>
    <n v="60000"/>
    <n v="40000"/>
  </r>
  <r>
    <s v="SVP/ Support Services Office"/>
    <s v="847.8470510.1.428090.000000.847001.200179"/>
    <n v="8470510"/>
    <s v="KUST - VP/ Administration, Facilities &amp; EHS Office"/>
    <x v="13"/>
    <x v="13"/>
    <n v="847001"/>
    <s v="KUST - General"/>
    <x v="1"/>
    <x v="1"/>
    <n v="0"/>
    <n v="0"/>
    <n v="0"/>
    <n v="0"/>
    <n v="0"/>
    <x v="1"/>
    <n v="0"/>
    <n v="0"/>
    <n v="100000"/>
    <n v="90000"/>
    <n v="80000"/>
    <n v="70000"/>
    <n v="150000"/>
    <n v="200000"/>
    <n v="100000"/>
  </r>
  <r>
    <s v="SVP/ Support Services Office"/>
    <s v="847.8470520.1.421600.000000.847030.200179"/>
    <n v="8470520"/>
    <s v="KUST - Environment, Health &amp; Safety"/>
    <x v="27"/>
    <x v="27"/>
    <n v="847030"/>
    <s v="KUST- Masdar city campus"/>
    <x v="1"/>
    <x v="1"/>
    <n v="820887"/>
    <n v="1796401"/>
    <n v="74260"/>
    <n v="0"/>
    <n v="0"/>
    <x v="1"/>
    <n v="0"/>
    <n v="0"/>
    <n v="0"/>
    <n v="0"/>
    <n v="0"/>
    <n v="0"/>
    <n v="0"/>
    <n v="0"/>
    <n v="0"/>
  </r>
  <r>
    <s v="SVP/ Support Services Office"/>
    <s v="847.8470520.1.425510.000000.847001.200179"/>
    <n v="8470520"/>
    <s v="KUST - Environment, Health &amp; Safety"/>
    <x v="3"/>
    <x v="3"/>
    <n v="847001"/>
    <s v="KUST - General"/>
    <x v="1"/>
    <x v="1"/>
    <n v="5450"/>
    <n v="21496"/>
    <n v="11357"/>
    <n v="29519"/>
    <n v="29519"/>
    <x v="184"/>
    <n v="0"/>
    <n v="0"/>
    <n v="29500"/>
    <n v="26550"/>
    <n v="23600"/>
    <n v="20650"/>
    <n v="25000"/>
    <n v="25000"/>
    <n v="-19"/>
  </r>
  <r>
    <s v="SVP/ Support Services Office"/>
    <s v="847.8470520.1.425510.000000.847951.200179"/>
    <n v="8470520"/>
    <s v="KUST - Environment, Health &amp; Safety"/>
    <x v="3"/>
    <x v="3"/>
    <n v="847951"/>
    <s v="COVID-19 Pandemic"/>
    <x v="1"/>
    <x v="1"/>
    <n v="0"/>
    <n v="0"/>
    <n v="4998"/>
    <n v="0"/>
    <n v="0"/>
    <x v="1"/>
    <n v="0"/>
    <n v="0"/>
    <n v="0"/>
    <n v="0"/>
    <n v="0"/>
    <n v="0"/>
    <n v="0"/>
    <n v="0"/>
    <n v="0"/>
  </r>
  <r>
    <s v="SVP/ Support Services Office"/>
    <s v="847.8470520.1.426100.000000.847001.200179"/>
    <n v="8470520"/>
    <s v="KUST - Environment, Health &amp; Safety"/>
    <x v="58"/>
    <x v="58"/>
    <n v="847001"/>
    <s v="KUST - General"/>
    <x v="1"/>
    <x v="1"/>
    <n v="0"/>
    <n v="0"/>
    <n v="0"/>
    <n v="20000"/>
    <n v="20000"/>
    <x v="1"/>
    <n v="0"/>
    <n v="0"/>
    <n v="20000"/>
    <n v="18000"/>
    <n v="16000"/>
    <n v="14000"/>
    <n v="20000"/>
    <n v="20000"/>
    <n v="0"/>
  </r>
  <r>
    <s v="SVP/ Support Services Office"/>
    <s v="847.8470520.1.427710.000000.847001.200179"/>
    <n v="8470520"/>
    <s v="KUST - Environment, Health &amp; Safety"/>
    <x v="42"/>
    <x v="42"/>
    <n v="847001"/>
    <s v="KUST - General"/>
    <x v="1"/>
    <x v="1"/>
    <n v="40812"/>
    <n v="42000"/>
    <n v="7654"/>
    <n v="42000"/>
    <n v="42000"/>
    <x v="1"/>
    <n v="0"/>
    <n v="10510"/>
    <n v="20000"/>
    <n v="0"/>
    <n v="0"/>
    <n v="0"/>
    <n v="40000"/>
    <n v="42000"/>
    <n v="-22000"/>
  </r>
  <r>
    <s v="SVP/ Support Services Office"/>
    <s v="847.8470520.1.428200.000000.847001.200179"/>
    <n v="8470520"/>
    <s v="KUST - Environment, Health &amp; Safety"/>
    <x v="71"/>
    <x v="71"/>
    <n v="847001"/>
    <s v="KUST - General"/>
    <x v="1"/>
    <x v="1"/>
    <n v="907892"/>
    <n v="509372"/>
    <n v="345735"/>
    <n v="616900"/>
    <n v="616900"/>
    <x v="185"/>
    <n v="87400"/>
    <n v="193337.58"/>
    <n v="690000"/>
    <n v="0"/>
    <n v="0"/>
    <n v="0"/>
    <n v="575000"/>
    <n v="575000"/>
    <n v="73100"/>
  </r>
  <r>
    <s v="SVP/ Support Services Office"/>
    <s v="847.8470520.1.428200.000000.847951.200179"/>
    <n v="8470520"/>
    <s v="KUST - Environment, Health &amp; Safety"/>
    <x v="71"/>
    <x v="71"/>
    <n v="847951"/>
    <s v="COVID-19 Pandemic"/>
    <x v="1"/>
    <x v="1"/>
    <n v="0"/>
    <n v="0"/>
    <n v="276209"/>
    <n v="23100"/>
    <n v="23100"/>
    <x v="1"/>
    <n v="0"/>
    <n v="23100"/>
    <n v="0"/>
    <n v="0"/>
    <n v="0"/>
    <n v="0"/>
    <n v="0"/>
    <n v="0"/>
    <n v="-23100"/>
  </r>
  <r>
    <s v="SVP/ Support Services Office"/>
    <s v="847.8470520.1.492316.000000.847001.300180"/>
    <n v="8470520"/>
    <s v="KUST - Environment, Health &amp; Safety"/>
    <x v="39"/>
    <x v="39"/>
    <n v="847001"/>
    <s v="KUST - General"/>
    <x v="2"/>
    <x v="2"/>
    <n v="149907"/>
    <n v="501601"/>
    <n v="0"/>
    <n v="171987"/>
    <n v="171987"/>
    <x v="1"/>
    <n v="171800"/>
    <n v="0"/>
    <n v="0"/>
    <n v="0"/>
    <n v="0"/>
    <n v="0"/>
    <n v="0"/>
    <n v="0"/>
    <n v="-171987"/>
  </r>
  <r>
    <s v="SVP/ Support Services Office"/>
    <s v="847.8470530.1.420310.000000.847010.200179"/>
    <n v="8470530"/>
    <s v="KUST - Facilities Management"/>
    <x v="26"/>
    <x v="26"/>
    <n v="847010"/>
    <s v="KUST - Main Campus"/>
    <x v="1"/>
    <x v="1"/>
    <n v="2351450"/>
    <n v="3622169"/>
    <n v="3935287"/>
    <n v="4056439"/>
    <n v="4056439"/>
    <x v="186"/>
    <n v="84900"/>
    <n v="2812267.43"/>
    <n v="4056439"/>
    <n v="3650795"/>
    <n v="3245151"/>
    <n v="2839507"/>
    <n v="4056439"/>
    <n v="4056439"/>
    <n v="0"/>
  </r>
  <r>
    <s v="SVP/ Support Services Office"/>
    <s v="847.8470530.1.420310.000000.847015.200179"/>
    <n v="8470530"/>
    <s v="KUST - Facilities Management"/>
    <x v="26"/>
    <x v="26"/>
    <n v="847015"/>
    <s v="Student Related Costs"/>
    <x v="1"/>
    <x v="1"/>
    <n v="0"/>
    <n v="0"/>
    <n v="0"/>
    <n v="747242"/>
    <n v="747242"/>
    <x v="1"/>
    <n v="0"/>
    <n v="747242"/>
    <n v="747242"/>
    <n v="672518"/>
    <n v="597794"/>
    <n v="523069"/>
    <n v="747242"/>
    <n v="747242"/>
    <n v="0"/>
  </r>
  <r>
    <s v="SVP/ Support Services Office"/>
    <s v="847.8470530.1.420310.000000.847020.200179"/>
    <n v="8470530"/>
    <s v="KUST - Facilities Management"/>
    <x v="26"/>
    <x v="26"/>
    <n v="847020"/>
    <s v="KUST- Sas Al Nakhl Campus"/>
    <x v="1"/>
    <x v="1"/>
    <n v="4122290"/>
    <n v="2915953"/>
    <n v="4940774"/>
    <n v="4364107"/>
    <n v="4364107"/>
    <x v="187"/>
    <n v="245882"/>
    <n v="2435336.6"/>
    <n v="4118107"/>
    <n v="3706296"/>
    <n v="3294486"/>
    <n v="2882675"/>
    <n v="4118107"/>
    <n v="4118107"/>
    <n v="-246000"/>
  </r>
  <r>
    <s v="SVP/ Support Services Office"/>
    <s v="847.8470530.1.421000.000000.847010.200179"/>
    <n v="8470530"/>
    <s v="KUST - Facilities Management"/>
    <x v="55"/>
    <x v="55"/>
    <n v="847010"/>
    <s v="KUST - Main Campus"/>
    <x v="1"/>
    <x v="1"/>
    <n v="0"/>
    <n v="0"/>
    <n v="0"/>
    <n v="850000"/>
    <n v="850000"/>
    <x v="1"/>
    <n v="0"/>
    <n v="850000"/>
    <n v="7000000"/>
    <n v="4500000"/>
    <n v="4000000"/>
    <n v="3500000"/>
    <n v="0"/>
    <n v="0"/>
    <n v="6150000"/>
  </r>
  <r>
    <s v="SVP/ Support Services Office"/>
    <s v="847.8470530.1.421000.000000.847020.200179"/>
    <n v="8470530"/>
    <s v="KUST - Facilities Management"/>
    <x v="55"/>
    <x v="55"/>
    <n v="847020"/>
    <s v="KUST- Sas Al Nakhl Campus"/>
    <x v="1"/>
    <x v="1"/>
    <n v="0"/>
    <n v="0"/>
    <n v="0"/>
    <n v="0"/>
    <n v="0"/>
    <x v="1"/>
    <n v="0"/>
    <n v="0"/>
    <n v="0"/>
    <n v="0"/>
    <n v="0"/>
    <n v="0"/>
    <n v="0"/>
    <n v="0"/>
    <n v="0"/>
  </r>
  <r>
    <s v="SVP/ Support Services Office"/>
    <s v="847.8470530.1.421600.000000.847010.200179"/>
    <n v="8470530"/>
    <s v="KUST - Facilities Management"/>
    <x v="27"/>
    <x v="27"/>
    <n v="847010"/>
    <s v="KUST - Main Campus"/>
    <x v="1"/>
    <x v="1"/>
    <n v="0"/>
    <n v="2677274"/>
    <n v="3976041"/>
    <n v="3948261"/>
    <n v="3948261"/>
    <x v="188"/>
    <n v="2478000"/>
    <n v="0"/>
    <n v="3986400"/>
    <n v="3587760"/>
    <n v="3189120"/>
    <n v="2790480"/>
    <n v="4185720"/>
    <n v="4395006"/>
    <n v="38139"/>
  </r>
  <r>
    <s v="SVP/ Support Services Office"/>
    <s v="847.8470530.1.421600.000000.847015.200179"/>
    <n v="8470530"/>
    <s v="KUST - Facilities Management"/>
    <x v="27"/>
    <x v="27"/>
    <n v="847015"/>
    <s v="Student Related Costs"/>
    <x v="1"/>
    <x v="1"/>
    <n v="0"/>
    <n v="0"/>
    <n v="1516766"/>
    <n v="2543480"/>
    <n v="2543480"/>
    <x v="189"/>
    <n v="1634640"/>
    <n v="23269.48"/>
    <n v="2451960"/>
    <n v="2206764"/>
    <n v="1961568"/>
    <n v="1716372"/>
    <n v="2574558"/>
    <n v="2703285"/>
    <n v="-91520"/>
  </r>
  <r>
    <s v="SVP/ Support Services Office"/>
    <s v="847.8470530.1.421600.000000.847020.200179"/>
    <n v="8470530"/>
    <s v="KUST - Facilities Management"/>
    <x v="27"/>
    <x v="27"/>
    <n v="847020"/>
    <s v="KUST- Sas Al Nakhl Campus"/>
    <x v="1"/>
    <x v="1"/>
    <n v="28220"/>
    <n v="3533661"/>
    <n v="3499527"/>
    <n v="2155720"/>
    <n v="2155720"/>
    <x v="190"/>
    <n v="1385720"/>
    <n v="161217.89000000001"/>
    <n v="2078580"/>
    <n v="1870722"/>
    <n v="1662864"/>
    <n v="1455006"/>
    <n v="2182509"/>
    <n v="2291635"/>
    <n v="-77140"/>
  </r>
  <r>
    <s v="SVP/ Support Services Office"/>
    <s v="847.8470530.1.421600.000000.847030.200179"/>
    <n v="8470530"/>
    <s v="KUST - Facilities Management"/>
    <x v="27"/>
    <x v="27"/>
    <n v="847030"/>
    <s v="KUST- Masdar city campus"/>
    <x v="1"/>
    <x v="1"/>
    <n v="424285"/>
    <n v="76207"/>
    <n v="843396"/>
    <n v="635219"/>
    <n v="635219"/>
    <x v="191"/>
    <n v="0"/>
    <n v="0"/>
    <n v="398190"/>
    <n v="358371"/>
    <n v="318552"/>
    <n v="278733"/>
    <n v="418095"/>
    <n v="439000"/>
    <n v="-237029"/>
  </r>
  <r>
    <s v="SVP/ Support Services Office"/>
    <s v="847.8470530.1.421700.000000.847010.200179"/>
    <n v="8470530"/>
    <s v="KUST - Facilities Management"/>
    <x v="40"/>
    <x v="40"/>
    <n v="847010"/>
    <s v="KUST - Main Campus"/>
    <x v="1"/>
    <x v="1"/>
    <n v="0"/>
    <n v="0"/>
    <n v="0"/>
    <n v="263000"/>
    <n v="263000"/>
    <x v="1"/>
    <n v="0"/>
    <n v="231000"/>
    <n v="250000"/>
    <n v="225000"/>
    <n v="200000"/>
    <n v="175000"/>
    <n v="0"/>
    <n v="0"/>
    <n v="-13000"/>
  </r>
  <r>
    <s v="SVP/ Support Services Office"/>
    <s v="847.8470530.1.425510.000000.847010.200179"/>
    <n v="8470530"/>
    <s v="KUST - Facilities Management"/>
    <x v="3"/>
    <x v="3"/>
    <n v="847010"/>
    <s v="KUST - Main Campus"/>
    <x v="1"/>
    <x v="1"/>
    <n v="46198"/>
    <n v="78"/>
    <n v="0"/>
    <n v="20000"/>
    <n v="20000"/>
    <x v="1"/>
    <n v="0"/>
    <n v="0"/>
    <n v="50000"/>
    <n v="45000"/>
    <n v="40000"/>
    <n v="35000"/>
    <n v="60000"/>
    <n v="70000"/>
    <n v="30000"/>
  </r>
  <r>
    <s v="SVP/ Support Services Office"/>
    <s v="847.8470530.1.425747.000000.847015.200179"/>
    <n v="8470530"/>
    <s v="KUST - Facilities Management"/>
    <x v="72"/>
    <x v="72"/>
    <n v="847015"/>
    <s v="Student Related Costs"/>
    <x v="1"/>
    <x v="1"/>
    <n v="0"/>
    <n v="0"/>
    <n v="18625059"/>
    <n v="0"/>
    <n v="0"/>
    <x v="1"/>
    <n v="0"/>
    <n v="0"/>
    <n v="0"/>
    <n v="0"/>
    <n v="0"/>
    <n v="0"/>
    <n v="0"/>
    <n v="0"/>
    <n v="0"/>
  </r>
  <r>
    <s v="SVP/ Support Services Office"/>
    <s v="847.8470530.1.425900.000000.847010.200179"/>
    <n v="8470530"/>
    <s v="KUST - Facilities Management"/>
    <x v="11"/>
    <x v="11"/>
    <n v="847010"/>
    <s v="KUST - Main Campus"/>
    <x v="1"/>
    <x v="1"/>
    <n v="2975"/>
    <n v="0"/>
    <n v="0"/>
    <n v="30000"/>
    <n v="30000"/>
    <x v="1"/>
    <n v="0"/>
    <n v="0"/>
    <n v="40000"/>
    <n v="36000"/>
    <n v="32000"/>
    <n v="28000"/>
    <n v="50000"/>
    <n v="60000"/>
    <n v="10000"/>
  </r>
  <r>
    <s v="SVP/ Support Services Office"/>
    <s v="847.8470530.1.426210.000000.847001.200179"/>
    <n v="8470530"/>
    <s v="KUST - Facilities Management"/>
    <x v="73"/>
    <x v="73"/>
    <n v="847001"/>
    <s v="KUST - General"/>
    <x v="1"/>
    <x v="1"/>
    <n v="0"/>
    <n v="0"/>
    <n v="0"/>
    <n v="0"/>
    <n v="0"/>
    <x v="1"/>
    <n v="0"/>
    <n v="0"/>
    <n v="0"/>
    <n v="0"/>
    <n v="0"/>
    <n v="0"/>
    <n v="0"/>
    <n v="0"/>
    <n v="0"/>
  </r>
  <r>
    <s v="SVP/ Support Services Office"/>
    <s v="847.8470530.1.426220.000000.847010.200179"/>
    <n v="8470530"/>
    <s v="KUST - Facilities Management"/>
    <x v="31"/>
    <x v="31"/>
    <n v="847010"/>
    <s v="KUST - Main Campus"/>
    <x v="1"/>
    <x v="1"/>
    <n v="1189436"/>
    <n v="1013670"/>
    <n v="960437"/>
    <n v="960437"/>
    <n v="960437"/>
    <x v="192"/>
    <n v="0"/>
    <n v="0"/>
    <n v="960437"/>
    <n v="864393"/>
    <n v="768350"/>
    <n v="672306"/>
    <n v="960437"/>
    <n v="960437"/>
    <n v="0"/>
  </r>
  <r>
    <s v="SVP/ Support Services Office"/>
    <s v="847.8470530.1.426220.000000.847030.200179"/>
    <n v="8470530"/>
    <s v="KUST - Facilities Management"/>
    <x v="31"/>
    <x v="31"/>
    <n v="847030"/>
    <s v="KUST- Masdar city campus"/>
    <x v="1"/>
    <x v="1"/>
    <n v="1100732"/>
    <n v="344131"/>
    <n v="23714"/>
    <n v="23714"/>
    <n v="23714"/>
    <x v="1"/>
    <n v="0"/>
    <n v="0"/>
    <n v="23714"/>
    <n v="21343"/>
    <n v="18971"/>
    <n v="16600"/>
    <n v="23714"/>
    <n v="23714"/>
    <n v="0"/>
  </r>
  <r>
    <s v="SVP/ Support Services Office"/>
    <s v="847.8470530.1.426250.000000.847010.200179"/>
    <n v="8470530"/>
    <s v="KUST - Facilities Management"/>
    <x v="74"/>
    <x v="74"/>
    <n v="847010"/>
    <s v="KUST - Main Campus"/>
    <x v="1"/>
    <x v="1"/>
    <n v="30110"/>
    <n v="17753"/>
    <n v="4651"/>
    <n v="50000"/>
    <n v="50000"/>
    <x v="193"/>
    <n v="0"/>
    <n v="0"/>
    <n v="0"/>
    <n v="0"/>
    <n v="0"/>
    <n v="0"/>
    <n v="0"/>
    <n v="0"/>
    <n v="-50000"/>
  </r>
  <r>
    <s v="SVP/ Support Services Office"/>
    <s v="847.8470530.1.426800.000000.847001.200179"/>
    <n v="8470530"/>
    <s v="KUST - Facilities Management"/>
    <x v="75"/>
    <x v="75"/>
    <n v="847001"/>
    <s v="KUST - General"/>
    <x v="1"/>
    <x v="1"/>
    <n v="0"/>
    <n v="0"/>
    <n v="0"/>
    <n v="0"/>
    <n v="0"/>
    <x v="1"/>
    <n v="0"/>
    <n v="0"/>
    <n v="0"/>
    <n v="0"/>
    <n v="0"/>
    <n v="0"/>
    <n v="0"/>
    <n v="0"/>
    <n v="0"/>
  </r>
  <r>
    <s v="SVP/ Support Services Office"/>
    <s v="847.8470530.1.426900.000000.847001.200179"/>
    <n v="8470530"/>
    <s v="KUST - Facilities Management"/>
    <x v="19"/>
    <x v="19"/>
    <n v="847001"/>
    <s v="KUST - General"/>
    <x v="1"/>
    <x v="1"/>
    <n v="0"/>
    <n v="0"/>
    <n v="0"/>
    <n v="0"/>
    <n v="0"/>
    <x v="1"/>
    <n v="0"/>
    <n v="0"/>
    <n v="0"/>
    <n v="0"/>
    <n v="0"/>
    <n v="0"/>
    <n v="0"/>
    <n v="0"/>
    <n v="0"/>
  </r>
  <r>
    <s v="SVP/ Support Services Office"/>
    <s v="847.8470530.1.428090.000000.847001.200179"/>
    <n v="8470530"/>
    <s v="KUST - Facilities Management"/>
    <x v="13"/>
    <x v="13"/>
    <n v="847001"/>
    <s v="KUST - General"/>
    <x v="1"/>
    <x v="1"/>
    <n v="0"/>
    <n v="0"/>
    <n v="0"/>
    <n v="50000"/>
    <n v="50000"/>
    <x v="1"/>
    <n v="0"/>
    <n v="0"/>
    <n v="200000"/>
    <n v="180000"/>
    <n v="160000"/>
    <n v="140000"/>
    <n v="250000"/>
    <n v="300000"/>
    <n v="150000"/>
  </r>
  <r>
    <s v="SVP/ Support Services Office"/>
    <s v="847.8470530.1.428111.000000.847010.200179"/>
    <n v="8470530"/>
    <s v="KUST - Facilities Management"/>
    <x v="32"/>
    <x v="32"/>
    <n v="847010"/>
    <s v="KUST - Main Campus"/>
    <x v="1"/>
    <x v="1"/>
    <n v="8769943"/>
    <n v="10580049"/>
    <n v="7180436"/>
    <n v="0"/>
    <n v="0"/>
    <x v="1"/>
    <n v="0"/>
    <n v="0"/>
    <n v="0"/>
    <n v="0"/>
    <n v="0"/>
    <n v="0"/>
    <n v="0"/>
    <n v="0"/>
    <n v="0"/>
  </r>
  <r>
    <s v="SVP/ Support Services Office"/>
    <s v="847.8470530.1.428111.000000.847015.200179"/>
    <n v="8470530"/>
    <s v="KUST - Facilities Management"/>
    <x v="32"/>
    <x v="32"/>
    <n v="847015"/>
    <s v="Student Related Costs"/>
    <x v="1"/>
    <x v="1"/>
    <n v="0"/>
    <n v="0"/>
    <n v="3253301"/>
    <n v="0"/>
    <n v="0"/>
    <x v="1"/>
    <n v="0"/>
    <n v="0"/>
    <n v="0"/>
    <n v="0"/>
    <n v="0"/>
    <n v="0"/>
    <n v="0"/>
    <n v="0"/>
    <n v="0"/>
  </r>
  <r>
    <s v="SVP/ Support Services Office"/>
    <s v="847.8470530.1.428111.000000.847020.200179"/>
    <n v="8470530"/>
    <s v="KUST - Facilities Management"/>
    <x v="32"/>
    <x v="32"/>
    <n v="847020"/>
    <s v="KUST- Sas Al Nakhl Campus"/>
    <x v="1"/>
    <x v="1"/>
    <n v="3993876"/>
    <n v="4217862"/>
    <n v="3847536"/>
    <n v="0"/>
    <n v="0"/>
    <x v="1"/>
    <n v="0"/>
    <n v="0"/>
    <n v="0"/>
    <n v="0"/>
    <n v="0"/>
    <n v="0"/>
    <n v="0"/>
    <n v="0"/>
    <n v="0"/>
  </r>
  <r>
    <s v="SVP/ Support Services Office"/>
    <s v="847.8470530.1.428111.000000.847030.200179"/>
    <n v="8470530"/>
    <s v="KUST - Facilities Management"/>
    <x v="32"/>
    <x v="32"/>
    <n v="847030"/>
    <s v="KUST- Masdar city campus"/>
    <x v="1"/>
    <x v="1"/>
    <n v="9983814"/>
    <n v="3121318"/>
    <n v="215086"/>
    <n v="0"/>
    <n v="0"/>
    <x v="1"/>
    <n v="0"/>
    <n v="0"/>
    <n v="0"/>
    <n v="0"/>
    <n v="0"/>
    <n v="0"/>
    <n v="0"/>
    <n v="0"/>
    <n v="0"/>
  </r>
  <r>
    <s v="SVP/ Support Services Office"/>
    <s v="847.8470530.1.428112.000000.847010.200179"/>
    <n v="8470530"/>
    <s v="KUST - Facilities Management"/>
    <x v="33"/>
    <x v="33"/>
    <n v="847010"/>
    <s v="KUST - Main Campus"/>
    <x v="1"/>
    <x v="1"/>
    <n v="799000"/>
    <n v="1416630"/>
    <n v="1089518"/>
    <n v="0"/>
    <n v="0"/>
    <x v="1"/>
    <n v="0"/>
    <n v="0"/>
    <n v="0"/>
    <n v="0"/>
    <n v="0"/>
    <n v="0"/>
    <n v="0"/>
    <n v="0"/>
    <n v="0"/>
  </r>
  <r>
    <s v="SVP/ Support Services Office"/>
    <s v="847.8470530.1.428112.000000.847015.200179"/>
    <n v="8470530"/>
    <s v="KUST - Facilities Management"/>
    <x v="33"/>
    <x v="33"/>
    <n v="847015"/>
    <s v="Student Related Costs"/>
    <x v="1"/>
    <x v="1"/>
    <n v="0"/>
    <n v="0"/>
    <n v="857986"/>
    <n v="0"/>
    <n v="0"/>
    <x v="1"/>
    <n v="0"/>
    <n v="0"/>
    <n v="0"/>
    <n v="0"/>
    <n v="0"/>
    <n v="0"/>
    <n v="0"/>
    <n v="0"/>
    <n v="0"/>
  </r>
  <r>
    <s v="SVP/ Support Services Office"/>
    <s v="847.8470530.1.428112.000000.847020.200179"/>
    <n v="8470530"/>
    <s v="KUST - Facilities Management"/>
    <x v="33"/>
    <x v="33"/>
    <n v="847020"/>
    <s v="KUST- Sas Al Nakhl Campus"/>
    <x v="1"/>
    <x v="1"/>
    <n v="550145"/>
    <n v="2075963"/>
    <n v="1515252"/>
    <n v="0"/>
    <n v="0"/>
    <x v="1"/>
    <n v="0"/>
    <n v="0"/>
    <n v="0"/>
    <n v="0"/>
    <n v="0"/>
    <n v="0"/>
    <n v="0"/>
    <n v="0"/>
    <n v="0"/>
  </r>
  <r>
    <s v="SVP/ Support Services Office"/>
    <s v="847.8470530.1.429900.000000.847001.200179"/>
    <n v="8470530"/>
    <s v="KUST - Facilities Management"/>
    <x v="64"/>
    <x v="64"/>
    <n v="847001"/>
    <s v="KUST - General"/>
    <x v="1"/>
    <x v="1"/>
    <n v="0"/>
    <n v="0"/>
    <n v="0"/>
    <n v="0"/>
    <n v="0"/>
    <x v="1"/>
    <n v="0"/>
    <n v="0"/>
    <n v="20000"/>
    <n v="18000"/>
    <n v="16000"/>
    <n v="14000"/>
    <n v="0"/>
    <n v="0"/>
    <n v="20000"/>
  </r>
  <r>
    <s v="SVP/ Support Services Office"/>
    <s v="847.8470530.1.429900.000000.847010.200179"/>
    <n v="8470530"/>
    <s v="KUST - Facilities Management"/>
    <x v="64"/>
    <x v="64"/>
    <n v="847010"/>
    <s v="KUST - Main Campus"/>
    <x v="1"/>
    <x v="1"/>
    <n v="0"/>
    <n v="13750"/>
    <n v="155101"/>
    <n v="0"/>
    <n v="0"/>
    <x v="1"/>
    <n v="0"/>
    <n v="0"/>
    <n v="220000"/>
    <n v="198000"/>
    <n v="176000"/>
    <n v="154000"/>
    <n v="220000"/>
    <n v="220000"/>
    <n v="220000"/>
  </r>
  <r>
    <s v="SVP/ Support Services Office"/>
    <s v="847.8470530.1.430110.000000.847010.200179"/>
    <n v="8470530"/>
    <s v="KUST - Facilities Management"/>
    <x v="76"/>
    <x v="76"/>
    <n v="847010"/>
    <s v="KUST - Main Campus"/>
    <x v="1"/>
    <x v="1"/>
    <n v="0"/>
    <n v="0"/>
    <n v="0"/>
    <n v="0"/>
    <n v="0"/>
    <x v="1"/>
    <n v="0"/>
    <n v="0"/>
    <n v="233000"/>
    <n v="209700"/>
    <n v="186400"/>
    <n v="163100"/>
    <n v="233000"/>
    <n v="233000"/>
    <n v="233000"/>
  </r>
  <r>
    <s v="SVP/ Support Services Office"/>
    <s v="847.8470530.1.430120.000000.847020.200179"/>
    <n v="8470530"/>
    <s v="KUST - Facilities Management"/>
    <x v="77"/>
    <x v="77"/>
    <n v="847020"/>
    <s v="KUST- Sas Al Nakhl Campus"/>
    <x v="1"/>
    <x v="1"/>
    <n v="0"/>
    <n v="0"/>
    <n v="0"/>
    <n v="0"/>
    <n v="0"/>
    <x v="1"/>
    <n v="0"/>
    <n v="0"/>
    <n v="8000000"/>
    <n v="7200000"/>
    <n v="6400000"/>
    <n v="5600000"/>
    <n v="18000000"/>
    <n v="18000000"/>
    <n v="8000000"/>
  </r>
  <r>
    <s v="SVP/ Support Services Office"/>
    <s v="847.8470530.1.430120.000000.847030.200179"/>
    <n v="8470530"/>
    <s v="KUST - Facilities Management"/>
    <x v="77"/>
    <x v="77"/>
    <n v="847030"/>
    <s v="KUST- Masdar city campus"/>
    <x v="1"/>
    <x v="1"/>
    <n v="0"/>
    <n v="0"/>
    <n v="0"/>
    <n v="0"/>
    <n v="0"/>
    <x v="1"/>
    <n v="0"/>
    <n v="0"/>
    <n v="14219870"/>
    <n v="4128300"/>
    <n v="3669600"/>
    <n v="3210900"/>
    <n v="4679199"/>
    <n v="4725991"/>
    <n v="14219870"/>
  </r>
  <r>
    <s v="SVP/ Support Services Office"/>
    <s v="847.8470530.1.430330.000000.847001.200179"/>
    <n v="8470530"/>
    <s v="KUST - Facilities Management"/>
    <x v="78"/>
    <x v="78"/>
    <n v="847001"/>
    <s v="KUST - General"/>
    <x v="1"/>
    <x v="1"/>
    <n v="0"/>
    <n v="0"/>
    <n v="0"/>
    <n v="0"/>
    <n v="0"/>
    <x v="1"/>
    <n v="0"/>
    <n v="0"/>
    <n v="0"/>
    <n v="0"/>
    <n v="0"/>
    <n v="0"/>
    <n v="0"/>
    <n v="0"/>
    <n v="0"/>
  </r>
  <r>
    <s v="SVP/ Support Services Office"/>
    <s v="847.8470530.1.432120.000000.847010.200179"/>
    <n v="8470530"/>
    <s v="KUST - Facilities Management"/>
    <x v="35"/>
    <x v="35"/>
    <n v="847010"/>
    <s v="KUST - Main Campus"/>
    <x v="1"/>
    <x v="1"/>
    <n v="7270347"/>
    <n v="9225181"/>
    <n v="424725"/>
    <n v="11446037"/>
    <n v="11446037"/>
    <x v="194"/>
    <n v="439431"/>
    <n v="8002199.6200000001"/>
    <n v="14652121"/>
    <n v="11769859"/>
    <n v="10462097"/>
    <n v="9154335"/>
    <n v="14331121"/>
    <n v="13921121"/>
    <n v="3206084"/>
  </r>
  <r>
    <s v="SVP/ Support Services Office"/>
    <s v="847.8470530.1.432120.000000.847015.200179"/>
    <n v="8470530"/>
    <s v="KUST - Facilities Management"/>
    <x v="35"/>
    <x v="35"/>
    <n v="847015"/>
    <s v="Student Related Costs"/>
    <x v="1"/>
    <x v="1"/>
    <n v="0"/>
    <n v="0"/>
    <n v="5040562"/>
    <n v="5071140"/>
    <n v="5071140"/>
    <x v="195"/>
    <n v="0"/>
    <n v="4136091.85"/>
    <n v="9036550"/>
    <n v="7594695"/>
    <n v="6750840"/>
    <n v="5906985"/>
    <n v="0"/>
    <n v="0"/>
    <n v="3965410"/>
  </r>
  <r>
    <s v="SVP/ Support Services Office"/>
    <s v="847.8470530.1.432120.000000.847020.200179"/>
    <n v="8470530"/>
    <s v="KUST - Facilities Management"/>
    <x v="35"/>
    <x v="35"/>
    <n v="847020"/>
    <s v="KUST- Sas Al Nakhl Campus"/>
    <x v="1"/>
    <x v="1"/>
    <n v="12319515"/>
    <n v="4446804"/>
    <n v="493436"/>
    <n v="5446416"/>
    <n v="5446416"/>
    <x v="196"/>
    <n v="370000"/>
    <n v="4203272.38"/>
    <n v="8801646"/>
    <n v="6259181"/>
    <n v="5563717"/>
    <n v="4868252"/>
    <n v="17457196"/>
    <n v="16435196"/>
    <n v="3355230"/>
  </r>
  <r>
    <s v="SVP/ Support Services Office"/>
    <s v="847.8470530.1.432120.000000.847030.200179"/>
    <n v="8470530"/>
    <s v="KUST - Facilities Management"/>
    <x v="35"/>
    <x v="35"/>
    <n v="847030"/>
    <s v="KUST- Masdar city campus"/>
    <x v="1"/>
    <x v="1"/>
    <n v="9903918"/>
    <n v="8870349"/>
    <n v="2914112"/>
    <n v="1207678"/>
    <n v="1207678"/>
    <x v="197"/>
    <n v="8000"/>
    <n v="74950"/>
    <n v="1735252"/>
    <n v="540000"/>
    <n v="480000"/>
    <n v="420000"/>
    <n v="1735252"/>
    <n v="1735252"/>
    <n v="527574"/>
  </r>
  <r>
    <s v="SVP/ Support Services Office"/>
    <s v="847.8470530.1.432120.000000.847951.200179"/>
    <n v="8470530"/>
    <s v="KUST - Facilities Management"/>
    <x v="35"/>
    <x v="35"/>
    <n v="847951"/>
    <s v="COVID-19 Pandemic"/>
    <x v="1"/>
    <x v="1"/>
    <n v="0"/>
    <n v="0"/>
    <n v="8580"/>
    <n v="0"/>
    <n v="0"/>
    <x v="1"/>
    <n v="0"/>
    <n v="0"/>
    <n v="0"/>
    <n v="0"/>
    <n v="0"/>
    <n v="0"/>
    <n v="0"/>
    <n v="0"/>
    <n v="0"/>
  </r>
  <r>
    <s v="SVP/ Support Services Office"/>
    <s v="847.8470530.1.432170.000000.847010.200179"/>
    <n v="8470530"/>
    <s v="KUST - Facilities Management"/>
    <x v="38"/>
    <x v="38"/>
    <n v="847010"/>
    <s v="KUST - Main Campus"/>
    <x v="1"/>
    <x v="1"/>
    <n v="170448"/>
    <n v="83624"/>
    <n v="27198"/>
    <n v="30000"/>
    <n v="30000"/>
    <x v="198"/>
    <n v="0"/>
    <n v="0"/>
    <n v="30000"/>
    <n v="27000"/>
    <n v="24000"/>
    <n v="21000"/>
    <n v="30000"/>
    <n v="30000"/>
    <n v="0"/>
  </r>
  <r>
    <s v="SVP/ Support Services Office"/>
    <s v="847.8470530.1.432320.000000.847010.200179"/>
    <n v="8470530"/>
    <s v="KUST - Facilities Management"/>
    <x v="79"/>
    <x v="79"/>
    <n v="847010"/>
    <s v="KUST - Main Campus"/>
    <x v="1"/>
    <x v="1"/>
    <n v="20034"/>
    <n v="19422"/>
    <n v="-1570"/>
    <n v="26000"/>
    <n v="26000"/>
    <x v="199"/>
    <n v="0"/>
    <n v="0"/>
    <n v="25000"/>
    <n v="22500"/>
    <n v="20000"/>
    <n v="17500"/>
    <n v="25000"/>
    <n v="25000"/>
    <n v="-1000"/>
  </r>
  <r>
    <s v="SVP/ Support Services Office"/>
    <s v="847.8470530.1.432320.000000.847020.200179"/>
    <n v="8470530"/>
    <s v="KUST - Facilities Management"/>
    <x v="79"/>
    <x v="79"/>
    <n v="847020"/>
    <s v="KUST- Sas Al Nakhl Campus"/>
    <x v="1"/>
    <x v="1"/>
    <n v="0"/>
    <n v="0"/>
    <n v="0"/>
    <n v="0"/>
    <n v="0"/>
    <x v="1"/>
    <n v="0"/>
    <n v="0"/>
    <n v="30000"/>
    <n v="27000"/>
    <n v="24000"/>
    <n v="21000"/>
    <n v="0"/>
    <n v="0"/>
    <n v="30000"/>
  </r>
  <r>
    <s v="SVP/ Support Services Office"/>
    <s v="847.8470530.1.432540.000000.847001.200179"/>
    <n v="8470530"/>
    <s v="KUST - Facilities Management"/>
    <x v="80"/>
    <x v="80"/>
    <n v="847001"/>
    <s v="KUST - General"/>
    <x v="1"/>
    <x v="1"/>
    <n v="0"/>
    <n v="0"/>
    <n v="0"/>
    <n v="0"/>
    <n v="0"/>
    <x v="1"/>
    <n v="0"/>
    <n v="0"/>
    <n v="0"/>
    <n v="0"/>
    <n v="0"/>
    <n v="0"/>
    <n v="0"/>
    <n v="0"/>
    <n v="0"/>
  </r>
  <r>
    <s v="SVP/ Support Services Office"/>
    <s v="847.8470530.1.436110.000000.847001.200179"/>
    <n v="8470530"/>
    <s v="KUST - Facilities Management"/>
    <x v="15"/>
    <x v="15"/>
    <n v="847001"/>
    <s v="KUST - General"/>
    <x v="1"/>
    <x v="1"/>
    <n v="0"/>
    <n v="0"/>
    <n v="0"/>
    <n v="0"/>
    <n v="0"/>
    <x v="1"/>
    <n v="0"/>
    <n v="0"/>
    <n v="0"/>
    <n v="0"/>
    <n v="0"/>
    <n v="0"/>
    <n v="0"/>
    <n v="0"/>
    <n v="0"/>
  </r>
  <r>
    <s v="SVP/ Support Services Office"/>
    <s v="847.8470530.1.436220.000000.847001.200179"/>
    <n v="8470530"/>
    <s v="KUST - Facilities Management"/>
    <x v="81"/>
    <x v="81"/>
    <n v="847001"/>
    <s v="KUST - General"/>
    <x v="1"/>
    <x v="1"/>
    <n v="0"/>
    <n v="0"/>
    <n v="0"/>
    <n v="0"/>
    <n v="0"/>
    <x v="1"/>
    <n v="0"/>
    <n v="0"/>
    <n v="0"/>
    <n v="0"/>
    <n v="0"/>
    <n v="0"/>
    <n v="0"/>
    <n v="0"/>
    <n v="0"/>
  </r>
  <r>
    <s v="SVP/ Support Services Office"/>
    <s v="847.8470530.1.492200.000000.847010.300180"/>
    <n v="8470530"/>
    <s v="KUST - Facilities Management"/>
    <x v="82"/>
    <x v="82"/>
    <n v="847010"/>
    <s v="KUST - Main Campus"/>
    <x v="2"/>
    <x v="2"/>
    <n v="37147646"/>
    <n v="25209027"/>
    <n v="25040688"/>
    <n v="18425319"/>
    <n v="18425319"/>
    <x v="200"/>
    <n v="5645292.7800000003"/>
    <n v="8872317"/>
    <n v="35300560"/>
    <n v="1800000"/>
    <n v="1600000"/>
    <n v="1400000"/>
    <n v="5000000"/>
    <n v="650000"/>
    <n v="16875241"/>
  </r>
  <r>
    <s v="SVP/ Support Services Office"/>
    <s v="847.8470530.1.492200.000000.847015.300180"/>
    <n v="8470530"/>
    <s v="KUST - Facilities Management"/>
    <x v="82"/>
    <x v="82"/>
    <n v="847015"/>
    <s v="Student Related Costs"/>
    <x v="2"/>
    <x v="2"/>
    <n v="0"/>
    <n v="0"/>
    <n v="1343400"/>
    <n v="0"/>
    <n v="0"/>
    <x v="1"/>
    <n v="0"/>
    <n v="0"/>
    <n v="200000"/>
    <n v="180000"/>
    <n v="160000"/>
    <n v="140000"/>
    <n v="0"/>
    <n v="0"/>
    <n v="200000"/>
  </r>
  <r>
    <s v="SVP/ Support Services Office"/>
    <s v="847.8470530.1.492200.000000.847020.300180"/>
    <n v="8470530"/>
    <s v="KUST - Facilities Management"/>
    <x v="82"/>
    <x v="82"/>
    <n v="847020"/>
    <s v="KUST- Sas Al Nakhl Campus"/>
    <x v="2"/>
    <x v="2"/>
    <n v="1668930"/>
    <n v="2473827"/>
    <n v="2319769"/>
    <n v="23638949"/>
    <n v="23638949"/>
    <x v="201"/>
    <n v="7102853"/>
    <n v="7828634.5999999996"/>
    <n v="68152000"/>
    <n v="33120000"/>
    <n v="29440000"/>
    <n v="25760000"/>
    <n v="9790000"/>
    <n v="0"/>
    <n v="44513051"/>
  </r>
  <r>
    <s v="SVP/ Support Services Office"/>
    <s v="847.8470530.1.492316.000000.847001.300180"/>
    <n v="8470530"/>
    <s v="KUST - Facilities Management"/>
    <x v="39"/>
    <x v="39"/>
    <n v="847001"/>
    <s v="KUST - General"/>
    <x v="2"/>
    <x v="2"/>
    <n v="0"/>
    <n v="0"/>
    <n v="0"/>
    <n v="0"/>
    <n v="0"/>
    <x v="1"/>
    <n v="0"/>
    <n v="0"/>
    <n v="0"/>
    <n v="0"/>
    <n v="0"/>
    <n v="0"/>
    <n v="0"/>
    <n v="0"/>
    <n v="0"/>
  </r>
  <r>
    <s v="SVP/ Support Services Office"/>
    <s v="847.8470530.1.492610.000000.847010.300180"/>
    <n v="8470530"/>
    <s v="KUST - Facilities Management"/>
    <x v="83"/>
    <x v="83"/>
    <n v="847010"/>
    <s v="KUST - Main Campus"/>
    <x v="2"/>
    <x v="2"/>
    <n v="2109855"/>
    <n v="6216230"/>
    <n v="1623494"/>
    <n v="1271162"/>
    <n v="1271162"/>
    <x v="202"/>
    <n v="668595"/>
    <n v="49374"/>
    <n v="6046594"/>
    <n v="1530000"/>
    <n v="1360000"/>
    <n v="1190000"/>
    <n v="0"/>
    <n v="0"/>
    <n v="4775432"/>
  </r>
  <r>
    <s v="SVP/ Support Services Office"/>
    <s v="847.8470530.1.492610.000000.847015.300180"/>
    <n v="8470530"/>
    <s v="KUST - Facilities Management"/>
    <x v="83"/>
    <x v="83"/>
    <n v="847015"/>
    <s v="Student Related Costs"/>
    <x v="2"/>
    <x v="2"/>
    <n v="0"/>
    <n v="0"/>
    <n v="142490"/>
    <n v="32800"/>
    <n v="32800"/>
    <x v="203"/>
    <n v="0"/>
    <n v="0"/>
    <n v="0"/>
    <n v="0"/>
    <n v="0"/>
    <n v="0"/>
    <n v="0"/>
    <n v="0"/>
    <n v="-32800"/>
  </r>
  <r>
    <s v="SVP/ Support Services Office"/>
    <s v="847.8470530.1.492610.000000.847020.300180"/>
    <n v="8470530"/>
    <s v="KUST - Facilities Management"/>
    <x v="83"/>
    <x v="83"/>
    <n v="847020"/>
    <s v="KUST- Sas Al Nakhl Campus"/>
    <x v="2"/>
    <x v="2"/>
    <n v="1433359"/>
    <n v="0"/>
    <n v="0"/>
    <n v="775893"/>
    <n v="775893"/>
    <x v="1"/>
    <n v="82282"/>
    <n v="0"/>
    <n v="280000"/>
    <n v="252000"/>
    <n v="224000"/>
    <n v="196000"/>
    <n v="100000"/>
    <n v="100000"/>
    <n v="-495893"/>
  </r>
  <r>
    <s v="SVP/ Support Services Office"/>
    <s v="847.8470530.1.495110.000000.847001.300180"/>
    <n v="8470530"/>
    <s v="KUST - Facilities Management"/>
    <x v="53"/>
    <x v="53"/>
    <n v="847001"/>
    <s v="KUST - General"/>
    <x v="2"/>
    <x v="2"/>
    <n v="0"/>
    <n v="0"/>
    <n v="0"/>
    <n v="0"/>
    <n v="0"/>
    <x v="1"/>
    <n v="0"/>
    <n v="0"/>
    <n v="1800000"/>
    <n v="1620000"/>
    <n v="1440000"/>
    <n v="1260000"/>
    <n v="2200000"/>
    <n v="2500000"/>
    <n v="1800000"/>
  </r>
  <r>
    <s v="SVP/ Support Services Office"/>
    <s v="847.8470530.1.495140.000000.847010.300180"/>
    <n v="8470530"/>
    <s v="KUST - Facilities Management"/>
    <x v="52"/>
    <x v="52"/>
    <n v="847010"/>
    <s v="KUST - Main Campus"/>
    <x v="2"/>
    <x v="2"/>
    <n v="0"/>
    <n v="267131"/>
    <n v="18150"/>
    <n v="30312"/>
    <n v="30312"/>
    <x v="1"/>
    <n v="0"/>
    <n v="30302.25"/>
    <n v="0"/>
    <n v="0"/>
    <n v="0"/>
    <n v="0"/>
    <n v="0"/>
    <n v="0"/>
    <n v="-30312"/>
  </r>
  <r>
    <s v="SVP/ Support Services Office"/>
    <s v="847.8470540.1.422900.000000.847010.200179"/>
    <n v="8470540"/>
    <s v="KUST - Administration"/>
    <x v="57"/>
    <x v="57"/>
    <n v="847010"/>
    <s v="KUST - Main Campus"/>
    <x v="1"/>
    <x v="1"/>
    <n v="0"/>
    <n v="0"/>
    <n v="0"/>
    <n v="0"/>
    <n v="0"/>
    <x v="1"/>
    <n v="0"/>
    <n v="0"/>
    <n v="900000"/>
    <n v="810000"/>
    <n v="720000"/>
    <n v="630000"/>
    <n v="900000"/>
    <n v="900000"/>
    <n v="900000"/>
  </r>
  <r>
    <s v="SVP/ Support Services Office"/>
    <s v="847.8470540.1.426250.000000.847010.200179"/>
    <n v="8470540"/>
    <s v="KUST - Administration"/>
    <x v="74"/>
    <x v="74"/>
    <n v="847010"/>
    <s v="KUST - Main Campus"/>
    <x v="1"/>
    <x v="1"/>
    <n v="0"/>
    <n v="0"/>
    <n v="0"/>
    <n v="0"/>
    <n v="0"/>
    <x v="1"/>
    <n v="0"/>
    <n v="0"/>
    <n v="50000"/>
    <n v="45000"/>
    <n v="40000"/>
    <n v="35000"/>
    <n v="50000"/>
    <n v="50000"/>
    <n v="50000"/>
  </r>
  <r>
    <s v="SVP/ Support Services Office"/>
    <s v="847.8470540.1.426800.000000.847010.200179"/>
    <n v="8470540"/>
    <s v="KUST - Administration"/>
    <x v="75"/>
    <x v="75"/>
    <n v="847010"/>
    <s v="KUST - Main Campus"/>
    <x v="1"/>
    <x v="1"/>
    <n v="0"/>
    <n v="0"/>
    <n v="0"/>
    <n v="10000"/>
    <n v="10000"/>
    <x v="204"/>
    <n v="0"/>
    <n v="0"/>
    <n v="10000"/>
    <n v="9000"/>
    <n v="8000"/>
    <n v="7000"/>
    <n v="10000"/>
    <n v="10000"/>
    <n v="0"/>
  </r>
  <r>
    <s v="SVP/ Support Services Office"/>
    <s v="847.8470540.1.426900.000000.847010.200179"/>
    <n v="8470540"/>
    <s v="KUST - Administration"/>
    <x v="19"/>
    <x v="19"/>
    <n v="847010"/>
    <s v="KUST - Main Campus"/>
    <x v="1"/>
    <x v="1"/>
    <n v="0"/>
    <n v="0"/>
    <n v="0"/>
    <n v="30000"/>
    <n v="30000"/>
    <x v="205"/>
    <n v="0"/>
    <n v="0"/>
    <n v="30000"/>
    <n v="27000"/>
    <n v="24000"/>
    <n v="21000"/>
    <n v="30000"/>
    <n v="30000"/>
    <n v="0"/>
  </r>
  <r>
    <s v="SVP/ Support Services Office"/>
    <s v="847.8470540.1.428111.000000.847010.200179"/>
    <n v="8470540"/>
    <s v="KUST - Administration"/>
    <x v="32"/>
    <x v="32"/>
    <n v="847010"/>
    <s v="KUST - Main Campus"/>
    <x v="1"/>
    <x v="1"/>
    <n v="0"/>
    <n v="0"/>
    <n v="0"/>
    <n v="7349560"/>
    <n v="7349560"/>
    <x v="206"/>
    <n v="0"/>
    <n v="0"/>
    <n v="9664500"/>
    <n v="8698050"/>
    <n v="7731600"/>
    <n v="6765150"/>
    <n v="9664500"/>
    <n v="9664500"/>
    <n v="2314940"/>
  </r>
  <r>
    <s v="SVP/ Support Services Office"/>
    <s v="847.8470540.1.428111.000000.847015.200179"/>
    <n v="8470540"/>
    <s v="KUST - Administration"/>
    <x v="32"/>
    <x v="32"/>
    <n v="847015"/>
    <s v="Student Related Costs"/>
    <x v="1"/>
    <x v="1"/>
    <n v="0"/>
    <n v="0"/>
    <n v="0"/>
    <n v="4615084"/>
    <n v="4615084"/>
    <x v="207"/>
    <n v="0"/>
    <n v="0"/>
    <n v="4615084"/>
    <n v="4153576"/>
    <n v="3692067"/>
    <n v="3230559"/>
    <n v="4615084"/>
    <n v="4615084"/>
    <n v="0"/>
  </r>
  <r>
    <s v="SVP/ Support Services Office"/>
    <s v="847.8470540.1.428111.000000.847020.200179"/>
    <n v="8470540"/>
    <s v="KUST - Administration"/>
    <x v="32"/>
    <x v="32"/>
    <n v="847020"/>
    <s v="KUST- Sas Al Nakhl Campus"/>
    <x v="1"/>
    <x v="1"/>
    <n v="0"/>
    <n v="0"/>
    <n v="0"/>
    <n v="3058446"/>
    <n v="3058446"/>
    <x v="208"/>
    <n v="0"/>
    <n v="0"/>
    <n v="3976000"/>
    <n v="3578400"/>
    <n v="3180800"/>
    <n v="2783200"/>
    <n v="3976000"/>
    <n v="3976000"/>
    <n v="917554"/>
  </r>
  <r>
    <s v="SVP/ Support Services Office"/>
    <s v="847.8470540.1.428111.000000.847030.200179"/>
    <n v="8470540"/>
    <s v="KUST - Administration"/>
    <x v="32"/>
    <x v="32"/>
    <n v="847030"/>
    <s v="KUST- Masdar city campus"/>
    <x v="1"/>
    <x v="1"/>
    <n v="0"/>
    <n v="0"/>
    <n v="0"/>
    <n v="442627"/>
    <n v="442627"/>
    <x v="1"/>
    <n v="0"/>
    <n v="0"/>
    <n v="442627"/>
    <n v="398364"/>
    <n v="354102"/>
    <n v="309839"/>
    <n v="442627"/>
    <n v="442627"/>
    <n v="0"/>
  </r>
  <r>
    <s v="SVP/ Support Services Office"/>
    <s v="847.8470540.1.428112.000000.847010.200179"/>
    <n v="8470540"/>
    <s v="KUST - Administration"/>
    <x v="33"/>
    <x v="33"/>
    <n v="847010"/>
    <s v="KUST - Main Campus"/>
    <x v="1"/>
    <x v="1"/>
    <n v="0"/>
    <n v="0"/>
    <n v="0"/>
    <n v="1153128"/>
    <n v="1153128"/>
    <x v="209"/>
    <n v="0"/>
    <n v="0"/>
    <n v="1500000"/>
    <n v="1350000"/>
    <n v="1200000"/>
    <n v="1050000"/>
    <n v="1500000"/>
    <n v="1500000"/>
    <n v="346872"/>
  </r>
  <r>
    <s v="SVP/ Support Services Office"/>
    <s v="847.8470540.1.428112.000000.847015.200179"/>
    <n v="8470540"/>
    <s v="KUST - Administration"/>
    <x v="33"/>
    <x v="33"/>
    <n v="847015"/>
    <s v="Student Related Costs"/>
    <x v="1"/>
    <x v="1"/>
    <n v="0"/>
    <n v="0"/>
    <n v="0"/>
    <n v="1681399"/>
    <n v="1681399"/>
    <x v="210"/>
    <n v="0"/>
    <n v="0"/>
    <n v="1681399"/>
    <n v="1513259"/>
    <n v="1345119"/>
    <n v="1176979"/>
    <n v="1681399"/>
    <n v="1681399"/>
    <n v="0"/>
  </r>
  <r>
    <s v="SVP/ Support Services Office"/>
    <s v="847.8470540.1.428112.000000.847020.200179"/>
    <n v="8470540"/>
    <s v="KUST - Administration"/>
    <x v="33"/>
    <x v="33"/>
    <n v="847020"/>
    <s v="KUST- Sas Al Nakhl Campus"/>
    <x v="1"/>
    <x v="1"/>
    <n v="0"/>
    <n v="0"/>
    <n v="0"/>
    <n v="1703132"/>
    <n v="1703132"/>
    <x v="211"/>
    <n v="0"/>
    <n v="0"/>
    <n v="1873450"/>
    <n v="1686105"/>
    <n v="1498760"/>
    <n v="1311415"/>
    <n v="1873450"/>
    <n v="1873450"/>
    <n v="170318"/>
  </r>
  <r>
    <s v="SVP/ Support Services Office"/>
    <s v="847.8470540.1.428112.000000.847030.200179"/>
    <n v="8470540"/>
    <s v="KUST - Administration"/>
    <x v="33"/>
    <x v="33"/>
    <n v="847030"/>
    <s v="KUST- Masdar city campus"/>
    <x v="1"/>
    <x v="1"/>
    <n v="0"/>
    <n v="0"/>
    <n v="0"/>
    <n v="153570"/>
    <n v="153570"/>
    <x v="1"/>
    <n v="0"/>
    <n v="0"/>
    <n v="153570"/>
    <n v="138213"/>
    <n v="122856"/>
    <n v="107499"/>
    <n v="153570"/>
    <n v="153570"/>
    <n v="0"/>
  </r>
  <r>
    <s v="SVP/ Support Services Office"/>
    <s v="847.8470540.1.429900.000000.847010.200179"/>
    <n v="8470540"/>
    <s v="KUST - Administration"/>
    <x v="64"/>
    <x v="64"/>
    <n v="847010"/>
    <s v="KUST - Main Campus"/>
    <x v="1"/>
    <x v="1"/>
    <n v="0"/>
    <n v="0"/>
    <n v="0"/>
    <n v="44000"/>
    <n v="44000"/>
    <x v="212"/>
    <n v="0"/>
    <n v="0"/>
    <n v="48000"/>
    <n v="39600"/>
    <n v="35200"/>
    <n v="30800"/>
    <n v="48000"/>
    <n v="48000"/>
    <n v="4000"/>
  </r>
  <r>
    <s v="SVP/ Support Services Office"/>
    <s v="847.8470540.1.430330.000000.847010.200179"/>
    <n v="8470540"/>
    <s v="KUST - Administration"/>
    <x v="78"/>
    <x v="78"/>
    <n v="847010"/>
    <s v="KUST - Main Campus"/>
    <x v="1"/>
    <x v="1"/>
    <n v="0"/>
    <n v="0"/>
    <n v="581760"/>
    <n v="967680"/>
    <n v="967680"/>
    <x v="1"/>
    <n v="750960"/>
    <n v="21000"/>
    <n v="1870125"/>
    <n v="990004"/>
    <n v="880003"/>
    <n v="770003"/>
    <n v="1870125"/>
    <n v="1870121"/>
    <n v="902445"/>
  </r>
  <r>
    <s v="SVP/ Support Services Office"/>
    <s v="847.8470540.1.432540.000000.847010.200179"/>
    <n v="8470540"/>
    <s v="KUST - Administration"/>
    <x v="80"/>
    <x v="80"/>
    <n v="847010"/>
    <s v="KUST - Main Campus"/>
    <x v="1"/>
    <x v="1"/>
    <n v="0"/>
    <n v="0"/>
    <n v="37509"/>
    <n v="140000"/>
    <n v="140000"/>
    <x v="213"/>
    <n v="2"/>
    <n v="0"/>
    <n v="140000"/>
    <n v="126000"/>
    <n v="112000"/>
    <n v="98000"/>
    <n v="140000"/>
    <n v="140000"/>
    <n v="0"/>
  </r>
  <r>
    <s v="SVP/ Support Services Office"/>
    <s v="847.8470540.1.435410.000000.847020.200179"/>
    <n v="8470540"/>
    <s v="KUST - Administration"/>
    <x v="84"/>
    <x v="84"/>
    <n v="847020"/>
    <s v="KUST- Sas Al Nakhl Campus"/>
    <x v="1"/>
    <x v="1"/>
    <n v="0"/>
    <n v="0"/>
    <n v="0"/>
    <n v="675690"/>
    <n v="675690"/>
    <x v="214"/>
    <n v="0"/>
    <n v="-7.2759576141834308E-12"/>
    <n v="840000"/>
    <n v="756000"/>
    <n v="672000"/>
    <n v="588000"/>
    <n v="840000"/>
    <n v="840000"/>
    <n v="164310"/>
  </r>
  <r>
    <s v="SVP/ Support Services Office"/>
    <s v="847.8470540.1.435740.000000.847010.200179"/>
    <n v="8470540"/>
    <s v="KUST - Administration"/>
    <x v="85"/>
    <x v="85"/>
    <n v="847010"/>
    <s v="KUST - Main Campus"/>
    <x v="1"/>
    <x v="1"/>
    <n v="0"/>
    <n v="0"/>
    <n v="0"/>
    <n v="336000"/>
    <n v="336000"/>
    <x v="215"/>
    <n v="0"/>
    <n v="0"/>
    <n v="336000"/>
    <n v="302400"/>
    <n v="268800"/>
    <n v="235200"/>
    <n v="336000"/>
    <n v="336000"/>
    <n v="0"/>
  </r>
  <r>
    <s v="SVP/ Support Services Office"/>
    <s v="847.8470540.1.436110.000000.847010.200179"/>
    <n v="8470540"/>
    <s v="KUST - Administration"/>
    <x v="15"/>
    <x v="15"/>
    <n v="847010"/>
    <s v="KUST - Main Campus"/>
    <x v="1"/>
    <x v="1"/>
    <n v="0"/>
    <n v="0"/>
    <n v="0"/>
    <n v="193910"/>
    <n v="193910"/>
    <x v="216"/>
    <n v="0"/>
    <n v="33500"/>
    <n v="85700"/>
    <n v="77130"/>
    <n v="68560"/>
    <n v="59990"/>
    <n v="85700"/>
    <n v="94500"/>
    <n v="-108210"/>
  </r>
  <r>
    <s v="SVP/ Support Services Office"/>
    <s v="847.8470620.1.420130.000000.847001.200179"/>
    <n v="8470620"/>
    <s v="KUST - Finance Operations"/>
    <x v="86"/>
    <x v="86"/>
    <n v="847001"/>
    <s v="KUST - General"/>
    <x v="1"/>
    <x v="1"/>
    <n v="135000"/>
    <n v="543500"/>
    <n v="203515"/>
    <n v="295000"/>
    <n v="295000"/>
    <x v="217"/>
    <n v="0"/>
    <n v="0"/>
    <n v="236850"/>
    <n v="213165"/>
    <n v="0"/>
    <n v="165795"/>
    <n v="236850"/>
    <n v="236850"/>
    <n v="-58150"/>
  </r>
  <r>
    <s v="SVP/ Support Services Office"/>
    <s v="847.8470620.1.422900.000000.847001.200179"/>
    <n v="8470620"/>
    <s v="KUST - Finance Operations"/>
    <x v="57"/>
    <x v="57"/>
    <n v="847001"/>
    <s v="KUST - General"/>
    <x v="1"/>
    <x v="1"/>
    <n v="0"/>
    <n v="0"/>
    <n v="0"/>
    <n v="416100"/>
    <n v="416100"/>
    <x v="218"/>
    <n v="0"/>
    <n v="353685"/>
    <n v="585000"/>
    <n v="189000"/>
    <n v="0"/>
    <n v="147000"/>
    <n v="0"/>
    <n v="480000"/>
    <n v="168900"/>
  </r>
  <r>
    <s v="SVP/ Support Services Office"/>
    <s v="847.8470620.1.425300.000000.847001.200179"/>
    <n v="8470620"/>
    <s v="KUST - Finance Operations"/>
    <x v="87"/>
    <x v="87"/>
    <n v="847001"/>
    <s v="KUST - General"/>
    <x v="1"/>
    <x v="1"/>
    <n v="20258"/>
    <n v="2001"/>
    <n v="1157"/>
    <n v="3600"/>
    <n v="3600"/>
    <x v="219"/>
    <n v="0"/>
    <n v="0"/>
    <n v="2400"/>
    <n v="2160"/>
    <n v="0"/>
    <n v="1680"/>
    <n v="3000"/>
    <n v="3000"/>
    <n v="-1200"/>
  </r>
  <r>
    <s v="SVP/ Support Services Office"/>
    <s v="847.8470620.1.425350.000000.847001.200179"/>
    <n v="8470620"/>
    <s v="KUST - Finance Operations"/>
    <x v="88"/>
    <x v="88"/>
    <n v="847001"/>
    <s v="KUST - General"/>
    <x v="1"/>
    <x v="1"/>
    <n v="76670"/>
    <n v="71797"/>
    <n v="57763"/>
    <n v="90000"/>
    <n v="90000"/>
    <x v="220"/>
    <n v="0"/>
    <n v="0"/>
    <n v="117000"/>
    <n v="105300"/>
    <n v="0"/>
    <n v="81900"/>
    <n v="121000"/>
    <n v="121000"/>
    <n v="27000"/>
  </r>
  <r>
    <s v="SVP/ Support Services Office"/>
    <s v="847.8470620.1.425900.000000.847001.200179"/>
    <n v="8470620"/>
    <s v="KUST - Finance Operations"/>
    <x v="11"/>
    <x v="11"/>
    <n v="847001"/>
    <s v="KUST - General"/>
    <x v="1"/>
    <x v="1"/>
    <n v="7422"/>
    <n v="500"/>
    <n v="2000"/>
    <n v="0"/>
    <n v="0"/>
    <x v="1"/>
    <n v="0"/>
    <n v="0"/>
    <n v="6800"/>
    <n v="6120"/>
    <n v="0"/>
    <n v="4760"/>
    <n v="8000"/>
    <n v="8000"/>
    <n v="6800"/>
  </r>
  <r>
    <s v="SVP/ Support Services Office"/>
    <s v="847.8470620.1.426610.000000.847001.200179"/>
    <n v="8470620"/>
    <s v="KUST - Finance Operations"/>
    <x v="12"/>
    <x v="12"/>
    <n v="847001"/>
    <s v="KUST - General"/>
    <x v="1"/>
    <x v="1"/>
    <n v="31680"/>
    <n v="31680"/>
    <n v="31680"/>
    <n v="31680"/>
    <n v="31680"/>
    <x v="1"/>
    <n v="0"/>
    <n v="0"/>
    <n v="31680"/>
    <n v="28512"/>
    <n v="0"/>
    <n v="22176"/>
    <n v="31680"/>
    <n v="31680"/>
    <n v="0"/>
  </r>
  <r>
    <s v="SVP/ Support Services Office"/>
    <s v="847.8470620.1.436110.000000.847001.200179"/>
    <n v="8470620"/>
    <s v="KUST - Finance Operations"/>
    <x v="15"/>
    <x v="15"/>
    <n v="847001"/>
    <s v="KUST - General"/>
    <x v="1"/>
    <x v="1"/>
    <n v="12035"/>
    <n v="36"/>
    <n v="4567"/>
    <n v="0"/>
    <n v="0"/>
    <x v="1"/>
    <n v="0"/>
    <n v="0"/>
    <n v="4000"/>
    <n v="3600"/>
    <n v="0"/>
    <n v="2800"/>
    <n v="0"/>
    <n v="0"/>
    <n v="4000"/>
  </r>
  <r>
    <s v="SVP/ Support Services Office"/>
    <s v="847.8470630.1.425100.000000.847001.200179"/>
    <n v="8470630"/>
    <s v="KUST - Business Development"/>
    <x v="2"/>
    <x v="2"/>
    <n v="847001"/>
    <s v="KUST - General"/>
    <x v="1"/>
    <x v="1"/>
    <n v="0"/>
    <n v="0"/>
    <n v="0"/>
    <n v="0"/>
    <n v="0"/>
    <x v="1"/>
    <n v="0"/>
    <n v="0"/>
    <n v="100000"/>
    <n v="90000"/>
    <n v="0"/>
    <n v="70000"/>
    <n v="100000"/>
    <n v="100000"/>
    <n v="100000"/>
  </r>
  <r>
    <s v="SVP/ Support Services Office"/>
    <s v="847.8470630.1.425550.000000.847001.200179"/>
    <n v="8470630"/>
    <s v="KUST - Business Development"/>
    <x v="4"/>
    <x v="4"/>
    <n v="847001"/>
    <s v="KUST - General"/>
    <x v="1"/>
    <x v="1"/>
    <n v="0"/>
    <n v="0"/>
    <n v="0"/>
    <n v="0"/>
    <n v="0"/>
    <x v="1"/>
    <n v="0"/>
    <n v="0"/>
    <n v="200000"/>
    <n v="180000"/>
    <n v="0"/>
    <n v="140000"/>
    <n v="200000"/>
    <n v="200000"/>
    <n v="200000"/>
  </r>
  <r>
    <s v="SVP/ Support Services Office"/>
    <s v="847.8470630.1.427200.000000.847001.200179"/>
    <n v="8470630"/>
    <s v="KUST - Business Development"/>
    <x v="46"/>
    <x v="46"/>
    <n v="847001"/>
    <s v="KUST - General"/>
    <x v="1"/>
    <x v="1"/>
    <n v="0"/>
    <n v="0"/>
    <n v="0"/>
    <n v="0"/>
    <n v="0"/>
    <x v="1"/>
    <n v="0"/>
    <n v="0"/>
    <n v="10000"/>
    <n v="9000"/>
    <n v="0"/>
    <n v="7000"/>
    <n v="10000"/>
    <n v="10000"/>
    <n v="10000"/>
  </r>
  <r>
    <s v="SVP/ Support Services Office"/>
    <s v="847.8470630.1.436600.000000.847001.200179"/>
    <n v="8470630"/>
    <s v="KUST - Business Development"/>
    <x v="48"/>
    <x v="48"/>
    <n v="847001"/>
    <s v="KUST - General"/>
    <x v="1"/>
    <x v="1"/>
    <n v="0"/>
    <n v="0"/>
    <n v="0"/>
    <n v="0"/>
    <n v="0"/>
    <x v="1"/>
    <n v="0"/>
    <n v="0"/>
    <n v="12000"/>
    <n v="10800"/>
    <n v="0"/>
    <n v="8400"/>
    <n v="12000"/>
    <n v="12000"/>
    <n v="12000"/>
  </r>
  <r>
    <s v="SVP/ Support Services Office"/>
    <s v="847.8470730.1.426610.000000.847001.200179"/>
    <n v="8470730"/>
    <s v="KUST - Human Resources"/>
    <x v="12"/>
    <x v="12"/>
    <n v="847001"/>
    <s v="KUST - General"/>
    <x v="1"/>
    <x v="1"/>
    <n v="13496"/>
    <n v="710395"/>
    <n v="354292"/>
    <n v="300000"/>
    <n v="300000"/>
    <x v="1"/>
    <n v="0"/>
    <n v="17000"/>
    <n v="475000"/>
    <n v="157500"/>
    <n v="0"/>
    <n v="122500"/>
    <n v="300000"/>
    <n v="475000"/>
    <n v="175000"/>
  </r>
  <r>
    <s v="SVP/ Support Services Office"/>
    <s v="847.8470730.1.427900.000000.847001.200179"/>
    <n v="8470730"/>
    <s v="KUST - Human Resources"/>
    <x v="69"/>
    <x v="69"/>
    <n v="847001"/>
    <s v="KUST - General"/>
    <x v="1"/>
    <x v="1"/>
    <n v="0"/>
    <n v="0"/>
    <n v="0"/>
    <n v="10000"/>
    <n v="10000"/>
    <x v="1"/>
    <n v="0"/>
    <n v="0"/>
    <n v="10000"/>
    <n v="9000"/>
    <n v="0"/>
    <n v="7000"/>
    <n v="10000"/>
    <n v="10000"/>
    <n v="0"/>
  </r>
  <r>
    <s v="SVP/ Support Services Office"/>
    <s v="847.8470730.1.428640.000000.847001.200179"/>
    <n v="8470730"/>
    <s v="KUST - Human Resources"/>
    <x v="14"/>
    <x v="14"/>
    <n v="847001"/>
    <s v="KUST - General"/>
    <x v="1"/>
    <x v="1"/>
    <n v="0"/>
    <n v="0"/>
    <n v="0"/>
    <n v="250000"/>
    <n v="250000"/>
    <x v="221"/>
    <n v="27108"/>
    <n v="0"/>
    <n v="1000000"/>
    <n v="900000"/>
    <n v="0"/>
    <n v="700000"/>
    <n v="500000"/>
    <n v="500000"/>
    <n v="750000"/>
  </r>
  <r>
    <s v="SVP/ Support Services Office"/>
    <s v="847.8470730.1.436110.000000.847001.200179"/>
    <n v="8470730"/>
    <s v="KUST - Human Resources"/>
    <x v="15"/>
    <x v="15"/>
    <n v="847001"/>
    <s v="KUST - General"/>
    <x v="1"/>
    <x v="1"/>
    <n v="13910"/>
    <n v="29325"/>
    <n v="40440"/>
    <n v="50000"/>
    <n v="50000"/>
    <x v="1"/>
    <n v="0"/>
    <n v="0"/>
    <n v="50000"/>
    <n v="45000"/>
    <n v="0"/>
    <n v="35000"/>
    <n v="10000"/>
    <n v="10000"/>
    <n v="0"/>
  </r>
  <r>
    <s v="SVP/ Support Services Office"/>
    <s v="847.8470730.1.495113.000000.847001.300180"/>
    <n v="8470730"/>
    <s v="KUST - Human Resources"/>
    <x v="61"/>
    <x v="61"/>
    <n v="847001"/>
    <s v="KUST - General"/>
    <x v="2"/>
    <x v="2"/>
    <n v="0"/>
    <n v="0"/>
    <n v="0"/>
    <n v="0"/>
    <n v="0"/>
    <x v="1"/>
    <n v="0"/>
    <n v="0"/>
    <n v="4400000"/>
    <n v="180000"/>
    <n v="0"/>
    <n v="140000"/>
    <n v="0"/>
    <n v="0"/>
    <n v="4400000"/>
  </r>
  <r>
    <s v="SVP/ Support Services Office"/>
    <s v="847.8470810.1.420810.000000.847001.200179"/>
    <n v="8470810"/>
    <s v="KUST - Ankabut office"/>
    <x v="89"/>
    <x v="89"/>
    <n v="847001"/>
    <s v="KUST - General"/>
    <x v="1"/>
    <x v="1"/>
    <n v="459600"/>
    <n v="424707"/>
    <n v="300000"/>
    <n v="0"/>
    <n v="0"/>
    <x v="1"/>
    <n v="0"/>
    <n v="0"/>
    <n v="0"/>
    <n v="0"/>
    <n v="0"/>
    <n v="0"/>
    <n v="0"/>
    <n v="0"/>
    <n v="0"/>
  </r>
  <r>
    <s v="SVP/ Support Services Office"/>
    <s v="847.8470810.1.420811.000000.847001.200179"/>
    <n v="8470810"/>
    <s v="KUST - Ankabut office"/>
    <x v="54"/>
    <x v="54"/>
    <n v="847001"/>
    <s v="KUST - General"/>
    <x v="1"/>
    <x v="1"/>
    <n v="0"/>
    <n v="0"/>
    <n v="0"/>
    <n v="10351793"/>
    <n v="10351793"/>
    <x v="1"/>
    <n v="0"/>
    <n v="0"/>
    <n v="21982966.850276135"/>
    <n v="19784670.165248521"/>
    <n v="17586373.48022091"/>
    <n v="15388076.795193294"/>
    <n v="47375724"/>
    <n v="47375724"/>
    <n v="11631173.850276135"/>
  </r>
  <r>
    <s v="SVP/ Support Services Office"/>
    <s v="847.8470810.1.421100.000000.847001.200179"/>
    <n v="8470810"/>
    <s v="KUST - Ankabut office"/>
    <x v="90"/>
    <x v="90"/>
    <n v="847001"/>
    <s v="KUST - General"/>
    <x v="1"/>
    <x v="1"/>
    <n v="1249360"/>
    <n v="22649528"/>
    <n v="1705887"/>
    <n v="445192"/>
    <n v="445192"/>
    <x v="222"/>
    <n v="0"/>
    <n v="620496.22"/>
    <n v="0"/>
    <n v="0"/>
    <n v="0"/>
    <n v="0"/>
    <n v="0"/>
    <n v="0"/>
    <n v="-445192"/>
  </r>
  <r>
    <s v="SVP/ Support Services Office"/>
    <s v="847.8470810.1.426610.000000.847001.200179"/>
    <n v="8470810"/>
    <s v="KUST - Ankabut office"/>
    <x v="12"/>
    <x v="12"/>
    <n v="847001"/>
    <s v="KUST - General"/>
    <x v="1"/>
    <x v="1"/>
    <n v="8091447"/>
    <n v="7385942"/>
    <n v="8722313"/>
    <n v="7632571"/>
    <n v="7632571"/>
    <x v="223"/>
    <n v="3073787.65"/>
    <n v="922291.55"/>
    <n v="8536819"/>
    <n v="1111774"/>
    <n v="0"/>
    <n v="864713"/>
    <n v="9390501"/>
    <n v="9390501"/>
    <n v="904248"/>
  </r>
  <r>
    <s v="SVP/ Support Services Office"/>
    <s v="847.8470810.1.427810.000000.847001.200179"/>
    <n v="8470810"/>
    <s v="KUST - Ankabut office"/>
    <x v="91"/>
    <x v="91"/>
    <n v="847001"/>
    <s v="KUST - General"/>
    <x v="1"/>
    <x v="1"/>
    <n v="1706227"/>
    <n v="2582185"/>
    <n v="1000636"/>
    <n v="800000"/>
    <n v="800000"/>
    <x v="224"/>
    <n v="0"/>
    <n v="0"/>
    <n v="820800"/>
    <n v="324000"/>
    <n v="0"/>
    <n v="252000"/>
    <n v="720000"/>
    <n v="720000"/>
    <n v="20800"/>
  </r>
  <r>
    <s v="SVP/ Support Services Office"/>
    <s v="847.8470810.1.427850.000000.847001.200179"/>
    <n v="8470810"/>
    <s v="KUST - Ankabut office"/>
    <x v="92"/>
    <x v="92"/>
    <n v="847001"/>
    <s v="KUST - General"/>
    <x v="1"/>
    <x v="1"/>
    <n v="5668931"/>
    <n v="6146327"/>
    <n v="2812669"/>
    <n v="2618028"/>
    <n v="2618028"/>
    <x v="225"/>
    <n v="0"/>
    <n v="0"/>
    <n v="2018028"/>
    <n v="1816225"/>
    <n v="0"/>
    <n v="1412620"/>
    <n v="2054028"/>
    <n v="2054028"/>
    <n v="-600000"/>
  </r>
  <r>
    <s v="SVP/ Support Services Office"/>
    <s v="847.8470810.1.428090.000000.847001.200179"/>
    <n v="8470810"/>
    <s v="KUST - Ankabut office"/>
    <x v="13"/>
    <x v="13"/>
    <n v="847001"/>
    <s v="KUST - General"/>
    <x v="1"/>
    <x v="1"/>
    <n v="40500"/>
    <n v="11500"/>
    <n v="0"/>
    <n v="11500"/>
    <n v="11500"/>
    <x v="16"/>
    <n v="0"/>
    <n v="0"/>
    <n v="24000"/>
    <n v="21600"/>
    <n v="0"/>
    <n v="16800"/>
    <n v="400000"/>
    <n v="400000"/>
    <n v="12500"/>
  </r>
  <r>
    <s v="SVP/ Support Services Office"/>
    <s v="847.8470810.1.430230.000000.847001.200179"/>
    <n v="8470810"/>
    <s v="KUST - Ankabut office"/>
    <x v="34"/>
    <x v="34"/>
    <n v="847001"/>
    <s v="KUST - General"/>
    <x v="1"/>
    <x v="1"/>
    <n v="1431210"/>
    <n v="1425418"/>
    <n v="2593733"/>
    <n v="0"/>
    <n v="0"/>
    <x v="1"/>
    <n v="0"/>
    <n v="0"/>
    <n v="0"/>
    <n v="0"/>
    <n v="0"/>
    <n v="0"/>
    <n v="0"/>
    <n v="0"/>
    <n v="0"/>
  </r>
  <r>
    <s v="SVP/ Support Services Office"/>
    <s v="847.8470810.1.430250.000000.847001.200179"/>
    <n v="8470810"/>
    <s v="KUST - Ankabut office"/>
    <x v="93"/>
    <x v="93"/>
    <n v="847001"/>
    <s v="KUST - General"/>
    <x v="1"/>
    <x v="1"/>
    <n v="0"/>
    <n v="0"/>
    <n v="0"/>
    <n v="1021317"/>
    <n v="1021317"/>
    <x v="1"/>
    <n v="264407.12"/>
    <n v="754866.67"/>
    <n v="1864650"/>
    <n v="1678185"/>
    <n v="0"/>
    <n v="1305255"/>
    <n v="2238200"/>
    <n v="2349800"/>
    <n v="843333"/>
  </r>
  <r>
    <s v="SVP/ Support Services Office"/>
    <s v="847.8470810.1.432205.000000.847001.200179"/>
    <n v="8470810"/>
    <s v="KUST - Ankabut office"/>
    <x v="59"/>
    <x v="59"/>
    <n v="847001"/>
    <s v="KUST - General"/>
    <x v="1"/>
    <x v="1"/>
    <n v="17188941"/>
    <n v="16771029"/>
    <n v="12846395"/>
    <n v="1475000"/>
    <n v="1475000"/>
    <x v="226"/>
    <n v="335763.22"/>
    <n v="524346"/>
    <n v="2330000"/>
    <n v="216000"/>
    <n v="0"/>
    <n v="168000"/>
    <n v="2376600"/>
    <n v="2376600"/>
    <n v="855000"/>
  </r>
  <r>
    <s v="SVP/ Support Services Office"/>
    <s v="847.8470810.1.432226.000000.847001.200179"/>
    <n v="8470810"/>
    <s v="KUST - Ankabut office"/>
    <x v="94"/>
    <x v="94"/>
    <n v="847001"/>
    <s v="KUST - General"/>
    <x v="1"/>
    <x v="1"/>
    <n v="0"/>
    <n v="0"/>
    <n v="0"/>
    <n v="360000"/>
    <n v="360000"/>
    <x v="227"/>
    <n v="0"/>
    <n v="0"/>
    <n v="540000"/>
    <n v="486000"/>
    <n v="0"/>
    <n v="378000"/>
    <n v="576000"/>
    <n v="576000"/>
    <n v="180000"/>
  </r>
  <r>
    <s v="SVP/ Support Services Office"/>
    <s v="847.8470810.1.436110.000000.847001.200179"/>
    <n v="8470810"/>
    <s v="KUST - Ankabut office"/>
    <x v="15"/>
    <x v="15"/>
    <n v="847001"/>
    <s v="KUST - General"/>
    <x v="1"/>
    <x v="1"/>
    <n v="0"/>
    <n v="0"/>
    <n v="0"/>
    <n v="0"/>
    <n v="0"/>
    <x v="1"/>
    <n v="0"/>
    <n v="0"/>
    <n v="0"/>
    <n v="0"/>
    <n v="0"/>
    <n v="0"/>
    <n v="0"/>
    <n v="0"/>
    <n v="0"/>
  </r>
  <r>
    <s v="SVP/ Support Services Office"/>
    <s v="847.8470810.1.492310.000000.847001.300180"/>
    <n v="8470810"/>
    <s v="KUST - Ankabut office"/>
    <x v="16"/>
    <x v="16"/>
    <n v="847001"/>
    <s v="KUST - General"/>
    <x v="2"/>
    <x v="2"/>
    <n v="521239"/>
    <n v="6308293"/>
    <n v="3471424"/>
    <n v="175000"/>
    <n v="175000"/>
    <x v="228"/>
    <n v="0"/>
    <n v="0"/>
    <n v="255000"/>
    <n v="229500"/>
    <n v="0"/>
    <n v="178500"/>
    <n v="340000"/>
    <n v="340000"/>
    <n v="80000"/>
  </r>
  <r>
    <s v="SVP/ Support Services Office"/>
    <s v="847.8470810.1.492316.000000.847001.300180"/>
    <n v="8470810"/>
    <s v="KUST - Ankabut office"/>
    <x v="39"/>
    <x v="39"/>
    <n v="847001"/>
    <s v="KUST - General"/>
    <x v="2"/>
    <x v="2"/>
    <n v="0"/>
    <n v="-380451"/>
    <n v="-53578"/>
    <n v="0"/>
    <n v="0"/>
    <x v="1"/>
    <n v="0"/>
    <n v="0"/>
    <n v="0"/>
    <n v="0"/>
    <n v="0"/>
    <n v="0"/>
    <n v="0"/>
    <n v="0"/>
    <n v="0"/>
  </r>
  <r>
    <s v="SVP/ Support Services Office"/>
    <s v="847.8470810.1.492352.000000.847001.300180"/>
    <n v="8470810"/>
    <s v="KUST - Ankabut office"/>
    <x v="95"/>
    <x v="95"/>
    <n v="847001"/>
    <s v="KUST - General"/>
    <x v="2"/>
    <x v="2"/>
    <n v="0"/>
    <n v="0"/>
    <n v="0"/>
    <n v="2016302"/>
    <n v="2016302"/>
    <x v="1"/>
    <n v="2015272.6"/>
    <n v="0"/>
    <n v="1389000"/>
    <n v="1250100"/>
    <n v="0"/>
    <n v="972300"/>
    <n v="1164000"/>
    <n v="1164000"/>
    <n v="-627302"/>
  </r>
  <r>
    <s v="SVP/ Support Services Office"/>
    <s v="847.8470810.1.492354.000000.847001.300180"/>
    <n v="8470810"/>
    <s v="KUST - Ankabut office"/>
    <x v="50"/>
    <x v="50"/>
    <n v="847001"/>
    <s v="KUST - General"/>
    <x v="2"/>
    <x v="2"/>
    <n v="0"/>
    <n v="0"/>
    <n v="0"/>
    <n v="321500"/>
    <n v="321500"/>
    <x v="1"/>
    <n v="321320"/>
    <n v="0"/>
    <n v="0"/>
    <n v="0"/>
    <n v="0"/>
    <n v="0"/>
    <n v="0"/>
    <n v="0"/>
    <n v="-321500"/>
  </r>
  <r>
    <s v="SVP/ Support Services Office"/>
    <s v="847.8470810.1.492356.000000.847001.300180"/>
    <n v="8470810"/>
    <s v="KUST - Ankabut office"/>
    <x v="96"/>
    <x v="96"/>
    <n v="847001"/>
    <s v="KUST - General"/>
    <x v="2"/>
    <x v="2"/>
    <n v="0"/>
    <n v="0"/>
    <n v="0"/>
    <n v="650000"/>
    <n v="650000"/>
    <x v="1"/>
    <n v="0"/>
    <n v="583836"/>
    <n v="4018539"/>
    <n v="2984772"/>
    <n v="0"/>
    <n v="2321489"/>
    <n v="1195750"/>
    <n v="1200000"/>
    <n v="3368539"/>
  </r>
  <r>
    <s v="SVP/ Support Services Office"/>
    <s v="847.8470810.1.495110.000000.847001.300180"/>
    <n v="8470810"/>
    <s v="KUST - Ankabut office"/>
    <x v="53"/>
    <x v="53"/>
    <n v="847001"/>
    <s v="KUST - General"/>
    <x v="2"/>
    <x v="2"/>
    <n v="0"/>
    <n v="0"/>
    <n v="796333"/>
    <n v="0"/>
    <n v="0"/>
    <x v="1"/>
    <n v="0"/>
    <n v="0"/>
    <n v="0"/>
    <n v="0"/>
    <n v="0"/>
    <n v="0"/>
    <n v="0"/>
    <n v="0"/>
    <n v="0"/>
  </r>
  <r>
    <s v="SVP/ Support Services Office"/>
    <s v="847.8470810.1.495113.000000.847001.300180"/>
    <n v="8470810"/>
    <s v="KUST - Ankabut office"/>
    <x v="61"/>
    <x v="61"/>
    <n v="847001"/>
    <s v="KUST - General"/>
    <x v="2"/>
    <x v="2"/>
    <n v="0"/>
    <n v="0"/>
    <n v="0"/>
    <n v="228670"/>
    <n v="228670"/>
    <x v="1"/>
    <n v="0"/>
    <n v="0"/>
    <n v="772572"/>
    <n v="288000"/>
    <n v="0"/>
    <n v="224000"/>
    <n v="750000"/>
    <n v="800000"/>
    <n v="543902"/>
  </r>
  <r>
    <s v="College of Arts &amp; Science"/>
    <s v="847.8470450.1.421700.000000.847001.200179"/>
    <n v="8470450"/>
    <s v="KUST - Earth Science"/>
    <x v="40"/>
    <x v="40"/>
    <n v="847001"/>
    <s v="KUST - General"/>
    <x v="1"/>
    <x v="1"/>
    <n v="0"/>
    <n v="0"/>
    <n v="0"/>
    <n v="0"/>
    <n v="0"/>
    <x v="1"/>
    <n v="0"/>
    <n v="0"/>
    <n v="0"/>
    <n v="0"/>
    <n v="0"/>
    <n v="0"/>
    <n v="300000"/>
    <n v="0"/>
    <n v="0"/>
  </r>
  <r>
    <s v="SVP/ Support Services Office"/>
    <s v="847.8470510.1.425510.000000.847001.200179"/>
    <n v="8470510"/>
    <s v="KUST - VP/ Administration, Facilities &amp; EHS Office"/>
    <x v="3"/>
    <x v="3"/>
    <n v="847001"/>
    <s v="KUST - General"/>
    <x v="1"/>
    <x v="1"/>
    <n v="0"/>
    <n v="0"/>
    <n v="0"/>
    <n v="0"/>
    <n v="0"/>
    <x v="1"/>
    <n v="0"/>
    <n v="0"/>
    <n v="0"/>
    <n v="0"/>
    <n v="0"/>
    <n v="0"/>
    <n v="40000"/>
    <n v="50000"/>
    <n v="0"/>
  </r>
  <r>
    <s v="SVP/ Support Services Office"/>
    <s v="847.8470530.1.421100.000000.847010.200179"/>
    <n v="8470530"/>
    <s v="KUST - Facilities Management"/>
    <x v="90"/>
    <x v="90"/>
    <n v="847010"/>
    <s v="KUST - Main Campus"/>
    <x v="1"/>
    <x v="1"/>
    <n v="1010298"/>
    <n v="2941195"/>
    <n v="-19784"/>
    <n v="0"/>
    <n v="0"/>
    <x v="229"/>
    <n v="0"/>
    <n v="0"/>
    <n v="0"/>
    <n v="0"/>
    <n v="0"/>
    <n v="0"/>
    <n v="0"/>
    <n v="0"/>
    <n v="0"/>
  </r>
  <r>
    <s v="SVP/ Support Services Office"/>
    <s v="847.8470530.1.492200.000000.847001.300180"/>
    <n v="8470530"/>
    <s v="KUST - Facilities Management"/>
    <x v="82"/>
    <x v="82"/>
    <n v="847001"/>
    <s v="KUST - General"/>
    <x v="2"/>
    <x v="2"/>
    <n v="0"/>
    <n v="0"/>
    <n v="0"/>
    <n v="2910350"/>
    <n v="2910350"/>
    <x v="1"/>
    <n v="2818350"/>
    <n v="0"/>
    <n v="0"/>
    <n v="0"/>
    <n v="0"/>
    <n v="0"/>
    <n v="0"/>
    <n v="2520000"/>
    <n v="-2910350"/>
  </r>
  <r>
    <s v="SVP/ Support Services Office"/>
    <s v="847.8470620.1.436120.000000.847001.200179"/>
    <n v="8470620"/>
    <s v="KUST - Finance Operations"/>
    <x v="21"/>
    <x v="21"/>
    <n v="847001"/>
    <s v="KUST - General"/>
    <x v="1"/>
    <x v="1"/>
    <n v="435"/>
    <n v="0"/>
    <n v="-20281"/>
    <n v="2500"/>
    <n v="2500"/>
    <x v="1"/>
    <n v="0"/>
    <n v="0"/>
    <n v="0"/>
    <n v="0"/>
    <n v="0"/>
    <n v="0"/>
    <n v="5000"/>
    <n v="5000"/>
    <n v="-2500"/>
  </r>
  <r>
    <s v="SVP/ Support Services Office"/>
    <s v="847.8470730.1.425900.000000.847001.200179"/>
    <n v="8470730"/>
    <s v="KUST - Human Resources"/>
    <x v="11"/>
    <x v="11"/>
    <n v="847001"/>
    <s v="KUST - General"/>
    <x v="1"/>
    <x v="1"/>
    <n v="15459"/>
    <n v="6363"/>
    <n v="0"/>
    <n v="250000"/>
    <n v="250000"/>
    <x v="22"/>
    <n v="0"/>
    <n v="0"/>
    <n v="0"/>
    <n v="0"/>
    <n v="0"/>
    <n v="0"/>
    <n v="175000"/>
    <n v="0"/>
    <n v="-250000"/>
  </r>
  <r>
    <s v="Academic and Student Services Office"/>
    <s v="847.8471260.1.421100.000000.847001.200179"/>
    <n v="8471260"/>
    <s v="KUST - Student Life"/>
    <x v="90"/>
    <x v="90"/>
    <n v="847001"/>
    <s v="KUST - General"/>
    <x v="1"/>
    <x v="1"/>
    <n v="1650063"/>
    <n v="1749140"/>
    <n v="1286731"/>
    <n v="353000"/>
    <n v="353000"/>
    <x v="230"/>
    <n v="0"/>
    <n v="0"/>
    <n v="0"/>
    <n v="0"/>
    <n v="0"/>
    <n v="0"/>
    <n v="2010000"/>
    <n v="2128000"/>
    <n v="-353000"/>
  </r>
  <r>
    <s v="Executive Vice President Office"/>
    <s v="847.8470140.1.425763.000000.847001.200179"/>
    <n v="8470140"/>
    <s v="KUST - Communication"/>
    <x v="41"/>
    <x v="41"/>
    <n v="847001"/>
    <s v="KUST - General"/>
    <x v="1"/>
    <x v="1"/>
    <n v="0"/>
    <n v="0"/>
    <n v="0"/>
    <n v="0"/>
    <n v="0"/>
    <x v="1"/>
    <n v="0"/>
    <n v="0"/>
    <n v="0"/>
    <n v="0"/>
    <n v="0"/>
    <n v="0"/>
    <n v="0"/>
    <n v="0"/>
    <n v="0"/>
  </r>
  <r>
    <s v="College of Arts &amp; Science"/>
    <s v="847.8470445.1.435508.000000.847001.200179"/>
    <n v="8470445"/>
    <s v="KUST - Mathematics"/>
    <x v="44"/>
    <x v="44"/>
    <n v="847001"/>
    <s v="KUST - General"/>
    <x v="1"/>
    <x v="1"/>
    <n v="0"/>
    <n v="0"/>
    <n v="0"/>
    <n v="0"/>
    <n v="0"/>
    <x v="1"/>
    <n v="0"/>
    <n v="0"/>
    <n v="0"/>
    <n v="0"/>
    <n v="0"/>
    <n v="0"/>
    <n v="0"/>
    <n v="6000000"/>
    <n v="0"/>
  </r>
  <r>
    <s v="Senior Vice President, Research Office"/>
    <s v="847.8471170.1.495110.000000.847001.300180"/>
    <n v="8471170"/>
    <s v="KUST - Research Computing"/>
    <x v="53"/>
    <x v="53"/>
    <n v="847001"/>
    <s v="KUST - General"/>
    <x v="2"/>
    <x v="2"/>
    <n v="0"/>
    <n v="0"/>
    <n v="33644"/>
    <n v="0"/>
    <n v="0"/>
    <x v="1"/>
    <n v="0"/>
    <n v="0"/>
    <n v="0"/>
    <n v="0"/>
    <n v="0"/>
    <n v="0"/>
    <n v="0"/>
    <n v="300000"/>
    <n v="0"/>
  </r>
  <r>
    <s v="Academic and Student Services Office"/>
    <s v="847.8471270.1.435310.000000.847001.200179"/>
    <n v="8471270"/>
    <s v="KUST - Libraries"/>
    <x v="45"/>
    <x v="45"/>
    <n v="847001"/>
    <s v="KUST - General"/>
    <x v="1"/>
    <x v="1"/>
    <n v="959634"/>
    <n v="-120999"/>
    <n v="-8405"/>
    <n v="0"/>
    <n v="0"/>
    <x v="1"/>
    <n v="0"/>
    <n v="0"/>
    <n v="0"/>
    <n v="0"/>
    <n v="0"/>
    <n v="0"/>
    <n v="0"/>
    <n v="0"/>
    <n v="0"/>
  </r>
  <r>
    <s v="College of Medicine &amp; Health Sciences"/>
    <s v="847.8471305.1.427810.000000.847001.200179"/>
    <n v="8471305"/>
    <s v="KUST - Dean Of Medicine"/>
    <x v="91"/>
    <x v="91"/>
    <n v="847001"/>
    <s v="KUST - General"/>
    <x v="1"/>
    <x v="1"/>
    <n v="0"/>
    <n v="0"/>
    <n v="0"/>
    <n v="10000"/>
    <n v="10000"/>
    <x v="1"/>
    <n v="0"/>
    <n v="0"/>
    <n v="0"/>
    <n v="0"/>
    <n v="0"/>
    <n v="0"/>
    <n v="0"/>
    <n v="0"/>
    <n v="-10000"/>
  </r>
  <r>
    <s v="President's Office "/>
    <s v="847.8470110.1.420900.000000.847001.200179"/>
    <n v="8470110"/>
    <s v="KUST - Office of the President"/>
    <x v="67"/>
    <x v="67"/>
    <n v="847001"/>
    <s v="KUST - General"/>
    <x v="1"/>
    <x v="1"/>
    <n v="2400"/>
    <n v="1845"/>
    <n v="100"/>
    <n v="1500"/>
    <n v="1500"/>
    <x v="1"/>
    <n v="0"/>
    <n v="0"/>
    <n v="0"/>
    <n v="0"/>
    <n v="0"/>
    <n v="0"/>
    <n v="0"/>
    <n v="0"/>
    <n v="-1500"/>
  </r>
  <r>
    <s v="President's Office "/>
    <s v="847.8470110.1.421700.000000.847001.200179"/>
    <n v="8470110"/>
    <s v="KUST - Office of the President"/>
    <x v="40"/>
    <x v="40"/>
    <n v="847001"/>
    <s v="KUST - General"/>
    <x v="1"/>
    <x v="1"/>
    <n v="0"/>
    <n v="0"/>
    <n v="0"/>
    <n v="25000"/>
    <n v="25000"/>
    <x v="1"/>
    <n v="0"/>
    <n v="0"/>
    <n v="0"/>
    <n v="0"/>
    <n v="0"/>
    <n v="0"/>
    <n v="0"/>
    <n v="0"/>
    <n v="-25000"/>
  </r>
  <r>
    <s v="President's Office "/>
    <s v="847.8470110.1.426610.000000.847001.200179"/>
    <n v="8470110"/>
    <s v="KUST - Office of the President"/>
    <x v="12"/>
    <x v="12"/>
    <n v="847001"/>
    <s v="KUST - General"/>
    <x v="1"/>
    <x v="1"/>
    <n v="42240"/>
    <n v="42240"/>
    <n v="47396"/>
    <n v="518388"/>
    <n v="518388"/>
    <x v="231"/>
    <n v="0"/>
    <n v="0"/>
    <n v="0"/>
    <n v="0"/>
    <n v="0"/>
    <n v="0"/>
    <n v="0"/>
    <n v="0"/>
    <n v="-518388"/>
  </r>
  <r>
    <s v="President's Office "/>
    <s v="847.8470110.1.492316.000000.847001.300180"/>
    <n v="8470110"/>
    <s v="KUST - Office of the President"/>
    <x v="39"/>
    <x v="39"/>
    <n v="847001"/>
    <s v="KUST - General"/>
    <x v="2"/>
    <x v="2"/>
    <n v="4151760"/>
    <n v="39940"/>
    <n v="2847291"/>
    <n v="1220302"/>
    <n v="1220302"/>
    <x v="232"/>
    <n v="0"/>
    <n v="1.16415321826935E-10"/>
    <n v="0"/>
    <n v="0"/>
    <n v="0"/>
    <n v="0"/>
    <n v="0"/>
    <n v="0"/>
    <n v="-1220302"/>
  </r>
  <r>
    <s v="President's Office "/>
    <s v="847.8470120.1.495113.000000.847001.300180"/>
    <n v="8470120"/>
    <s v="KUST - Audit"/>
    <x v="61"/>
    <x v="61"/>
    <n v="847001"/>
    <s v="KUST - General"/>
    <x v="2"/>
    <x v="2"/>
    <n v="0"/>
    <n v="0"/>
    <n v="0"/>
    <n v="56000"/>
    <n v="56000"/>
    <x v="1"/>
    <n v="56000"/>
    <n v="0"/>
    <n v="0"/>
    <n v="0"/>
    <n v="0"/>
    <n v="0"/>
    <n v="0"/>
    <n v="0"/>
    <n v="-56000"/>
  </r>
  <r>
    <s v="Executive Vice President Office"/>
    <s v="847.8470130.1.427710.000000.847001.200179"/>
    <n v="8470130"/>
    <s v="KUST - Institutional Research &amp; Planning"/>
    <x v="42"/>
    <x v="42"/>
    <n v="847001"/>
    <s v="KUST - General"/>
    <x v="1"/>
    <x v="1"/>
    <n v="0"/>
    <n v="0"/>
    <n v="129635"/>
    <n v="115000"/>
    <n v="115000"/>
    <x v="233"/>
    <n v="0"/>
    <n v="0"/>
    <n v="0"/>
    <n v="0"/>
    <n v="0"/>
    <n v="0"/>
    <n v="0"/>
    <n v="0"/>
    <n v="-115000"/>
  </r>
  <r>
    <s v="College of Arts &amp; Science"/>
    <s v="847.8470405.1.432209.000000.847001.200179"/>
    <n v="8470405"/>
    <s v="KUST - Dean Of Arts &amp; Science"/>
    <x v="47"/>
    <x v="47"/>
    <n v="847001"/>
    <s v="KUST - General"/>
    <x v="1"/>
    <x v="1"/>
    <n v="115909"/>
    <n v="54286"/>
    <n v="152176"/>
    <n v="200000"/>
    <n v="200000"/>
    <x v="1"/>
    <n v="0"/>
    <n v="0"/>
    <n v="0"/>
    <n v="0"/>
    <n v="0"/>
    <n v="0"/>
    <n v="0"/>
    <n v="0"/>
    <n v="-200000"/>
  </r>
  <r>
    <s v="College of Arts &amp; Science"/>
    <s v="847.8470415.1.435519.000000.847001.200179"/>
    <n v="8470415"/>
    <s v="KUST - Chemistry"/>
    <x v="63"/>
    <x v="63"/>
    <n v="847001"/>
    <s v="KUST - General"/>
    <x v="1"/>
    <x v="1"/>
    <n v="0"/>
    <n v="0"/>
    <n v="0"/>
    <n v="20000"/>
    <n v="20000"/>
    <x v="1"/>
    <n v="0"/>
    <n v="0"/>
    <n v="0"/>
    <n v="0"/>
    <n v="0"/>
    <n v="0"/>
    <n v="0"/>
    <n v="0"/>
    <n v="-20000"/>
  </r>
  <r>
    <s v="College of Arts &amp; Science"/>
    <s v="847.8470435.1.425770.000000.847001.200179"/>
    <n v="8470435"/>
    <s v="KUST - Department of English"/>
    <x v="37"/>
    <x v="37"/>
    <n v="847001"/>
    <s v="KUST - General"/>
    <x v="1"/>
    <x v="1"/>
    <n v="188920"/>
    <n v="73919"/>
    <n v="6348"/>
    <n v="100000"/>
    <n v="100000"/>
    <x v="234"/>
    <n v="0"/>
    <n v="0"/>
    <n v="0"/>
    <n v="0"/>
    <n v="0"/>
    <n v="0"/>
    <n v="0"/>
    <n v="0"/>
    <n v="-100000"/>
  </r>
  <r>
    <s v="College of Arts &amp; Science"/>
    <s v="847.8470435.1.426610.000000.847001.200179"/>
    <n v="8470435"/>
    <s v="KUST - Department of English"/>
    <x v="12"/>
    <x v="12"/>
    <n v="847001"/>
    <s v="KUST - General"/>
    <x v="1"/>
    <x v="1"/>
    <n v="0"/>
    <n v="0"/>
    <n v="688"/>
    <n v="30000"/>
    <n v="30000"/>
    <x v="235"/>
    <n v="0"/>
    <n v="0"/>
    <n v="0"/>
    <n v="0"/>
    <n v="0"/>
    <n v="0"/>
    <n v="0"/>
    <n v="0"/>
    <n v="-30000"/>
  </r>
  <r>
    <s v="College of Arts &amp; Science"/>
    <s v="847.8470435.1.435340.000000.847001.200179"/>
    <n v="8470435"/>
    <s v="KUST - Department of English"/>
    <x v="20"/>
    <x v="20"/>
    <n v="847001"/>
    <s v="KUST - General"/>
    <x v="1"/>
    <x v="1"/>
    <n v="0"/>
    <n v="0"/>
    <n v="0"/>
    <n v="35000"/>
    <n v="35000"/>
    <x v="1"/>
    <n v="0"/>
    <n v="0"/>
    <n v="0"/>
    <n v="0"/>
    <n v="0"/>
    <n v="0"/>
    <n v="0"/>
    <n v="0"/>
    <n v="-35000"/>
  </r>
  <r>
    <s v="SVP/ Support Services Office"/>
    <s v="847.8470530.1.430110.000000.847020.200179"/>
    <n v="8470530"/>
    <s v="KUST - Facilities Management"/>
    <x v="76"/>
    <x v="76"/>
    <n v="847020"/>
    <s v="KUST- Sas Al Nakhl Campus"/>
    <x v="1"/>
    <x v="1"/>
    <n v="0"/>
    <n v="0"/>
    <n v="0"/>
    <n v="200211"/>
    <n v="200211"/>
    <x v="236"/>
    <n v="0"/>
    <n v="0"/>
    <n v="0"/>
    <n v="0"/>
    <n v="0"/>
    <n v="0"/>
    <n v="0"/>
    <n v="0"/>
    <n v="-200211"/>
  </r>
  <r>
    <s v="SVP/ Support Services Office"/>
    <s v="847.8470530.1.436340.000000.847001.200179"/>
    <n v="8470530"/>
    <s v="KUST - Facilities Management"/>
    <x v="97"/>
    <x v="97"/>
    <n v="847001"/>
    <s v="KUST - General"/>
    <x v="1"/>
    <x v="1"/>
    <n v="0"/>
    <n v="0"/>
    <n v="0"/>
    <n v="20000"/>
    <n v="20000"/>
    <x v="1"/>
    <n v="0"/>
    <n v="0"/>
    <n v="0"/>
    <n v="0"/>
    <n v="0"/>
    <n v="0"/>
    <n v="0"/>
    <n v="0"/>
    <n v="-20000"/>
  </r>
  <r>
    <s v="SVP/ Support Services Office"/>
    <s v="847.8470530.1.495113.000000.847010.300180"/>
    <n v="8470530"/>
    <s v="KUST - Facilities Management"/>
    <x v="61"/>
    <x v="61"/>
    <n v="847010"/>
    <s v="KUST - Main Campus"/>
    <x v="2"/>
    <x v="2"/>
    <n v="0"/>
    <n v="0"/>
    <n v="0"/>
    <n v="1000000"/>
    <n v="1000000"/>
    <x v="1"/>
    <n v="1000000"/>
    <n v="0"/>
    <n v="0"/>
    <n v="0"/>
    <n v="0"/>
    <n v="0"/>
    <n v="0"/>
    <n v="0"/>
    <n v="-1000000"/>
  </r>
  <r>
    <s v="SVP/ Support Services Office"/>
    <s v="847.8470540.1.421100.000000.847010.200179"/>
    <n v="8470540"/>
    <s v="KUST - Administration"/>
    <x v="90"/>
    <x v="90"/>
    <n v="847010"/>
    <s v="KUST - Main Campus"/>
    <x v="1"/>
    <x v="1"/>
    <n v="0"/>
    <n v="0"/>
    <n v="2818067"/>
    <n v="589128"/>
    <n v="589128"/>
    <x v="237"/>
    <n v="1"/>
    <n v="253016.89"/>
    <n v="0"/>
    <n v="0"/>
    <n v="0"/>
    <n v="0"/>
    <n v="0"/>
    <n v="0"/>
    <n v="-589128"/>
  </r>
  <r>
    <s v="SVP/ Support Services Office"/>
    <s v="847.8470540.1.427710.000000.847001.200179"/>
    <n v="8470540"/>
    <s v="KUST - Administration"/>
    <x v="42"/>
    <x v="42"/>
    <n v="847001"/>
    <s v="KUST - General"/>
    <x v="1"/>
    <x v="1"/>
    <n v="0"/>
    <n v="0"/>
    <n v="0"/>
    <n v="7000"/>
    <n v="7000"/>
    <x v="1"/>
    <n v="5106"/>
    <n v="0"/>
    <n v="0"/>
    <n v="0"/>
    <n v="0"/>
    <n v="0"/>
    <n v="0"/>
    <n v="0"/>
    <n v="-7000"/>
  </r>
  <r>
    <s v="SVP/ Support Services Office"/>
    <s v="847.8470540.1.432120.000000.847010.200179"/>
    <n v="8470540"/>
    <s v="KUST - Administration"/>
    <x v="35"/>
    <x v="35"/>
    <n v="847010"/>
    <s v="KUST - Main Campus"/>
    <x v="1"/>
    <x v="1"/>
    <n v="0"/>
    <n v="0"/>
    <n v="8245171"/>
    <n v="-367211"/>
    <n v="-367211"/>
    <x v="238"/>
    <n v="0"/>
    <n v="-7.0000000006984905E-2"/>
    <n v="0"/>
    <n v="0"/>
    <n v="0"/>
    <n v="0"/>
    <n v="0"/>
    <n v="0"/>
    <n v="367211"/>
  </r>
  <r>
    <s v="SVP/ Support Services Office"/>
    <s v="847.8470540.1.432120.000000.847020.200179"/>
    <n v="8470540"/>
    <s v="KUST - Administration"/>
    <x v="35"/>
    <x v="35"/>
    <n v="847020"/>
    <s v="KUST- Sas Al Nakhl Campus"/>
    <x v="1"/>
    <x v="1"/>
    <n v="0"/>
    <n v="0"/>
    <n v="3409177"/>
    <n v="-241882"/>
    <n v="-241882"/>
    <x v="239"/>
    <n v="0"/>
    <n v="0"/>
    <n v="0"/>
    <n v="0"/>
    <n v="0"/>
    <n v="0"/>
    <n v="0"/>
    <n v="0"/>
    <n v="241882"/>
  </r>
  <r>
    <s v="SVP/ Support Services Office"/>
    <s v="847.8470620.1.421100.000000.847001.200179"/>
    <n v="8470620"/>
    <s v="KUST - Finance Operations"/>
    <x v="90"/>
    <x v="90"/>
    <n v="847001"/>
    <s v="KUST - General"/>
    <x v="1"/>
    <x v="1"/>
    <n v="0"/>
    <n v="502724"/>
    <n v="451033"/>
    <n v="31160"/>
    <n v="31160"/>
    <x v="240"/>
    <n v="0"/>
    <n v="0"/>
    <n v="0"/>
    <n v="0"/>
    <n v="0"/>
    <n v="0"/>
    <n v="0"/>
    <n v="0"/>
    <n v="-31160"/>
  </r>
  <r>
    <s v="SVP/ Support Services Office"/>
    <s v="847.8470720.1.421700.000000.847001.200179"/>
    <n v="8470720"/>
    <s v="KUST - Procurement and Contracts"/>
    <x v="40"/>
    <x v="40"/>
    <n v="847001"/>
    <s v="KUST - General"/>
    <x v="1"/>
    <x v="1"/>
    <n v="0"/>
    <n v="0"/>
    <n v="2000"/>
    <n v="2000"/>
    <n v="2000"/>
    <x v="1"/>
    <n v="0"/>
    <n v="0"/>
    <n v="0"/>
    <n v="0"/>
    <n v="0"/>
    <n v="0"/>
    <n v="0"/>
    <n v="0"/>
    <n v="-2000"/>
  </r>
  <r>
    <s v="SVP/ Support Services Office"/>
    <s v="847.8470720.1.426900.000000.847001.200179"/>
    <n v="8470720"/>
    <s v="KUST - Procurement and Contracts"/>
    <x v="19"/>
    <x v="19"/>
    <n v="847001"/>
    <s v="KUST - General"/>
    <x v="1"/>
    <x v="1"/>
    <n v="123949"/>
    <n v="-5803"/>
    <n v="-10121"/>
    <n v="10000"/>
    <n v="10000"/>
    <x v="241"/>
    <n v="0"/>
    <n v="0"/>
    <n v="0"/>
    <n v="0"/>
    <n v="0"/>
    <n v="0"/>
    <n v="0"/>
    <n v="0"/>
    <n v="-10000"/>
  </r>
  <r>
    <s v="SVP/ Support Services Office"/>
    <s v="847.8470720.1.428200.000000.847001.200179"/>
    <n v="8470720"/>
    <s v="KUST - Procurement and Contracts"/>
    <x v="71"/>
    <x v="71"/>
    <n v="847001"/>
    <s v="KUST - General"/>
    <x v="1"/>
    <x v="1"/>
    <n v="0"/>
    <n v="166689"/>
    <n v="192932"/>
    <n v="250000"/>
    <n v="250000"/>
    <x v="242"/>
    <n v="0"/>
    <n v="0"/>
    <n v="0"/>
    <n v="0"/>
    <n v="0"/>
    <n v="0"/>
    <n v="0"/>
    <n v="0"/>
    <n v="-250000"/>
  </r>
  <r>
    <s v="SVP/ Support Services Office"/>
    <s v="847.8470720.1.432120.000000.847001.200179"/>
    <n v="8470720"/>
    <s v="KUST - Procurement and Contracts"/>
    <x v="35"/>
    <x v="35"/>
    <n v="847001"/>
    <s v="KUST - General"/>
    <x v="1"/>
    <x v="1"/>
    <n v="0"/>
    <n v="0"/>
    <n v="-6590"/>
    <n v="236400"/>
    <n v="236400"/>
    <x v="1"/>
    <n v="0"/>
    <n v="0"/>
    <n v="0"/>
    <n v="0"/>
    <n v="0"/>
    <n v="0"/>
    <n v="0"/>
    <n v="0"/>
    <n v="-236400"/>
  </r>
  <r>
    <s v="SVP/ Support Services Office"/>
    <s v="847.8470720.1.435410.000000.847001.200179"/>
    <n v="8470720"/>
    <s v="KUST - Procurement and Contracts"/>
    <x v="84"/>
    <x v="84"/>
    <n v="847001"/>
    <s v="KUST - General"/>
    <x v="1"/>
    <x v="1"/>
    <n v="1235808"/>
    <n v="538850"/>
    <n v="631727"/>
    <n v="164310"/>
    <n v="164310"/>
    <x v="243"/>
    <n v="0"/>
    <n v="450"/>
    <n v="0"/>
    <n v="0"/>
    <n v="0"/>
    <n v="0"/>
    <n v="0"/>
    <n v="0"/>
    <n v="-164310"/>
  </r>
  <r>
    <s v="SVP/ Support Services Office"/>
    <s v="847.8470720.1.436110.000000.847001.200179"/>
    <n v="8470720"/>
    <s v="KUST - Procurement and Contracts"/>
    <x v="15"/>
    <x v="15"/>
    <n v="847001"/>
    <s v="KUST - General"/>
    <x v="1"/>
    <x v="1"/>
    <n v="117150"/>
    <n v="65"/>
    <n v="0"/>
    <n v="50000"/>
    <n v="50000"/>
    <x v="1"/>
    <n v="0"/>
    <n v="0"/>
    <n v="0"/>
    <n v="0"/>
    <n v="0"/>
    <n v="0"/>
    <n v="0"/>
    <n v="0"/>
    <n v="-50000"/>
  </r>
  <r>
    <s v="SVP/ Support Services Office"/>
    <s v="847.8470720.1.436120.000000.847001.200179"/>
    <n v="8470720"/>
    <s v="KUST - Procurement and Contracts"/>
    <x v="21"/>
    <x v="21"/>
    <n v="847001"/>
    <s v="KUST - General"/>
    <x v="1"/>
    <x v="1"/>
    <n v="310492"/>
    <n v="115060"/>
    <n v="32301"/>
    <n v="120000"/>
    <n v="120000"/>
    <x v="244"/>
    <n v="54.01"/>
    <n v="-7.2759576141834308E-12"/>
    <n v="0"/>
    <n v="0"/>
    <n v="0"/>
    <n v="0"/>
    <n v="0"/>
    <n v="0"/>
    <n v="-120000"/>
  </r>
  <r>
    <s v="SVP/ Support Services Office"/>
    <s v="847.8470720.1.495110.000000.847001.300180"/>
    <n v="8470720"/>
    <s v="KUST - Procurement and Contracts"/>
    <x v="53"/>
    <x v="53"/>
    <n v="847001"/>
    <s v="KUST - General"/>
    <x v="2"/>
    <x v="2"/>
    <n v="0"/>
    <n v="0"/>
    <n v="0"/>
    <n v="0"/>
    <n v="0"/>
    <x v="1"/>
    <n v="0"/>
    <n v="0"/>
    <n v="0"/>
    <n v="0"/>
    <n v="0"/>
    <n v="0"/>
    <n v="0"/>
    <n v="0"/>
    <n v="0"/>
  </r>
  <r>
    <s v="SVP/ Support Services Office"/>
    <s v="847.8470720.1.495113.000000.847001.300180"/>
    <n v="8470720"/>
    <s v="KUST - Procurement and Contracts"/>
    <x v="61"/>
    <x v="61"/>
    <n v="847001"/>
    <s v="KUST - General"/>
    <x v="2"/>
    <x v="2"/>
    <n v="0"/>
    <n v="0"/>
    <n v="0"/>
    <n v="69286"/>
    <n v="69286"/>
    <x v="245"/>
    <n v="0"/>
    <n v="0"/>
    <n v="0"/>
    <n v="0"/>
    <n v="0"/>
    <n v="0"/>
    <n v="0"/>
    <n v="0"/>
    <n v="-69286"/>
  </r>
  <r>
    <s v="SVP/ Support Services Office"/>
    <s v="847.8470730.1.421000.000000.847001.200179"/>
    <n v="8470730"/>
    <s v="KUST - Human Resources"/>
    <x v="55"/>
    <x v="55"/>
    <n v="847001"/>
    <s v="KUST - General"/>
    <x v="1"/>
    <x v="1"/>
    <n v="0"/>
    <n v="-5100"/>
    <n v="7345"/>
    <n v="600000"/>
    <n v="600000"/>
    <x v="246"/>
    <n v="590000"/>
    <n v="0"/>
    <n v="0"/>
    <n v="0"/>
    <n v="0"/>
    <n v="0"/>
    <n v="0"/>
    <n v="0"/>
    <n v="-600000"/>
  </r>
  <r>
    <s v="SVP/ Support Services Office"/>
    <s v="847.8470730.1.425510.000000.847001.200179"/>
    <n v="8470730"/>
    <s v="KUST - Human Resources"/>
    <x v="3"/>
    <x v="3"/>
    <n v="847001"/>
    <s v="KUST - General"/>
    <x v="1"/>
    <x v="1"/>
    <n v="209623"/>
    <n v="34864"/>
    <n v="8765"/>
    <n v="42000"/>
    <n v="42000"/>
    <x v="247"/>
    <n v="0"/>
    <n v="0"/>
    <n v="0"/>
    <n v="0"/>
    <n v="0"/>
    <n v="0"/>
    <n v="0"/>
    <n v="0"/>
    <n v="-42000"/>
  </r>
  <r>
    <s v="SVP/ Support Services Office"/>
    <s v="847.8470730.1.428090.000000.847001.200179"/>
    <n v="8470730"/>
    <s v="KUST - Human Resources"/>
    <x v="13"/>
    <x v="13"/>
    <n v="847001"/>
    <s v="KUST - General"/>
    <x v="1"/>
    <x v="1"/>
    <n v="13533"/>
    <n v="0"/>
    <n v="0"/>
    <n v="8000"/>
    <n v="8000"/>
    <x v="248"/>
    <n v="0"/>
    <n v="0"/>
    <n v="0"/>
    <n v="0"/>
    <n v="0"/>
    <n v="0"/>
    <n v="0"/>
    <n v="0"/>
    <n v="-8000"/>
  </r>
  <r>
    <s v="SVP/ Support Services Office"/>
    <s v="847.8470730.1.492610.000000.847001.300180"/>
    <n v="8470730"/>
    <s v="KUST - Human Resources"/>
    <x v="83"/>
    <x v="83"/>
    <n v="847001"/>
    <s v="KUST - General"/>
    <x v="2"/>
    <x v="2"/>
    <n v="0"/>
    <n v="0"/>
    <n v="0"/>
    <n v="0"/>
    <n v="0"/>
    <x v="1"/>
    <n v="0"/>
    <n v="0"/>
    <n v="0"/>
    <n v="0"/>
    <n v="0"/>
    <n v="0"/>
    <n v="0"/>
    <n v="0"/>
    <n v="0"/>
  </r>
  <r>
    <s v="Senior Vice President, Research Office"/>
    <s v="847.8471110.1.492316.000000.847001.300180"/>
    <n v="8471110"/>
    <s v="KUST - SVP/ Research &amp; Development Office"/>
    <x v="39"/>
    <x v="39"/>
    <n v="847001"/>
    <s v="KUST - General"/>
    <x v="2"/>
    <x v="2"/>
    <n v="11106087"/>
    <n v="0"/>
    <n v="6996916"/>
    <n v="2998678"/>
    <n v="2998678"/>
    <x v="249"/>
    <n v="0"/>
    <n v="-3749.9999999997699"/>
    <n v="0"/>
    <n v="0"/>
    <n v="0"/>
    <n v="0"/>
    <n v="0"/>
    <n v="0"/>
    <n v="-2998678"/>
  </r>
  <r>
    <s v="Senior Vice President, Research Office"/>
    <s v="847.8471120.1.425900.000000.847001.200179"/>
    <n v="8471120"/>
    <s v="KUST - Institute for Automation, Information Science &amp; Communication"/>
    <x v="11"/>
    <x v="11"/>
    <n v="847001"/>
    <s v="KUST - General"/>
    <x v="1"/>
    <x v="1"/>
    <n v="2311"/>
    <n v="0"/>
    <n v="0"/>
    <n v="110000"/>
    <n v="110000"/>
    <x v="1"/>
    <n v="0"/>
    <n v="0"/>
    <n v="0"/>
    <n v="0"/>
    <n v="0"/>
    <n v="0"/>
    <n v="0"/>
    <n v="0"/>
    <n v="-110000"/>
  </r>
  <r>
    <s v="Senior Vice President, Research Office"/>
    <s v="847.8471120.1.428090.000000.847001.200179"/>
    <n v="8471120"/>
    <s v="KUST - Institute for Automation, Information Science &amp; Communication"/>
    <x v="13"/>
    <x v="13"/>
    <n v="847001"/>
    <s v="KUST - General"/>
    <x v="1"/>
    <x v="1"/>
    <n v="0"/>
    <n v="3300"/>
    <n v="0"/>
    <n v="220000"/>
    <n v="220000"/>
    <x v="1"/>
    <n v="0"/>
    <n v="0"/>
    <n v="0"/>
    <n v="0"/>
    <n v="0"/>
    <n v="0"/>
    <n v="0"/>
    <n v="0"/>
    <n v="-220000"/>
  </r>
  <r>
    <s v="Senior Vice President, Research Office"/>
    <s v="847.8471120.1.429900.000000.847001.200179"/>
    <n v="8471120"/>
    <s v="KUST - Institute for Automation, Information Science &amp; Communication"/>
    <x v="64"/>
    <x v="64"/>
    <n v="847001"/>
    <s v="KUST - General"/>
    <x v="1"/>
    <x v="1"/>
    <n v="0"/>
    <n v="0"/>
    <n v="0"/>
    <n v="55510"/>
    <n v="55510"/>
    <x v="1"/>
    <n v="0"/>
    <n v="0"/>
    <n v="0"/>
    <n v="0"/>
    <n v="0"/>
    <n v="0"/>
    <n v="0"/>
    <n v="0"/>
    <n v="-55510"/>
  </r>
  <r>
    <s v="Senior Vice President, Research Office"/>
    <s v="847.8471120.1.435523.000000.847001.200179"/>
    <n v="8471120"/>
    <s v="KUST - Institute for Automation, Information Science &amp; Communication"/>
    <x v="70"/>
    <x v="70"/>
    <n v="847001"/>
    <s v="KUST - General"/>
    <x v="1"/>
    <x v="1"/>
    <n v="0"/>
    <n v="0"/>
    <n v="0"/>
    <n v="0"/>
    <n v="0"/>
    <x v="1"/>
    <n v="0"/>
    <n v="0"/>
    <n v="0"/>
    <n v="0"/>
    <n v="0"/>
    <n v="0"/>
    <n v="0"/>
    <n v="0"/>
    <n v="0"/>
  </r>
  <r>
    <s v="Senior Vice President, Research Office"/>
    <s v="847.8471121.1.425510.000000.847001.200179"/>
    <n v="8471121"/>
    <s v="KUST - Petroleum Institute"/>
    <x v="3"/>
    <x v="3"/>
    <n v="847001"/>
    <s v="KUST - General"/>
    <x v="1"/>
    <x v="1"/>
    <n v="0"/>
    <n v="0"/>
    <n v="0"/>
    <n v="50000"/>
    <n v="50000"/>
    <x v="1"/>
    <n v="0"/>
    <n v="0"/>
    <n v="0"/>
    <n v="0"/>
    <n v="0"/>
    <n v="0"/>
    <n v="0"/>
    <n v="0"/>
    <n v="-50000"/>
  </r>
  <r>
    <s v="Senior Vice President, Research Office"/>
    <s v="847.8471121.1.425900.000000.847001.200179"/>
    <n v="8471121"/>
    <s v="KUST - Petroleum Institute"/>
    <x v="11"/>
    <x v="11"/>
    <n v="847001"/>
    <s v="KUST - General"/>
    <x v="1"/>
    <x v="1"/>
    <n v="0"/>
    <n v="0"/>
    <n v="0"/>
    <n v="15000"/>
    <n v="15000"/>
    <x v="1"/>
    <n v="0"/>
    <n v="0"/>
    <n v="0"/>
    <n v="0"/>
    <n v="0"/>
    <n v="0"/>
    <n v="0"/>
    <n v="0"/>
    <n v="-15000"/>
  </r>
  <r>
    <s v="Senior Vice President, Research Office"/>
    <s v="847.8471121.1.428090.000000.847001.200179"/>
    <n v="8471121"/>
    <s v="KUST - Petroleum Institute"/>
    <x v="13"/>
    <x v="13"/>
    <n v="847001"/>
    <s v="KUST - General"/>
    <x v="1"/>
    <x v="1"/>
    <n v="0"/>
    <n v="0"/>
    <n v="0"/>
    <n v="50000"/>
    <n v="50000"/>
    <x v="1"/>
    <n v="0"/>
    <n v="0"/>
    <n v="0"/>
    <n v="0"/>
    <n v="0"/>
    <n v="0"/>
    <n v="0"/>
    <n v="0"/>
    <n v="-50000"/>
  </r>
  <r>
    <s v="Senior Vice President, Research Office"/>
    <s v="847.8471121.1.432170.000000.847001.200179"/>
    <n v="8471121"/>
    <s v="KUST - Petroleum Institute"/>
    <x v="38"/>
    <x v="38"/>
    <n v="847001"/>
    <s v="KUST - General"/>
    <x v="1"/>
    <x v="1"/>
    <n v="0"/>
    <n v="0"/>
    <n v="0"/>
    <n v="0"/>
    <n v="0"/>
    <x v="1"/>
    <n v="0"/>
    <n v="0"/>
    <n v="0"/>
    <n v="0"/>
    <n v="0"/>
    <n v="0"/>
    <n v="0"/>
    <n v="0"/>
    <n v="0"/>
  </r>
  <r>
    <s v="Senior Vice President, Research Office"/>
    <s v="847.8471121.1.435523.000000.847001.200179"/>
    <n v="8471121"/>
    <s v="KUST - Petroleum Institute"/>
    <x v="70"/>
    <x v="70"/>
    <n v="847001"/>
    <s v="KUST - General"/>
    <x v="1"/>
    <x v="1"/>
    <n v="0"/>
    <n v="0"/>
    <n v="0"/>
    <n v="826280"/>
    <n v="826280"/>
    <x v="1"/>
    <n v="0"/>
    <n v="0"/>
    <n v="0"/>
    <n v="0"/>
    <n v="0"/>
    <n v="0"/>
    <n v="0"/>
    <n v="0"/>
    <n v="-826280"/>
  </r>
  <r>
    <s v="Senior Vice President, Research Office"/>
    <s v="847.8471122.1.425900.000000.847001.200179"/>
    <n v="8471122"/>
    <s v="KUST - Masdar Institute"/>
    <x v="11"/>
    <x v="11"/>
    <n v="847001"/>
    <s v="KUST - General"/>
    <x v="1"/>
    <x v="1"/>
    <n v="0"/>
    <n v="0"/>
    <n v="0"/>
    <n v="50000"/>
    <n v="50000"/>
    <x v="1"/>
    <n v="0"/>
    <n v="0"/>
    <n v="0"/>
    <n v="0"/>
    <n v="0"/>
    <n v="0"/>
    <n v="0"/>
    <n v="0"/>
    <n v="-50000"/>
  </r>
  <r>
    <s v="Senior Vice President, Research Office"/>
    <s v="847.8471122.1.428090.000000.847001.200179"/>
    <n v="8471122"/>
    <s v="KUST - Masdar Institute"/>
    <x v="13"/>
    <x v="13"/>
    <n v="847001"/>
    <s v="KUST - General"/>
    <x v="1"/>
    <x v="1"/>
    <n v="0"/>
    <n v="0"/>
    <n v="0"/>
    <n v="50000"/>
    <n v="50000"/>
    <x v="1"/>
    <n v="0"/>
    <n v="0"/>
    <n v="0"/>
    <n v="0"/>
    <n v="0"/>
    <n v="0"/>
    <n v="0"/>
    <n v="0"/>
    <n v="-50000"/>
  </r>
  <r>
    <s v="Senior Vice President, Research Office"/>
    <s v="847.8471140.1.492316.000000.847001.300180"/>
    <n v="8471140"/>
    <s v="KUST - University Sponsored Research"/>
    <x v="39"/>
    <x v="39"/>
    <n v="847001"/>
    <s v="KUST - General"/>
    <x v="2"/>
    <x v="2"/>
    <n v="0"/>
    <n v="0"/>
    <n v="1011700"/>
    <n v="358538"/>
    <n v="358538"/>
    <x v="250"/>
    <n v="0"/>
    <n v="-3.6379788070917101E-12"/>
    <n v="0"/>
    <n v="0"/>
    <n v="0"/>
    <n v="0"/>
    <n v="0"/>
    <n v="0"/>
    <n v="-358538"/>
  </r>
  <r>
    <s v="Senior Vice President, Research Office"/>
    <s v="847.8471160.1.420810.000000.847001.200179"/>
    <n v="8471160"/>
    <s v="KUST - Research Laboratories"/>
    <x v="89"/>
    <x v="89"/>
    <n v="847001"/>
    <s v="KUST - General"/>
    <x v="1"/>
    <x v="1"/>
    <n v="0"/>
    <n v="0"/>
    <n v="0"/>
    <n v="0"/>
    <n v="0"/>
    <x v="1"/>
    <n v="0"/>
    <n v="0"/>
    <n v="0"/>
    <n v="0"/>
    <n v="0"/>
    <n v="0"/>
    <n v="0"/>
    <n v="0"/>
    <n v="0"/>
  </r>
  <r>
    <s v="Senior Vice President, Research Office"/>
    <s v="847.8471160.1.420811.000000.847001.200179"/>
    <n v="8471160"/>
    <s v="KUST - Research Laboratories"/>
    <x v="54"/>
    <x v="54"/>
    <n v="847001"/>
    <s v="KUST - General"/>
    <x v="1"/>
    <x v="1"/>
    <n v="0"/>
    <n v="0"/>
    <n v="0"/>
    <n v="588000"/>
    <n v="588000"/>
    <x v="1"/>
    <n v="0"/>
    <n v="0"/>
    <n v="1"/>
    <n v="0.9"/>
    <n v="0.8"/>
    <n v="0.72000000000000008"/>
    <n v="0"/>
    <n v="0"/>
    <n v="-587999"/>
  </r>
  <r>
    <s v="Senior Vice President, Research Office"/>
    <s v="847.8471160.1.426610.000000.847001.200179"/>
    <n v="8471160"/>
    <s v="KUST - Research Laboratories"/>
    <x v="12"/>
    <x v="12"/>
    <n v="847001"/>
    <s v="KUST - General"/>
    <x v="1"/>
    <x v="1"/>
    <n v="0"/>
    <n v="0"/>
    <n v="51394"/>
    <n v="361375"/>
    <n v="361375"/>
    <x v="251"/>
    <n v="269963.64"/>
    <n v="19650"/>
    <n v="15330"/>
    <n v="13797"/>
    <n v="12264"/>
    <n v="11037.6"/>
    <n v="0"/>
    <n v="0"/>
    <n v="-346045"/>
  </r>
  <r>
    <s v="Senior Vice President, Research Office"/>
    <s v="847.8471160.1.432209.000000.847001.200179"/>
    <n v="8471160"/>
    <s v="KUST - Research Laboratories"/>
    <x v="47"/>
    <x v="47"/>
    <n v="847001"/>
    <s v="KUST - General"/>
    <x v="1"/>
    <x v="1"/>
    <n v="12238567"/>
    <n v="12105813"/>
    <n v="10701612"/>
    <n v="15119303"/>
    <n v="15119303"/>
    <x v="252"/>
    <n v="4556561.6500000004"/>
    <n v="5853212.0499999998"/>
    <n v="17597270"/>
    <n v="15837543"/>
    <n v="14077816"/>
    <n v="12670034.4"/>
    <n v="19356997"/>
    <n v="21292697"/>
    <n v="2477967"/>
  </r>
  <r>
    <s v="Senior Vice President, Research Office"/>
    <s v="847.8471160.1.435508.000000.847001.200179"/>
    <n v="8471160"/>
    <s v="KUST - Research Laboratories"/>
    <x v="44"/>
    <x v="44"/>
    <n v="847001"/>
    <s v="KUST - General"/>
    <x v="1"/>
    <x v="1"/>
    <n v="4347084"/>
    <n v="361650"/>
    <n v="1706316"/>
    <n v="2753398"/>
    <n v="2753398"/>
    <x v="253"/>
    <n v="808512.03"/>
    <n v="21016.54"/>
    <n v="14046375"/>
    <n v="12641737.5"/>
    <n v="11237100"/>
    <n v="10113390"/>
    <n v="15451013"/>
    <n v="16996114"/>
    <n v="11292977"/>
  </r>
  <r>
    <s v="Senior Vice President, Research Office"/>
    <s v="847.8471160.1.492200.000000.847001.300180"/>
    <n v="8471160"/>
    <s v="KUST - Research Laboratories"/>
    <x v="82"/>
    <x v="82"/>
    <n v="847001"/>
    <s v="KUST - General"/>
    <x v="2"/>
    <x v="2"/>
    <n v="0"/>
    <n v="0"/>
    <n v="1834891"/>
    <n v="1304891"/>
    <n v="1304891"/>
    <x v="254"/>
    <n v="0"/>
    <n v="954743.26"/>
    <n v="865000"/>
    <n v="778500"/>
    <n v="692000"/>
    <n v="622800"/>
    <n v="0"/>
    <n v="0"/>
    <n v="-439891"/>
  </r>
  <r>
    <s v="Senior Vice President, Research Office"/>
    <s v="847.8471160.1.492316.000000.847001.300180"/>
    <n v="8471160"/>
    <s v="KUST - Research Laboratories"/>
    <x v="39"/>
    <x v="39"/>
    <n v="847001"/>
    <s v="KUST - General"/>
    <x v="2"/>
    <x v="2"/>
    <n v="13263756"/>
    <n v="9475691"/>
    <n v="7403824"/>
    <n v="15928069"/>
    <n v="15928069"/>
    <x v="255"/>
    <n v="11146925.789999999"/>
    <n v="1223698.1000000001"/>
    <n v="81669712"/>
    <n v="73502740.799999997"/>
    <n v="65335769.600000001"/>
    <n v="58802192.640000001"/>
    <n v="88763226"/>
    <n v="55622099"/>
    <n v="65741643"/>
  </r>
  <r>
    <s v="Senior Vice President, Research Office"/>
    <s v="847.8471170.1.420810.000000.847001.200179"/>
    <n v="8471170"/>
    <s v="KUST - Research Computing"/>
    <x v="89"/>
    <x v="89"/>
    <n v="847001"/>
    <s v="KUST - General"/>
    <x v="1"/>
    <x v="1"/>
    <n v="391825"/>
    <n v="1018910"/>
    <n v="798441"/>
    <n v="0"/>
    <n v="0"/>
    <x v="1"/>
    <n v="0"/>
    <n v="0"/>
    <n v="0"/>
    <n v="0"/>
    <n v="0"/>
    <n v="0"/>
    <n v="0"/>
    <n v="0"/>
    <n v="0"/>
  </r>
  <r>
    <s v="Academic and Student Services Office"/>
    <s v="847.8471260.1.425747.000000.847001.200179"/>
    <n v="8471260"/>
    <s v="KUST - Student Life"/>
    <x v="72"/>
    <x v="72"/>
    <n v="847001"/>
    <s v="KUST - General"/>
    <x v="1"/>
    <x v="1"/>
    <n v="1057128"/>
    <n v="667536"/>
    <n v="797"/>
    <n v="225000"/>
    <n v="225000"/>
    <x v="1"/>
    <n v="81632"/>
    <n v="0"/>
    <n v="0"/>
    <n v="0"/>
    <n v="0"/>
    <n v="0"/>
    <n v="0"/>
    <n v="0"/>
    <n v="-225000"/>
  </r>
  <r>
    <s v="College of Medicine &amp; Health Sciences"/>
    <s v="847.8471305.1.420810.000000.847001.200179"/>
    <n v="8471305"/>
    <s v="KUST - Dean Of Medicine"/>
    <x v="89"/>
    <x v="89"/>
    <n v="847001"/>
    <s v="KUST - General"/>
    <x v="1"/>
    <x v="1"/>
    <n v="0"/>
    <n v="595"/>
    <n v="41519"/>
    <n v="0"/>
    <n v="0"/>
    <x v="1"/>
    <n v="0"/>
    <n v="0"/>
    <n v="0"/>
    <n v="0"/>
    <n v="0"/>
    <n v="0"/>
    <n v="0"/>
    <n v="0"/>
    <n v="0"/>
  </r>
  <r>
    <s v="College of Medicine &amp; Health Sciences"/>
    <s v="847.8471305.1.492310.000000.847001.300180"/>
    <n v="8471305"/>
    <s v="KUST - Dean Of Medicine"/>
    <x v="16"/>
    <x v="16"/>
    <n v="847001"/>
    <s v="KUST - General"/>
    <x v="2"/>
    <x v="2"/>
    <n v="778267"/>
    <n v="334480"/>
    <n v="4058968"/>
    <n v="913656"/>
    <n v="913656"/>
    <x v="256"/>
    <n v="311500"/>
    <n v="13412"/>
    <n v="0"/>
    <n v="0"/>
    <n v="0"/>
    <n v="0"/>
    <n v="0"/>
    <n v="0"/>
    <n v="-913656"/>
  </r>
  <r>
    <s v="College of Medicine &amp; Health Sciences"/>
    <s v="847.8471305.1.492610.000000.847001.300180"/>
    <n v="8471305"/>
    <s v="KUST - Dean Of Medicine"/>
    <x v="83"/>
    <x v="83"/>
    <n v="847001"/>
    <s v="KUST - General"/>
    <x v="2"/>
    <x v="2"/>
    <n v="3277546"/>
    <n v="391932"/>
    <n v="327990"/>
    <n v="19606"/>
    <n v="19606"/>
    <x v="1"/>
    <n v="0"/>
    <n v="0"/>
    <n v="0"/>
    <n v="0"/>
    <n v="0"/>
    <n v="0"/>
    <n v="0"/>
    <n v="0"/>
    <n v="-19606"/>
  </r>
  <r>
    <s v="President's Office "/>
    <s v="847.8470110.1.425770.000000.847001.200179"/>
    <n v="8470110"/>
    <s v="KUST - Office of the President"/>
    <x v="37"/>
    <x v="37"/>
    <n v="847001"/>
    <s v="KUST - General"/>
    <x v="1"/>
    <x v="1"/>
    <n v="50370"/>
    <n v="-13420"/>
    <n v="0"/>
    <n v="0"/>
    <n v="0"/>
    <x v="1"/>
    <n v="0"/>
    <n v="0"/>
    <n v="0"/>
    <n v="0"/>
    <n v="0"/>
    <n v="0"/>
    <n v="0"/>
    <n v="0"/>
    <n v="0"/>
  </r>
  <r>
    <s v="President's Office "/>
    <s v="847.8470110.1.435310.000000.847001.200179"/>
    <n v="8470110"/>
    <s v="KUST - Office of the President"/>
    <x v="45"/>
    <x v="45"/>
    <n v="847001"/>
    <s v="KUST - General"/>
    <x v="1"/>
    <x v="1"/>
    <n v="2031"/>
    <n v="0"/>
    <n v="0"/>
    <n v="0"/>
    <n v="0"/>
    <x v="1"/>
    <n v="0"/>
    <n v="0"/>
    <n v="0"/>
    <n v="0"/>
    <n v="0"/>
    <n v="0"/>
    <n v="0"/>
    <n v="0"/>
    <n v="0"/>
  </r>
  <r>
    <s v="Executive Vice President Office"/>
    <s v="847.8470130.1.425100.000000.847001.200179"/>
    <n v="8470130"/>
    <s v="KUST - Institutional Research &amp; Planning"/>
    <x v="2"/>
    <x v="2"/>
    <n v="847001"/>
    <s v="KUST - General"/>
    <x v="1"/>
    <x v="1"/>
    <n v="500630"/>
    <n v="0"/>
    <n v="0"/>
    <n v="0"/>
    <n v="0"/>
    <x v="1"/>
    <n v="0"/>
    <n v="0"/>
    <n v="0"/>
    <n v="0"/>
    <n v="0"/>
    <n v="0"/>
    <n v="0"/>
    <n v="0"/>
    <n v="0"/>
  </r>
  <r>
    <s v="Executive Vice President Office"/>
    <s v="847.8470130.1.425510.000000.847001.200179"/>
    <n v="8470130"/>
    <s v="KUST - Institutional Research &amp; Planning"/>
    <x v="3"/>
    <x v="3"/>
    <n v="847001"/>
    <s v="KUST - General"/>
    <x v="1"/>
    <x v="1"/>
    <n v="920160"/>
    <n v="2200"/>
    <n v="0"/>
    <n v="0"/>
    <n v="0"/>
    <x v="1"/>
    <n v="0"/>
    <n v="0"/>
    <n v="0"/>
    <n v="0"/>
    <n v="0"/>
    <n v="0"/>
    <n v="0"/>
    <n v="0"/>
    <n v="0"/>
  </r>
  <r>
    <s v="Academic and Student Services Office"/>
    <s v="847.8470230.1.425741.000000.847001.200179"/>
    <n v="8470230"/>
    <s v="KUST - Graduate Studies"/>
    <x v="18"/>
    <x v="18"/>
    <n v="847001"/>
    <s v="KUST - General"/>
    <x v="1"/>
    <x v="1"/>
    <n v="58645904"/>
    <n v="39497428"/>
    <n v="0"/>
    <n v="0"/>
    <n v="0"/>
    <x v="1"/>
    <n v="0"/>
    <n v="0"/>
    <n v="0"/>
    <n v="0"/>
    <n v="0"/>
    <n v="0"/>
    <n v="0"/>
    <n v="0"/>
    <n v="0"/>
  </r>
  <r>
    <s v="Academic and Student Services Office"/>
    <s v="847.8470230.1.425742.000000.847001.200179"/>
    <n v="8470230"/>
    <s v="KUST - Graduate Studies"/>
    <x v="22"/>
    <x v="22"/>
    <n v="847001"/>
    <s v="KUST - General"/>
    <x v="1"/>
    <x v="1"/>
    <n v="7970"/>
    <n v="-103009"/>
    <n v="0"/>
    <n v="0"/>
    <n v="0"/>
    <x v="1"/>
    <n v="0"/>
    <n v="0"/>
    <n v="0"/>
    <n v="0"/>
    <n v="0"/>
    <n v="0"/>
    <n v="0"/>
    <n v="0"/>
    <n v="0"/>
  </r>
  <r>
    <s v="Academic and Student Services Office"/>
    <s v="847.8470230.1.425770.000000.847001.200179"/>
    <n v="8470230"/>
    <s v="KUST - Graduate Studies"/>
    <x v="37"/>
    <x v="37"/>
    <n v="847001"/>
    <s v="KUST - General"/>
    <x v="1"/>
    <x v="1"/>
    <n v="0"/>
    <n v="-1720"/>
    <n v="0"/>
    <n v="0"/>
    <n v="0"/>
    <x v="1"/>
    <n v="0"/>
    <n v="0"/>
    <n v="0"/>
    <n v="0"/>
    <n v="0"/>
    <n v="0"/>
    <n v="0"/>
    <n v="0"/>
    <n v="0"/>
  </r>
  <r>
    <s v="College of Engineering"/>
    <s v="847.8470305.1.492316.000000.847001.300180"/>
    <n v="8470305"/>
    <s v="KUST - Dean Of Engineering"/>
    <x v="39"/>
    <x v="39"/>
    <n v="847001"/>
    <s v="KUST - General"/>
    <x v="2"/>
    <x v="2"/>
    <n v="7011466"/>
    <n v="2550"/>
    <n v="0"/>
    <n v="0"/>
    <n v="0"/>
    <x v="1"/>
    <n v="0"/>
    <n v="0"/>
    <n v="0"/>
    <n v="0"/>
    <n v="0"/>
    <n v="0"/>
    <n v="0"/>
    <n v="0"/>
    <n v="0"/>
  </r>
  <r>
    <s v="College of Engineering"/>
    <s v="847.8470310.1.430120.000000.847001.200179"/>
    <n v="8470310"/>
    <s v="KUST - Aerospace Engineering"/>
    <x v="77"/>
    <x v="77"/>
    <n v="847001"/>
    <s v="KUST - General"/>
    <x v="1"/>
    <x v="1"/>
    <n v="271840"/>
    <n v="0"/>
    <n v="0"/>
    <n v="0"/>
    <n v="0"/>
    <x v="1"/>
    <n v="0"/>
    <n v="0"/>
    <n v="0"/>
    <n v="0"/>
    <n v="0"/>
    <n v="0"/>
    <n v="0"/>
    <n v="0"/>
    <n v="0"/>
  </r>
  <r>
    <s v="College of Engineering"/>
    <s v="847.8470325.1.425900.000000.847001.200179"/>
    <n v="8470325"/>
    <s v="KUST - Civil Engineering"/>
    <x v="11"/>
    <x v="11"/>
    <n v="847001"/>
    <s v="KUST - General"/>
    <x v="1"/>
    <x v="1"/>
    <n v="6245"/>
    <n v="1502"/>
    <n v="0"/>
    <n v="0"/>
    <n v="0"/>
    <x v="1"/>
    <n v="0"/>
    <n v="0"/>
    <n v="0"/>
    <n v="0"/>
    <n v="0"/>
    <n v="0"/>
    <n v="0"/>
    <n v="0"/>
    <n v="0"/>
  </r>
  <r>
    <s v="College of Engineering"/>
    <s v="847.8470325.1.436110.000000.847001.200179"/>
    <n v="8470325"/>
    <s v="KUST - Civil Engineering"/>
    <x v="15"/>
    <x v="15"/>
    <n v="847001"/>
    <s v="KUST - General"/>
    <x v="1"/>
    <x v="1"/>
    <n v="368"/>
    <n v="0"/>
    <n v="0"/>
    <n v="0"/>
    <n v="0"/>
    <x v="1"/>
    <n v="0"/>
    <n v="0"/>
    <n v="0"/>
    <n v="0"/>
    <n v="0"/>
    <n v="0"/>
    <n v="0"/>
    <n v="0"/>
    <n v="0"/>
  </r>
  <r>
    <s v="College of Engineering"/>
    <s v="847.8470325.1.492200.000000.847001.300180"/>
    <n v="8470325"/>
    <s v="KUST - Civil Engineering"/>
    <x v="82"/>
    <x v="82"/>
    <n v="847001"/>
    <s v="KUST - General"/>
    <x v="2"/>
    <x v="2"/>
    <n v="391826"/>
    <n v="817887"/>
    <n v="0"/>
    <n v="0"/>
    <n v="0"/>
    <x v="1"/>
    <n v="0"/>
    <n v="0"/>
    <n v="0"/>
    <n v="0"/>
    <n v="0"/>
    <n v="0"/>
    <n v="0"/>
    <n v="0"/>
    <n v="0"/>
  </r>
  <r>
    <s v="College of Engineering"/>
    <s v="847.8470330.1.425761.000000.847001.200179"/>
    <n v="8470330"/>
    <s v="KUST - Electrical &amp; Computer Engineering"/>
    <x v="9"/>
    <x v="9"/>
    <n v="847001"/>
    <s v="KUST - General"/>
    <x v="1"/>
    <x v="1"/>
    <n v="-8500"/>
    <n v="-3000"/>
    <n v="0"/>
    <n v="0"/>
    <n v="0"/>
    <x v="1"/>
    <n v="0"/>
    <n v="0"/>
    <n v="0"/>
    <n v="0"/>
    <n v="0"/>
    <n v="0"/>
    <n v="0"/>
    <n v="0"/>
    <n v="0"/>
  </r>
  <r>
    <s v="College of Engineering"/>
    <s v="847.8470330.1.428090.000000.847001.200179"/>
    <n v="8470330"/>
    <s v="KUST - Electrical &amp; Computer Engineering"/>
    <x v="13"/>
    <x v="13"/>
    <n v="847001"/>
    <s v="KUST - General"/>
    <x v="1"/>
    <x v="1"/>
    <n v="688"/>
    <n v="0"/>
    <n v="0"/>
    <n v="0"/>
    <n v="0"/>
    <x v="1"/>
    <n v="0"/>
    <n v="0"/>
    <n v="0"/>
    <n v="0"/>
    <n v="0"/>
    <n v="0"/>
    <n v="0"/>
    <n v="0"/>
    <n v="0"/>
  </r>
  <r>
    <s v="College of Engineering"/>
    <s v="847.8470330.1.435340.000000.847001.200179"/>
    <n v="8470330"/>
    <s v="KUST - Electrical &amp; Computer Engineering"/>
    <x v="20"/>
    <x v="20"/>
    <n v="847001"/>
    <s v="KUST - General"/>
    <x v="1"/>
    <x v="1"/>
    <n v="70231"/>
    <n v="0"/>
    <n v="0"/>
    <n v="0"/>
    <n v="0"/>
    <x v="1"/>
    <n v="0"/>
    <n v="0"/>
    <n v="0"/>
    <n v="0"/>
    <n v="0"/>
    <n v="0"/>
    <n v="0"/>
    <n v="0"/>
    <n v="0"/>
  </r>
  <r>
    <s v="College of Engineering"/>
    <s v="847.8470340.1.428090.000000.847001.200179"/>
    <n v="8470340"/>
    <s v="KUST - Mechanical Engineering"/>
    <x v="13"/>
    <x v="13"/>
    <n v="847001"/>
    <s v="KUST - General"/>
    <x v="1"/>
    <x v="1"/>
    <n v="94830"/>
    <n v="9903"/>
    <n v="0"/>
    <n v="0"/>
    <n v="0"/>
    <x v="1"/>
    <n v="0"/>
    <n v="0"/>
    <n v="0"/>
    <n v="0"/>
    <n v="0"/>
    <n v="0"/>
    <n v="0"/>
    <n v="0"/>
    <n v="0"/>
  </r>
  <r>
    <s v="College of Engineering"/>
    <s v="847.8470340.1.436600.000000.847001.200179"/>
    <n v="8470340"/>
    <s v="KUST - Mechanical Engineering"/>
    <x v="48"/>
    <x v="48"/>
    <n v="847001"/>
    <s v="KUST - General"/>
    <x v="1"/>
    <x v="1"/>
    <n v="6842"/>
    <n v="0"/>
    <n v="0"/>
    <n v="0"/>
    <n v="0"/>
    <x v="1"/>
    <n v="0"/>
    <n v="0"/>
    <n v="0"/>
    <n v="0"/>
    <n v="0"/>
    <n v="0"/>
    <n v="0"/>
    <n v="0"/>
    <n v="0"/>
  </r>
  <r>
    <s v="College of Engineering"/>
    <s v="847.8470340.1.495140.000000.847001.300180"/>
    <n v="8470340"/>
    <s v="KUST - Mechanical Engineering"/>
    <x v="52"/>
    <x v="52"/>
    <n v="847001"/>
    <s v="KUST - General"/>
    <x v="2"/>
    <x v="2"/>
    <n v="7438"/>
    <n v="7322"/>
    <n v="0"/>
    <n v="0"/>
    <n v="0"/>
    <x v="1"/>
    <n v="0"/>
    <n v="0"/>
    <n v="0"/>
    <n v="0"/>
    <n v="0"/>
    <n v="0"/>
    <n v="0"/>
    <n v="0"/>
    <n v="0"/>
  </r>
  <r>
    <s v="College of Engineering"/>
    <s v="847.8470350.1.428090.000000.847001.200179"/>
    <n v="8470350"/>
    <s v="KUST - Petroleum Engineering"/>
    <x v="13"/>
    <x v="13"/>
    <n v="847001"/>
    <s v="KUST - General"/>
    <x v="1"/>
    <x v="1"/>
    <n v="4250"/>
    <n v="0"/>
    <n v="0"/>
    <n v="0"/>
    <n v="0"/>
    <x v="1"/>
    <n v="0"/>
    <n v="0"/>
    <n v="0"/>
    <n v="0"/>
    <n v="0"/>
    <n v="0"/>
    <n v="0"/>
    <n v="0"/>
    <n v="0"/>
  </r>
  <r>
    <s v="College of Arts &amp; Science"/>
    <s v="847.8470405.1.425100.000000.847001.200179"/>
    <n v="8470405"/>
    <s v="KUST - Dean Of Arts &amp; Science"/>
    <x v="2"/>
    <x v="2"/>
    <n v="847001"/>
    <s v="KUST - General"/>
    <x v="1"/>
    <x v="1"/>
    <n v="44679"/>
    <n v="0"/>
    <n v="0"/>
    <n v="0"/>
    <n v="0"/>
    <x v="1"/>
    <n v="0"/>
    <n v="0"/>
    <n v="0"/>
    <n v="0"/>
    <n v="0"/>
    <n v="0"/>
    <n v="0"/>
    <n v="0"/>
    <n v="0"/>
  </r>
  <r>
    <s v="College of Arts &amp; Science"/>
    <s v="847.8470405.1.428090.000000.847001.200179"/>
    <n v="8470405"/>
    <s v="KUST - Dean Of Arts &amp; Science"/>
    <x v="13"/>
    <x v="13"/>
    <n v="847001"/>
    <s v="KUST - General"/>
    <x v="1"/>
    <x v="1"/>
    <n v="51855"/>
    <n v="0"/>
    <n v="0"/>
    <n v="0"/>
    <n v="0"/>
    <x v="1"/>
    <n v="0"/>
    <n v="0"/>
    <n v="0"/>
    <n v="0"/>
    <n v="0"/>
    <n v="0"/>
    <n v="0"/>
    <n v="0"/>
    <n v="0"/>
  </r>
  <r>
    <s v="College of Arts &amp; Science"/>
    <s v="847.8470405.1.492316.000000.847001.300180"/>
    <n v="8470405"/>
    <s v="KUST - Dean Of Arts &amp; Science"/>
    <x v="39"/>
    <x v="39"/>
    <n v="847001"/>
    <s v="KUST - General"/>
    <x v="2"/>
    <x v="2"/>
    <n v="82819"/>
    <n v="0"/>
    <n v="0"/>
    <n v="0"/>
    <n v="0"/>
    <x v="1"/>
    <n v="0"/>
    <n v="0"/>
    <n v="0"/>
    <n v="0"/>
    <n v="0"/>
    <n v="0"/>
    <n v="0"/>
    <n v="0"/>
    <n v="0"/>
  </r>
  <r>
    <s v="College of Arts &amp; Science"/>
    <s v="847.8470410.1.428090.000000.847001.200179"/>
    <n v="8470410"/>
    <s v="KUST - Institute of International &amp; Civil Security"/>
    <x v="13"/>
    <x v="13"/>
    <n v="847001"/>
    <s v="KUST - General"/>
    <x v="1"/>
    <x v="1"/>
    <n v="11164"/>
    <n v="0"/>
    <n v="0"/>
    <n v="0"/>
    <n v="0"/>
    <x v="1"/>
    <n v="0"/>
    <n v="0"/>
    <n v="0"/>
    <n v="0"/>
    <n v="0"/>
    <n v="0"/>
    <n v="0"/>
    <n v="0"/>
    <n v="0"/>
  </r>
  <r>
    <s v="College of Arts &amp; Science"/>
    <s v="847.8470415.1.425550.000000.847001.200179"/>
    <n v="8470415"/>
    <s v="KUST - Chemistry"/>
    <x v="4"/>
    <x v="4"/>
    <n v="847001"/>
    <s v="KUST - General"/>
    <x v="1"/>
    <x v="1"/>
    <n v="8134"/>
    <n v="0"/>
    <n v="918"/>
    <n v="0"/>
    <n v="0"/>
    <x v="1"/>
    <n v="0"/>
    <n v="0"/>
    <n v="0"/>
    <n v="0"/>
    <n v="0"/>
    <n v="0"/>
    <n v="0"/>
    <n v="0"/>
    <n v="0"/>
  </r>
  <r>
    <s v="College of Arts &amp; Science"/>
    <s v="847.8470420.1.425510.000000.847001.200179"/>
    <n v="8470420"/>
    <s v="KUST - Computer Science"/>
    <x v="3"/>
    <x v="3"/>
    <n v="847001"/>
    <s v="KUST - General"/>
    <x v="1"/>
    <x v="1"/>
    <n v="5800"/>
    <n v="0"/>
    <n v="0"/>
    <n v="0"/>
    <n v="0"/>
    <x v="1"/>
    <n v="0"/>
    <n v="0"/>
    <n v="0"/>
    <n v="0"/>
    <n v="0"/>
    <n v="0"/>
    <n v="0"/>
    <n v="0"/>
    <n v="0"/>
  </r>
  <r>
    <s v="College of Arts &amp; Science"/>
    <s v="847.8470420.1.425770.000000.847001.200179"/>
    <n v="8470420"/>
    <s v="KUST - Computer Science"/>
    <x v="37"/>
    <x v="37"/>
    <n v="847001"/>
    <s v="KUST - General"/>
    <x v="1"/>
    <x v="1"/>
    <n v="31825"/>
    <n v="0"/>
    <n v="0"/>
    <n v="0"/>
    <n v="0"/>
    <x v="1"/>
    <n v="0"/>
    <n v="0"/>
    <n v="0"/>
    <n v="0"/>
    <n v="0"/>
    <n v="0"/>
    <n v="0"/>
    <n v="0"/>
    <n v="0"/>
  </r>
  <r>
    <s v="College of Arts &amp; Science"/>
    <s v="847.8470420.1.428090.000000.847001.200179"/>
    <n v="8470420"/>
    <s v="KUST - Computer Science"/>
    <x v="13"/>
    <x v="13"/>
    <n v="847001"/>
    <s v="KUST - General"/>
    <x v="1"/>
    <x v="1"/>
    <n v="21792"/>
    <n v="0"/>
    <n v="0"/>
    <n v="0"/>
    <n v="0"/>
    <x v="1"/>
    <n v="0"/>
    <n v="0"/>
    <n v="0"/>
    <n v="0"/>
    <n v="0"/>
    <n v="0"/>
    <n v="0"/>
    <n v="0"/>
    <n v="0"/>
  </r>
  <r>
    <s v="College of Arts &amp; Science"/>
    <s v="847.8470420.1.492316.000000.847001.300180"/>
    <n v="8470420"/>
    <s v="KUST - Computer Science"/>
    <x v="39"/>
    <x v="39"/>
    <n v="847001"/>
    <s v="KUST - General"/>
    <x v="2"/>
    <x v="2"/>
    <n v="1813790"/>
    <n v="0"/>
    <n v="0"/>
    <n v="0"/>
    <n v="0"/>
    <x v="1"/>
    <n v="0"/>
    <n v="0"/>
    <n v="0"/>
    <n v="0"/>
    <n v="0"/>
    <n v="0"/>
    <n v="0"/>
    <n v="0"/>
    <n v="0"/>
  </r>
  <r>
    <s v="College of Arts &amp; Science"/>
    <s v="847.8470425.1.421700.000000.847001.200179"/>
    <n v="8470425"/>
    <s v="KUST - Physics"/>
    <x v="40"/>
    <x v="40"/>
    <n v="847001"/>
    <s v="KUST - General"/>
    <x v="1"/>
    <x v="1"/>
    <n v="5952"/>
    <n v="0"/>
    <n v="0"/>
    <n v="0"/>
    <n v="0"/>
    <x v="1"/>
    <n v="0"/>
    <n v="0"/>
    <n v="0"/>
    <n v="0"/>
    <n v="0"/>
    <n v="0"/>
    <n v="0"/>
    <n v="0"/>
    <n v="0"/>
  </r>
  <r>
    <s v="College of Arts &amp; Science"/>
    <s v="847.8470425.1.425761.000000.847001.200179"/>
    <n v="8470425"/>
    <s v="KUST - Physics"/>
    <x v="9"/>
    <x v="9"/>
    <n v="847001"/>
    <s v="KUST - General"/>
    <x v="1"/>
    <x v="1"/>
    <n v="650"/>
    <n v="0"/>
    <n v="0"/>
    <n v="0"/>
    <n v="0"/>
    <x v="1"/>
    <n v="0"/>
    <n v="0"/>
    <n v="0"/>
    <n v="0"/>
    <n v="0"/>
    <n v="0"/>
    <n v="0"/>
    <n v="0"/>
    <n v="0"/>
  </r>
  <r>
    <s v="College of Arts &amp; Science"/>
    <s v="847.8470430.1.436600.000000.847001.200179"/>
    <n v="8470430"/>
    <s v="KUST - Preparatory Program"/>
    <x v="48"/>
    <x v="48"/>
    <n v="847001"/>
    <s v="KUST - General"/>
    <x v="1"/>
    <x v="1"/>
    <n v="895"/>
    <n v="0"/>
    <n v="0"/>
    <n v="0"/>
    <n v="0"/>
    <x v="1"/>
    <n v="0"/>
    <n v="0"/>
    <n v="0"/>
    <n v="0"/>
    <n v="0"/>
    <n v="0"/>
    <n v="0"/>
    <n v="0"/>
    <n v="0"/>
  </r>
  <r>
    <s v="College of Arts &amp; Science"/>
    <s v="847.8470430.1.492316.000000.847001.300180"/>
    <n v="8470430"/>
    <s v="KUST - Preparatory Program"/>
    <x v="39"/>
    <x v="39"/>
    <n v="847001"/>
    <s v="KUST - General"/>
    <x v="2"/>
    <x v="2"/>
    <n v="9198"/>
    <n v="0"/>
    <n v="0"/>
    <n v="0"/>
    <n v="0"/>
    <x v="1"/>
    <n v="0"/>
    <n v="0"/>
    <n v="0"/>
    <n v="0"/>
    <n v="0"/>
    <n v="0"/>
    <n v="0"/>
    <n v="0"/>
    <n v="0"/>
  </r>
  <r>
    <s v="College of Arts &amp; Science"/>
    <s v="847.8470440.1.495140.000000.847001.300180"/>
    <n v="8470440"/>
    <s v="KUST - Humanities &amp; Social Sciences"/>
    <x v="52"/>
    <x v="52"/>
    <n v="847001"/>
    <s v="KUST - General"/>
    <x v="2"/>
    <x v="2"/>
    <n v="24679"/>
    <n v="0"/>
    <n v="0"/>
    <n v="0"/>
    <n v="0"/>
    <x v="1"/>
    <n v="0"/>
    <n v="0"/>
    <n v="0"/>
    <n v="0"/>
    <n v="0"/>
    <n v="0"/>
    <n v="0"/>
    <n v="0"/>
    <n v="0"/>
  </r>
  <r>
    <s v="College of Arts &amp; Science"/>
    <s v="847.8470450.1.436600.000000.847001.200179"/>
    <n v="8470450"/>
    <s v="KUST - Earth Science"/>
    <x v="48"/>
    <x v="48"/>
    <n v="847001"/>
    <s v="KUST - General"/>
    <x v="1"/>
    <x v="1"/>
    <n v="10200"/>
    <n v="0"/>
    <n v="0"/>
    <n v="0"/>
    <n v="0"/>
    <x v="1"/>
    <n v="0"/>
    <n v="0"/>
    <n v="0"/>
    <n v="0"/>
    <n v="0"/>
    <n v="0"/>
    <n v="0"/>
    <n v="0"/>
    <n v="0"/>
  </r>
  <r>
    <s v="SVP/ Support Services Office"/>
    <s v="847.8470520.1.421600.000000.847010.200179"/>
    <n v="8470520"/>
    <s v="KUST - Environment, Health &amp; Safety"/>
    <x v="27"/>
    <x v="27"/>
    <n v="847010"/>
    <s v="KUST - Main Campus"/>
    <x v="1"/>
    <x v="1"/>
    <n v="3850039"/>
    <n v="330004"/>
    <n v="0"/>
    <n v="0"/>
    <n v="0"/>
    <x v="1"/>
    <n v="0"/>
    <n v="0"/>
    <n v="0"/>
    <n v="0"/>
    <n v="0"/>
    <n v="0"/>
    <n v="0"/>
    <n v="0"/>
    <n v="0"/>
  </r>
  <r>
    <s v="SVP/ Support Services Office"/>
    <s v="847.8470520.1.421600.000000.847020.200179"/>
    <n v="8470520"/>
    <s v="KUST - Environment, Health &amp; Safety"/>
    <x v="27"/>
    <x v="27"/>
    <n v="847020"/>
    <s v="KUST- Sas Al Nakhl Campus"/>
    <x v="1"/>
    <x v="1"/>
    <n v="3706862"/>
    <n v="0"/>
    <n v="0"/>
    <n v="0"/>
    <n v="0"/>
    <x v="1"/>
    <n v="0"/>
    <n v="0"/>
    <n v="0"/>
    <n v="0"/>
    <n v="0"/>
    <n v="0"/>
    <n v="0"/>
    <n v="0"/>
    <n v="0"/>
  </r>
  <r>
    <s v="SVP/ Support Services Office"/>
    <s v="847.8470520.1.421700.000000.847001.200179"/>
    <n v="8470520"/>
    <s v="KUST - Environment, Health &amp; Safety"/>
    <x v="40"/>
    <x v="40"/>
    <n v="847001"/>
    <s v="KUST - General"/>
    <x v="1"/>
    <x v="1"/>
    <n v="86250"/>
    <n v="0"/>
    <n v="0"/>
    <n v="0"/>
    <n v="0"/>
    <x v="1"/>
    <n v="0"/>
    <n v="0"/>
    <n v="0"/>
    <n v="0"/>
    <n v="0"/>
    <n v="0"/>
    <n v="0"/>
    <n v="0"/>
    <n v="0"/>
  </r>
  <r>
    <s v="SVP/ Support Services Office"/>
    <s v="847.8470520.1.426610.000000.847001.200179"/>
    <n v="8470520"/>
    <s v="KUST - Environment, Health &amp; Safety"/>
    <x v="12"/>
    <x v="12"/>
    <n v="847001"/>
    <s v="KUST - General"/>
    <x v="1"/>
    <x v="1"/>
    <n v="178096"/>
    <n v="-918"/>
    <n v="0"/>
    <n v="0"/>
    <n v="0"/>
    <x v="1"/>
    <n v="0"/>
    <n v="0"/>
    <n v="0"/>
    <n v="0"/>
    <n v="0"/>
    <n v="0"/>
    <n v="0"/>
    <n v="0"/>
    <n v="0"/>
  </r>
  <r>
    <s v="SVP/ Support Services Office"/>
    <s v="847.8470530.1.420310.000000.847030.200179"/>
    <n v="8470530"/>
    <s v="KUST - Facilities Management"/>
    <x v="26"/>
    <x v="26"/>
    <n v="847030"/>
    <s v="KUST- Masdar city campus"/>
    <x v="1"/>
    <x v="1"/>
    <n v="1955517"/>
    <n v="2457310"/>
    <n v="0"/>
    <n v="0"/>
    <n v="0"/>
    <x v="1"/>
    <n v="0"/>
    <n v="0"/>
    <n v="0"/>
    <n v="0"/>
    <n v="0"/>
    <n v="0"/>
    <n v="0"/>
    <n v="0"/>
    <n v="0"/>
  </r>
  <r>
    <s v="SVP/ Support Services Office"/>
    <s v="847.8470530.1.421100.000000.847020.200179"/>
    <n v="8470530"/>
    <s v="KUST - Facilities Management"/>
    <x v="90"/>
    <x v="90"/>
    <n v="847020"/>
    <s v="KUST- Sas Al Nakhl Campus"/>
    <x v="1"/>
    <x v="1"/>
    <n v="140889"/>
    <n v="0"/>
    <n v="0"/>
    <n v="0"/>
    <n v="0"/>
    <x v="1"/>
    <n v="0"/>
    <n v="0"/>
    <n v="0"/>
    <n v="0"/>
    <n v="0"/>
    <n v="0"/>
    <n v="0"/>
    <n v="0"/>
    <n v="0"/>
  </r>
  <r>
    <s v="SVP/ Support Services Office"/>
    <s v="847.8470530.1.421100.000000.847030.200179"/>
    <n v="8470530"/>
    <s v="KUST - Facilities Management"/>
    <x v="90"/>
    <x v="90"/>
    <n v="847030"/>
    <s v="KUST- Masdar city campus"/>
    <x v="1"/>
    <x v="1"/>
    <n v="267837"/>
    <n v="0"/>
    <n v="0"/>
    <n v="0"/>
    <n v="0"/>
    <x v="1"/>
    <n v="0"/>
    <n v="0"/>
    <n v="0"/>
    <n v="0"/>
    <n v="0"/>
    <n v="0"/>
    <n v="0"/>
    <n v="0"/>
    <n v="0"/>
  </r>
  <r>
    <s v="SVP/ Support Services Office"/>
    <s v="847.8470530.1.422100.000000.847030.200179"/>
    <n v="8470530"/>
    <s v="KUST - Facilities Management"/>
    <x v="56"/>
    <x v="56"/>
    <n v="847030"/>
    <s v="KUST- Masdar city campus"/>
    <x v="1"/>
    <x v="1"/>
    <n v="126268"/>
    <n v="0"/>
    <n v="0"/>
    <n v="0"/>
    <n v="0"/>
    <x v="1"/>
    <n v="0"/>
    <n v="0"/>
    <n v="0"/>
    <n v="0"/>
    <n v="0"/>
    <n v="0"/>
    <n v="0"/>
    <n v="0"/>
    <n v="0"/>
  </r>
  <r>
    <s v="SVP/ Support Services Office"/>
    <s v="847.8470530.1.426210.000000.847010.200179"/>
    <n v="8470530"/>
    <s v="KUST - Facilities Management"/>
    <x v="73"/>
    <x v="73"/>
    <n v="847010"/>
    <s v="KUST - Main Campus"/>
    <x v="1"/>
    <x v="1"/>
    <n v="5079"/>
    <n v="3157"/>
    <n v="2826"/>
    <n v="0"/>
    <n v="0"/>
    <x v="1"/>
    <n v="0"/>
    <n v="0"/>
    <n v="0"/>
    <n v="0"/>
    <n v="0"/>
    <n v="0"/>
    <n v="0"/>
    <n v="0"/>
    <n v="0"/>
  </r>
  <r>
    <s v="SVP/ Support Services Office"/>
    <s v="847.8470530.1.426800.000000.847010.200179"/>
    <n v="8470530"/>
    <s v="KUST - Facilities Management"/>
    <x v="75"/>
    <x v="75"/>
    <n v="847010"/>
    <s v="KUST - Main Campus"/>
    <x v="1"/>
    <x v="1"/>
    <n v="5629"/>
    <n v="6771"/>
    <n v="6245"/>
    <n v="0"/>
    <n v="0"/>
    <x v="1"/>
    <n v="0"/>
    <n v="0"/>
    <n v="0"/>
    <n v="0"/>
    <n v="0"/>
    <n v="0"/>
    <n v="0"/>
    <n v="0"/>
    <n v="0"/>
  </r>
  <r>
    <s v="SVP/ Support Services Office"/>
    <s v="847.8470530.1.426800.000000.847020.200179"/>
    <n v="8470530"/>
    <s v="KUST - Facilities Management"/>
    <x v="75"/>
    <x v="75"/>
    <n v="847020"/>
    <s v="KUST- Sas Al Nakhl Campus"/>
    <x v="1"/>
    <x v="1"/>
    <n v="8235"/>
    <n v="0"/>
    <n v="0"/>
    <n v="0"/>
    <n v="0"/>
    <x v="1"/>
    <n v="0"/>
    <n v="0"/>
    <n v="0"/>
    <n v="0"/>
    <n v="0"/>
    <n v="0"/>
    <n v="0"/>
    <n v="0"/>
    <n v="0"/>
  </r>
  <r>
    <s v="SVP/ Support Services Office"/>
    <s v="847.8470530.1.426900.000000.847010.200179"/>
    <n v="8470530"/>
    <s v="KUST - Facilities Management"/>
    <x v="19"/>
    <x v="19"/>
    <n v="847010"/>
    <s v="KUST - Main Campus"/>
    <x v="1"/>
    <x v="1"/>
    <n v="24109"/>
    <n v="26537"/>
    <n v="17871"/>
    <n v="0"/>
    <n v="0"/>
    <x v="1"/>
    <n v="0"/>
    <n v="0"/>
    <n v="0"/>
    <n v="0"/>
    <n v="0"/>
    <n v="0"/>
    <n v="0"/>
    <n v="0"/>
    <n v="0"/>
  </r>
  <r>
    <s v="SVP/ Support Services Office"/>
    <s v="847.8470530.1.428090.000000.847010.200179"/>
    <n v="8470530"/>
    <s v="KUST - Facilities Management"/>
    <x v="13"/>
    <x v="13"/>
    <n v="847010"/>
    <s v="KUST - Main Campus"/>
    <x v="1"/>
    <x v="1"/>
    <n v="99865"/>
    <n v="0"/>
    <n v="0"/>
    <n v="0"/>
    <n v="0"/>
    <x v="1"/>
    <n v="0"/>
    <n v="0"/>
    <n v="0"/>
    <n v="0"/>
    <n v="0"/>
    <n v="0"/>
    <n v="0"/>
    <n v="0"/>
    <n v="0"/>
  </r>
  <r>
    <s v="SVP/ Support Services Office"/>
    <s v="847.8470530.1.428200.000000.847010.200179"/>
    <n v="8470530"/>
    <s v="KUST - Facilities Management"/>
    <x v="71"/>
    <x v="71"/>
    <n v="847010"/>
    <s v="KUST - Main Campus"/>
    <x v="1"/>
    <x v="1"/>
    <n v="210685"/>
    <n v="0"/>
    <n v="0"/>
    <n v="0"/>
    <n v="0"/>
    <x v="1"/>
    <n v="0"/>
    <n v="0"/>
    <n v="0"/>
    <n v="0"/>
    <n v="0"/>
    <n v="0"/>
    <n v="0"/>
    <n v="0"/>
    <n v="0"/>
  </r>
  <r>
    <s v="SVP/ Support Services Office"/>
    <s v="847.8470530.1.430330.000000.847020.200179"/>
    <n v="8470530"/>
    <s v="KUST - Facilities Management"/>
    <x v="78"/>
    <x v="78"/>
    <n v="847020"/>
    <s v="KUST- Sas Al Nakhl Campus"/>
    <x v="1"/>
    <x v="1"/>
    <n v="408596"/>
    <n v="0"/>
    <n v="-3600"/>
    <n v="0"/>
    <n v="0"/>
    <x v="1"/>
    <n v="0"/>
    <n v="0"/>
    <n v="0"/>
    <n v="0"/>
    <n v="0"/>
    <n v="0"/>
    <n v="0"/>
    <n v="0"/>
    <n v="0"/>
  </r>
  <r>
    <s v="SVP/ Support Services Office"/>
    <s v="847.8470530.1.432170.000000.847030.200179"/>
    <n v="8470530"/>
    <s v="KUST - Facilities Management"/>
    <x v="38"/>
    <x v="38"/>
    <n v="847030"/>
    <s v="KUST- Masdar city campus"/>
    <x v="1"/>
    <x v="1"/>
    <n v="44300"/>
    <n v="0"/>
    <n v="0"/>
    <n v="0"/>
    <n v="0"/>
    <x v="1"/>
    <n v="0"/>
    <n v="0"/>
    <n v="0"/>
    <n v="0"/>
    <n v="0"/>
    <n v="0"/>
    <n v="0"/>
    <n v="0"/>
    <n v="0"/>
  </r>
  <r>
    <s v="SVP/ Support Services Office"/>
    <s v="847.8470530.1.432540.000000.847010.200179"/>
    <n v="8470530"/>
    <s v="KUST - Facilities Management"/>
    <x v="80"/>
    <x v="80"/>
    <n v="847010"/>
    <s v="KUST - Main Campus"/>
    <x v="1"/>
    <x v="1"/>
    <n v="35251"/>
    <n v="43876"/>
    <n v="14584"/>
    <n v="0"/>
    <n v="0"/>
    <x v="1"/>
    <n v="0"/>
    <n v="0"/>
    <n v="0"/>
    <n v="0"/>
    <n v="0"/>
    <n v="0"/>
    <n v="0"/>
    <n v="0"/>
    <n v="0"/>
  </r>
  <r>
    <s v="SVP/ Support Services Office"/>
    <s v="847.8470530.1.432540.000000.847020.200179"/>
    <n v="8470530"/>
    <s v="KUST - Facilities Management"/>
    <x v="80"/>
    <x v="80"/>
    <n v="847020"/>
    <s v="KUST- Sas Al Nakhl Campus"/>
    <x v="1"/>
    <x v="1"/>
    <n v="28591"/>
    <n v="0"/>
    <n v="3160"/>
    <n v="0"/>
    <n v="0"/>
    <x v="1"/>
    <n v="0"/>
    <n v="0"/>
    <n v="0"/>
    <n v="0"/>
    <n v="0"/>
    <n v="0"/>
    <n v="0"/>
    <n v="0"/>
    <n v="0"/>
  </r>
  <r>
    <s v="SVP/ Support Services Office"/>
    <s v="847.8470530.1.435508.000000.847020.200179"/>
    <n v="8470530"/>
    <s v="KUST - Facilities Management"/>
    <x v="44"/>
    <x v="44"/>
    <n v="847020"/>
    <s v="KUST- Sas Al Nakhl Campus"/>
    <x v="1"/>
    <x v="1"/>
    <n v="150894"/>
    <n v="-114764"/>
    <n v="0"/>
    <n v="0"/>
    <n v="0"/>
    <x v="1"/>
    <n v="0"/>
    <n v="0"/>
    <n v="0"/>
    <n v="0"/>
    <n v="0"/>
    <n v="0"/>
    <n v="0"/>
    <n v="0"/>
    <n v="0"/>
  </r>
  <r>
    <s v="SVP/ Support Services Office"/>
    <s v="847.8470530.1.435508.000000.847030.200179"/>
    <n v="8470530"/>
    <s v="KUST - Facilities Management"/>
    <x v="44"/>
    <x v="44"/>
    <n v="847030"/>
    <s v="KUST- Masdar city campus"/>
    <x v="1"/>
    <x v="1"/>
    <n v="29220"/>
    <n v="0"/>
    <n v="0"/>
    <n v="0"/>
    <n v="0"/>
    <x v="1"/>
    <n v="0"/>
    <n v="0"/>
    <n v="0"/>
    <n v="0"/>
    <n v="0"/>
    <n v="0"/>
    <n v="0"/>
    <n v="0"/>
    <n v="0"/>
  </r>
  <r>
    <s v="SVP/ Support Services Office"/>
    <s v="847.8470530.1.435510.000000.847010.200179"/>
    <n v="8470530"/>
    <s v="KUST - Facilities Management"/>
    <x v="98"/>
    <x v="98"/>
    <n v="847010"/>
    <s v="KUST - Main Campus"/>
    <x v="1"/>
    <x v="1"/>
    <n v="280604"/>
    <n v="0"/>
    <n v="0"/>
    <n v="0"/>
    <n v="0"/>
    <x v="1"/>
    <n v="0"/>
    <n v="0"/>
    <n v="0"/>
    <n v="0"/>
    <n v="0"/>
    <n v="0"/>
    <n v="0"/>
    <n v="0"/>
    <n v="0"/>
  </r>
  <r>
    <s v="SVP/ Support Services Office"/>
    <s v="847.8470530.1.435510.000000.847020.200179"/>
    <n v="8470530"/>
    <s v="KUST - Facilities Management"/>
    <x v="98"/>
    <x v="98"/>
    <n v="847020"/>
    <s v="KUST- Sas Al Nakhl Campus"/>
    <x v="1"/>
    <x v="1"/>
    <n v="1077935"/>
    <n v="0"/>
    <n v="0"/>
    <n v="0"/>
    <n v="0"/>
    <x v="1"/>
    <n v="0"/>
    <n v="0"/>
    <n v="0"/>
    <n v="0"/>
    <n v="0"/>
    <n v="0"/>
    <n v="0"/>
    <n v="0"/>
    <n v="0"/>
  </r>
  <r>
    <s v="SVP/ Support Services Office"/>
    <s v="847.8470530.1.435510.000000.847030.200179"/>
    <n v="8470530"/>
    <s v="KUST - Facilities Management"/>
    <x v="98"/>
    <x v="98"/>
    <n v="847030"/>
    <s v="KUST- Masdar city campus"/>
    <x v="1"/>
    <x v="1"/>
    <n v="6840"/>
    <n v="0"/>
    <n v="0"/>
    <n v="0"/>
    <n v="0"/>
    <x v="1"/>
    <n v="0"/>
    <n v="0"/>
    <n v="0"/>
    <n v="0"/>
    <n v="0"/>
    <n v="0"/>
    <n v="0"/>
    <n v="0"/>
    <n v="0"/>
  </r>
  <r>
    <s v="SVP/ Support Services Office"/>
    <s v="847.8470530.1.435740.000000.847010.200179"/>
    <n v="8470530"/>
    <s v="KUST - Facilities Management"/>
    <x v="85"/>
    <x v="85"/>
    <n v="847010"/>
    <s v="KUST - Main Campus"/>
    <x v="1"/>
    <x v="1"/>
    <n v="25816"/>
    <n v="3162"/>
    <n v="0"/>
    <n v="0"/>
    <n v="0"/>
    <x v="1"/>
    <n v="0"/>
    <n v="0"/>
    <n v="0"/>
    <n v="0"/>
    <n v="0"/>
    <n v="0"/>
    <n v="0"/>
    <n v="0"/>
    <n v="0"/>
  </r>
  <r>
    <s v="SVP/ Support Services Office"/>
    <s v="847.8470530.1.435740.000000.847020.200179"/>
    <n v="8470530"/>
    <s v="KUST - Facilities Management"/>
    <x v="85"/>
    <x v="85"/>
    <n v="847020"/>
    <s v="KUST- Sas Al Nakhl Campus"/>
    <x v="1"/>
    <x v="1"/>
    <n v="18873"/>
    <n v="-14078"/>
    <n v="0"/>
    <n v="0"/>
    <n v="0"/>
    <x v="1"/>
    <n v="0"/>
    <n v="0"/>
    <n v="0"/>
    <n v="0"/>
    <n v="0"/>
    <n v="0"/>
    <n v="0"/>
    <n v="0"/>
    <n v="0"/>
  </r>
  <r>
    <s v="SVP/ Support Services Office"/>
    <s v="847.8470530.1.436110.000000.847010.200179"/>
    <n v="8470530"/>
    <s v="KUST - Facilities Management"/>
    <x v="15"/>
    <x v="15"/>
    <n v="847010"/>
    <s v="KUST - Main Campus"/>
    <x v="1"/>
    <x v="1"/>
    <n v="340611"/>
    <n v="205405"/>
    <n v="299550"/>
    <n v="0"/>
    <n v="0"/>
    <x v="1"/>
    <n v="0"/>
    <n v="0"/>
    <n v="0"/>
    <n v="0"/>
    <n v="0"/>
    <n v="0"/>
    <n v="0"/>
    <n v="0"/>
    <n v="0"/>
  </r>
  <r>
    <s v="SVP/ Support Services Office"/>
    <s v="847.8470530.1.436120.000000.847020.200179"/>
    <n v="8470530"/>
    <s v="KUST - Facilities Management"/>
    <x v="21"/>
    <x v="21"/>
    <n v="847020"/>
    <s v="KUST- Sas Al Nakhl Campus"/>
    <x v="1"/>
    <x v="1"/>
    <n v="-362"/>
    <n v="0"/>
    <n v="0"/>
    <n v="0"/>
    <n v="0"/>
    <x v="1"/>
    <n v="0"/>
    <n v="0"/>
    <n v="0"/>
    <n v="0"/>
    <n v="0"/>
    <n v="0"/>
    <n v="0"/>
    <n v="0"/>
    <n v="0"/>
  </r>
  <r>
    <s v="SVP/ Support Services Office"/>
    <s v="847.8470530.1.436220.000000.847010.200179"/>
    <n v="8470530"/>
    <s v="KUST - Facilities Management"/>
    <x v="81"/>
    <x v="81"/>
    <n v="847010"/>
    <s v="KUST - Main Campus"/>
    <x v="1"/>
    <x v="1"/>
    <n v="71100"/>
    <n v="0"/>
    <n v="0"/>
    <n v="0"/>
    <n v="0"/>
    <x v="1"/>
    <n v="0"/>
    <n v="0"/>
    <n v="0"/>
    <n v="0"/>
    <n v="0"/>
    <n v="0"/>
    <n v="0"/>
    <n v="0"/>
    <n v="0"/>
  </r>
  <r>
    <s v="SVP/ Support Services Office"/>
    <s v="847.8470530.1.492200.000000.847030.300180"/>
    <n v="8470530"/>
    <s v="KUST - Facilities Management"/>
    <x v="82"/>
    <x v="82"/>
    <n v="847030"/>
    <s v="KUST- Masdar city campus"/>
    <x v="2"/>
    <x v="2"/>
    <n v="563642"/>
    <n v="0"/>
    <n v="0"/>
    <n v="0"/>
    <n v="0"/>
    <x v="1"/>
    <n v="0"/>
    <n v="0"/>
    <n v="0"/>
    <n v="0"/>
    <n v="0"/>
    <n v="0"/>
    <n v="0"/>
    <n v="0"/>
    <n v="0"/>
  </r>
  <r>
    <s v="SVP/ Support Services Office"/>
    <s v="847.8470530.1.492316.000000.847030.300180"/>
    <n v="8470530"/>
    <s v="KUST - Facilities Management"/>
    <x v="39"/>
    <x v="39"/>
    <n v="847030"/>
    <s v="KUST- Masdar city campus"/>
    <x v="2"/>
    <x v="2"/>
    <n v="85500"/>
    <n v="0"/>
    <n v="0"/>
    <n v="0"/>
    <n v="0"/>
    <x v="1"/>
    <n v="0"/>
    <n v="0"/>
    <n v="0"/>
    <n v="0"/>
    <n v="0"/>
    <n v="0"/>
    <n v="0"/>
    <n v="0"/>
    <n v="0"/>
  </r>
  <r>
    <s v="SVP/ Support Services Office"/>
    <s v="847.8470530.1.492610.000000.847030.300180"/>
    <n v="8470530"/>
    <s v="KUST - Facilities Management"/>
    <x v="83"/>
    <x v="83"/>
    <n v="847030"/>
    <s v="KUST- Masdar city campus"/>
    <x v="2"/>
    <x v="2"/>
    <n v="6598"/>
    <n v="81760"/>
    <n v="-41759"/>
    <n v="0"/>
    <n v="0"/>
    <x v="1"/>
    <n v="0"/>
    <n v="0"/>
    <n v="0"/>
    <n v="0"/>
    <n v="0"/>
    <n v="0"/>
    <n v="0"/>
    <n v="0"/>
    <n v="0"/>
  </r>
  <r>
    <s v="SVP/ Support Services Office"/>
    <s v="847.8470620.1.421000.000000.847001.200179"/>
    <n v="8470620"/>
    <s v="KUST - Finance Operations"/>
    <x v="55"/>
    <x v="55"/>
    <n v="847001"/>
    <s v="KUST - General"/>
    <x v="1"/>
    <x v="1"/>
    <n v="212500"/>
    <n v="10000"/>
    <n v="0"/>
    <n v="0"/>
    <n v="0"/>
    <x v="1"/>
    <n v="0"/>
    <n v="0"/>
    <n v="0"/>
    <n v="0"/>
    <n v="0"/>
    <n v="0"/>
    <n v="0"/>
    <n v="0"/>
    <n v="0"/>
  </r>
  <r>
    <s v="SVP/ Support Services Office"/>
    <s v="847.8470620.1.425510.000000.847001.200179"/>
    <n v="8470620"/>
    <s v="KUST - Finance Operations"/>
    <x v="3"/>
    <x v="3"/>
    <n v="847001"/>
    <s v="KUST - General"/>
    <x v="1"/>
    <x v="1"/>
    <n v="0"/>
    <n v="0"/>
    <n v="0"/>
    <n v="0"/>
    <n v="0"/>
    <x v="1"/>
    <n v="0"/>
    <n v="0"/>
    <n v="0"/>
    <n v="0"/>
    <n v="0"/>
    <n v="0"/>
    <n v="0"/>
    <n v="0"/>
    <n v="0"/>
  </r>
  <r>
    <s v="SVP/ Support Services Office"/>
    <s v="847.8470620.1.428090.000000.847001.200179"/>
    <n v="8470620"/>
    <s v="KUST - Finance Operations"/>
    <x v="13"/>
    <x v="13"/>
    <n v="847001"/>
    <s v="KUST - General"/>
    <x v="1"/>
    <x v="1"/>
    <n v="3790"/>
    <n v="0"/>
    <n v="0"/>
    <n v="0"/>
    <n v="0"/>
    <x v="1"/>
    <n v="0"/>
    <n v="0"/>
    <n v="0"/>
    <n v="0"/>
    <n v="0"/>
    <n v="0"/>
    <n v="0"/>
    <n v="0"/>
    <n v="0"/>
  </r>
  <r>
    <s v="SVP/ Support Services Office"/>
    <s v="847.8470630.1.428090.000000.847001.200179"/>
    <n v="8470630"/>
    <s v="KUST - Business Development"/>
    <x v="13"/>
    <x v="13"/>
    <n v="847001"/>
    <s v="KUST - General"/>
    <x v="1"/>
    <x v="1"/>
    <n v="490"/>
    <n v="0"/>
    <n v="0"/>
    <n v="0"/>
    <n v="0"/>
    <x v="1"/>
    <n v="0"/>
    <n v="0"/>
    <n v="0"/>
    <n v="0"/>
    <n v="0"/>
    <n v="0"/>
    <n v="0"/>
    <n v="0"/>
    <n v="0"/>
  </r>
  <r>
    <s v="SVP/ Support Services Office"/>
    <s v="847.8470720.1.421000.000000.847001.200179"/>
    <n v="8470720"/>
    <s v="KUST - Procurement and Contracts"/>
    <x v="55"/>
    <x v="55"/>
    <n v="847001"/>
    <s v="KUST - General"/>
    <x v="1"/>
    <x v="1"/>
    <n v="548400"/>
    <n v="-60833"/>
    <n v="-97933"/>
    <n v="0"/>
    <n v="0"/>
    <x v="1"/>
    <n v="0"/>
    <n v="0"/>
    <n v="0"/>
    <n v="0"/>
    <n v="0"/>
    <n v="0"/>
    <n v="0"/>
    <n v="0"/>
    <n v="0"/>
  </r>
  <r>
    <s v="SVP/ Support Services Office"/>
    <s v="847.8470730.1.421100.000000.847001.200179"/>
    <n v="8470730"/>
    <s v="KUST - Human Resources"/>
    <x v="90"/>
    <x v="90"/>
    <n v="847001"/>
    <s v="KUST - General"/>
    <x v="1"/>
    <x v="1"/>
    <n v="532246"/>
    <n v="0"/>
    <n v="0"/>
    <n v="0"/>
    <n v="0"/>
    <x v="1"/>
    <n v="0"/>
    <n v="0"/>
    <n v="0"/>
    <n v="0"/>
    <n v="0"/>
    <n v="0"/>
    <n v="0"/>
    <n v="0"/>
    <n v="0"/>
  </r>
  <r>
    <s v="SVP/ Support Services Office"/>
    <s v="847.8470730.1.426290.000000.847001.200179"/>
    <n v="8470730"/>
    <s v="KUST - Human Resources"/>
    <x v="99"/>
    <x v="99"/>
    <n v="847001"/>
    <s v="KUST - General"/>
    <x v="1"/>
    <x v="1"/>
    <n v="15608924"/>
    <n v="0"/>
    <n v="0"/>
    <n v="0"/>
    <n v="0"/>
    <x v="1"/>
    <n v="0"/>
    <n v="0"/>
    <n v="0"/>
    <n v="0"/>
    <n v="0"/>
    <n v="0"/>
    <n v="0"/>
    <n v="0"/>
    <n v="0"/>
  </r>
  <r>
    <s v="SVP/ Support Services Office"/>
    <s v="847.8470730.1.432205.000000.847001.200179"/>
    <n v="8470730"/>
    <s v="KUST - Human Resources"/>
    <x v="59"/>
    <x v="59"/>
    <n v="847001"/>
    <s v="KUST - General"/>
    <x v="1"/>
    <x v="1"/>
    <n v="24000"/>
    <n v="0"/>
    <n v="0"/>
    <n v="0"/>
    <n v="0"/>
    <x v="1"/>
    <n v="0"/>
    <n v="0"/>
    <n v="0"/>
    <n v="0"/>
    <n v="0"/>
    <n v="0"/>
    <n v="0"/>
    <n v="0"/>
    <n v="0"/>
  </r>
  <r>
    <s v="SVP/ Support Services Office"/>
    <s v="847.8470810.1.421000.000000.847001.200179"/>
    <n v="8470810"/>
    <s v="KUST - Ankabut office"/>
    <x v="55"/>
    <x v="55"/>
    <n v="847001"/>
    <s v="KUST - General"/>
    <x v="1"/>
    <x v="1"/>
    <n v="875149"/>
    <n v="83751"/>
    <n v="0"/>
    <n v="0"/>
    <n v="0"/>
    <x v="1"/>
    <n v="0"/>
    <n v="0"/>
    <n v="0"/>
    <n v="0"/>
    <n v="0"/>
    <n v="0"/>
    <n v="0"/>
    <n v="0"/>
    <n v="0"/>
  </r>
  <r>
    <s v="SVP/ Support Services Office"/>
    <s v="847.8470810.1.425900.000000.847001.200179"/>
    <n v="8470810"/>
    <s v="KUST - Ankabut office"/>
    <x v="11"/>
    <x v="11"/>
    <n v="847001"/>
    <s v="KUST - General"/>
    <x v="1"/>
    <x v="1"/>
    <n v="1704"/>
    <n v="0"/>
    <n v="0"/>
    <n v="0"/>
    <n v="0"/>
    <x v="1"/>
    <n v="0"/>
    <n v="0"/>
    <n v="0"/>
    <n v="0"/>
    <n v="0"/>
    <n v="0"/>
    <n v="0"/>
    <n v="0"/>
    <n v="0"/>
  </r>
  <r>
    <s v="SVP/ Support Services Office"/>
    <s v="847.8470810.1.436120.000000.847001.200179"/>
    <n v="8470810"/>
    <s v="KUST - Ankabut office"/>
    <x v="21"/>
    <x v="21"/>
    <n v="847001"/>
    <s v="KUST - General"/>
    <x v="1"/>
    <x v="1"/>
    <n v="11591"/>
    <n v="0"/>
    <n v="0"/>
    <n v="0"/>
    <n v="0"/>
    <x v="1"/>
    <n v="0"/>
    <n v="0"/>
    <n v="0"/>
    <n v="0"/>
    <n v="0"/>
    <n v="0"/>
    <n v="0"/>
    <n v="0"/>
    <n v="0"/>
  </r>
  <r>
    <s v="Senior Vice President, Research Office"/>
    <s v="847.8471110.1.421000.000000.847001.200179"/>
    <n v="8471110"/>
    <s v="KUST - SVP/ Research &amp; Development Office"/>
    <x v="55"/>
    <x v="55"/>
    <n v="847001"/>
    <s v="KUST - General"/>
    <x v="1"/>
    <x v="1"/>
    <n v="398169"/>
    <n v="0"/>
    <n v="0"/>
    <n v="0"/>
    <n v="0"/>
    <x v="1"/>
    <n v="0"/>
    <n v="0"/>
    <n v="0"/>
    <n v="0"/>
    <n v="0"/>
    <n v="0"/>
    <n v="0"/>
    <n v="0"/>
    <n v="0"/>
  </r>
  <r>
    <s v="Senior Vice President, Research Office"/>
    <s v="847.8471130.1.420570.000000.847001.200179"/>
    <n v="8471130"/>
    <s v="KUST - Research Service"/>
    <x v="49"/>
    <x v="49"/>
    <n v="847001"/>
    <s v="KUST - General"/>
    <x v="1"/>
    <x v="1"/>
    <n v="115883"/>
    <n v="100824"/>
    <n v="-551"/>
    <n v="0"/>
    <n v="0"/>
    <x v="1"/>
    <n v="0"/>
    <n v="0"/>
    <n v="0"/>
    <n v="0"/>
    <n v="0"/>
    <n v="0"/>
    <n v="0"/>
    <n v="0"/>
    <n v="0"/>
  </r>
  <r>
    <s v="Senior Vice President, Research Office"/>
    <s v="847.8471130.1.492316.000000.847001.300180"/>
    <n v="8471130"/>
    <s v="KUST - Research Service"/>
    <x v="39"/>
    <x v="39"/>
    <n v="847001"/>
    <s v="KUST - General"/>
    <x v="2"/>
    <x v="2"/>
    <n v="27025"/>
    <n v="3032179"/>
    <n v="0"/>
    <n v="0"/>
    <n v="0"/>
    <x v="1"/>
    <n v="0"/>
    <n v="0"/>
    <n v="0"/>
    <n v="0"/>
    <n v="0"/>
    <n v="0"/>
    <n v="0"/>
    <n v="0"/>
    <n v="0"/>
  </r>
  <r>
    <s v="Senior Vice President, Research Office"/>
    <s v="847.8471130.1.495140.000000.847001.300180"/>
    <n v="8471130"/>
    <s v="KUST - Research Service"/>
    <x v="52"/>
    <x v="52"/>
    <n v="847001"/>
    <s v="KUST - General"/>
    <x v="2"/>
    <x v="2"/>
    <n v="420727"/>
    <n v="280485"/>
    <n v="0"/>
    <n v="0"/>
    <n v="0"/>
    <x v="1"/>
    <n v="0"/>
    <n v="0"/>
    <n v="0"/>
    <n v="0"/>
    <n v="0"/>
    <n v="0"/>
    <n v="0"/>
    <n v="0"/>
    <n v="0"/>
  </r>
  <r>
    <s v="Senior Vice President, Research Office"/>
    <s v="847.8471140.1.425900.000000.847001.200179"/>
    <n v="8471140"/>
    <s v="KUST - University Sponsored Research"/>
    <x v="11"/>
    <x v="11"/>
    <n v="847001"/>
    <s v="KUST - General"/>
    <x v="1"/>
    <x v="1"/>
    <n v="3342"/>
    <n v="0"/>
    <n v="0"/>
    <n v="0"/>
    <n v="0"/>
    <x v="1"/>
    <n v="0"/>
    <n v="0"/>
    <n v="0"/>
    <n v="0"/>
    <n v="0"/>
    <n v="0"/>
    <n v="0"/>
    <n v="0"/>
    <n v="0"/>
  </r>
  <r>
    <s v="Senior Vice President, Research Office"/>
    <s v="847.8471150.1.421000.000000.847001.200179"/>
    <n v="8471150"/>
    <s v="KUST - Technology Management &amp; Innovation"/>
    <x v="55"/>
    <x v="55"/>
    <n v="847001"/>
    <s v="KUST - General"/>
    <x v="1"/>
    <x v="1"/>
    <n v="91825"/>
    <n v="71624"/>
    <n v="0"/>
    <n v="0"/>
    <n v="0"/>
    <x v="1"/>
    <n v="0"/>
    <n v="0"/>
    <n v="0"/>
    <n v="0"/>
    <n v="0"/>
    <n v="0"/>
    <n v="0"/>
    <n v="0"/>
    <n v="0"/>
  </r>
  <r>
    <s v="Senior Vice President, Research Office"/>
    <s v="847.8471160.1.422100.000000.847001.200179"/>
    <n v="8471160"/>
    <s v="KUST - Research Laboratories"/>
    <x v="56"/>
    <x v="56"/>
    <n v="847001"/>
    <s v="KUST - General"/>
    <x v="1"/>
    <x v="1"/>
    <n v="72233"/>
    <n v="3122"/>
    <n v="100000"/>
    <n v="0"/>
    <n v="0"/>
    <x v="1"/>
    <n v="0"/>
    <n v="0"/>
    <n v="0"/>
    <n v="0"/>
    <n v="0"/>
    <n v="0"/>
    <n v="0"/>
    <n v="0"/>
    <n v="0"/>
  </r>
  <r>
    <s v="Senior Vice President, Research Office"/>
    <s v="847.8471160.1.430330.000000.847001.200179"/>
    <n v="8471160"/>
    <s v="KUST - Research Laboratories"/>
    <x v="78"/>
    <x v="78"/>
    <n v="847001"/>
    <s v="KUST - General"/>
    <x v="1"/>
    <x v="1"/>
    <n v="97138"/>
    <n v="-86772"/>
    <n v="-3673"/>
    <n v="0"/>
    <n v="0"/>
    <x v="1"/>
    <n v="0"/>
    <n v="0"/>
    <n v="0"/>
    <n v="0"/>
    <n v="0"/>
    <n v="0"/>
    <n v="0"/>
    <n v="0"/>
    <n v="0"/>
  </r>
  <r>
    <s v="Senior Vice President, Research Office"/>
    <s v="847.8471170.1.421100.000000.847001.200179"/>
    <n v="8471170"/>
    <s v="KUST - Research Computing"/>
    <x v="90"/>
    <x v="90"/>
    <n v="847001"/>
    <s v="KUST - General"/>
    <x v="1"/>
    <x v="1"/>
    <n v="444672"/>
    <n v="-866"/>
    <n v="0"/>
    <n v="0"/>
    <n v="0"/>
    <x v="1"/>
    <n v="0"/>
    <n v="0"/>
    <n v="0"/>
    <n v="0"/>
    <n v="0"/>
    <n v="0"/>
    <n v="0"/>
    <n v="0"/>
    <n v="0"/>
  </r>
  <r>
    <s v="Academic and Student Services Office"/>
    <s v="847.8471210.1.426610.000000.847001.200179"/>
    <n v="8471210"/>
    <s v="KUST - SVP/ Academic &amp; Student Services Office"/>
    <x v="12"/>
    <x v="12"/>
    <n v="847001"/>
    <s v="KUST - General"/>
    <x v="1"/>
    <x v="1"/>
    <n v="5599"/>
    <n v="0"/>
    <n v="0"/>
    <n v="0"/>
    <n v="0"/>
    <x v="1"/>
    <n v="0"/>
    <n v="0"/>
    <n v="0"/>
    <n v="0"/>
    <n v="0"/>
    <n v="0"/>
    <n v="0"/>
    <n v="0"/>
    <n v="0"/>
  </r>
  <r>
    <s v="Academic and Student Services Office"/>
    <s v="847.8471250.1.425761.000000.847001.200179"/>
    <n v="8471250"/>
    <s v="KUST - Career Services"/>
    <x v="9"/>
    <x v="9"/>
    <n v="847001"/>
    <s v="KUST - General"/>
    <x v="1"/>
    <x v="1"/>
    <n v="18335"/>
    <n v="0"/>
    <n v="0"/>
    <n v="0"/>
    <n v="0"/>
    <x v="1"/>
    <n v="0"/>
    <n v="0"/>
    <n v="0"/>
    <n v="0"/>
    <n v="0"/>
    <n v="0"/>
    <n v="0"/>
    <n v="0"/>
    <n v="0"/>
  </r>
  <r>
    <s v="Academic and Student Services Office"/>
    <s v="847.8471260.1.425720.000000.847001.200179"/>
    <n v="8471260"/>
    <s v="KUST - Student Life"/>
    <x v="23"/>
    <x v="23"/>
    <n v="847001"/>
    <s v="KUST - General"/>
    <x v="1"/>
    <x v="1"/>
    <n v="27190"/>
    <n v="10500"/>
    <n v="0"/>
    <n v="0"/>
    <n v="0"/>
    <x v="1"/>
    <n v="0"/>
    <n v="0"/>
    <n v="0"/>
    <n v="0"/>
    <n v="0"/>
    <n v="0"/>
    <n v="0"/>
    <n v="0"/>
    <n v="0"/>
  </r>
  <r>
    <s v="Academic and Student Services Office"/>
    <s v="847.8471260.1.427810.000000.847001.200179"/>
    <n v="8471260"/>
    <s v="KUST - Student Life"/>
    <x v="91"/>
    <x v="91"/>
    <n v="847001"/>
    <s v="KUST - General"/>
    <x v="1"/>
    <x v="1"/>
    <n v="39752"/>
    <n v="87520"/>
    <n v="0"/>
    <n v="0"/>
    <n v="0"/>
    <x v="1"/>
    <n v="0"/>
    <n v="0"/>
    <n v="0"/>
    <n v="0"/>
    <n v="0"/>
    <n v="0"/>
    <n v="0"/>
    <n v="0"/>
    <n v="0"/>
  </r>
  <r>
    <s v="Academic and Student Services Office"/>
    <s v="847.8471260.1.435410.000000.847001.200179"/>
    <n v="8471260"/>
    <s v="KUST - Student Life"/>
    <x v="84"/>
    <x v="84"/>
    <n v="847001"/>
    <s v="KUST - General"/>
    <x v="1"/>
    <x v="1"/>
    <n v="155664"/>
    <n v="0"/>
    <n v="0"/>
    <n v="0"/>
    <n v="0"/>
    <x v="1"/>
    <n v="0"/>
    <n v="0"/>
    <n v="0"/>
    <n v="0"/>
    <n v="0"/>
    <n v="0"/>
    <n v="0"/>
    <n v="0"/>
    <n v="0"/>
  </r>
  <r>
    <s v="Academic and Student Services Office"/>
    <s v="847.8471260.1.492610.000000.847001.300180"/>
    <n v="8471260"/>
    <s v="KUST - Student Life"/>
    <x v="83"/>
    <x v="83"/>
    <n v="847001"/>
    <s v="KUST - General"/>
    <x v="2"/>
    <x v="2"/>
    <n v="9124622"/>
    <n v="968930"/>
    <n v="0"/>
    <n v="0"/>
    <n v="0"/>
    <x v="1"/>
    <n v="0"/>
    <n v="0"/>
    <n v="0"/>
    <n v="0"/>
    <n v="0"/>
    <n v="0"/>
    <n v="0"/>
    <n v="0"/>
    <n v="0"/>
  </r>
  <r>
    <s v="Academic and Student Services Office"/>
    <s v="847.8471270.1.425510.000000.847001.200179"/>
    <n v="8471270"/>
    <s v="KUST - Libraries"/>
    <x v="3"/>
    <x v="3"/>
    <n v="847001"/>
    <s v="KUST - General"/>
    <x v="1"/>
    <x v="1"/>
    <n v="0"/>
    <n v="16513"/>
    <n v="0"/>
    <n v="0"/>
    <n v="0"/>
    <x v="1"/>
    <n v="0"/>
    <n v="0"/>
    <n v="0"/>
    <n v="0"/>
    <n v="0"/>
    <n v="0"/>
    <n v="0"/>
    <n v="0"/>
    <n v="0"/>
  </r>
  <r>
    <s v="Academic and Student Services Office"/>
    <s v="847.8471270.1.436120.000000.847001.200179"/>
    <n v="8471270"/>
    <s v="KUST - Libraries"/>
    <x v="21"/>
    <x v="21"/>
    <n v="847001"/>
    <s v="KUST - General"/>
    <x v="1"/>
    <x v="1"/>
    <n v="6479"/>
    <n v="0"/>
    <n v="0"/>
    <n v="0"/>
    <n v="0"/>
    <x v="1"/>
    <n v="0"/>
    <n v="0"/>
    <n v="0"/>
    <n v="0"/>
    <n v="0"/>
    <n v="0"/>
    <n v="0"/>
    <n v="0"/>
    <n v="0"/>
  </r>
  <r>
    <s v="College of Medicine &amp; Health Sciences"/>
    <s v="847.8471305.1.420550.000000.847001.200179"/>
    <n v="8471305"/>
    <s v="KUST - Dean Of Medicine"/>
    <x v="1"/>
    <x v="1"/>
    <n v="847001"/>
    <s v="KUST - General"/>
    <x v="1"/>
    <x v="1"/>
    <n v="72720"/>
    <n v="0"/>
    <n v="0"/>
    <n v="0"/>
    <n v="0"/>
    <x v="1"/>
    <n v="0"/>
    <n v="0"/>
    <n v="0"/>
    <n v="0"/>
    <n v="0"/>
    <n v="0"/>
    <n v="0"/>
    <n v="0"/>
    <n v="0"/>
  </r>
  <r>
    <s v="College of Medicine &amp; Health Sciences"/>
    <s v="847.8471305.1.425741.000000.847001.200179"/>
    <n v="8471305"/>
    <s v="KUST - Dean Of Medicine"/>
    <x v="18"/>
    <x v="18"/>
    <n v="847001"/>
    <s v="KUST - General"/>
    <x v="1"/>
    <x v="1"/>
    <n v="3126671"/>
    <n v="5265867"/>
    <n v="0"/>
    <n v="0"/>
    <n v="0"/>
    <x v="1"/>
    <n v="0"/>
    <n v="0"/>
    <n v="0"/>
    <n v="0"/>
    <n v="0"/>
    <n v="0"/>
    <n v="0"/>
    <n v="0"/>
    <n v="0"/>
  </r>
  <r>
    <s v="College of Medicine &amp; Health Sciences"/>
    <s v="847.8471305.1.425760.000000.847001.200179"/>
    <n v="8471305"/>
    <s v="KUST - Dean Of Medicine"/>
    <x v="30"/>
    <x v="30"/>
    <n v="847001"/>
    <s v="KUST - General"/>
    <x v="1"/>
    <x v="1"/>
    <n v="1365"/>
    <n v="4145"/>
    <n v="8694"/>
    <n v="0"/>
    <n v="0"/>
    <x v="1"/>
    <n v="0"/>
    <n v="0"/>
    <n v="0"/>
    <n v="0"/>
    <n v="0"/>
    <n v="0"/>
    <n v="0"/>
    <n v="0"/>
    <n v="0"/>
  </r>
  <r>
    <s v="College of Medicine &amp; Health Sciences"/>
    <s v="847.8471305.1.435310.000000.847001.200179"/>
    <n v="8471305"/>
    <s v="KUST - Dean Of Medicine"/>
    <x v="45"/>
    <x v="45"/>
    <n v="847001"/>
    <s v="KUST - General"/>
    <x v="1"/>
    <x v="1"/>
    <n v="1377"/>
    <n v="0"/>
    <n v="11085"/>
    <n v="0"/>
    <n v="0"/>
    <x v="1"/>
    <n v="0"/>
    <n v="0"/>
    <n v="0"/>
    <n v="0"/>
    <n v="0"/>
    <n v="0"/>
    <n v="0"/>
    <n v="0"/>
    <n v="0"/>
  </r>
  <r>
    <s v="College of Medicine &amp; Health Sciences"/>
    <s v="847.8471305.1.435410.000000.847001.200179"/>
    <n v="8471305"/>
    <s v="KUST - Dean Of Medicine"/>
    <x v="84"/>
    <x v="84"/>
    <n v="847001"/>
    <s v="KUST - General"/>
    <x v="1"/>
    <x v="1"/>
    <n v="2595"/>
    <n v="0"/>
    <n v="0"/>
    <n v="0"/>
    <n v="0"/>
    <x v="1"/>
    <n v="0"/>
    <n v="0"/>
    <n v="0"/>
    <n v="0"/>
    <n v="0"/>
    <n v="0"/>
    <n v="0"/>
    <n v="0"/>
    <n v="0"/>
  </r>
  <r>
    <s v="College of Medicine &amp; Health Sciences"/>
    <s v="847.8471305.1.435519.000000.847001.200179"/>
    <n v="8471305"/>
    <s v="KUST - Dean Of Medicine"/>
    <x v="63"/>
    <x v="63"/>
    <n v="847001"/>
    <s v="KUST - General"/>
    <x v="1"/>
    <x v="1"/>
    <n v="5300"/>
    <n v="2313"/>
    <n v="1000"/>
    <n v="0"/>
    <n v="0"/>
    <x v="1"/>
    <n v="0"/>
    <n v="0"/>
    <n v="0"/>
    <n v="0"/>
    <n v="0"/>
    <n v="0"/>
    <n v="0"/>
    <n v="0"/>
    <n v="0"/>
  </r>
  <r>
    <s v="President's Office "/>
    <s v="847.8470110.1.427710.000000.847001.200179"/>
    <n v="8470110"/>
    <s v="KUST - Office of the President"/>
    <x v="42"/>
    <x v="42"/>
    <n v="847001"/>
    <s v="KUST - General"/>
    <x v="1"/>
    <x v="1"/>
    <n v="0"/>
    <n v="3882"/>
    <n v="0"/>
    <n v="0"/>
    <n v="0"/>
    <x v="1"/>
    <n v="0"/>
    <n v="0"/>
    <n v="0"/>
    <n v="0"/>
    <n v="0"/>
    <n v="0"/>
    <n v="0"/>
    <n v="0"/>
    <n v="0"/>
  </r>
  <r>
    <s v="College of Engineering"/>
    <s v="847.8470330.1.421700.000000.847001.200179"/>
    <n v="8470330"/>
    <s v="KUST - Electrical &amp; Computer Engineering"/>
    <x v="40"/>
    <x v="40"/>
    <n v="847001"/>
    <s v="KUST - General"/>
    <x v="1"/>
    <x v="1"/>
    <n v="0"/>
    <n v="52799"/>
    <n v="0"/>
    <n v="0"/>
    <n v="0"/>
    <x v="1"/>
    <n v="0"/>
    <n v="0"/>
    <n v="0"/>
    <n v="0"/>
    <n v="0"/>
    <n v="0"/>
    <n v="0"/>
    <n v="0"/>
    <n v="0"/>
  </r>
  <r>
    <s v="College of Arts &amp; Science"/>
    <s v="847.8470435.1.425550.000000.847001.200179"/>
    <n v="8470435"/>
    <s v="KUST - Department of English"/>
    <x v="4"/>
    <x v="4"/>
    <n v="847001"/>
    <s v="KUST - General"/>
    <x v="1"/>
    <x v="1"/>
    <n v="0"/>
    <n v="5500"/>
    <n v="0"/>
    <n v="0"/>
    <n v="0"/>
    <x v="1"/>
    <n v="0"/>
    <n v="0"/>
    <n v="0"/>
    <n v="0"/>
    <n v="0"/>
    <n v="0"/>
    <n v="0"/>
    <n v="0"/>
    <n v="0"/>
  </r>
  <r>
    <s v="SVP/ Support Services Office"/>
    <s v="847.8470530.1.430330.000000.847010.200179"/>
    <n v="8470530"/>
    <s v="KUST - Facilities Management"/>
    <x v="78"/>
    <x v="78"/>
    <n v="847010"/>
    <s v="KUST - Main Campus"/>
    <x v="1"/>
    <x v="1"/>
    <n v="0"/>
    <n v="486391"/>
    <n v="0"/>
    <n v="0"/>
    <n v="0"/>
    <x v="1"/>
    <n v="0"/>
    <n v="0"/>
    <n v="0"/>
    <n v="0"/>
    <n v="0"/>
    <n v="0"/>
    <n v="0"/>
    <n v="0"/>
    <n v="0"/>
  </r>
  <r>
    <s v="SVP/ Support Services Office"/>
    <s v="847.8470530.1.436110.000000.847020.200179"/>
    <n v="8470530"/>
    <s v="KUST - Facilities Management"/>
    <x v="15"/>
    <x v="15"/>
    <n v="847020"/>
    <s v="KUST- Sas Al Nakhl Campus"/>
    <x v="1"/>
    <x v="1"/>
    <n v="0"/>
    <n v="98063"/>
    <n v="94794"/>
    <n v="0"/>
    <n v="0"/>
    <x v="1"/>
    <n v="0"/>
    <n v="0"/>
    <n v="0"/>
    <n v="0"/>
    <n v="0"/>
    <n v="0"/>
    <n v="0"/>
    <n v="0"/>
    <n v="0"/>
  </r>
  <r>
    <s v="SVP/ Support Services Office"/>
    <s v="847.8470730.1.427710.000000.847001.200179"/>
    <n v="8470730"/>
    <s v="KUST - Human Resources"/>
    <x v="42"/>
    <x v="42"/>
    <n v="847001"/>
    <s v="KUST - General"/>
    <x v="1"/>
    <x v="1"/>
    <n v="0"/>
    <n v="32"/>
    <n v="0"/>
    <n v="0"/>
    <n v="0"/>
    <x v="1"/>
    <n v="0"/>
    <n v="0"/>
    <n v="0"/>
    <n v="0"/>
    <n v="0"/>
    <n v="0"/>
    <n v="0"/>
    <n v="0"/>
    <n v="0"/>
  </r>
  <r>
    <s v="SVP/ Support Services Office"/>
    <s v="847.8470730.1.495140.000000.847001.300180"/>
    <n v="8470730"/>
    <s v="KUST - Human Resources"/>
    <x v="52"/>
    <x v="52"/>
    <n v="847001"/>
    <s v="KUST - General"/>
    <x v="2"/>
    <x v="2"/>
    <n v="0"/>
    <n v="29335"/>
    <n v="18150"/>
    <n v="0"/>
    <n v="0"/>
    <x v="1"/>
    <n v="0"/>
    <n v="0"/>
    <n v="0"/>
    <n v="0"/>
    <n v="0"/>
    <n v="0"/>
    <n v="0"/>
    <n v="0"/>
    <n v="0"/>
  </r>
  <r>
    <s v="Senior Vice President, Research Office"/>
    <s v="847.8471130.1.428400.000000.847001.200179"/>
    <n v="8471130"/>
    <s v="KUST - Research Service"/>
    <x v="65"/>
    <x v="65"/>
    <n v="847001"/>
    <s v="KUST - General"/>
    <x v="1"/>
    <x v="1"/>
    <n v="0"/>
    <n v="2400000"/>
    <n v="0"/>
    <n v="0"/>
    <n v="0"/>
    <x v="1"/>
    <n v="0"/>
    <n v="0"/>
    <n v="0"/>
    <n v="0"/>
    <n v="0"/>
    <n v="0"/>
    <n v="0"/>
    <n v="0"/>
    <n v="0"/>
  </r>
  <r>
    <s v="Senior Vice President, Research Office"/>
    <s v="847.8471140.1.425510.000000.847001.200179"/>
    <n v="8471140"/>
    <s v="KUST - University Sponsored Research"/>
    <x v="3"/>
    <x v="3"/>
    <n v="847001"/>
    <s v="KUST - General"/>
    <x v="1"/>
    <x v="1"/>
    <n v="0"/>
    <n v="468159"/>
    <n v="0"/>
    <n v="0"/>
    <n v="0"/>
    <x v="1"/>
    <n v="0"/>
    <n v="0"/>
    <n v="0"/>
    <n v="0"/>
    <n v="0"/>
    <n v="0"/>
    <n v="0"/>
    <n v="0"/>
    <n v="0"/>
  </r>
  <r>
    <s v="Senior Vice President, Research Office"/>
    <s v="847.8471140.1.427200.000000.847001.200179"/>
    <n v="8471140"/>
    <s v="KUST - University Sponsored Research"/>
    <x v="46"/>
    <x v="46"/>
    <n v="847001"/>
    <s v="KUST - General"/>
    <x v="1"/>
    <x v="1"/>
    <n v="0"/>
    <n v="13774"/>
    <n v="0"/>
    <n v="0"/>
    <n v="0"/>
    <x v="1"/>
    <n v="0"/>
    <n v="0"/>
    <n v="0"/>
    <n v="0"/>
    <n v="0"/>
    <n v="0"/>
    <n v="0"/>
    <n v="0"/>
    <n v="0"/>
  </r>
  <r>
    <s v="Senior Vice President, Research Office"/>
    <s v="847.8471160.1.421700.000000.847001.200179"/>
    <n v="8471160"/>
    <s v="KUST - Research Laboratories"/>
    <x v="40"/>
    <x v="40"/>
    <n v="847001"/>
    <s v="KUST - General"/>
    <x v="1"/>
    <x v="1"/>
    <n v="0"/>
    <n v="6300"/>
    <n v="0"/>
    <n v="0"/>
    <n v="0"/>
    <x v="1"/>
    <n v="0"/>
    <n v="0"/>
    <n v="0"/>
    <n v="0"/>
    <n v="0"/>
    <n v="0"/>
    <n v="0"/>
    <n v="0"/>
    <n v="0"/>
  </r>
  <r>
    <s v="Academic and Student Services Office"/>
    <s v="847.8471260.1.427850.000000.847001.200179"/>
    <n v="8471260"/>
    <s v="KUST - Student Life"/>
    <x v="92"/>
    <x v="92"/>
    <n v="847001"/>
    <s v="KUST - General"/>
    <x v="1"/>
    <x v="1"/>
    <n v="0"/>
    <n v="522604"/>
    <n v="0"/>
    <n v="0"/>
    <n v="0"/>
    <x v="1"/>
    <n v="0"/>
    <n v="0"/>
    <n v="0"/>
    <n v="0"/>
    <n v="0"/>
    <n v="0"/>
    <n v="0"/>
    <n v="0"/>
    <n v="0"/>
  </r>
  <r>
    <s v="Academic and Student Services Office"/>
    <s v="847.8471260.1.492200.000000.847001.300180"/>
    <n v="8471260"/>
    <s v="KUST - Student Life"/>
    <x v="82"/>
    <x v="82"/>
    <n v="847001"/>
    <s v="KUST - General"/>
    <x v="2"/>
    <x v="2"/>
    <n v="0"/>
    <n v="995000"/>
    <n v="0"/>
    <n v="0"/>
    <n v="0"/>
    <x v="1"/>
    <n v="0"/>
    <n v="0"/>
    <n v="0"/>
    <n v="0"/>
    <n v="0"/>
    <n v="0"/>
    <n v="0"/>
    <n v="0"/>
    <n v="0"/>
  </r>
  <r>
    <s v="College of Medicine &amp; Health Sciences"/>
    <s v="847.8471305.1.425770.000000.847001.200179"/>
    <n v="8471305"/>
    <s v="KUST - Dean Of Medicine"/>
    <x v="37"/>
    <x v="37"/>
    <n v="847001"/>
    <s v="KUST - General"/>
    <x v="1"/>
    <x v="1"/>
    <n v="0"/>
    <n v="13000"/>
    <n v="25711"/>
    <n v="0"/>
    <n v="0"/>
    <x v="1"/>
    <n v="0"/>
    <n v="0"/>
    <n v="0"/>
    <n v="0"/>
    <n v="0"/>
    <n v="0"/>
    <n v="0"/>
    <n v="0"/>
    <n v="0"/>
  </r>
  <r>
    <s v="College of Medicine &amp; Health Sciences"/>
    <s v="847.8471305.1.492200.000000.847001.300180"/>
    <n v="8471305"/>
    <s v="KUST - Dean Of Medicine"/>
    <x v="82"/>
    <x v="82"/>
    <n v="847001"/>
    <s v="KUST - General"/>
    <x v="2"/>
    <x v="2"/>
    <n v="0"/>
    <n v="1143379"/>
    <n v="0"/>
    <n v="0"/>
    <n v="0"/>
    <x v="1"/>
    <n v="0"/>
    <n v="0"/>
    <n v="0"/>
    <n v="0"/>
    <n v="0"/>
    <n v="0"/>
    <n v="0"/>
    <n v="0"/>
    <n v="0"/>
  </r>
  <r>
    <s v="SVP/ Support Services Office"/>
    <s v="847.8470530.1.436220.000000.847020.200179"/>
    <n v="8470530"/>
    <s v="KUST - Facilities Management"/>
    <x v="81"/>
    <x v="81"/>
    <n v="847020"/>
    <s v="KUST- Sas Al Nakhl Campus"/>
    <x v="1"/>
    <x v="1"/>
    <n v="0"/>
    <n v="0"/>
    <n v="222400"/>
    <n v="0"/>
    <n v="0"/>
    <x v="1"/>
    <n v="0"/>
    <n v="0"/>
    <n v="0"/>
    <n v="0"/>
    <n v="0"/>
    <n v="0"/>
    <n v="0"/>
    <n v="0"/>
    <n v="0"/>
  </r>
  <r>
    <s v="SVP/ Support Services Office"/>
    <s v="847.8470530.1.492316.000000.847010.300180"/>
    <n v="8470530"/>
    <s v="KUST - Facilities Management"/>
    <x v="39"/>
    <x v="39"/>
    <n v="847010"/>
    <s v="KUST - Main Campus"/>
    <x v="2"/>
    <x v="2"/>
    <n v="0"/>
    <n v="0"/>
    <n v="146450"/>
    <n v="0"/>
    <n v="0"/>
    <x v="1"/>
    <n v="0"/>
    <n v="0"/>
    <n v="0"/>
    <n v="0"/>
    <n v="0"/>
    <n v="0"/>
    <n v="0"/>
    <n v="0"/>
    <n v="0"/>
  </r>
  <r>
    <s v="SVP/ Support Services Office"/>
    <s v="847.8470720.1.428200.000000.847951.200179"/>
    <n v="8470720"/>
    <s v="KUST - Procurement and Contracts"/>
    <x v="71"/>
    <x v="71"/>
    <n v="847951"/>
    <s v="COVID-19 Pandemic"/>
    <x v="1"/>
    <x v="1"/>
    <n v="0"/>
    <n v="0"/>
    <n v="9300"/>
    <n v="0"/>
    <n v="0"/>
    <x v="1"/>
    <n v="0"/>
    <n v="0"/>
    <n v="0"/>
    <n v="0"/>
    <n v="0"/>
    <n v="0"/>
    <n v="0"/>
    <n v="0"/>
    <n v="0"/>
  </r>
  <r>
    <s v="SVP/ Support Services Office"/>
    <s v="847.8470730.1.427200.000000.847001.200179"/>
    <n v="8470730"/>
    <s v="KUST - Human Resources"/>
    <x v="46"/>
    <x v="46"/>
    <n v="847001"/>
    <s v="KUST - General"/>
    <x v="1"/>
    <x v="1"/>
    <n v="0"/>
    <n v="0"/>
    <n v="9360"/>
    <n v="0"/>
    <n v="0"/>
    <x v="1"/>
    <n v="0"/>
    <n v="0"/>
    <n v="0"/>
    <n v="0"/>
    <n v="0"/>
    <n v="0"/>
    <n v="0"/>
    <n v="0"/>
    <n v="0"/>
  </r>
  <r>
    <s v="SVP/ Support Services Office"/>
    <s v="847.8470810.1.427850.000000.847951.200179"/>
    <n v="8470810"/>
    <s v="KUST - Ankabut office"/>
    <x v="92"/>
    <x v="92"/>
    <n v="847951"/>
    <s v="COVID-19 Pandemic"/>
    <x v="1"/>
    <x v="1"/>
    <n v="0"/>
    <n v="0"/>
    <n v="1695109"/>
    <n v="0"/>
    <n v="0"/>
    <x v="1"/>
    <n v="0"/>
    <n v="0"/>
    <n v="0"/>
    <n v="0"/>
    <n v="0"/>
    <n v="0"/>
    <n v="0"/>
    <n v="0"/>
    <n v="0"/>
  </r>
  <r>
    <s v="Senior Vice President, Research Office"/>
    <s v="847.8471170.1.492310.000000.847001.300180"/>
    <n v="8471170"/>
    <s v="KUST - Research Computing"/>
    <x v="16"/>
    <x v="16"/>
    <n v="847001"/>
    <s v="KUST - General"/>
    <x v="2"/>
    <x v="2"/>
    <n v="0"/>
    <n v="0"/>
    <n v="9510"/>
    <n v="0"/>
    <n v="0"/>
    <x v="1"/>
    <n v="0"/>
    <n v="0"/>
    <n v="0"/>
    <n v="0"/>
    <n v="0"/>
    <n v="0"/>
    <n v="0"/>
    <n v="0"/>
    <n v="0"/>
  </r>
  <r>
    <s v="Academic and Student Services Office"/>
    <s v="847.8471220.1.425741.000000.847001.201211"/>
    <n v="8471220"/>
    <s v="KUST - Registrar"/>
    <x v="18"/>
    <x v="18"/>
    <n v="847001"/>
    <s v="KUST - General"/>
    <x v="3"/>
    <x v="1"/>
    <n v="0"/>
    <n v="0"/>
    <n v="40250800"/>
    <n v="0"/>
    <n v="0"/>
    <x v="1"/>
    <n v="0"/>
    <n v="0"/>
    <n v="0"/>
    <n v="0"/>
    <n v="0"/>
    <n v="0"/>
    <n v="0"/>
    <n v="0"/>
    <n v="0"/>
  </r>
  <r>
    <s v="Academic and Student Services Office"/>
    <s v="847.8471260.1.422400.000000.847951.200179"/>
    <n v="8471260"/>
    <s v="KUST - Student Life"/>
    <x v="28"/>
    <x v="28"/>
    <n v="847951"/>
    <s v="COVID-19 Pandemic"/>
    <x v="1"/>
    <x v="1"/>
    <n v="0"/>
    <n v="0"/>
    <n v="1240"/>
    <n v="0"/>
    <n v="0"/>
    <x v="1"/>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6" cacheId="59" applyNumberFormats="0" applyBorderFormats="0" applyFontFormats="0" applyPatternFormats="0" applyAlignmentFormats="0" applyWidthHeightFormats="1" dataCaption="Values" updatedVersion="6" minRefreshableVersion="3" useAutoFormatting="1" itemPrintTitles="1" createdVersion="6" indent="0" outline="1" outlineData="1">
  <location ref="A4:L6" firstHeaderRow="0" firstDataRow="1" firstDataCol="1" rowPageCount="1" colPageCount="1"/>
  <pivotFields count="25">
    <pivotField multipleItemSelectionAllowed="1" showAll="0"/>
    <pivotField showAll="0"/>
    <pivotField showAll="0"/>
    <pivotField showAll="0" insertBlankRow="1" defaultSubtotal="0"/>
    <pivotField showAll="0"/>
    <pivotField showAll="0"/>
    <pivotField showAll="0"/>
    <pivotField showAll="0"/>
    <pivotField axis="axisPage" multipleItemSelectionAllowed="1" showAll="0">
      <items count="5">
        <item h="1" x="1"/>
        <item h="1" x="2"/>
        <item x="0"/>
        <item h="1" x="3"/>
        <item t="default"/>
      </items>
    </pivotField>
    <pivotField axis="axisRow" multipleItemSelectionAllowed="1" showAll="0">
      <items count="6">
        <item x="0"/>
        <item x="1"/>
        <item x="2"/>
        <item m="1" x="4"/>
        <item m="1" x="3"/>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dataField="1" showAll="0"/>
    <pivotField dataField="1" showAll="0"/>
    <pivotField dragToRow="0" dragToCol="0" dragToPage="0" showAll="0" defaultSubtotal="0"/>
  </pivotFields>
  <rowFields count="1">
    <field x="9"/>
  </rowFields>
  <rowItems count="2">
    <i>
      <x/>
    </i>
    <i t="grand">
      <x/>
    </i>
  </rowItems>
  <colFields count="1">
    <field x="-2"/>
  </colFields>
  <colItems count="11">
    <i>
      <x/>
    </i>
    <i i="1">
      <x v="1"/>
    </i>
    <i i="2">
      <x v="2"/>
    </i>
    <i i="3">
      <x v="3"/>
    </i>
    <i i="4">
      <x v="4"/>
    </i>
    <i i="5">
      <x v="5"/>
    </i>
    <i i="6">
      <x v="6"/>
    </i>
    <i i="7">
      <x v="7"/>
    </i>
    <i i="8">
      <x v="8"/>
    </i>
    <i i="9">
      <x v="9"/>
    </i>
    <i i="10">
      <x v="10"/>
    </i>
  </colItems>
  <pageFields count="1">
    <pageField fld="8" hier="-1"/>
  </pageFields>
  <dataFields count="11">
    <dataField name=" 2019 Actual" fld="10" baseField="5" baseItem="9" numFmtId="3"/>
    <dataField name=" 2020 Actual" fld="11" baseField="3" baseItem="0"/>
    <dataField name=" 2021 Actual" fld="12" baseField="0" baseItem="0"/>
    <dataField name=" 2022 Budget" fld="13" baseField="3" baseItem="0"/>
    <dataField name=" 2022 Estimates Full Year Actual" fld="14" baseField="3" baseItem="0"/>
    <dataField name=" 2022 - Jun Actual" fld="15" baseField="3" baseItem="0"/>
    <dataField name=" 2022 PR" fld="16" baseField="3" baseItem="0"/>
    <dataField name=" 2022 PO" fld="17" baseField="5" baseItem="9"/>
    <dataField name="Sum of 2023 Budget " fld="18" baseField="5" baseItem="9"/>
    <dataField name="Sum of 2024 Budget" fld="22" baseField="5" baseItem="9"/>
    <dataField name="Sum of 2025 Budget" fld="23" baseField="3" baseItem="0"/>
  </dataFields>
  <formats count="9">
    <format dxfId="49">
      <pivotArea outline="0" collapsedLevelsAreSubtotals="1" fieldPosition="0"/>
    </format>
    <format dxfId="48">
      <pivotArea dataOnly="0" labelOnly="1" outline="0" fieldPosition="0">
        <references count="1">
          <reference field="4294967294" count="1">
            <x v="1"/>
          </reference>
        </references>
      </pivotArea>
    </format>
    <format dxfId="47">
      <pivotArea dataOnly="0" labelOnly="1" outline="0" fieldPosition="0">
        <references count="1">
          <reference field="4294967294" count="1">
            <x v="2"/>
          </reference>
        </references>
      </pivotArea>
    </format>
    <format dxfId="46">
      <pivotArea dataOnly="0" labelOnly="1" outline="0" fieldPosition="0">
        <references count="1">
          <reference field="4294967294" count="1">
            <x v="4"/>
          </reference>
        </references>
      </pivotArea>
    </format>
    <format dxfId="45">
      <pivotArea dataOnly="0" labelOnly="1" outline="0" fieldPosition="0">
        <references count="1">
          <reference field="4294967294" count="1">
            <x v="5"/>
          </reference>
        </references>
      </pivotArea>
    </format>
    <format dxfId="44">
      <pivotArea dataOnly="0" labelOnly="1" outline="0" fieldPosition="0">
        <references count="1">
          <reference field="4294967294" count="1">
            <x v="6"/>
          </reference>
        </references>
      </pivotArea>
    </format>
    <format dxfId="43">
      <pivotArea outline="0" collapsedLevelsAreSubtotals="1" fieldPosition="0"/>
    </format>
    <format dxfId="42">
      <pivotArea outline="0" fieldPosition="0">
        <references count="1">
          <reference field="4294967294" count="1">
            <x v="0"/>
          </reference>
        </references>
      </pivotArea>
    </format>
    <format dxfId="41">
      <pivotArea dataOnly="0" labelOnly="1" outline="0" fieldPosition="0">
        <references count="1">
          <reference field="4294967294" count="1">
            <x v="8"/>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6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D104" firstHeaderRow="1" firstDataRow="1" firstDataCol="3" rowPageCount="1" colPageCount="1"/>
  <pivotFields count="25">
    <pivotField compact="0" outline="0" showAll="0"/>
    <pivotField compact="0" outline="0" showAll="0"/>
    <pivotField compact="0" outline="0" showAll="0"/>
    <pivotField compact="0" outline="0" showAll="0"/>
    <pivotField axis="axisRow" compact="0" outline="0" showAll="0">
      <items count="101">
        <item x="66"/>
        <item x="86"/>
        <item x="26"/>
        <item x="1"/>
        <item x="49"/>
        <item x="89"/>
        <item x="54"/>
        <item x="67"/>
        <item x="55"/>
        <item x="90"/>
        <item x="27"/>
        <item x="40"/>
        <item x="56"/>
        <item x="28"/>
        <item x="57"/>
        <item x="2"/>
        <item x="87"/>
        <item x="88"/>
        <item x="3"/>
        <item x="4"/>
        <item x="36"/>
        <item x="23"/>
        <item x="68"/>
        <item x="18"/>
        <item x="22"/>
        <item x="5"/>
        <item x="6"/>
        <item x="7"/>
        <item x="29"/>
        <item x="72"/>
        <item x="8"/>
        <item x="24"/>
        <item x="30"/>
        <item x="9"/>
        <item x="10"/>
        <item x="41"/>
        <item x="37"/>
        <item x="11"/>
        <item x="58"/>
        <item x="73"/>
        <item x="31"/>
        <item x="74"/>
        <item x="99"/>
        <item x="12"/>
        <item x="75"/>
        <item x="19"/>
        <item x="62"/>
        <item x="46"/>
        <item x="42"/>
        <item x="91"/>
        <item x="92"/>
        <item x="69"/>
        <item x="13"/>
        <item x="32"/>
        <item x="33"/>
        <item x="71"/>
        <item x="65"/>
        <item x="14"/>
        <item x="64"/>
        <item x="76"/>
        <item x="77"/>
        <item x="34"/>
        <item x="93"/>
        <item x="78"/>
        <item x="35"/>
        <item x="38"/>
        <item x="59"/>
        <item x="47"/>
        <item x="60"/>
        <item x="94"/>
        <item x="79"/>
        <item x="80"/>
        <item x="51"/>
        <item x="45"/>
        <item x="25"/>
        <item x="20"/>
        <item x="43"/>
        <item x="84"/>
        <item x="44"/>
        <item x="98"/>
        <item x="63"/>
        <item x="70"/>
        <item x="17"/>
        <item x="85"/>
        <item x="15"/>
        <item x="21"/>
        <item x="81"/>
        <item x="97"/>
        <item x="48"/>
        <item x="82"/>
        <item x="16"/>
        <item x="39"/>
        <item x="95"/>
        <item x="50"/>
        <item x="96"/>
        <item x="83"/>
        <item x="53"/>
        <item x="61"/>
        <item x="52"/>
        <item x="0"/>
        <item t="default"/>
      </items>
    </pivotField>
    <pivotField axis="axisRow" compact="0" outline="0" showAll="0" defaultSubtotal="0">
      <items count="100">
        <item x="66"/>
        <item x="86"/>
        <item x="26"/>
        <item x="1"/>
        <item x="49"/>
        <item x="89"/>
        <item x="54"/>
        <item x="67"/>
        <item x="55"/>
        <item x="90"/>
        <item x="27"/>
        <item x="40"/>
        <item x="56"/>
        <item x="28"/>
        <item x="57"/>
        <item x="2"/>
        <item x="87"/>
        <item x="88"/>
        <item x="3"/>
        <item x="4"/>
        <item x="36"/>
        <item x="23"/>
        <item x="68"/>
        <item x="18"/>
        <item x="22"/>
        <item x="5"/>
        <item x="6"/>
        <item x="7"/>
        <item x="29"/>
        <item x="72"/>
        <item x="8"/>
        <item x="24"/>
        <item x="30"/>
        <item x="9"/>
        <item x="10"/>
        <item x="41"/>
        <item x="37"/>
        <item x="11"/>
        <item x="58"/>
        <item x="73"/>
        <item x="31"/>
        <item x="74"/>
        <item x="99"/>
        <item x="12"/>
        <item x="75"/>
        <item x="19"/>
        <item x="62"/>
        <item x="46"/>
        <item x="42"/>
        <item x="91"/>
        <item x="92"/>
        <item x="69"/>
        <item x="13"/>
        <item x="32"/>
        <item x="33"/>
        <item x="71"/>
        <item x="65"/>
        <item x="14"/>
        <item x="64"/>
        <item x="76"/>
        <item x="77"/>
        <item x="34"/>
        <item x="93"/>
        <item x="78"/>
        <item x="35"/>
        <item x="38"/>
        <item x="59"/>
        <item x="47"/>
        <item x="60"/>
        <item x="94"/>
        <item x="79"/>
        <item x="80"/>
        <item x="51"/>
        <item x="45"/>
        <item x="25"/>
        <item x="20"/>
        <item x="43"/>
        <item x="84"/>
        <item x="44"/>
        <item x="98"/>
        <item x="63"/>
        <item x="70"/>
        <item x="17"/>
        <item x="85"/>
        <item x="15"/>
        <item x="21"/>
        <item x="81"/>
        <item x="97"/>
        <item x="48"/>
        <item x="82"/>
        <item x="16"/>
        <item x="39"/>
        <item x="95"/>
        <item x="50"/>
        <item x="96"/>
        <item x="83"/>
        <item x="53"/>
        <item x="61"/>
        <item x="52"/>
        <item x="0"/>
      </items>
    </pivotField>
    <pivotField compact="0" outline="0" showAll="0"/>
    <pivotField compact="0" outline="0" showAll="0"/>
    <pivotField axis="axisPage" compact="0" outline="0" multipleItemSelectionAllowed="1" showAll="0">
      <items count="5">
        <item x="1"/>
        <item x="3"/>
        <item x="2"/>
        <item x="0"/>
        <item t="default"/>
      </items>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compact="0" numFmtId="3" outline="0" showAll="0"/>
    <pivotField compact="0" numFmtId="3" outline="0" showAll="0"/>
    <pivotField compact="0" numFmtId="3" outline="0" showAll="0"/>
    <pivotField compact="0" outline="0" showAll="0"/>
    <pivotField compact="0" numFmtId="3" outline="0" showAll="0"/>
    <pivotField compact="0" numFmtId="3" outline="0" showAll="0">
      <items count="258">
        <item x="238"/>
        <item x="222"/>
        <item x="239"/>
        <item x="18"/>
        <item x="229"/>
        <item x="1"/>
        <item x="156"/>
        <item x="65"/>
        <item x="149"/>
        <item x="219"/>
        <item x="63"/>
        <item x="151"/>
        <item x="22"/>
        <item x="131"/>
        <item x="150"/>
        <item x="55"/>
        <item x="204"/>
        <item x="125"/>
        <item x="235"/>
        <item x="84"/>
        <item x="38"/>
        <item x="23"/>
        <item x="152"/>
        <item x="36"/>
        <item x="159"/>
        <item x="133"/>
        <item x="64"/>
        <item x="14"/>
        <item x="127"/>
        <item x="246"/>
        <item x="61"/>
        <item x="98"/>
        <item x="178"/>
        <item x="73"/>
        <item x="146"/>
        <item x="162"/>
        <item x="205"/>
        <item x="128"/>
        <item x="184"/>
        <item x="39"/>
        <item x="174"/>
        <item x="26"/>
        <item x="74"/>
        <item x="130"/>
        <item x="62"/>
        <item x="54"/>
        <item x="16"/>
        <item x="165"/>
        <item x="94"/>
        <item x="30"/>
        <item x="123"/>
        <item x="199"/>
        <item x="44"/>
        <item x="70"/>
        <item x="167"/>
        <item x="77"/>
        <item x="50"/>
        <item x="112"/>
        <item x="25"/>
        <item x="171"/>
        <item x="88"/>
        <item x="173"/>
        <item x="122"/>
        <item x="21"/>
        <item x="198"/>
        <item x="51"/>
        <item x="41"/>
        <item x="248"/>
        <item x="87"/>
        <item x="241"/>
        <item x="102"/>
        <item x="118"/>
        <item x="80"/>
        <item x="67"/>
        <item x="147"/>
        <item x="115"/>
        <item x="100"/>
        <item x="103"/>
        <item x="114"/>
        <item x="181"/>
        <item x="46"/>
        <item x="57"/>
        <item x="97"/>
        <item x="247"/>
        <item x="56"/>
        <item x="37"/>
        <item x="170"/>
        <item x="7"/>
        <item x="96"/>
        <item x="31"/>
        <item x="79"/>
        <item x="86"/>
        <item x="193"/>
        <item x="135"/>
        <item x="32"/>
        <item x="153"/>
        <item x="93"/>
        <item x="164"/>
        <item x="107"/>
        <item x="234"/>
        <item x="17"/>
        <item x="221"/>
        <item x="172"/>
        <item x="71"/>
        <item x="33"/>
        <item x="76"/>
        <item x="213"/>
        <item x="158"/>
        <item x="169"/>
        <item x="47"/>
        <item x="35"/>
        <item x="126"/>
        <item x="2"/>
        <item x="106"/>
        <item x="134"/>
        <item x="81"/>
        <item x="143"/>
        <item x="132"/>
        <item x="89"/>
        <item x="66"/>
        <item x="124"/>
        <item x="110"/>
        <item x="34"/>
        <item x="58"/>
        <item x="53"/>
        <item x="109"/>
        <item x="42"/>
        <item x="240"/>
        <item x="203"/>
        <item x="82"/>
        <item x="168"/>
        <item x="69"/>
        <item x="140"/>
        <item x="48"/>
        <item x="75"/>
        <item x="52"/>
        <item x="60"/>
        <item x="216"/>
        <item x="43"/>
        <item x="212"/>
        <item x="231"/>
        <item x="163"/>
        <item x="138"/>
        <item x="166"/>
        <item x="117"/>
        <item x="20"/>
        <item x="253"/>
        <item x="85"/>
        <item x="220"/>
        <item x="192"/>
        <item x="139"/>
        <item x="108"/>
        <item x="40"/>
        <item x="119"/>
        <item x="105"/>
        <item x="12"/>
        <item x="72"/>
        <item x="10"/>
        <item x="202"/>
        <item x="95"/>
        <item x="29"/>
        <item x="129"/>
        <item x="218"/>
        <item x="177"/>
        <item x="28"/>
        <item x="92"/>
        <item x="251"/>
        <item x="111"/>
        <item x="245"/>
        <item x="113"/>
        <item x="142"/>
        <item x="182"/>
        <item x="59"/>
        <item x="120"/>
        <item x="45"/>
        <item x="68"/>
        <item x="101"/>
        <item x="145"/>
        <item x="137"/>
        <item x="13"/>
        <item x="90"/>
        <item x="227"/>
        <item x="244"/>
        <item x="233"/>
        <item x="176"/>
        <item x="15"/>
        <item x="242"/>
        <item x="104"/>
        <item x="183"/>
        <item x="121"/>
        <item x="78"/>
        <item x="228"/>
        <item x="243"/>
        <item x="237"/>
        <item x="217"/>
        <item x="175"/>
        <item x="27"/>
        <item x="154"/>
        <item x="116"/>
        <item x="214"/>
        <item x="236"/>
        <item x="185"/>
        <item x="99"/>
        <item x="91"/>
        <item x="3"/>
        <item x="49"/>
        <item x="11"/>
        <item x="215"/>
        <item x="83"/>
        <item x="19"/>
        <item x="209"/>
        <item x="155"/>
        <item x="250"/>
        <item x="197"/>
        <item x="254"/>
        <item x="230"/>
        <item x="191"/>
        <item x="211"/>
        <item x="210"/>
        <item x="190"/>
        <item x="256"/>
        <item x="226"/>
        <item x="4"/>
        <item x="195"/>
        <item x="141"/>
        <item x="148"/>
        <item x="224"/>
        <item x="225"/>
        <item x="189"/>
        <item x="5"/>
        <item x="196"/>
        <item x="136"/>
        <item x="207"/>
        <item x="208"/>
        <item x="186"/>
        <item x="160"/>
        <item x="232"/>
        <item x="188"/>
        <item x="157"/>
        <item x="187"/>
        <item x="252"/>
        <item x="180"/>
        <item x="161"/>
        <item x="206"/>
        <item x="255"/>
        <item x="194"/>
        <item x="223"/>
        <item x="249"/>
        <item x="9"/>
        <item x="200"/>
        <item x="201"/>
        <item x="24"/>
        <item x="144"/>
        <item x="179"/>
        <item x="8"/>
        <item x="6"/>
        <item x="0"/>
        <item t="default"/>
      </items>
    </pivotField>
    <pivotField compact="0" numFmtId="3" outline="0" showAll="0"/>
    <pivotField compact="0" numFmtId="3"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9"/>
    <field x="5"/>
    <field x="4"/>
  </rowFields>
  <rowItems count="101">
    <i>
      <x/>
      <x v="99"/>
      <x v="99"/>
    </i>
    <i>
      <x v="1"/>
      <x/>
      <x/>
    </i>
    <i r="1">
      <x v="1"/>
      <x v="1"/>
    </i>
    <i r="1">
      <x v="2"/>
      <x v="2"/>
    </i>
    <i r="1">
      <x v="3"/>
      <x v="3"/>
    </i>
    <i r="1">
      <x v="4"/>
      <x v="4"/>
    </i>
    <i r="1">
      <x v="5"/>
      <x v="5"/>
    </i>
    <i r="1">
      <x v="6"/>
      <x v="6"/>
    </i>
    <i r="1">
      <x v="7"/>
      <x v="7"/>
    </i>
    <i r="1">
      <x v="8"/>
      <x v="8"/>
    </i>
    <i r="1">
      <x v="9"/>
      <x v="9"/>
    </i>
    <i r="1">
      <x v="10"/>
      <x v="10"/>
    </i>
    <i r="1">
      <x v="11"/>
      <x v="11"/>
    </i>
    <i r="1">
      <x v="12"/>
      <x v="12"/>
    </i>
    <i r="1">
      <x v="13"/>
      <x v="13"/>
    </i>
    <i r="1">
      <x v="14"/>
      <x v="14"/>
    </i>
    <i r="1">
      <x v="15"/>
      <x v="15"/>
    </i>
    <i r="1">
      <x v="16"/>
      <x v="16"/>
    </i>
    <i r="1">
      <x v="17"/>
      <x v="17"/>
    </i>
    <i r="1">
      <x v="18"/>
      <x v="18"/>
    </i>
    <i r="1">
      <x v="19"/>
      <x v="19"/>
    </i>
    <i r="1">
      <x v="20"/>
      <x v="20"/>
    </i>
    <i r="1">
      <x v="21"/>
      <x v="21"/>
    </i>
    <i r="1">
      <x v="22"/>
      <x v="22"/>
    </i>
    <i r="1">
      <x v="23"/>
      <x v="23"/>
    </i>
    <i r="1">
      <x v="24"/>
      <x v="24"/>
    </i>
    <i r="1">
      <x v="25"/>
      <x v="25"/>
    </i>
    <i r="1">
      <x v="26"/>
      <x v="26"/>
    </i>
    <i r="1">
      <x v="27"/>
      <x v="27"/>
    </i>
    <i r="1">
      <x v="28"/>
      <x v="28"/>
    </i>
    <i r="1">
      <x v="29"/>
      <x v="29"/>
    </i>
    <i r="1">
      <x v="30"/>
      <x v="30"/>
    </i>
    <i r="1">
      <x v="31"/>
      <x v="31"/>
    </i>
    <i r="1">
      <x v="32"/>
      <x v="32"/>
    </i>
    <i r="1">
      <x v="33"/>
      <x v="33"/>
    </i>
    <i r="1">
      <x v="34"/>
      <x v="34"/>
    </i>
    <i r="1">
      <x v="35"/>
      <x v="35"/>
    </i>
    <i r="1">
      <x v="36"/>
      <x v="36"/>
    </i>
    <i r="1">
      <x v="37"/>
      <x v="37"/>
    </i>
    <i r="1">
      <x v="38"/>
      <x v="38"/>
    </i>
    <i r="1">
      <x v="39"/>
      <x v="39"/>
    </i>
    <i r="1">
      <x v="40"/>
      <x v="40"/>
    </i>
    <i r="1">
      <x v="41"/>
      <x v="41"/>
    </i>
    <i r="1">
      <x v="42"/>
      <x v="42"/>
    </i>
    <i r="1">
      <x v="43"/>
      <x v="43"/>
    </i>
    <i r="1">
      <x v="44"/>
      <x v="44"/>
    </i>
    <i r="1">
      <x v="45"/>
      <x v="45"/>
    </i>
    <i r="1">
      <x v="46"/>
      <x v="46"/>
    </i>
    <i r="1">
      <x v="47"/>
      <x v="47"/>
    </i>
    <i r="1">
      <x v="48"/>
      <x v="48"/>
    </i>
    <i r="1">
      <x v="49"/>
      <x v="49"/>
    </i>
    <i r="1">
      <x v="50"/>
      <x v="50"/>
    </i>
    <i r="1">
      <x v="51"/>
      <x v="51"/>
    </i>
    <i r="1">
      <x v="52"/>
      <x v="52"/>
    </i>
    <i r="1">
      <x v="53"/>
      <x v="53"/>
    </i>
    <i r="1">
      <x v="54"/>
      <x v="54"/>
    </i>
    <i r="1">
      <x v="55"/>
      <x v="55"/>
    </i>
    <i r="1">
      <x v="56"/>
      <x v="56"/>
    </i>
    <i r="1">
      <x v="57"/>
      <x v="57"/>
    </i>
    <i r="1">
      <x v="58"/>
      <x v="58"/>
    </i>
    <i r="1">
      <x v="59"/>
      <x v="59"/>
    </i>
    <i r="1">
      <x v="60"/>
      <x v="60"/>
    </i>
    <i r="1">
      <x v="61"/>
      <x v="61"/>
    </i>
    <i r="1">
      <x v="62"/>
      <x v="62"/>
    </i>
    <i r="1">
      <x v="63"/>
      <x v="63"/>
    </i>
    <i r="1">
      <x v="64"/>
      <x v="64"/>
    </i>
    <i r="1">
      <x v="65"/>
      <x v="65"/>
    </i>
    <i r="1">
      <x v="66"/>
      <x v="66"/>
    </i>
    <i r="1">
      <x v="67"/>
      <x v="67"/>
    </i>
    <i r="1">
      <x v="68"/>
      <x v="68"/>
    </i>
    <i r="1">
      <x v="69"/>
      <x v="69"/>
    </i>
    <i r="1">
      <x v="70"/>
      <x v="70"/>
    </i>
    <i r="1">
      <x v="71"/>
      <x v="71"/>
    </i>
    <i r="1">
      <x v="72"/>
      <x v="72"/>
    </i>
    <i r="1">
      <x v="73"/>
      <x v="73"/>
    </i>
    <i r="1">
      <x v="74"/>
      <x v="74"/>
    </i>
    <i r="1">
      <x v="75"/>
      <x v="75"/>
    </i>
    <i r="1">
      <x v="76"/>
      <x v="76"/>
    </i>
    <i r="1">
      <x v="77"/>
      <x v="77"/>
    </i>
    <i r="1">
      <x v="78"/>
      <x v="78"/>
    </i>
    <i r="1">
      <x v="79"/>
      <x v="79"/>
    </i>
    <i r="1">
      <x v="80"/>
      <x v="80"/>
    </i>
    <i r="1">
      <x v="81"/>
      <x v="81"/>
    </i>
    <i r="1">
      <x v="82"/>
      <x v="82"/>
    </i>
    <i r="1">
      <x v="83"/>
      <x v="83"/>
    </i>
    <i r="1">
      <x v="84"/>
      <x v="84"/>
    </i>
    <i r="1">
      <x v="85"/>
      <x v="85"/>
    </i>
    <i r="1">
      <x v="86"/>
      <x v="86"/>
    </i>
    <i r="1">
      <x v="87"/>
      <x v="87"/>
    </i>
    <i r="1">
      <x v="88"/>
      <x v="88"/>
    </i>
    <i>
      <x v="2"/>
      <x v="89"/>
      <x v="89"/>
    </i>
    <i r="1">
      <x v="90"/>
      <x v="90"/>
    </i>
    <i r="1">
      <x v="91"/>
      <x v="91"/>
    </i>
    <i r="1">
      <x v="92"/>
      <x v="92"/>
    </i>
    <i r="1">
      <x v="93"/>
      <x v="93"/>
    </i>
    <i r="1">
      <x v="94"/>
      <x v="94"/>
    </i>
    <i r="1">
      <x v="95"/>
      <x v="95"/>
    </i>
    <i r="1">
      <x v="96"/>
      <x v="96"/>
    </i>
    <i r="1">
      <x v="97"/>
      <x v="97"/>
    </i>
    <i r="1">
      <x v="98"/>
      <x v="98"/>
    </i>
    <i t="grand">
      <x/>
    </i>
  </rowItems>
  <colItems count="1">
    <i/>
  </colItems>
  <pageFields count="1">
    <pageField fld="8" hier="-1"/>
  </pageFields>
  <dataFields count="1">
    <dataField name="Sum of 2023 Budget " fld="18" baseField="0" baseItem="0" numFmtId="43"/>
  </dataFields>
  <formats count="2">
    <format dxfId="40">
      <pivotArea outline="0" fieldPosition="0">
        <references count="1">
          <reference field="4294967294" count="1" selected="0">
            <x v="0"/>
          </reference>
        </references>
      </pivotArea>
    </format>
    <format dxfId="3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59" applyNumberFormats="0" applyBorderFormats="0" applyFontFormats="0" applyPatternFormats="0" applyAlignmentFormats="0" applyWidthHeightFormats="1" dataCaption="Values" updatedVersion="6" minRefreshableVersion="3" useAutoFormatting="1" itemPrintTitles="1" createdVersion="6" indent="0" outline="1" outlineData="1">
  <location ref="A4:P8" firstHeaderRow="0" firstDataRow="1" firstDataCol="1"/>
  <pivotFields count="25">
    <pivotField multipleItemSelectionAllowed="1" showAll="0"/>
    <pivotField showAll="0"/>
    <pivotField showAll="0"/>
    <pivotField showAll="0" insertBlankRow="1" defaultSubtotal="0"/>
    <pivotField showAll="0"/>
    <pivotField showAll="0"/>
    <pivotField showAll="0"/>
    <pivotField showAll="0"/>
    <pivotField showAll="0"/>
    <pivotField axis="axisRow" multipleItemSelectionAllowed="1" showAll="0">
      <items count="6">
        <item x="0"/>
        <item x="1"/>
        <item x="2"/>
        <item m="1" x="4"/>
        <item m="1" x="3"/>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dragToRow="0" dragToCol="0" dragToPage="0" showAll="0" defaultSubtotal="0"/>
  </pivotFields>
  <rowFields count="1">
    <field x="9"/>
  </rowFields>
  <rowItems count="4">
    <i>
      <x/>
    </i>
    <i>
      <x v="1"/>
    </i>
    <i>
      <x v="2"/>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 2019 Actual" fld="10" baseField="5" baseItem="9" numFmtId="3"/>
    <dataField name=" 2020 Actual" fld="11" baseField="3" baseItem="0"/>
    <dataField name=" 2021 Actual" fld="12" baseField="0" baseItem="0"/>
    <dataField name=" 2022 Budget" fld="13" baseField="3" baseItem="0"/>
    <dataField name=" 2022 Estimates Full Year Actual" fld="14" baseField="3" baseItem="0"/>
    <dataField name=" 2022 - Jun Actual" fld="15" baseField="3" baseItem="0"/>
    <dataField name=" 2022 PR" fld="16" baseField="3" baseItem="0"/>
    <dataField name=" 2022 PO" fld="17" baseField="5" baseItem="9"/>
    <dataField name=" 2023 Budget " fld="18" baseField="5" baseItem="9"/>
    <dataField name=" 2023 budget %" fld="24" baseField="9" baseItem="1" numFmtId="9"/>
    <dataField name="Sum of 2023 Budget Scenario 90%" fld="19" baseField="5" baseItem="9"/>
    <dataField name="Sum of 2023 Budget Scenario 80%" fld="20" baseField="5" baseItem="9"/>
    <dataField name="Sum of 2023 Budget Scenario 70%" fld="21" baseField="5" baseItem="9"/>
    <dataField name=" 2024 Budget" fld="22" baseField="5" baseItem="9"/>
    <dataField name=" 2025 Budget" fld="23" baseField="3" baseItem="0"/>
  </dataFields>
  <formats count="24">
    <format dxfId="38">
      <pivotArea outline="0" collapsedLevelsAreSubtotals="1" fieldPosition="0"/>
    </format>
    <format dxfId="37">
      <pivotArea dataOnly="0" labelOnly="1" outline="0" fieldPosition="0">
        <references count="1">
          <reference field="4294967294" count="1">
            <x v="1"/>
          </reference>
        </references>
      </pivotArea>
    </format>
    <format dxfId="36">
      <pivotArea dataOnly="0" labelOnly="1" outline="0" fieldPosition="0">
        <references count="1">
          <reference field="4294967294" count="1">
            <x v="2"/>
          </reference>
        </references>
      </pivotArea>
    </format>
    <format dxfId="35">
      <pivotArea dataOnly="0" labelOnly="1" outline="0" fieldPosition="0">
        <references count="1">
          <reference field="4294967294" count="1">
            <x v="4"/>
          </reference>
        </references>
      </pivotArea>
    </format>
    <format dxfId="34">
      <pivotArea dataOnly="0" labelOnly="1" outline="0" fieldPosition="0">
        <references count="1">
          <reference field="4294967294" count="1">
            <x v="5"/>
          </reference>
        </references>
      </pivotArea>
    </format>
    <format dxfId="33">
      <pivotArea dataOnly="0" labelOnly="1" outline="0" fieldPosition="0">
        <references count="1">
          <reference field="4294967294" count="1">
            <x v="6"/>
          </reference>
        </references>
      </pivotArea>
    </format>
    <format dxfId="32">
      <pivotArea outline="0" collapsedLevelsAreSubtotals="1" fieldPosition="0"/>
    </format>
    <format dxfId="31">
      <pivotArea outline="0" fieldPosition="0">
        <references count="1">
          <reference field="4294967294" count="1">
            <x v="0"/>
          </reference>
        </references>
      </pivotArea>
    </format>
    <format dxfId="30">
      <pivotArea dataOnly="0" labelOnly="1" outline="0" fieldPosition="0">
        <references count="1">
          <reference field="4294967294" count="1">
            <x v="10"/>
          </reference>
        </references>
      </pivotArea>
    </format>
    <format dxfId="29">
      <pivotArea outline="0" fieldPosition="0">
        <references count="1">
          <reference field="4294967294" count="1">
            <x v="9"/>
          </reference>
        </references>
      </pivotArea>
    </format>
    <format dxfId="28">
      <pivotArea collapsedLevelsAreSubtotals="1" fieldPosition="0">
        <references count="2">
          <reference field="4294967294" count="1" selected="0">
            <x v="9"/>
          </reference>
          <reference field="9" count="1">
            <x v="0"/>
          </reference>
        </references>
      </pivotArea>
    </format>
    <format dxfId="27">
      <pivotArea collapsedLevelsAreSubtotals="1" fieldPosition="0">
        <references count="2">
          <reference field="4294967294" count="1" selected="0">
            <x v="9"/>
          </reference>
          <reference field="9" count="1">
            <x v="0"/>
          </reference>
        </references>
      </pivotArea>
    </format>
    <format dxfId="26">
      <pivotArea collapsedLevelsAreSubtotals="1" fieldPosition="0">
        <references count="2">
          <reference field="4294967294" count="1" selected="0">
            <x v="9"/>
          </reference>
          <reference field="9" count="1">
            <x v="1"/>
          </reference>
        </references>
      </pivotArea>
    </format>
    <format dxfId="25">
      <pivotArea collapsedLevelsAreSubtotals="1" fieldPosition="0">
        <references count="2">
          <reference field="4294967294" count="1" selected="0">
            <x v="9"/>
          </reference>
          <reference field="9" count="1">
            <x v="2"/>
          </reference>
        </references>
      </pivotArea>
    </format>
    <format dxfId="24">
      <pivotArea collapsedLevelsAreSubtotals="1" fieldPosition="0">
        <references count="2">
          <reference field="4294967294" count="1" selected="0">
            <x v="9"/>
          </reference>
          <reference field="9" count="1">
            <x v="2"/>
          </reference>
        </references>
      </pivotArea>
    </format>
    <format dxfId="23">
      <pivotArea field="9" grandRow="1" outline="0" collapsedLevelsAreSubtotals="1" axis="axisRow" fieldPosition="0">
        <references count="1">
          <reference field="4294967294" count="1" selected="0">
            <x v="9"/>
          </reference>
        </references>
      </pivotArea>
    </format>
    <format dxfId="22">
      <pivotArea dataOnly="0" labelOnly="1" outline="0" fieldPosition="0">
        <references count="1">
          <reference field="4294967294" count="2">
            <x v="8"/>
            <x v="9"/>
          </reference>
        </references>
      </pivotArea>
    </format>
    <format dxfId="21">
      <pivotArea dataOnly="0" labelOnly="1" outline="0" fieldPosition="0">
        <references count="1">
          <reference field="4294967294" count="1">
            <x v="3"/>
          </reference>
        </references>
      </pivotArea>
    </format>
    <format dxfId="20">
      <pivotArea dataOnly="0" labelOnly="1" outline="0" fieldPosition="0">
        <references count="1">
          <reference field="4294967294" count="1">
            <x v="3"/>
          </reference>
        </references>
      </pivotArea>
    </format>
    <format dxfId="19">
      <pivotArea dataOnly="0" labelOnly="1" outline="0" fieldPosition="0">
        <references count="1">
          <reference field="4294967294" count="1">
            <x v="3"/>
          </reference>
        </references>
      </pivotArea>
    </format>
    <format dxfId="18">
      <pivotArea dataOnly="0" labelOnly="1" outline="0" fieldPosition="0">
        <references count="1">
          <reference field="4294967294" count="2">
            <x v="8"/>
            <x v="9"/>
          </reference>
        </references>
      </pivotArea>
    </format>
    <format dxfId="17">
      <pivotArea field="9" grandRow="1" outline="0" collapsedLevelsAreSubtotals="1" axis="axisRow" fieldPosition="0">
        <references count="1">
          <reference field="4294967294" count="1" selected="0">
            <x v="3"/>
          </reference>
        </references>
      </pivotArea>
    </format>
    <format dxfId="16">
      <pivotArea field="9" grandRow="1" outline="0" collapsedLevelsAreSubtotals="1" axis="axisRow" fieldPosition="0">
        <references count="1">
          <reference field="4294967294" count="1" selected="0">
            <x v="8"/>
          </reference>
        </references>
      </pivotArea>
    </format>
    <format dxfId="15">
      <pivotArea field="9" grandRow="1" outline="0" collapsedLevelsAreSubtotals="1" axis="axisRow" fieldPosition="0">
        <references count="1">
          <reference field="4294967294" count="1" selected="0">
            <x v="9"/>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59" applyNumberFormats="0" applyBorderFormats="0" applyFontFormats="0" applyPatternFormats="0" applyAlignmentFormats="0" applyWidthHeightFormats="1" dataCaption="Values" updatedVersion="6" minRefreshableVersion="3" useAutoFormatting="1" itemPrintTitles="1" createdVersion="6" indent="0" outline="1" outlineData="1">
  <location ref="A4:O15" firstHeaderRow="0" firstDataRow="1" firstDataCol="1" rowPageCount="1" colPageCount="1"/>
  <pivotFields count="25">
    <pivotField axis="axisRow" multipleItemSelectionAllowed="1" showAll="0" sortType="descending">
      <items count="14">
        <item sd="0" x="1"/>
        <item sd="0" x="2"/>
        <item sd="0" x="3"/>
        <item sd="0" x="4"/>
        <item sd="0" x="5"/>
        <item sd="0" x="6"/>
        <item sd="0" m="1" x="12"/>
        <item sd="0" x="7"/>
        <item sd="0" x="8"/>
        <item sd="0" x="9"/>
        <item sd="0" x="10"/>
        <item sd="0" m="1" x="11"/>
        <item sd="0" x="0"/>
        <item t="default" sd="0"/>
      </items>
      <autoSortScope>
        <pivotArea dataOnly="0" outline="0" fieldPosition="0">
          <references count="1">
            <reference field="4294967294" count="1" selected="0">
              <x v="8"/>
            </reference>
          </references>
        </pivotArea>
      </autoSortScope>
    </pivotField>
    <pivotField showAll="0"/>
    <pivotField showAll="0"/>
    <pivotField axis="axisRow" showAll="0" insertBlankRow="1" defaultSubtotal="0">
      <items count="61">
        <item sd="0" x="49"/>
        <item sd="0" x="21"/>
        <item sd="0" x="53"/>
        <item sd="0" x="36"/>
        <item sd="0" x="19"/>
        <item sd="0" x="22"/>
        <item sd="0" x="51"/>
        <item sd="0" x="6"/>
        <item sd="0" x="9"/>
        <item sd="0" x="23"/>
        <item sd="0" x="12"/>
        <item sd="0" x="24"/>
        <item sd="0" x="33"/>
        <item sd="0" x="37"/>
        <item sd="0" x="59"/>
        <item sd="0" x="31"/>
        <item sd="0" x="10"/>
        <item sd="0" x="20"/>
        <item sd="0" x="30"/>
        <item sd="0" x="15"/>
        <item sd="0" x="18"/>
        <item sd="0" x="25"/>
        <item sd="0" x="47"/>
        <item sd="0" x="34"/>
        <item sd="0" x="48"/>
        <item sd="0" x="50"/>
        <item sd="0" x="38"/>
        <item sd="0" x="1"/>
        <item sd="0" x="52"/>
        <item sd="0" x="16"/>
        <item sd="0" x="26"/>
        <item sd="0" x="55"/>
        <item sd="0" x="11"/>
        <item sd="0" x="32"/>
        <item sd="0" x="8"/>
        <item sd="0" x="57"/>
        <item sd="0" x="17"/>
        <item sd="0" x="27"/>
        <item sd="0" x="28"/>
        <item sd="0" x="35"/>
        <item sd="0" x="40"/>
        <item sd="0" x="29"/>
        <item sd="0" x="56"/>
        <item sd="0" x="13"/>
        <item sd="0" x="14"/>
        <item sd="0" x="54"/>
        <item sd="0" x="3"/>
        <item sd="0" x="45"/>
        <item sd="0" x="58"/>
        <item sd="0" x="42"/>
        <item sd="0" x="4"/>
        <item sd="0" x="7"/>
        <item sd="0" x="5"/>
        <item sd="0" x="2"/>
        <item sd="0" x="41"/>
        <item sd="0" x="39"/>
        <item sd="0" x="44"/>
        <item sd="0" x="43"/>
        <item sd="0" x="46"/>
        <item sd="0" m="1" x="60"/>
        <item sd="0" x="0"/>
      </items>
    </pivotField>
    <pivotField showAll="0"/>
    <pivotField axis="axisRow" showAll="0" sortType="descending">
      <items count="106">
        <item x="66"/>
        <item x="86"/>
        <item x="26"/>
        <item x="1"/>
        <item x="49"/>
        <item x="89"/>
        <item x="54"/>
        <item x="67"/>
        <item x="55"/>
        <item x="90"/>
        <item x="27"/>
        <item x="40"/>
        <item x="56"/>
        <item x="28"/>
        <item x="57"/>
        <item x="2"/>
        <item x="87"/>
        <item x="88"/>
        <item x="3"/>
        <item x="4"/>
        <item x="36"/>
        <item x="23"/>
        <item x="68"/>
        <item x="18"/>
        <item x="22"/>
        <item x="5"/>
        <item x="6"/>
        <item x="7"/>
        <item x="29"/>
        <item x="72"/>
        <item x="8"/>
        <item x="24"/>
        <item x="30"/>
        <item x="9"/>
        <item x="10"/>
        <item x="41"/>
        <item x="37"/>
        <item x="11"/>
        <item x="58"/>
        <item x="73"/>
        <item x="31"/>
        <item x="74"/>
        <item x="99"/>
        <item x="12"/>
        <item x="75"/>
        <item x="19"/>
        <item x="62"/>
        <item x="46"/>
        <item x="42"/>
        <item x="91"/>
        <item x="92"/>
        <item x="69"/>
        <item x="13"/>
        <item x="32"/>
        <item x="33"/>
        <item x="71"/>
        <item x="65"/>
        <item x="14"/>
        <item x="64"/>
        <item x="77"/>
        <item x="34"/>
        <item x="93"/>
        <item x="78"/>
        <item x="35"/>
        <item x="38"/>
        <item x="59"/>
        <item x="47"/>
        <item x="60"/>
        <item x="94"/>
        <item x="79"/>
        <item x="80"/>
        <item x="51"/>
        <item x="45"/>
        <item x="25"/>
        <item x="20"/>
        <item x="43"/>
        <item x="84"/>
        <item x="44"/>
        <item x="98"/>
        <item x="63"/>
        <item x="70"/>
        <item x="17"/>
        <item x="85"/>
        <item x="15"/>
        <item x="21"/>
        <item x="81"/>
        <item x="48"/>
        <item x="82"/>
        <item x="16"/>
        <item x="39"/>
        <item x="95"/>
        <item x="50"/>
        <item x="96"/>
        <item x="83"/>
        <item x="53"/>
        <item x="61"/>
        <item x="52"/>
        <item m="1" x="100"/>
        <item m="1" x="102"/>
        <item m="1" x="104"/>
        <item m="1" x="103"/>
        <item m="1" x="101"/>
        <item x="0"/>
        <item x="76"/>
        <item x="97"/>
        <item t="default"/>
      </items>
      <autoSortScope>
        <pivotArea dataOnly="0" outline="0" fieldPosition="0">
          <references count="1">
            <reference field="4294967294" count="1" selected="0">
              <x v="8"/>
            </reference>
          </references>
        </pivotArea>
      </autoSortScope>
    </pivotField>
    <pivotField showAll="0"/>
    <pivotField showAll="0"/>
    <pivotField showAll="0"/>
    <pivotField axis="axisPage" multipleItemSelectionAllowed="1" showAll="0">
      <items count="6">
        <item h="1" x="0"/>
        <item x="1"/>
        <item h="1" x="2"/>
        <item m="1" x="4"/>
        <item h="1" m="1" x="3"/>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ragToRow="0" dragToCol="0" dragToPage="0" showAll="0" defaultSubtotal="0"/>
  </pivotFields>
  <rowFields count="3">
    <field x="0"/>
    <field x="3"/>
    <field x="5"/>
  </rowFields>
  <rowItems count="11">
    <i>
      <x/>
    </i>
    <i>
      <x v="9"/>
    </i>
    <i>
      <x v="10"/>
    </i>
    <i>
      <x v="3"/>
    </i>
    <i>
      <x v="5"/>
    </i>
    <i>
      <x v="2"/>
    </i>
    <i>
      <x v="1"/>
    </i>
    <i>
      <x v="8"/>
    </i>
    <i>
      <x v="7"/>
    </i>
    <i>
      <x v="4"/>
    </i>
    <i t="grand">
      <x/>
    </i>
  </rowItems>
  <colFields count="1">
    <field x="-2"/>
  </colFields>
  <colItems count="14">
    <i>
      <x/>
    </i>
    <i i="1">
      <x v="1"/>
    </i>
    <i i="2">
      <x v="2"/>
    </i>
    <i i="3">
      <x v="3"/>
    </i>
    <i i="4">
      <x v="4"/>
    </i>
    <i i="5">
      <x v="5"/>
    </i>
    <i i="6">
      <x v="6"/>
    </i>
    <i i="7">
      <x v="7"/>
    </i>
    <i i="8">
      <x v="8"/>
    </i>
    <i i="9">
      <x v="9"/>
    </i>
    <i i="10">
      <x v="10"/>
    </i>
    <i i="11">
      <x v="11"/>
    </i>
    <i i="12">
      <x v="12"/>
    </i>
    <i i="13">
      <x v="13"/>
    </i>
  </colItems>
  <pageFields count="1">
    <pageField fld="9" hier="-1"/>
  </pageFields>
  <dataFields count="14">
    <dataField name=" 2019 Actual" fld="10" baseField="5" baseItem="9" numFmtId="3"/>
    <dataField name=" 2020 Actual" fld="11" baseField="3" baseItem="0"/>
    <dataField name=" 2021 Actual" fld="12" baseField="0" baseItem="0"/>
    <dataField name=" 2022 Budget" fld="13" baseField="3" baseItem="0"/>
    <dataField name=" 2022 Estimates Full Year Actual" fld="14" baseField="3" baseItem="0"/>
    <dataField name=" 2022 - Jun Actual" fld="15" baseField="3" baseItem="0"/>
    <dataField name=" 2022 PR" fld="16" baseField="3" baseItem="0"/>
    <dataField name=" 2022 PO" fld="17" baseField="5" baseItem="9"/>
    <dataField name=" 2023 Budget " fld="18" baseField="5" baseItem="9"/>
    <dataField name=" 2023 Budget Scenario 90%" fld="19" baseField="5" baseItem="9"/>
    <dataField name="Sum of 2023 Budget Scenario 80%" fld="20" baseField="5" baseItem="9"/>
    <dataField name="Sum of 2023 Budget Scenario 70%" fld="21" baseField="5" baseItem="9"/>
    <dataField name=" 2024 Budget" fld="22" baseField="5" baseItem="9"/>
    <dataField name=" 2025 Budget" fld="23" baseField="3" baseItem="0"/>
  </dataFields>
  <formats count="10">
    <format dxfId="14">
      <pivotArea outline="0" collapsedLevelsAreSubtotals="1" fieldPosition="0"/>
    </format>
    <format dxfId="13">
      <pivotArea dataOnly="0" labelOnly="1" outline="0" fieldPosition="0">
        <references count="1">
          <reference field="4294967294" count="1">
            <x v="1"/>
          </reference>
        </references>
      </pivotArea>
    </format>
    <format dxfId="12">
      <pivotArea dataOnly="0" labelOnly="1" outline="0" fieldPosition="0">
        <references count="1">
          <reference field="4294967294" count="1">
            <x v="2"/>
          </reference>
        </references>
      </pivotArea>
    </format>
    <format dxfId="11">
      <pivotArea dataOnly="0" labelOnly="1" outline="0" fieldPosition="0">
        <references count="1">
          <reference field="4294967294" count="1">
            <x v="4"/>
          </reference>
        </references>
      </pivotArea>
    </format>
    <format dxfId="10">
      <pivotArea dataOnly="0" labelOnly="1" outline="0" fieldPosition="0">
        <references count="1">
          <reference field="4294967294" count="1">
            <x v="5"/>
          </reference>
        </references>
      </pivotArea>
    </format>
    <format dxfId="9">
      <pivotArea dataOnly="0" labelOnly="1" outline="0" fieldPosition="0">
        <references count="1">
          <reference field="4294967294" count="1">
            <x v="6"/>
          </reference>
        </references>
      </pivotArea>
    </format>
    <format dxfId="8">
      <pivotArea outline="0" collapsedLevelsAreSubtotals="1" fieldPosition="0"/>
    </format>
    <format dxfId="7">
      <pivotArea outline="0" fieldPosition="0">
        <references count="1">
          <reference field="4294967294" count="1">
            <x v="0"/>
          </reference>
        </references>
      </pivotArea>
    </format>
    <format dxfId="6">
      <pivotArea dataOnly="0" labelOnly="1" outline="0" fieldPosition="0">
        <references count="1">
          <reference field="4294967294" count="1">
            <x v="3"/>
          </reference>
        </references>
      </pivotArea>
    </format>
    <format dxfId="5">
      <pivotArea dataOnly="0" labelOnly="1" outline="0" fieldPosition="0">
        <references count="1">
          <reference field="4294967294" count="1">
            <x v="8"/>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58" applyNumberFormats="0" applyBorderFormats="0" applyFontFormats="0" applyPatternFormats="0" applyAlignmentFormats="0" applyWidthHeightFormats="1" dataCaption="Values" updatedVersion="6" minRefreshableVersion="3" useAutoFormatting="1" itemPrintTitles="1" createdVersion="6" indent="0" compact="0" compactData="0">
  <location ref="A4:E112" firstHeaderRow="1" firstDataRow="1" firstDataCol="4" rowPageCount="1" colPageCount="1"/>
  <pivotFields count="43">
    <pivotField compact="0" outline="0" showAll="0"/>
    <pivotField compact="0" outline="0" showAll="0" insertBlankRow="1" defaultSubtotal="0"/>
    <pivotField compact="0" outline="0" showAll="0" defaultSubtotal="0"/>
    <pivotField compact="0" outline="0" showAll="0" defaultSubtotal="0"/>
    <pivotField axis="axisRow" compact="0" outline="0" showAll="0" sortType="descending" defaultSubtotal="0">
      <items count="107">
        <item sd="0" x="100"/>
        <item sd="0" x="0"/>
        <item sd="0" x="104"/>
        <item sd="0" x="58"/>
        <item sd="0" x="86"/>
        <item sd="0" x="20"/>
        <item sd="0" x="21"/>
        <item sd="0" x="1"/>
        <item sd="0" x="2"/>
        <item sd="0" x="65"/>
        <item sd="0" x="42"/>
        <item sd="0" x="3"/>
        <item sd="0" x="68"/>
        <item sd="0" x="22"/>
        <item sd="0" x="89"/>
        <item sd="0" x="43"/>
        <item sd="0" x="69"/>
        <item sd="0" x="56"/>
        <item sd="0" x="59"/>
        <item sd="0" x="57"/>
        <item sd="0" x="75"/>
        <item sd="0" x="62"/>
        <item sd="0" x="60"/>
        <item sd="0" x="61"/>
        <item sd="0" x="23"/>
        <item sd="0" x="24"/>
        <item sd="0" x="76"/>
        <item sd="0" x="38"/>
        <item sd="0" x="25"/>
        <item sd="0" x="74"/>
        <item sd="0" x="44"/>
        <item sd="0" x="78"/>
        <item sd="0" x="79"/>
        <item sd="0" x="45"/>
        <item sd="0" x="46"/>
        <item sd="0" x="94"/>
        <item sd="0" x="47"/>
        <item sd="0" x="48"/>
        <item sd="0" x="29"/>
        <item sd="0" x="67"/>
        <item sd="0" x="37"/>
        <item sd="0" x="30"/>
        <item sd="0" x="31"/>
        <item sd="0" x="26"/>
        <item sd="0" x="49"/>
        <item sd="0" x="95"/>
        <item sd="0" x="70"/>
        <item sd="0" x="90"/>
        <item sd="0" x="4"/>
        <item sd="0" x="41"/>
        <item sd="0" x="96"/>
        <item sd="0" x="50"/>
        <item sd="0" x="82"/>
        <item sd="0" x="51"/>
        <item sd="0" x="52"/>
        <item sd="0" x="5"/>
        <item sd="0" x="6"/>
        <item sd="0" x="63"/>
        <item sd="0" x="7"/>
        <item sd="0" x="71"/>
        <item sd="0" x="72"/>
        <item sd="0" x="85"/>
        <item sd="0" x="103"/>
        <item sd="0" x="27"/>
        <item sd="0" x="84"/>
        <item sd="0" x="87"/>
        <item sd="0" x="88"/>
        <item sd="0" x="8"/>
        <item sd="0" x="9"/>
        <item sd="0" x="97"/>
        <item sd="0" x="73"/>
        <item sd="0" x="77"/>
        <item sd="0" x="10"/>
        <item sd="0" x="32"/>
        <item sd="0" x="53"/>
        <item sd="0" x="11"/>
        <item sd="0" x="91"/>
        <item sd="0" x="98"/>
        <item sd="0" x="39"/>
        <item sd="0" x="80"/>
        <item sd="0" x="66"/>
        <item sd="0" x="54"/>
        <item sd="0" x="40"/>
        <item sd="0" x="33"/>
        <item sd="0" x="101"/>
        <item sd="0" x="34"/>
        <item sd="0" x="83"/>
        <item sd="0" x="64"/>
        <item sd="0" x="55"/>
        <item sd="0" x="102"/>
        <item sd="0" x="12"/>
        <item sd="0" x="28"/>
        <item sd="0" x="99"/>
        <item sd="0" x="35"/>
        <item sd="0" x="81"/>
        <item sd="0" x="92"/>
        <item sd="0" x="13"/>
        <item sd="0" x="19"/>
        <item sd="0" x="14"/>
        <item sd="0" x="15"/>
        <item sd="0" x="16"/>
        <item sd="0" x="93"/>
        <item sd="0" x="17"/>
        <item sd="0" x="18"/>
        <item sd="0" x="36"/>
        <item x="105"/>
        <item x="106"/>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4">
        <item x="0"/>
        <item x="1"/>
        <item x="2"/>
        <item x="3"/>
      </items>
    </pivotField>
    <pivotField compact="0" outline="0" showAll="0" defaultSubtotal="0"/>
    <pivotField compact="0" outline="0" showAll="0"/>
    <pivotField compact="0" outline="0" showAll="0" defaultSubtotal="0"/>
    <pivotField compact="0" outline="0" showAll="0"/>
    <pivotField compact="0" outline="0" showAll="0"/>
    <pivotField compact="0" outline="0" showAll="0" defaultSubtotal="0"/>
    <pivotField compact="0" outline="0" showAll="0" defaultSubtotal="0"/>
    <pivotField axis="axisRow" compact="0" outline="0" showAll="0" defaultSubtotal="0">
      <items count="82">
        <item x="1"/>
        <item x="11"/>
        <item x="9"/>
        <item x="17"/>
        <item x="7"/>
        <item x="3"/>
        <item x="29"/>
        <item x="10"/>
        <item x="26"/>
        <item x="14"/>
        <item x="21"/>
        <item x="0"/>
        <item x="30"/>
        <item x="12"/>
        <item x="16"/>
        <item x="13"/>
        <item x="20"/>
        <item x="32"/>
        <item x="6"/>
        <item x="67"/>
        <item x="31"/>
        <item x="8"/>
        <item x="36"/>
        <item x="18"/>
        <item x="27"/>
        <item x="33"/>
        <item x="19"/>
        <item x="34"/>
        <item x="23"/>
        <item x="38"/>
        <item x="37"/>
        <item x="22"/>
        <item x="24"/>
        <item x="25"/>
        <item x="40"/>
        <item x="15"/>
        <item x="74"/>
        <item x="75"/>
        <item x="57"/>
        <item x="51"/>
        <item x="39"/>
        <item x="35"/>
        <item x="28"/>
        <item x="49"/>
        <item x="56"/>
        <item x="5"/>
        <item x="70"/>
        <item x="66"/>
        <item x="73"/>
        <item x="72"/>
        <item x="63"/>
        <item x="62"/>
        <item x="55"/>
        <item x="42"/>
        <item x="60"/>
        <item x="68"/>
        <item x="69"/>
        <item x="50"/>
        <item x="71"/>
        <item x="54"/>
        <item x="4"/>
        <item x="52"/>
        <item x="53"/>
        <item x="59"/>
        <item x="58"/>
        <item x="61"/>
        <item x="76"/>
        <item x="41"/>
        <item x="64"/>
        <item x="48"/>
        <item x="65"/>
        <item x="44"/>
        <item x="45"/>
        <item x="47"/>
        <item x="46"/>
        <item x="43"/>
        <item x="2"/>
        <item x="77"/>
        <item x="78"/>
        <item x="79"/>
        <item x="80"/>
        <item x="81"/>
      </items>
    </pivotField>
    <pivotField axis="axisRow" compact="0" outline="0" showAll="0" defaultSubtotal="0">
      <items count="356">
        <item x="168"/>
        <item x="178"/>
        <item x="216"/>
        <item x="215"/>
        <item x="204"/>
        <item x="193"/>
        <item x="190"/>
        <item x="203"/>
        <item x="189"/>
        <item x="194"/>
        <item x="192"/>
        <item x="208"/>
        <item x="235"/>
        <item x="188"/>
        <item x="171"/>
        <item x="219"/>
        <item x="289"/>
        <item x="207"/>
        <item x="209"/>
        <item x="187"/>
        <item x="205"/>
        <item x="69"/>
        <item x="233"/>
        <item x="70"/>
        <item x="206"/>
        <item x="66"/>
        <item x="200"/>
        <item x="221"/>
        <item x="73"/>
        <item x="65"/>
        <item x="104"/>
        <item x="75"/>
        <item x="220"/>
        <item x="184"/>
        <item x="236"/>
        <item x="79"/>
        <item x="45"/>
        <item x="268"/>
        <item x="201"/>
        <item x="237"/>
        <item x="121"/>
        <item x="103"/>
        <item x="141"/>
        <item x="287"/>
        <item x="202"/>
        <item x="165"/>
        <item x="90"/>
        <item x="286"/>
        <item x="140"/>
        <item x="167"/>
        <item x="57"/>
        <item x="74"/>
        <item x="231"/>
        <item x="229"/>
        <item x="285"/>
        <item x="191"/>
        <item x="288"/>
        <item x="214"/>
        <item x="38"/>
        <item x="142"/>
        <item x="265"/>
        <item x="226"/>
        <item x="37"/>
        <item x="67"/>
        <item x="132"/>
        <item x="114"/>
        <item x="150"/>
        <item x="238"/>
        <item x="264"/>
        <item x="88"/>
        <item x="110"/>
        <item x="119"/>
        <item x="169"/>
        <item x="225"/>
        <item x="72"/>
        <item x="186"/>
        <item x="36"/>
        <item x="68"/>
        <item x="117"/>
        <item x="195"/>
        <item x="148"/>
        <item x="267"/>
        <item x="134"/>
        <item x="35"/>
        <item x="61"/>
        <item x="243"/>
        <item x="276"/>
        <item x="34"/>
        <item x="196"/>
        <item x="40"/>
        <item x="89"/>
        <item x="272"/>
        <item x="39"/>
        <item x="33"/>
        <item x="32"/>
        <item x="173"/>
        <item x="137"/>
        <item x="185"/>
        <item x="147"/>
        <item x="230"/>
        <item x="62"/>
        <item x="197"/>
        <item x="275"/>
        <item x="127"/>
        <item x="93"/>
        <item x="144"/>
        <item x="100"/>
        <item x="213"/>
        <item x="234"/>
        <item x="31"/>
        <item x="239"/>
        <item x="330"/>
        <item x="160"/>
        <item x="146"/>
        <item x="305"/>
        <item x="98"/>
        <item x="355"/>
        <item x="30"/>
        <item x="242"/>
        <item x="223"/>
        <item x="251"/>
        <item x="29"/>
        <item x="313"/>
        <item x="291"/>
        <item x="42"/>
        <item x="241"/>
        <item x="227"/>
        <item x="259"/>
        <item x="80"/>
        <item x="41"/>
        <item x="258"/>
        <item x="270"/>
        <item x="266"/>
        <item x="228"/>
        <item x="92"/>
        <item x="43"/>
        <item x="130"/>
        <item x="28"/>
        <item x="263"/>
        <item x="63"/>
        <item x="254"/>
        <item x="180"/>
        <item x="102"/>
        <item x="269"/>
        <item x="307"/>
        <item x="181"/>
        <item x="349"/>
        <item x="20"/>
        <item x="27"/>
        <item x="112"/>
        <item x="26"/>
        <item x="153"/>
        <item x="336"/>
        <item x="128"/>
        <item x="87"/>
        <item x="262"/>
        <item x="25"/>
        <item x="198"/>
        <item x="81"/>
        <item x="120"/>
        <item x="94"/>
        <item x="24"/>
        <item x="23"/>
        <item x="133"/>
        <item x="109"/>
        <item x="324"/>
        <item x="115"/>
        <item x="218"/>
        <item x="124"/>
        <item x="135"/>
        <item x="255"/>
        <item x="354"/>
        <item x="83"/>
        <item x="273"/>
        <item x="172"/>
        <item x="21"/>
        <item x="49"/>
        <item x="106"/>
        <item x="240"/>
        <item x="311"/>
        <item x="183"/>
        <item x="280"/>
        <item x="76"/>
        <item x="108"/>
        <item x="271"/>
        <item x="19"/>
        <item x="99"/>
        <item x="145"/>
        <item x="91"/>
        <item x="246"/>
        <item x="118"/>
        <item x="166"/>
        <item x="111"/>
        <item x="308"/>
        <item x="224"/>
        <item x="156"/>
        <item x="11"/>
        <item x="82"/>
        <item x="309"/>
        <item x="85"/>
        <item x="95"/>
        <item x="256"/>
        <item x="60"/>
        <item x="247"/>
        <item x="252"/>
        <item x="84"/>
        <item x="199"/>
        <item x="257"/>
        <item x="122"/>
        <item x="59"/>
        <item x="116"/>
        <item x="56"/>
        <item x="348"/>
        <item x="22"/>
        <item x="136"/>
        <item x="232"/>
        <item x="97"/>
        <item x="17"/>
        <item x="44"/>
        <item x="18"/>
        <item x="107"/>
        <item x="105"/>
        <item x="217"/>
        <item x="16"/>
        <item x="14"/>
        <item x="125"/>
        <item x="174"/>
        <item x="339"/>
        <item x="77"/>
        <item x="163"/>
        <item x="78"/>
        <item x="155"/>
        <item x="123"/>
        <item x="15"/>
        <item x="296"/>
        <item x="162"/>
        <item x="126"/>
        <item x="13"/>
        <item x="261"/>
        <item x="161"/>
        <item x="51"/>
        <item x="322"/>
        <item x="96"/>
        <item x="222"/>
        <item x="277"/>
        <item x="333"/>
        <item x="46"/>
        <item x="260"/>
        <item x="175"/>
        <item x="316"/>
        <item x="55"/>
        <item x="101"/>
        <item x="86"/>
        <item x="12"/>
        <item x="353"/>
        <item x="314"/>
        <item x="253"/>
        <item x="283"/>
        <item x="212"/>
        <item x="164"/>
        <item x="250"/>
        <item x="248"/>
        <item x="303"/>
        <item x="10"/>
        <item x="179"/>
        <item x="281"/>
        <item x="338"/>
        <item x="244"/>
        <item x="345"/>
        <item x="340"/>
        <item x="50"/>
        <item x="315"/>
        <item x="9"/>
        <item x="317"/>
        <item x="138"/>
        <item x="329"/>
        <item x="278"/>
        <item x="129"/>
        <item x="48"/>
        <item x="279"/>
        <item x="335"/>
        <item x="249"/>
        <item x="6"/>
        <item x="152"/>
        <item x="321"/>
        <item x="7"/>
        <item x="113"/>
        <item x="323"/>
        <item x="334"/>
        <item x="47"/>
        <item x="54"/>
        <item x="293"/>
        <item x="245"/>
        <item x="5"/>
        <item x="351"/>
        <item x="0"/>
        <item x="352"/>
        <item x="282"/>
        <item x="4"/>
        <item x="341"/>
        <item x="8"/>
        <item x="337"/>
        <item x="304"/>
        <item x="149"/>
        <item x="170"/>
        <item x="157"/>
        <item x="350"/>
        <item x="274"/>
        <item x="3"/>
        <item x="52"/>
        <item x="290"/>
        <item x="328"/>
        <item x="319"/>
        <item x="346"/>
        <item x="332"/>
        <item x="326"/>
        <item x="158"/>
        <item x="347"/>
        <item x="151"/>
        <item x="64"/>
        <item x="302"/>
        <item x="131"/>
        <item x="320"/>
        <item x="284"/>
        <item x="301"/>
        <item x="325"/>
        <item x="71"/>
        <item x="58"/>
        <item x="53"/>
        <item x="2"/>
        <item x="344"/>
        <item x="300"/>
        <item x="292"/>
        <item x="294"/>
        <item x="297"/>
        <item x="343"/>
        <item x="298"/>
        <item x="295"/>
        <item x="182"/>
        <item x="331"/>
        <item x="312"/>
        <item x="299"/>
        <item x="310"/>
        <item x="342"/>
        <item x="318"/>
        <item x="211"/>
        <item x="306"/>
        <item x="154"/>
        <item x="159"/>
        <item x="177"/>
        <item x="139"/>
        <item x="327"/>
        <item x="143"/>
        <item x="176"/>
        <item x="210"/>
        <item x="1"/>
      </items>
    </pivotField>
    <pivotField axis="axisRow" compact="0" outline="0" showAll="0" defaultSubtotal="0">
      <items count="806">
        <item x="716"/>
        <item x="224"/>
        <item x="182"/>
        <item x="596"/>
        <item x="159"/>
        <item x="802"/>
        <item x="618"/>
        <item x="789"/>
        <item x="745"/>
        <item x="741"/>
        <item x="743"/>
        <item x="742"/>
        <item x="566"/>
        <item x="280"/>
        <item x="301"/>
        <item x="197"/>
        <item x="219"/>
        <item x="268"/>
        <item x="220"/>
        <item x="416"/>
        <item x="519"/>
        <item x="415"/>
        <item x="425"/>
        <item x="179"/>
        <item x="198"/>
        <item x="476"/>
        <item x="533"/>
        <item x="306"/>
        <item x="278"/>
        <item x="84"/>
        <item x="481"/>
        <item x="72"/>
        <item x="567"/>
        <item x="281"/>
        <item x="217"/>
        <item x="79"/>
        <item x="223"/>
        <item x="86"/>
        <item x="188"/>
        <item x="218"/>
        <item x="422"/>
        <item x="193"/>
        <item x="423"/>
        <item x="194"/>
        <item x="181"/>
        <item x="68"/>
        <item x="482"/>
        <item x="279"/>
        <item x="196"/>
        <item x="594"/>
        <item x="285"/>
        <item x="644"/>
        <item x="74"/>
        <item x="424"/>
        <item x="239"/>
        <item x="471"/>
        <item x="195"/>
        <item x="776"/>
        <item x="192"/>
        <item x="283"/>
        <item x="112"/>
        <item x="226"/>
        <item x="221"/>
        <item x="71"/>
        <item x="202"/>
        <item x="162"/>
        <item x="232"/>
        <item x="518"/>
        <item x="536"/>
        <item x="555"/>
        <item x="595"/>
        <item x="40"/>
        <item x="460"/>
        <item x="228"/>
        <item x="225"/>
        <item x="333"/>
        <item x="336"/>
        <item x="527"/>
        <item x="335"/>
        <item x="271"/>
        <item x="100"/>
        <item x="387"/>
        <item x="309"/>
        <item x="372"/>
        <item x="475"/>
        <item x="557"/>
        <item x="544"/>
        <item x="93"/>
        <item x="587"/>
        <item x="128"/>
        <item x="149"/>
        <item x="330"/>
        <item x="119"/>
        <item x="127"/>
        <item x="124"/>
        <item x="89"/>
        <item x="87"/>
        <item x="766"/>
        <item x="13"/>
        <item x="762"/>
        <item x="761"/>
        <item x="199"/>
        <item x="117"/>
        <item x="326"/>
        <item x="101"/>
        <item x="43"/>
        <item x="512"/>
        <item x="64"/>
        <item x="14"/>
        <item x="10"/>
        <item x="729"/>
        <item x="732"/>
        <item x="305"/>
        <item x="263"/>
        <item x="20"/>
        <item x="82"/>
        <item x="342"/>
        <item x="317"/>
        <item x="46"/>
        <item x="62"/>
        <item x="304"/>
        <item x="172"/>
        <item x="801"/>
        <item x="367"/>
        <item x="687"/>
        <item x="688"/>
        <item x="570"/>
        <item x="506"/>
        <item x="236"/>
        <item x="233"/>
        <item x="643"/>
        <item x="637"/>
        <item x="638"/>
        <item x="641"/>
        <item x="689"/>
        <item x="30"/>
        <item x="266"/>
        <item x="710"/>
        <item x="370"/>
        <item x="441"/>
        <item x="516"/>
        <item x="299"/>
        <item x="294"/>
        <item x="21"/>
        <item x="667"/>
        <item x="522"/>
        <item x="630"/>
        <item x="366"/>
        <item x="346"/>
        <item x="164"/>
        <item x="543"/>
        <item x="640"/>
        <item x="65"/>
        <item x="60"/>
        <item x="639"/>
        <item x="129"/>
        <item x="139"/>
        <item x="140"/>
        <item x="141"/>
        <item x="142"/>
        <item x="143"/>
        <item x="131"/>
        <item x="132"/>
        <item x="133"/>
        <item x="134"/>
        <item x="135"/>
        <item x="136"/>
        <item x="137"/>
        <item x="138"/>
        <item x="189"/>
        <item x="214"/>
        <item x="215"/>
        <item x="216"/>
        <item x="593"/>
        <item x="435"/>
        <item x="779"/>
        <item x="398"/>
        <item x="144"/>
        <item x="362"/>
        <item x="364"/>
        <item x="363"/>
        <item x="396"/>
        <item x="345"/>
        <item x="444"/>
        <item x="397"/>
        <item x="624"/>
        <item x="795"/>
        <item x="748"/>
        <item x="580"/>
        <item x="373"/>
        <item x="407"/>
        <item x="586"/>
        <item x="489"/>
        <item x="103"/>
        <item x="591"/>
        <item x="495"/>
        <item x="499"/>
        <item x="484"/>
        <item x="34"/>
        <item x="146"/>
        <item x="757"/>
        <item x="54"/>
        <item x="765"/>
        <item x="774"/>
        <item x="389"/>
        <item x="394"/>
        <item x="41"/>
        <item x="323"/>
        <item x="693"/>
        <item x="727"/>
        <item x="353"/>
        <item x="613"/>
        <item x="796"/>
        <item x="52"/>
        <item x="76"/>
        <item x="59"/>
        <item x="509"/>
        <item x="584"/>
        <item x="168"/>
        <item x="442"/>
        <item x="80"/>
        <item x="628"/>
        <item x="756"/>
        <item x="755"/>
        <item x="798"/>
        <item x="154"/>
        <item x="433"/>
        <item x="572"/>
        <item x="349"/>
        <item x="799"/>
        <item x="601"/>
        <item x="36"/>
        <item x="403"/>
        <item x="381"/>
        <item x="700"/>
        <item x="155"/>
        <item x="259"/>
        <item x="171"/>
        <item x="582"/>
        <item x="562"/>
        <item x="520"/>
        <item x="229"/>
        <item x="585"/>
        <item x="107"/>
        <item x="288"/>
        <item x="45"/>
        <item x="320"/>
        <item x="642"/>
        <item x="240"/>
        <item x="255"/>
        <item x="161"/>
        <item x="469"/>
        <item x="118"/>
        <item x="331"/>
        <item x="558"/>
        <item x="105"/>
        <item x="39"/>
        <item x="647"/>
        <item x="12"/>
        <item x="157"/>
        <item x="772"/>
        <item x="508"/>
        <item x="577"/>
        <item x="15"/>
        <item x="646"/>
        <item x="319"/>
        <item x="542"/>
        <item x="548"/>
        <item x="51"/>
        <item x="318"/>
        <item x="645"/>
        <item x="629"/>
        <item x="355"/>
        <item x="529"/>
        <item x="173"/>
        <item x="314"/>
        <item x="537"/>
        <item x="340"/>
        <item x="329"/>
        <item x="344"/>
        <item x="75"/>
        <item x="676"/>
        <item x="538"/>
        <item x="563"/>
        <item x="130"/>
        <item x="152"/>
        <item x="539"/>
        <item x="148"/>
        <item x="147"/>
        <item x="66"/>
        <item x="794"/>
        <item x="730"/>
        <item x="429"/>
        <item x="97"/>
        <item x="515"/>
        <item x="746"/>
        <item x="206"/>
        <item x="308"/>
        <item x="116"/>
        <item x="648"/>
        <item x="759"/>
        <item x="760"/>
        <item x="258"/>
        <item x="511"/>
        <item x="668"/>
        <item x="108"/>
        <item x="375"/>
        <item x="126"/>
        <item x="625"/>
        <item x="790"/>
        <item x="783"/>
        <item x="8"/>
        <item x="160"/>
        <item x="780"/>
        <item x="385"/>
        <item x="781"/>
        <item x="575"/>
        <item x="753"/>
        <item x="763"/>
        <item x="302"/>
        <item x="17"/>
        <item x="514"/>
        <item x="490"/>
        <item x="457"/>
        <item x="401"/>
        <item x="369"/>
        <item x="368"/>
        <item x="492"/>
        <item x="620"/>
        <item x="419"/>
        <item x="390"/>
        <item x="356"/>
        <item x="775"/>
        <item x="243"/>
        <item x="427"/>
        <item x="726"/>
        <item x="568"/>
        <item x="530"/>
        <item x="670"/>
        <item x="246"/>
        <item x="265"/>
        <item x="114"/>
        <item x="253"/>
        <item x="28"/>
        <item x="184"/>
        <item x="352"/>
        <item x="696"/>
        <item x="631"/>
        <item x="262"/>
        <item x="728"/>
        <item x="176"/>
        <item x="636"/>
        <item x="550"/>
        <item x="782"/>
        <item x="261"/>
        <item x="379"/>
        <item x="303"/>
        <item x="734"/>
        <item x="497"/>
        <item x="493"/>
        <item x="786"/>
        <item x="787"/>
        <item x="785"/>
        <item x="619"/>
        <item x="788"/>
        <item x="256"/>
        <item x="257"/>
        <item x="715"/>
        <item x="671"/>
        <item x="666"/>
        <item x="764"/>
        <item x="94"/>
        <item x="38"/>
        <item x="675"/>
        <item x="740"/>
        <item x="800"/>
        <item x="517"/>
        <item x="83"/>
        <item x="437"/>
        <item x="418"/>
        <item x="395"/>
        <item x="49"/>
        <item x="357"/>
        <item x="321"/>
        <item x="324"/>
        <item x="665"/>
        <item x="576"/>
        <item x="252"/>
        <item x="622"/>
        <item x="467"/>
        <item x="270"/>
        <item x="235"/>
        <item x="463"/>
        <item x="109"/>
        <item x="695"/>
        <item x="392"/>
        <item x="767"/>
        <item x="24"/>
        <item x="391"/>
        <item x="145"/>
        <item x="378"/>
        <item x="616"/>
        <item x="250"/>
        <item x="251"/>
        <item x="77"/>
        <item x="92"/>
        <item x="185"/>
        <item x="187"/>
        <item x="292"/>
        <item x="677"/>
        <item x="678"/>
        <item x="4"/>
        <item x="724"/>
        <item x="797"/>
        <item x="44"/>
        <item x="388"/>
        <item x="69"/>
        <item x="417"/>
        <item x="334"/>
        <item x="699"/>
        <item x="697"/>
        <item x="698"/>
        <item x="573"/>
        <item x="287"/>
        <item x="61"/>
        <item x="5"/>
        <item x="2"/>
        <item x="0"/>
        <item x="684"/>
        <item x="657"/>
        <item x="658"/>
        <item x="360"/>
        <item x="374"/>
        <item x="540"/>
        <item x="462"/>
        <item x="691"/>
        <item x="464"/>
        <item x="723"/>
        <item x="754"/>
        <item x="290"/>
        <item x="322"/>
        <item x="485"/>
        <item x="486"/>
        <item x="541"/>
        <item x="163"/>
        <item x="551"/>
        <item x="564"/>
        <item x="721"/>
        <item x="719"/>
        <item x="720"/>
        <item x="722"/>
        <item x="526"/>
        <item x="525"/>
        <item x="510"/>
        <item x="3"/>
        <item x="248"/>
        <item x="63"/>
        <item x="48"/>
        <item x="717"/>
        <item x="725"/>
        <item x="701"/>
        <item x="713"/>
        <item x="491"/>
        <item x="565"/>
        <item x="749"/>
        <item x="652"/>
        <item x="73"/>
        <item x="561"/>
        <item x="377"/>
        <item x="343"/>
        <item x="414"/>
        <item x="413"/>
        <item x="242"/>
        <item x="35"/>
        <item x="53"/>
        <item x="56"/>
        <item x="110"/>
        <item x="574"/>
        <item x="315"/>
        <item x="316"/>
        <item x="312"/>
        <item x="295"/>
        <item x="111"/>
        <item x="792"/>
        <item x="791"/>
        <item x="502"/>
        <item x="451"/>
        <item x="452"/>
        <item x="458"/>
        <item x="448"/>
        <item x="420"/>
        <item x="450"/>
        <item x="454"/>
        <item x="455"/>
        <item x="180"/>
        <item x="456"/>
        <item x="78"/>
        <item x="348"/>
        <item x="468"/>
        <item x="177"/>
        <item x="203"/>
        <item x="212"/>
        <item x="186"/>
        <item x="470"/>
        <item x="205"/>
        <item x="208"/>
        <item x="277"/>
        <item x="590"/>
        <item x="102"/>
        <item x="153"/>
        <item x="472"/>
        <item x="589"/>
        <item x="9"/>
        <item x="358"/>
        <item x="503"/>
        <item x="234"/>
        <item x="634"/>
        <item x="621"/>
        <item x="694"/>
        <item x="443"/>
        <item x="436"/>
        <item x="434"/>
        <item x="276"/>
        <item x="156"/>
        <item x="249"/>
        <item x="325"/>
        <item x="121"/>
        <item x="120"/>
        <item x="327"/>
        <item x="359"/>
        <item x="384"/>
        <item x="501"/>
        <item x="513"/>
        <item x="18"/>
        <item x="338"/>
        <item x="211"/>
        <item x="210"/>
        <item x="465"/>
        <item x="654"/>
        <item x="655"/>
        <item x="532"/>
        <item x="411"/>
        <item x="615"/>
        <item x="507"/>
        <item x="405"/>
        <item x="269"/>
        <item x="311"/>
        <item x="592"/>
        <item x="307"/>
        <item x="58"/>
        <item x="371"/>
        <item x="477"/>
        <item x="90"/>
        <item x="445"/>
        <item x="200"/>
        <item x="347"/>
        <item x="284"/>
        <item x="556"/>
        <item x="735"/>
        <item x="736"/>
        <item x="768"/>
        <item x="769"/>
        <item x="70"/>
        <item x="125"/>
        <item x="496"/>
        <item x="88"/>
        <item x="174"/>
        <item x="282"/>
        <item x="26"/>
        <item x="531"/>
        <item x="632"/>
        <item x="245"/>
        <item x="238"/>
        <item x="653"/>
        <item x="23"/>
        <item x="534"/>
        <item x="213"/>
        <item x="393"/>
        <item x="29"/>
        <item x="449"/>
        <item x="674"/>
        <item x="409"/>
        <item x="771"/>
        <item x="123"/>
        <item x="150"/>
        <item x="793"/>
        <item x="673"/>
        <item x="679"/>
        <item x="680"/>
        <item x="681"/>
        <item x="682"/>
        <item x="683"/>
        <item x="738"/>
        <item x="712"/>
        <item x="581"/>
        <item x="751"/>
        <item x="752"/>
        <item x="703"/>
        <item x="744"/>
        <item x="747"/>
        <item x="708"/>
        <item x="709"/>
        <item x="546"/>
        <item x="545"/>
        <item x="275"/>
        <item x="291"/>
        <item x="523"/>
        <item x="690"/>
        <item x="254"/>
        <item x="169"/>
        <item x="98"/>
        <item x="731"/>
        <item x="614"/>
        <item x="408"/>
        <item x="528"/>
        <item x="244"/>
        <item x="274"/>
        <item x="386"/>
        <item x="247"/>
        <item x="656"/>
        <item x="231"/>
        <item x="96"/>
        <item x="22"/>
        <item x="661"/>
        <item x="664"/>
        <item x="663"/>
        <item x="662"/>
        <item x="341"/>
        <item x="504"/>
        <item x="151"/>
        <item x="33"/>
        <item x="685"/>
        <item x="158"/>
        <item x="297"/>
        <item x="500"/>
        <item x="42"/>
        <item x="400"/>
        <item x="380"/>
        <item x="399"/>
        <item x="651"/>
        <item x="170"/>
        <item x="521"/>
        <item x="99"/>
        <item x="85"/>
        <item x="113"/>
        <item x="669"/>
        <item x="686"/>
        <item x="487"/>
        <item x="230"/>
        <item x="626"/>
        <item x="524"/>
        <item x="106"/>
        <item x="692"/>
        <item x="406"/>
        <item x="549"/>
        <item x="459"/>
        <item x="473"/>
        <item x="432"/>
        <item x="478"/>
        <item x="583"/>
        <item x="559"/>
        <item x="6"/>
        <item x="588"/>
        <item x="535"/>
        <item x="7"/>
        <item x="560"/>
        <item x="410"/>
        <item x="361"/>
        <item x="365"/>
        <item x="351"/>
        <item x="293"/>
        <item x="81"/>
        <item x="31"/>
        <item x="488"/>
        <item x="461"/>
        <item x="633"/>
        <item x="264"/>
        <item x="718"/>
        <item x="739"/>
        <item x="733"/>
        <item x="704"/>
        <item x="702"/>
        <item x="758"/>
        <item x="714"/>
        <item x="737"/>
        <item x="705"/>
        <item x="706"/>
        <item x="554"/>
        <item x="204"/>
        <item x="339"/>
        <item x="95"/>
        <item x="207"/>
        <item x="165"/>
        <item x="553"/>
        <item x="296"/>
        <item x="635"/>
        <item x="16"/>
        <item x="439"/>
        <item x="313"/>
        <item x="298"/>
        <item x="431"/>
        <item x="466"/>
        <item x="337"/>
        <item x="57"/>
        <item x="47"/>
        <item x="191"/>
        <item x="579"/>
        <item x="412"/>
        <item x="115"/>
        <item x="597"/>
        <item x="494"/>
        <item x="237"/>
        <item x="289"/>
        <item x="332"/>
        <item x="578"/>
        <item x="603"/>
        <item x="611"/>
        <item x="617"/>
        <item x="604"/>
        <item x="612"/>
        <item x="602"/>
        <item x="599"/>
        <item x="605"/>
        <item x="607"/>
        <item x="606"/>
        <item x="608"/>
        <item x="598"/>
        <item x="600"/>
        <item x="32"/>
        <item x="27"/>
        <item x="438"/>
        <item x="267"/>
        <item x="286"/>
        <item x="623"/>
        <item x="310"/>
        <item x="480"/>
        <item x="479"/>
        <item x="37"/>
        <item x="104"/>
        <item x="404"/>
        <item x="428"/>
        <item x="300"/>
        <item x="183"/>
        <item x="328"/>
        <item x="571"/>
        <item x="122"/>
        <item x="201"/>
        <item x="166"/>
        <item x="446"/>
        <item x="91"/>
        <item x="273"/>
        <item x="272"/>
        <item x="50"/>
        <item x="552"/>
        <item x="547"/>
        <item x="505"/>
        <item x="440"/>
        <item x="402"/>
        <item x="67"/>
        <item x="190"/>
        <item x="209"/>
        <item x="376"/>
        <item x="167"/>
        <item x="354"/>
        <item x="803"/>
        <item x="707"/>
        <item x="430"/>
        <item x="175"/>
        <item x="672"/>
        <item x="711"/>
        <item x="750"/>
        <item x="609"/>
        <item x="260"/>
        <item x="569"/>
        <item x="770"/>
        <item x="777"/>
        <item x="778"/>
        <item x="350"/>
        <item x="19"/>
        <item x="227"/>
        <item x="241"/>
        <item x="25"/>
        <item x="483"/>
        <item x="11"/>
        <item x="773"/>
        <item x="474"/>
        <item x="610"/>
        <item x="498"/>
        <item x="421"/>
        <item x="382"/>
        <item x="383"/>
        <item x="55"/>
        <item x="426"/>
        <item x="178"/>
        <item x="447"/>
        <item x="222"/>
        <item x="1"/>
        <item x="649"/>
        <item x="650"/>
        <item x="627"/>
        <item x="784"/>
        <item x="453"/>
        <item x="659"/>
        <item x="660"/>
        <item x="804"/>
        <item x="805"/>
      </items>
    </pivotField>
    <pivotField dataField="1" compact="0" outline="0" showAll="0"/>
    <pivotField compact="0" outline="0" showAll="0" defaultSubtotal="0"/>
    <pivotField compact="0" outline="0" showAll="0" defaultSubtota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3" outline="0" showAll="0" defaultSubtotal="0"/>
    <pivotField compact="0" outline="0" showAll="0" defaultSubtotal="0"/>
    <pivotField compact="0" outline="0" showAll="0" defaultSubtotal="0"/>
  </pivotFields>
  <rowFields count="4">
    <field x="4"/>
    <field x="18"/>
    <field x="16"/>
    <field x="17"/>
  </rowFields>
  <rowItems count="108">
    <i>
      <x v="36"/>
    </i>
    <i>
      <x v="97"/>
    </i>
    <i>
      <x v="87"/>
    </i>
    <i>
      <x v="95"/>
    </i>
    <i>
      <x v="29"/>
    </i>
    <i>
      <x v="6"/>
    </i>
    <i>
      <x v="70"/>
    </i>
    <i>
      <x v="85"/>
    </i>
    <i>
      <x v="8"/>
    </i>
    <i>
      <x v="66"/>
    </i>
    <i>
      <x v="73"/>
    </i>
    <i>
      <x v="48"/>
    </i>
    <i>
      <x v="59"/>
    </i>
    <i>
      <x v="81"/>
    </i>
    <i>
      <x v="20"/>
    </i>
    <i>
      <x v="34"/>
    </i>
    <i>
      <x v="82"/>
    </i>
    <i>
      <x v="24"/>
    </i>
    <i>
      <x v="1"/>
    </i>
    <i>
      <x v="4"/>
    </i>
    <i>
      <x v="12"/>
    </i>
    <i>
      <x v="10"/>
    </i>
    <i>
      <x v="42"/>
    </i>
    <i>
      <x v="101"/>
    </i>
    <i>
      <x v="103"/>
    </i>
    <i>
      <x v="40"/>
    </i>
    <i>
      <x v="58"/>
    </i>
    <i>
      <x v="9"/>
    </i>
    <i>
      <x v="60"/>
    </i>
    <i>
      <x v="25"/>
    </i>
    <i>
      <x v="63"/>
    </i>
    <i>
      <x v="13"/>
    </i>
    <i>
      <x v="83"/>
    </i>
    <i>
      <x v="27"/>
    </i>
    <i>
      <x v="72"/>
    </i>
    <i>
      <x v="100"/>
    </i>
    <i>
      <x v="33"/>
    </i>
    <i>
      <x v="32"/>
    </i>
    <i>
      <x v="28"/>
    </i>
    <i>
      <x v="5"/>
    </i>
    <i>
      <x v="43"/>
    </i>
    <i>
      <x v="64"/>
    </i>
    <i>
      <x v="96"/>
    </i>
    <i>
      <x v="41"/>
    </i>
    <i>
      <x v="37"/>
    </i>
    <i>
      <x v="52"/>
    </i>
    <i>
      <x v="39"/>
    </i>
    <i>
      <x v="30"/>
    </i>
    <i>
      <x v="99"/>
    </i>
    <i>
      <x v="56"/>
    </i>
    <i>
      <x/>
    </i>
    <i>
      <x v="69"/>
    </i>
    <i>
      <x v="68"/>
    </i>
    <i>
      <x v="102"/>
    </i>
    <i>
      <x v="38"/>
    </i>
    <i>
      <x v="53"/>
    </i>
    <i>
      <x v="98"/>
    </i>
    <i>
      <x v="17"/>
    </i>
    <i>
      <x v="90"/>
    </i>
    <i>
      <x v="46"/>
    </i>
    <i>
      <x v="49"/>
    </i>
    <i>
      <x v="93"/>
    </i>
    <i>
      <x v="84"/>
    </i>
    <i>
      <x v="54"/>
    </i>
    <i>
      <x v="55"/>
    </i>
    <i>
      <x v="61"/>
    </i>
    <i>
      <x v="18"/>
    </i>
    <i>
      <x v="75"/>
    </i>
    <i>
      <x v="2"/>
    </i>
    <i>
      <x v="14"/>
    </i>
    <i>
      <x v="91"/>
    </i>
    <i>
      <x v="26"/>
    </i>
    <i>
      <x v="89"/>
    </i>
    <i>
      <x v="88"/>
    </i>
    <i>
      <x v="71"/>
    </i>
    <i>
      <x v="19"/>
    </i>
    <i>
      <x v="3"/>
    </i>
    <i>
      <x v="65"/>
    </i>
    <i>
      <x v="21"/>
    </i>
    <i>
      <x v="74"/>
    </i>
    <i>
      <x v="77"/>
    </i>
    <i>
      <x v="86"/>
    </i>
    <i>
      <x v="44"/>
    </i>
    <i>
      <x v="23"/>
    </i>
    <i>
      <x v="79"/>
    </i>
    <i>
      <x v="51"/>
    </i>
    <i>
      <x v="76"/>
    </i>
    <i>
      <x v="62"/>
    </i>
    <i>
      <x v="47"/>
    </i>
    <i>
      <x v="94"/>
    </i>
    <i>
      <x v="104"/>
    </i>
    <i>
      <x v="57"/>
    </i>
    <i>
      <x v="15"/>
    </i>
    <i>
      <x v="80"/>
    </i>
    <i>
      <x v="50"/>
    </i>
    <i>
      <x v="22"/>
    </i>
    <i>
      <x v="105"/>
      <x v="804"/>
      <x/>
      <x/>
    </i>
    <i>
      <x v="45"/>
    </i>
    <i>
      <x v="67"/>
    </i>
    <i>
      <x v="16"/>
    </i>
    <i>
      <x v="31"/>
    </i>
    <i>
      <x v="92"/>
    </i>
    <i>
      <x v="35"/>
    </i>
    <i>
      <x v="106"/>
      <x v="796"/>
      <x v="76"/>
      <x v="355"/>
    </i>
    <i>
      <x v="78"/>
    </i>
    <i>
      <x v="11"/>
    </i>
    <i>
      <x v="7"/>
    </i>
    <i t="grand">
      <x/>
    </i>
  </rowItems>
  <colItems count="1">
    <i/>
  </colItems>
  <pageFields count="1">
    <pageField fld="8" hier="-1"/>
  </pageFields>
  <dataFields count="1">
    <dataField name="Sum of 2023 Budget " fld="19" baseField="5" baseItem="9"/>
  </dataFields>
  <formats count="3">
    <format dxfId="4">
      <pivotArea outline="0" collapsedLevelsAreSubtotals="1" fieldPosition="0"/>
    </format>
    <format dxfId="3">
      <pivotArea outline="0" collapsedLevelsAreSubtotals="1" fieldPosition="0"/>
    </format>
    <format dxfId="2">
      <pivotArea dataOnly="0" labelOnly="1" outline="0" fieldPosition="0">
        <references count="4">
          <reference field="4" count="1" selected="0">
            <x v="4"/>
          </reference>
          <reference field="16" count="1" selected="0">
            <x v="0"/>
          </reference>
          <reference field="17" count="1">
            <x v="332"/>
          </reference>
          <reference field="18" count="1" selected="0">
            <x v="639"/>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57" applyNumberFormats="0" applyBorderFormats="0" applyFontFormats="0" applyPatternFormats="0" applyAlignmentFormats="0" applyWidthHeightFormats="1" dataCaption="Values" updatedVersion="6" minRefreshableVersion="3" showDrill="0" useAutoFormatting="1" itemPrintTitles="1" createdVersion="6" indent="0" compact="0" compactData="0" multipleFieldFilters="0">
  <location ref="A3:E563" firstHeaderRow="0" firstDataRow="1" firstDataCol="1"/>
  <pivotFields count="4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pivotField compact="0" outline="0" showAll="0" sortType="ascending"/>
    <pivotField compact="0" outline="0" showAll="0">
      <extLst>
        <ext xmlns:x14="http://schemas.microsoft.com/office/spreadsheetml/2009/9/main" uri="{2946ED86-A175-432a-8AC1-64E0C546D7DE}">
          <x14:pivotField fillDownLabels="1"/>
        </ext>
      </extLst>
    </pivotField>
    <pivotField compact="0" outline="0" showAll="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559">
        <item x="528"/>
        <item x="529"/>
        <item x="530"/>
        <item x="531"/>
        <item x="532"/>
        <item x="533"/>
        <item x="534"/>
        <item x="535"/>
        <item x="536"/>
        <item x="537"/>
        <item x="538"/>
        <item x="539"/>
        <item x="541"/>
        <item x="540"/>
        <item x="542"/>
        <item x="428"/>
        <item x="429"/>
        <item x="430"/>
        <item x="431"/>
        <item x="432"/>
        <item x="433"/>
        <item x="434"/>
        <item x="435"/>
        <item x="436"/>
        <item x="437"/>
        <item x="438"/>
        <item x="439"/>
        <item x="440"/>
        <item x="543"/>
        <item x="544"/>
        <item x="545"/>
        <item x="548"/>
        <item x="547"/>
        <item x="546"/>
        <item x="20"/>
        <item x="21"/>
        <item x="22"/>
        <item x="23"/>
        <item x="24"/>
        <item x="25"/>
        <item x="26"/>
        <item x="27"/>
        <item x="28"/>
        <item x="29"/>
        <item x="30"/>
        <item x="32"/>
        <item x="31"/>
        <item x="314"/>
        <item x="315"/>
        <item x="316"/>
        <item x="317"/>
        <item x="318"/>
        <item x="319"/>
        <item x="320"/>
        <item x="321"/>
        <item x="322"/>
        <item x="323"/>
        <item x="324"/>
        <item x="325"/>
        <item x="326"/>
        <item x="327"/>
        <item x="328"/>
        <item x="329"/>
        <item x="87"/>
        <item x="88"/>
        <item x="89"/>
        <item x="90"/>
        <item x="91"/>
        <item x="92"/>
        <item x="93"/>
        <item x="94"/>
        <item x="95"/>
        <item x="96"/>
        <item x="97"/>
        <item x="98"/>
        <item x="99"/>
        <item x="100"/>
        <item x="101"/>
        <item x="102"/>
        <item x="103"/>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9"/>
        <item x="78"/>
        <item x="80"/>
        <item x="81"/>
        <item x="82"/>
        <item x="83"/>
        <item x="84"/>
        <item x="85"/>
        <item x="86"/>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330"/>
        <item x="331"/>
        <item x="332"/>
        <item x="333"/>
        <item x="338"/>
        <item x="339"/>
        <item x="334"/>
        <item x="335"/>
        <item x="337"/>
        <item x="336"/>
        <item x="340"/>
        <item x="341"/>
        <item x="342"/>
        <item x="343"/>
        <item x="344"/>
        <item x="345"/>
        <item x="347"/>
        <item x="346"/>
        <item x="350"/>
        <item x="351"/>
        <item x="352"/>
        <item x="353"/>
        <item x="354"/>
        <item x="349"/>
        <item x="348"/>
        <item x="355"/>
        <item x="356"/>
        <item x="357"/>
        <item x="358"/>
        <item x="359"/>
        <item x="360"/>
        <item x="361"/>
        <item x="362"/>
        <item x="363"/>
        <item x="364"/>
        <item x="365"/>
        <item x="366"/>
        <item x="367"/>
        <item x="368"/>
        <item x="369"/>
        <item x="370"/>
        <item x="371"/>
        <item x="372"/>
        <item x="373"/>
        <item x="374"/>
        <item x="375"/>
        <item x="376"/>
        <item x="377"/>
        <item x="379"/>
        <item x="378"/>
        <item x="380"/>
        <item x="381"/>
        <item x="382"/>
        <item x="383"/>
        <item x="384"/>
        <item x="385"/>
        <item x="386"/>
        <item x="387"/>
        <item x="388"/>
        <item x="389"/>
        <item x="390"/>
        <item x="391"/>
        <item x="392"/>
        <item x="393"/>
        <item x="394"/>
        <item x="395"/>
        <item x="405"/>
        <item x="396"/>
        <item x="406"/>
        <item x="397"/>
        <item x="398"/>
        <item x="399"/>
        <item x="400"/>
        <item x="404"/>
        <item x="401"/>
        <item x="403"/>
        <item x="402"/>
        <item x="407"/>
        <item x="408"/>
        <item x="409"/>
        <item x="410"/>
        <item x="411"/>
        <item x="412"/>
        <item x="413"/>
        <item x="414"/>
        <item x="415"/>
        <item x="416"/>
        <item x="417"/>
        <item x="418"/>
        <item x="419"/>
        <item x="420"/>
        <item x="421"/>
        <item x="422"/>
        <item x="423"/>
        <item x="424"/>
        <item x="425"/>
        <item x="426"/>
        <item x="427"/>
        <item x="445"/>
        <item x="446"/>
        <item x="447"/>
        <item x="454"/>
        <item x="448"/>
        <item x="455"/>
        <item x="449"/>
        <item x="450"/>
        <item x="451"/>
        <item x="452"/>
        <item x="453"/>
        <item x="456"/>
        <item x="457"/>
        <item x="458"/>
        <item x="460"/>
        <item x="461"/>
        <item x="465"/>
        <item x="466"/>
        <item x="467"/>
        <item x="468"/>
        <item x="469"/>
        <item x="470"/>
        <item x="491"/>
        <item x="471"/>
        <item x="492"/>
        <item x="472"/>
        <item x="473"/>
        <item x="474"/>
        <item x="493"/>
        <item x="494"/>
        <item x="475"/>
        <item x="495"/>
        <item x="496"/>
        <item x="497"/>
        <item x="498"/>
        <item x="499"/>
        <item x="500"/>
        <item x="501"/>
        <item x="483"/>
        <item x="459"/>
        <item x="462"/>
        <item x="464"/>
        <item x="463"/>
        <item x="502"/>
        <item x="476"/>
        <item x="477"/>
        <item x="478"/>
        <item x="479"/>
        <item x="503"/>
        <item x="480"/>
        <item x="481"/>
        <item x="482"/>
        <item x="504"/>
        <item x="505"/>
        <item x="506"/>
        <item x="484"/>
        <item x="485"/>
        <item x="486"/>
        <item x="507"/>
        <item x="487"/>
        <item x="488"/>
        <item x="489"/>
        <item x="508"/>
        <item x="490"/>
        <item x="509"/>
        <item x="510"/>
        <item x="526"/>
        <item x="511"/>
        <item x="512"/>
        <item x="513"/>
        <item x="514"/>
        <item x="515"/>
        <item x="516"/>
        <item x="517"/>
        <item x="518"/>
        <item x="519"/>
        <item x="520"/>
        <item x="521"/>
        <item x="522"/>
        <item x="523"/>
        <item x="524"/>
        <item x="525"/>
        <item x="527"/>
        <item x="206"/>
        <item x="207"/>
        <item x="208"/>
        <item x="209"/>
        <item x="212"/>
        <item x="210"/>
        <item x="211"/>
        <item x="213"/>
        <item x="214"/>
        <item x="215"/>
        <item x="216"/>
        <item x="218"/>
        <item x="221"/>
        <item x="219"/>
        <item x="220"/>
        <item x="217"/>
        <item x="0"/>
        <item x="1"/>
        <item x="2"/>
        <item x="3"/>
        <item x="4"/>
        <item x="5"/>
        <item x="6"/>
        <item x="7"/>
        <item x="8"/>
        <item x="9"/>
        <item x="10"/>
        <item x="11"/>
        <item x="12"/>
        <item x="13"/>
        <item x="19"/>
        <item x="14"/>
        <item x="15"/>
        <item x="16"/>
        <item x="17"/>
        <item x="18"/>
        <item x="444"/>
        <item x="441"/>
        <item x="442"/>
        <item x="443"/>
        <item x="313"/>
        <item x="308"/>
        <item x="309"/>
        <item x="310"/>
        <item x="311"/>
        <item x="312"/>
        <item x="222"/>
        <item x="223"/>
        <item x="224"/>
        <item x="225"/>
        <item x="227"/>
        <item x="228"/>
        <item x="226"/>
        <item x="229"/>
        <item x="230"/>
        <item x="231"/>
        <item x="232"/>
        <item x="233"/>
        <item x="234"/>
        <item x="235"/>
        <item x="236"/>
        <item x="237"/>
        <item x="238"/>
        <item x="239"/>
        <item x="240"/>
        <item x="241"/>
        <item x="242"/>
        <item x="243"/>
        <item x="244"/>
        <item x="245"/>
        <item x="246"/>
        <item x="247"/>
        <item x="248"/>
        <item x="275"/>
        <item x="276"/>
        <item x="277"/>
        <item x="278"/>
        <item x="279"/>
        <item x="280"/>
        <item x="285"/>
        <item x="286"/>
        <item x="249"/>
        <item x="250"/>
        <item x="251"/>
        <item x="252"/>
        <item x="253"/>
        <item x="254"/>
        <item x="255"/>
        <item x="256"/>
        <item x="257"/>
        <item x="258"/>
        <item x="259"/>
        <item x="300"/>
        <item x="301"/>
        <item x="302"/>
        <item x="303"/>
        <item x="304"/>
        <item x="305"/>
        <item x="306"/>
        <item x="307"/>
        <item x="267"/>
        <item x="268"/>
        <item x="260"/>
        <item x="261"/>
        <item x="269"/>
        <item x="262"/>
        <item x="263"/>
        <item x="270"/>
        <item x="271"/>
        <item x="272"/>
        <item x="264"/>
        <item x="273"/>
        <item x="274"/>
        <item x="265"/>
        <item x="266"/>
        <item x="281"/>
        <item x="282"/>
        <item x="283"/>
        <item x="284"/>
        <item x="287"/>
        <item x="288"/>
        <item x="289"/>
        <item x="290"/>
        <item x="291"/>
        <item x="292"/>
        <item x="293"/>
        <item x="299"/>
        <item x="294"/>
        <item x="295"/>
        <item x="296"/>
        <item x="297"/>
        <item x="298"/>
        <item x="168"/>
        <item x="169"/>
        <item x="170"/>
        <item x="171"/>
        <item x="172"/>
        <item x="203"/>
        <item x="205"/>
        <item x="173"/>
        <item x="174"/>
        <item x="175"/>
        <item x="176"/>
        <item x="177"/>
        <item x="178"/>
        <item x="179"/>
        <item x="180"/>
        <item x="181"/>
        <item x="182"/>
        <item x="183"/>
        <item x="184"/>
        <item x="185"/>
        <item x="186"/>
        <item x="187"/>
        <item x="188"/>
        <item x="189"/>
        <item x="190"/>
        <item x="191"/>
        <item x="192"/>
        <item x="193"/>
        <item x="194"/>
        <item x="195"/>
        <item x="196"/>
        <item x="197"/>
        <item x="198"/>
        <item x="204"/>
        <item x="199"/>
        <item x="202"/>
        <item x="201"/>
        <item x="200"/>
        <item x="549"/>
        <item x="550"/>
        <item x="551"/>
        <item x="552"/>
        <item x="553"/>
        <item x="554"/>
        <item x="555"/>
        <item x="556"/>
        <item x="557"/>
        <item x="558"/>
      </items>
    </pivotField>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defaultSubtotal="0"/>
    <pivotField compact="0" outline="0" showAll="0"/>
    <pivotField compact="0" outline="0" showAll="0" defaultSubtotal="0"/>
    <pivotField compact="0" outline="0" showAll="0"/>
    <pivotField compact="0" outline="0" showAll="0"/>
    <pivotField compact="0" outline="0" showAll="0"/>
    <pivotField compact="0" outline="0" showAll="0" defaultSubtotal="0"/>
    <pivotField compact="0" outline="0" showAll="0"/>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s>
  <rowFields count="1">
    <field x="14"/>
  </rowFields>
  <rowItems count="5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t="grand">
      <x/>
    </i>
  </rowItems>
  <colFields count="1">
    <field x="-2"/>
  </colFields>
  <colItems count="4">
    <i>
      <x/>
    </i>
    <i i="1">
      <x v="1"/>
    </i>
    <i i="2">
      <x v="2"/>
    </i>
    <i i="3">
      <x v="3"/>
    </i>
  </colItems>
  <dataFields count="4">
    <dataField name="Sum of 2021Actual" fld="15" baseField="14" baseItem="0"/>
    <dataField name="Sum of 2022 Budget" fld="16" baseField="14" baseItem="0"/>
    <dataField name="Sum of 2022 Estimates Full Year Actual" fld="17" baseField="14" baseItem="0"/>
    <dataField name="Sum of 2023 Budget " fld="23" baseField="5" baseItem="26"/>
  </dataFields>
  <formats count="1">
    <format dxfId="1">
      <pivotArea field="14" grandRow="1" outline="0" axis="axisRow"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5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489"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86">
        <item x="464"/>
        <item x="465"/>
        <item x="466"/>
        <item x="467"/>
        <item x="468"/>
        <item x="469"/>
        <item x="470"/>
        <item x="471"/>
        <item x="472"/>
        <item x="473"/>
        <item x="474"/>
        <item x="476"/>
        <item x="475"/>
        <item x="477"/>
        <item x="387"/>
        <item x="388"/>
        <item x="389"/>
        <item x="390"/>
        <item x="391"/>
        <item x="392"/>
        <item x="393"/>
        <item x="394"/>
        <item x="395"/>
        <item x="396"/>
        <item x="397"/>
        <item x="398"/>
        <item x="399"/>
        <item x="478"/>
        <item x="479"/>
        <item x="480"/>
        <item x="483"/>
        <item x="482"/>
        <item x="481"/>
        <item x="14"/>
        <item x="15"/>
        <item x="16"/>
        <item x="17"/>
        <item x="18"/>
        <item x="19"/>
        <item x="20"/>
        <item x="21"/>
        <item x="22"/>
        <item x="23"/>
        <item x="24"/>
        <item x="26"/>
        <item x="25"/>
        <item x="258"/>
        <item x="259"/>
        <item x="260"/>
        <item x="261"/>
        <item x="262"/>
        <item x="263"/>
        <item x="264"/>
        <item x="265"/>
        <item x="266"/>
        <item x="267"/>
        <item x="268"/>
        <item x="269"/>
        <item x="270"/>
        <item x="271"/>
        <item x="272"/>
        <item x="273"/>
        <item x="27"/>
        <item x="28"/>
        <item x="29"/>
        <item x="30"/>
        <item x="41"/>
        <item x="31"/>
        <item x="32"/>
        <item x="33"/>
        <item x="34"/>
        <item x="35"/>
        <item x="36"/>
        <item x="37"/>
        <item x="42"/>
        <item x="43"/>
        <item x="38"/>
        <item x="39"/>
        <item x="40"/>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0"/>
        <item x="8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308"/>
        <item x="309"/>
        <item x="310"/>
        <item x="311"/>
        <item x="312"/>
        <item x="313"/>
        <item x="315"/>
        <item x="314"/>
        <item x="316"/>
        <item x="317"/>
        <item x="318"/>
        <item x="319"/>
        <item x="320"/>
        <item x="322"/>
        <item x="321"/>
        <item x="325"/>
        <item x="326"/>
        <item x="327"/>
        <item x="328"/>
        <item x="329"/>
        <item x="324"/>
        <item x="323"/>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8"/>
        <item x="369"/>
        <item x="367"/>
        <item x="366"/>
        <item x="370"/>
        <item x="375"/>
        <item x="371"/>
        <item x="372"/>
        <item x="374"/>
        <item x="373"/>
        <item x="376"/>
        <item x="377"/>
        <item x="378"/>
        <item x="379"/>
        <item x="380"/>
        <item x="381"/>
        <item x="382"/>
        <item x="383"/>
        <item x="384"/>
        <item x="385"/>
        <item x="386"/>
        <item x="404"/>
        <item x="405"/>
        <item x="406"/>
        <item x="407"/>
        <item x="408"/>
        <item x="409"/>
        <item x="410"/>
        <item x="411"/>
        <item x="412"/>
        <item x="413"/>
        <item x="415"/>
        <item x="416"/>
        <item x="420"/>
        <item x="421"/>
        <item x="422"/>
        <item x="423"/>
        <item x="424"/>
        <item x="425"/>
        <item x="426"/>
        <item x="427"/>
        <item x="428"/>
        <item x="429"/>
        <item x="430"/>
        <item x="414"/>
        <item x="417"/>
        <item x="419"/>
        <item x="418"/>
        <item x="431"/>
        <item x="432"/>
        <item x="433"/>
        <item x="434"/>
        <item x="435"/>
        <item x="436"/>
        <item x="437"/>
        <item x="438"/>
        <item x="439"/>
        <item x="440"/>
        <item x="442"/>
        <item x="443"/>
        <item x="444"/>
        <item x="441"/>
        <item x="445"/>
        <item x="446"/>
        <item x="462"/>
        <item x="447"/>
        <item x="448"/>
        <item x="449"/>
        <item x="450"/>
        <item x="451"/>
        <item x="452"/>
        <item x="453"/>
        <item x="454"/>
        <item x="455"/>
        <item x="456"/>
        <item x="457"/>
        <item x="458"/>
        <item x="459"/>
        <item x="460"/>
        <item x="461"/>
        <item x="463"/>
        <item x="160"/>
        <item x="161"/>
        <item x="162"/>
        <item x="165"/>
        <item x="163"/>
        <item x="164"/>
        <item x="166"/>
        <item x="167"/>
        <item x="168"/>
        <item x="169"/>
        <item x="170"/>
        <item x="171"/>
        <item x="172"/>
        <item x="173"/>
        <item x="174"/>
        <item x="0"/>
        <item x="1"/>
        <item x="2"/>
        <item x="3"/>
        <item x="4"/>
        <item x="5"/>
        <item x="6"/>
        <item x="7"/>
        <item x="8"/>
        <item x="9"/>
        <item x="10"/>
        <item x="11"/>
        <item x="12"/>
        <item x="13"/>
        <item x="403"/>
        <item x="400"/>
        <item x="401"/>
        <item x="402"/>
        <item x="252"/>
        <item x="253"/>
        <item x="254"/>
        <item x="255"/>
        <item x="256"/>
        <item x="257"/>
        <item x="175"/>
        <item x="176"/>
        <item x="177"/>
        <item x="178"/>
        <item x="179"/>
        <item x="180"/>
        <item x="181"/>
        <item x="182"/>
        <item x="183"/>
        <item x="184"/>
        <item x="185"/>
        <item x="186"/>
        <item x="187"/>
        <item x="188"/>
        <item x="189"/>
        <item x="190"/>
        <item x="191"/>
        <item x="192"/>
        <item x="193"/>
        <item x="194"/>
        <item x="195"/>
        <item x="196"/>
        <item x="197"/>
        <item x="198"/>
        <item x="199"/>
        <item x="219"/>
        <item x="220"/>
        <item x="221"/>
        <item x="222"/>
        <item x="223"/>
        <item x="224"/>
        <item x="229"/>
        <item x="230"/>
        <item x="200"/>
        <item x="201"/>
        <item x="202"/>
        <item x="203"/>
        <item x="204"/>
        <item x="205"/>
        <item x="206"/>
        <item x="207"/>
        <item x="208"/>
        <item x="209"/>
        <item x="210"/>
        <item x="244"/>
        <item x="245"/>
        <item x="246"/>
        <item x="247"/>
        <item x="248"/>
        <item x="249"/>
        <item x="250"/>
        <item x="251"/>
        <item x="211"/>
        <item x="212"/>
        <item x="213"/>
        <item x="214"/>
        <item x="215"/>
        <item x="216"/>
        <item x="217"/>
        <item x="218"/>
        <item x="225"/>
        <item x="226"/>
        <item x="227"/>
        <item x="228"/>
        <item x="231"/>
        <item x="232"/>
        <item x="233"/>
        <item x="234"/>
        <item x="235"/>
        <item x="236"/>
        <item x="237"/>
        <item x="243"/>
        <item x="238"/>
        <item x="239"/>
        <item x="240"/>
        <item x="241"/>
        <item x="242"/>
        <item x="274"/>
        <item x="275"/>
        <item x="276"/>
        <item x="277"/>
        <item x="278"/>
        <item x="306"/>
        <item x="484"/>
        <item x="279"/>
        <item x="280"/>
        <item x="281"/>
        <item x="282"/>
        <item x="283"/>
        <item x="284"/>
        <item x="285"/>
        <item x="286"/>
        <item x="287"/>
        <item x="288"/>
        <item x="289"/>
        <item x="290"/>
        <item x="291"/>
        <item x="292"/>
        <item x="293"/>
        <item x="294"/>
        <item x="295"/>
        <item x="296"/>
        <item x="297"/>
        <item x="298"/>
        <item x="299"/>
        <item x="300"/>
        <item x="301"/>
        <item x="302"/>
        <item x="303"/>
        <item x="304"/>
        <item x="307"/>
        <item x="305"/>
        <item t="default"/>
      </items>
    </pivotField>
    <pivotField showAll="0"/>
    <pivotField showAll="0"/>
    <pivotField showAll="0"/>
    <pivotField showAll="0"/>
    <pivotField showAll="0"/>
    <pivotField dataField="1" showAll="0"/>
    <pivotField showAll="0"/>
    <pivotField showAll="0"/>
    <pivotField showAll="0"/>
    <pivotField showAll="0"/>
  </pivotFields>
  <rowFields count="1">
    <field x="14"/>
  </rowFields>
  <rowItems count="4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t="grand">
      <x/>
    </i>
  </rowItems>
  <colItems count="1">
    <i/>
  </colItems>
  <dataFields count="1">
    <dataField name="Sum of 2024 Budget " fld="20" baseField="2" baseItem="0" numFmtId="43"/>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5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489"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86">
        <item x="464"/>
        <item x="465"/>
        <item x="466"/>
        <item x="467"/>
        <item x="468"/>
        <item x="469"/>
        <item x="470"/>
        <item x="471"/>
        <item x="472"/>
        <item x="473"/>
        <item x="474"/>
        <item x="475"/>
        <item x="477"/>
        <item x="476"/>
        <item x="478"/>
        <item x="390"/>
        <item x="391"/>
        <item x="392"/>
        <item x="393"/>
        <item x="394"/>
        <item x="395"/>
        <item x="396"/>
        <item x="397"/>
        <item x="398"/>
        <item x="399"/>
        <item x="400"/>
        <item x="401"/>
        <item x="402"/>
        <item x="479"/>
        <item x="480"/>
        <item x="481"/>
        <item x="484"/>
        <item x="483"/>
        <item x="482"/>
        <item x="13"/>
        <item x="14"/>
        <item x="15"/>
        <item x="16"/>
        <item x="17"/>
        <item x="18"/>
        <item x="19"/>
        <item x="20"/>
        <item x="21"/>
        <item x="22"/>
        <item x="23"/>
        <item x="25"/>
        <item x="24"/>
        <item x="216"/>
        <item x="217"/>
        <item x="218"/>
        <item x="219"/>
        <item x="220"/>
        <item x="221"/>
        <item x="222"/>
        <item x="223"/>
        <item x="224"/>
        <item x="225"/>
        <item x="226"/>
        <item x="227"/>
        <item x="228"/>
        <item x="229"/>
        <item x="230"/>
        <item x="231"/>
        <item x="26"/>
        <item x="27"/>
        <item x="28"/>
        <item x="29"/>
        <item x="40"/>
        <item x="30"/>
        <item x="31"/>
        <item x="32"/>
        <item x="33"/>
        <item x="34"/>
        <item x="35"/>
        <item x="36"/>
        <item x="37"/>
        <item x="38"/>
        <item x="39"/>
        <item x="41"/>
        <item x="42"/>
        <item x="43"/>
        <item x="44"/>
        <item x="45"/>
        <item x="46"/>
        <item x="47"/>
        <item x="48"/>
        <item x="49"/>
        <item x="50"/>
        <item x="51"/>
        <item x="52"/>
        <item x="53"/>
        <item x="54"/>
        <item x="139"/>
        <item x="140"/>
        <item x="141"/>
        <item x="142"/>
        <item x="143"/>
        <item x="144"/>
        <item x="145"/>
        <item x="146"/>
        <item x="147"/>
        <item x="148"/>
        <item x="149"/>
        <item x="150"/>
        <item x="151"/>
        <item x="152"/>
        <item x="55"/>
        <item x="56"/>
        <item x="57"/>
        <item x="58"/>
        <item x="59"/>
        <item x="60"/>
        <item x="61"/>
        <item x="62"/>
        <item x="63"/>
        <item x="64"/>
        <item x="65"/>
        <item x="66"/>
        <item x="67"/>
        <item x="68"/>
        <item x="69"/>
        <item x="70"/>
        <item x="71"/>
        <item x="73"/>
        <item x="72"/>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20"/>
        <item x="119"/>
        <item x="121"/>
        <item x="122"/>
        <item x="123"/>
        <item x="124"/>
        <item x="125"/>
        <item x="126"/>
        <item x="127"/>
        <item x="128"/>
        <item x="129"/>
        <item x="130"/>
        <item x="131"/>
        <item x="132"/>
        <item x="133"/>
        <item x="134"/>
        <item x="135"/>
        <item x="136"/>
        <item x="137"/>
        <item x="138"/>
        <item x="305"/>
        <item x="306"/>
        <item x="307"/>
        <item x="308"/>
        <item x="309"/>
        <item x="310"/>
        <item x="312"/>
        <item x="311"/>
        <item x="313"/>
        <item x="314"/>
        <item x="315"/>
        <item x="316"/>
        <item x="317"/>
        <item x="318"/>
        <item x="319"/>
        <item x="320"/>
        <item x="321"/>
        <item x="322"/>
        <item x="323"/>
        <item x="329"/>
        <item x="325"/>
        <item x="324"/>
        <item x="326"/>
        <item x="327"/>
        <item x="328"/>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71"/>
        <item x="362"/>
        <item x="363"/>
        <item x="364"/>
        <item x="365"/>
        <item x="366"/>
        <item x="370"/>
        <item x="367"/>
        <item x="369"/>
        <item x="368"/>
        <item x="372"/>
        <item x="373"/>
        <item x="374"/>
        <item x="375"/>
        <item x="377"/>
        <item x="376"/>
        <item x="378"/>
        <item x="379"/>
        <item x="380"/>
        <item x="381"/>
        <item x="382"/>
        <item x="383"/>
        <item x="384"/>
        <item x="385"/>
        <item x="386"/>
        <item x="387"/>
        <item x="388"/>
        <item x="389"/>
        <item x="407"/>
        <item x="408"/>
        <item x="409"/>
        <item x="410"/>
        <item x="411"/>
        <item x="412"/>
        <item x="413"/>
        <item x="414"/>
        <item x="415"/>
        <item x="416"/>
        <item x="418"/>
        <item x="419"/>
        <item x="423"/>
        <item x="424"/>
        <item x="425"/>
        <item x="426"/>
        <item x="427"/>
        <item x="428"/>
        <item x="429"/>
        <item x="430"/>
        <item x="431"/>
        <item x="432"/>
        <item x="433"/>
        <item x="417"/>
        <item x="420"/>
        <item x="422"/>
        <item x="421"/>
        <item x="434"/>
        <item x="435"/>
        <item x="436"/>
        <item x="437"/>
        <item x="438"/>
        <item x="439"/>
        <item x="440"/>
        <item x="441"/>
        <item x="442"/>
        <item x="443"/>
        <item x="445"/>
        <item x="444"/>
        <item x="446"/>
        <item x="462"/>
        <item x="447"/>
        <item x="448"/>
        <item x="449"/>
        <item x="450"/>
        <item x="451"/>
        <item x="452"/>
        <item x="453"/>
        <item x="454"/>
        <item x="455"/>
        <item x="456"/>
        <item x="457"/>
        <item x="458"/>
        <item x="459"/>
        <item x="460"/>
        <item x="461"/>
        <item x="463"/>
        <item x="268"/>
        <item x="269"/>
        <item x="270"/>
        <item x="271"/>
        <item x="274"/>
        <item x="272"/>
        <item x="273"/>
        <item x="275"/>
        <item x="276"/>
        <item x="277"/>
        <item x="278"/>
        <item x="279"/>
        <item x="280"/>
        <item x="281"/>
        <item x="282"/>
        <item x="0"/>
        <item x="1"/>
        <item x="2"/>
        <item x="3"/>
        <item x="4"/>
        <item x="5"/>
        <item x="6"/>
        <item x="7"/>
        <item x="8"/>
        <item x="9"/>
        <item x="10"/>
        <item x="11"/>
        <item x="12"/>
        <item x="406"/>
        <item x="403"/>
        <item x="404"/>
        <item x="405"/>
        <item x="210"/>
        <item x="211"/>
        <item x="212"/>
        <item x="213"/>
        <item x="214"/>
        <item x="215"/>
        <item x="283"/>
        <item x="284"/>
        <item x="285"/>
        <item x="286"/>
        <item x="287"/>
        <item x="288"/>
        <item x="289"/>
        <item x="290"/>
        <item x="291"/>
        <item x="292"/>
        <item x="293"/>
        <item x="294"/>
        <item x="295"/>
        <item x="296"/>
        <item x="297"/>
        <item x="298"/>
        <item x="299"/>
        <item x="300"/>
        <item x="301"/>
        <item x="302"/>
        <item x="303"/>
        <item x="304"/>
        <item x="153"/>
        <item x="154"/>
        <item x="155"/>
        <item x="156"/>
        <item x="176"/>
        <item x="177"/>
        <item x="178"/>
        <item x="179"/>
        <item x="180"/>
        <item x="181"/>
        <item x="187"/>
        <item x="188"/>
        <item x="157"/>
        <item x="158"/>
        <item x="159"/>
        <item x="160"/>
        <item x="161"/>
        <item x="162"/>
        <item x="163"/>
        <item x="164"/>
        <item x="165"/>
        <item x="166"/>
        <item x="167"/>
        <item x="202"/>
        <item x="203"/>
        <item x="204"/>
        <item x="205"/>
        <item x="206"/>
        <item x="207"/>
        <item x="208"/>
        <item x="209"/>
        <item x="168"/>
        <item x="169"/>
        <item x="170"/>
        <item x="171"/>
        <item x="172"/>
        <item x="173"/>
        <item x="174"/>
        <item x="175"/>
        <item x="182"/>
        <item x="183"/>
        <item x="186"/>
        <item x="184"/>
        <item x="185"/>
        <item x="189"/>
        <item x="190"/>
        <item x="191"/>
        <item x="192"/>
        <item x="193"/>
        <item x="194"/>
        <item x="195"/>
        <item x="201"/>
        <item x="196"/>
        <item x="197"/>
        <item x="198"/>
        <item x="199"/>
        <item x="200"/>
        <item x="232"/>
        <item x="233"/>
        <item x="234"/>
        <item x="235"/>
        <item x="236"/>
        <item x="265"/>
        <item x="267"/>
        <item x="237"/>
        <item x="238"/>
        <item x="239"/>
        <item x="240"/>
        <item x="241"/>
        <item x="242"/>
        <item x="243"/>
        <item x="244"/>
        <item x="245"/>
        <item x="246"/>
        <item x="247"/>
        <item x="248"/>
        <item x="249"/>
        <item x="250"/>
        <item x="251"/>
        <item x="252"/>
        <item x="253"/>
        <item x="254"/>
        <item x="255"/>
        <item x="256"/>
        <item x="257"/>
        <item x="258"/>
        <item x="259"/>
        <item x="260"/>
        <item x="261"/>
        <item x="262"/>
        <item x="263"/>
        <item x="266"/>
        <item x="264"/>
        <item t="default"/>
      </items>
    </pivotField>
    <pivotField showAll="0"/>
    <pivotField showAll="0"/>
    <pivotField showAll="0"/>
    <pivotField showAll="0"/>
    <pivotField showAll="0"/>
    <pivotField dataField="1" showAll="0"/>
    <pivotField showAll="0"/>
    <pivotField showAll="0"/>
    <pivotField showAll="0"/>
  </pivotFields>
  <rowFields count="1">
    <field x="14"/>
  </rowFields>
  <rowItems count="4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t="grand">
      <x/>
    </i>
  </rowItems>
  <colItems count="1">
    <i/>
  </colItems>
  <dataFields count="1">
    <dataField name="Sum of 2025 Budget " fld="20"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image" Target="../media/image1.emf"/></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33"/>
  <sheetViews>
    <sheetView topLeftCell="A16" zoomScale="80" zoomScaleNormal="80" workbookViewId="0">
      <selection activeCell="L6" sqref="L6"/>
    </sheetView>
  </sheetViews>
  <sheetFormatPr defaultRowHeight="14.5" x14ac:dyDescent="0.35"/>
  <cols>
    <col min="1" max="1" width="13.36328125" customWidth="1"/>
    <col min="2" max="2" width="13.1796875" customWidth="1"/>
    <col min="3" max="3" width="13.81640625" bestFit="1" customWidth="1"/>
    <col min="4" max="4" width="12" bestFit="1" customWidth="1"/>
    <col min="5" max="5" width="12.1796875" bestFit="1" customWidth="1"/>
    <col min="6" max="6" width="28.1796875" customWidth="1"/>
    <col min="7" max="7" width="16.08984375" customWidth="1"/>
    <col min="8" max="8" width="15.453125" bestFit="1" customWidth="1"/>
    <col min="9" max="9" width="10" customWidth="1"/>
    <col min="10" max="10" width="18.54296875" bestFit="1" customWidth="1"/>
    <col min="11" max="12" width="18.54296875" customWidth="1"/>
    <col min="13" max="13" width="17.6328125" customWidth="1"/>
    <col min="14" max="14" width="17.6328125" bestFit="1" customWidth="1"/>
    <col min="15" max="15" width="30.81640625" bestFit="1" customWidth="1"/>
  </cols>
  <sheetData>
    <row r="2" spans="1:15" x14ac:dyDescent="0.35">
      <c r="A2" s="84" t="s">
        <v>3029</v>
      </c>
      <c r="B2" t="s">
        <v>3049</v>
      </c>
    </row>
    <row r="4" spans="1:15" ht="28.5" customHeight="1" x14ac:dyDescent="0.35">
      <c r="A4" s="84" t="s">
        <v>2786</v>
      </c>
      <c r="B4" t="s">
        <v>3332</v>
      </c>
      <c r="C4" s="13" t="s">
        <v>3333</v>
      </c>
      <c r="D4" s="13" t="s">
        <v>3334</v>
      </c>
      <c r="E4" t="s">
        <v>3335</v>
      </c>
      <c r="F4" s="13" t="s">
        <v>3336</v>
      </c>
      <c r="G4" s="13" t="s">
        <v>3331</v>
      </c>
      <c r="H4" s="13" t="s">
        <v>3337</v>
      </c>
      <c r="I4" t="s">
        <v>3338</v>
      </c>
      <c r="J4" s="13" t="s">
        <v>2788</v>
      </c>
      <c r="K4" t="s">
        <v>3329</v>
      </c>
      <c r="L4" t="s">
        <v>3330</v>
      </c>
    </row>
    <row r="5" spans="1:15" x14ac:dyDescent="0.35">
      <c r="A5" s="8" t="s">
        <v>3049</v>
      </c>
      <c r="B5" s="51">
        <v>734104574</v>
      </c>
      <c r="C5" s="267">
        <v>541385100</v>
      </c>
      <c r="D5" s="267">
        <v>583579295</v>
      </c>
      <c r="E5" s="267">
        <v>622545692</v>
      </c>
      <c r="F5" s="267">
        <v>601695721</v>
      </c>
      <c r="G5" s="267">
        <v>273667080</v>
      </c>
      <c r="H5" s="267">
        <v>1643996</v>
      </c>
      <c r="I5" s="267">
        <v>7959693</v>
      </c>
      <c r="J5" s="267">
        <v>696199047.14972389</v>
      </c>
      <c r="K5" s="267">
        <v>714862760</v>
      </c>
      <c r="L5" s="267">
        <v>779727079</v>
      </c>
    </row>
    <row r="6" spans="1:15" x14ac:dyDescent="0.35">
      <c r="A6" s="8" t="s">
        <v>2787</v>
      </c>
      <c r="B6" s="51">
        <v>734104574</v>
      </c>
      <c r="C6" s="267">
        <v>541385100</v>
      </c>
      <c r="D6" s="267">
        <v>583579295</v>
      </c>
      <c r="E6" s="267">
        <v>622545692</v>
      </c>
      <c r="F6" s="267">
        <v>601695721</v>
      </c>
      <c r="G6" s="267">
        <v>273667080</v>
      </c>
      <c r="H6" s="267">
        <v>1643996</v>
      </c>
      <c r="I6" s="267">
        <v>7959693</v>
      </c>
      <c r="J6" s="267">
        <v>696199047.14972389</v>
      </c>
      <c r="K6" s="267">
        <v>714862760</v>
      </c>
      <c r="L6" s="267">
        <v>779727079</v>
      </c>
    </row>
    <row r="12" spans="1:15" ht="24" thickBot="1" x14ac:dyDescent="0.6">
      <c r="A12" s="317" t="s">
        <v>3396</v>
      </c>
      <c r="E12" s="317"/>
      <c r="F12" s="317" t="s">
        <v>3399</v>
      </c>
      <c r="K12" s="442" t="s">
        <v>3395</v>
      </c>
      <c r="L12" s="442"/>
      <c r="N12" s="317"/>
    </row>
    <row r="13" spans="1:15" ht="23" thickBot="1" x14ac:dyDescent="0.5">
      <c r="A13" s="318"/>
      <c r="B13" s="319"/>
      <c r="C13" s="320" t="s">
        <v>3377</v>
      </c>
      <c r="D13" s="321" t="s">
        <v>3378</v>
      </c>
      <c r="F13" s="297"/>
      <c r="G13" s="298"/>
      <c r="H13" s="320" t="s">
        <v>3377</v>
      </c>
      <c r="I13" s="346" t="s">
        <v>3398</v>
      </c>
      <c r="K13" s="297"/>
      <c r="L13" s="298"/>
      <c r="M13" s="299" t="s">
        <v>3377</v>
      </c>
      <c r="N13" s="300" t="s">
        <v>3378</v>
      </c>
      <c r="O13" s="8"/>
    </row>
    <row r="14" spans="1:15" ht="29.5" thickBot="1" x14ac:dyDescent="0.5">
      <c r="A14" s="445" t="s">
        <v>3385</v>
      </c>
      <c r="B14" s="312" t="s">
        <v>3386</v>
      </c>
      <c r="C14" s="313">
        <v>519842486</v>
      </c>
      <c r="D14" s="322">
        <v>776</v>
      </c>
      <c r="F14" s="355" t="s">
        <v>3384</v>
      </c>
      <c r="G14" s="356"/>
      <c r="H14" s="357">
        <v>621695721</v>
      </c>
      <c r="I14" s="358"/>
      <c r="K14" s="443" t="s">
        <v>3407</v>
      </c>
      <c r="L14" s="293" t="s">
        <v>3379</v>
      </c>
      <c r="M14" s="294">
        <v>474954870.47999966</v>
      </c>
      <c r="N14" s="301">
        <v>782</v>
      </c>
    </row>
    <row r="15" spans="1:15" ht="18.5" customHeight="1" x14ac:dyDescent="0.35">
      <c r="A15" s="445"/>
      <c r="B15" s="312"/>
      <c r="C15" s="313"/>
      <c r="D15" s="322"/>
      <c r="F15" s="302"/>
      <c r="G15" s="58"/>
      <c r="H15" s="58"/>
      <c r="I15" s="304"/>
      <c r="K15" s="444"/>
      <c r="L15" s="293" t="s">
        <v>3380</v>
      </c>
      <c r="M15" s="294">
        <v>50564576</v>
      </c>
      <c r="N15" s="301"/>
    </row>
    <row r="16" spans="1:15" ht="33" customHeight="1" thickBot="1" x14ac:dyDescent="0.5">
      <c r="A16" s="445"/>
      <c r="B16" s="314" t="s">
        <v>44</v>
      </c>
      <c r="C16" s="315">
        <f>C14</f>
        <v>519842486</v>
      </c>
      <c r="D16" s="324">
        <v>776</v>
      </c>
      <c r="F16" s="347" t="s">
        <v>3408</v>
      </c>
      <c r="G16" s="354"/>
      <c r="H16" s="310">
        <f>516184646.27-18000000</f>
        <v>498184646.26999998</v>
      </c>
      <c r="I16" s="322">
        <v>799</v>
      </c>
      <c r="K16" s="302"/>
      <c r="L16" s="295" t="s">
        <v>44</v>
      </c>
      <c r="M16" s="296">
        <v>525519446.47999966</v>
      </c>
      <c r="N16" s="303">
        <v>782</v>
      </c>
      <c r="O16" s="396" t="s">
        <v>3417</v>
      </c>
    </row>
    <row r="17" spans="1:15" ht="23.5" thickTop="1" thickBot="1" x14ac:dyDescent="0.5">
      <c r="A17" s="323"/>
      <c r="B17" s="58"/>
      <c r="C17" s="58"/>
      <c r="D17" s="304"/>
      <c r="F17" s="348"/>
      <c r="G17" s="311"/>
      <c r="H17" s="311"/>
      <c r="I17" s="304"/>
      <c r="K17" s="302"/>
      <c r="L17" s="58"/>
      <c r="M17" s="58"/>
      <c r="N17" s="304"/>
    </row>
    <row r="18" spans="1:15" ht="19" thickTop="1" x14ac:dyDescent="0.45">
      <c r="A18" s="443" t="s">
        <v>3381</v>
      </c>
      <c r="B18" s="312" t="s">
        <v>3387</v>
      </c>
      <c r="C18" s="313">
        <v>38335362</v>
      </c>
      <c r="D18" s="322">
        <v>68</v>
      </c>
      <c r="F18" s="349" t="s">
        <v>3409</v>
      </c>
      <c r="G18" s="309" t="s">
        <v>3388</v>
      </c>
      <c r="H18" s="310">
        <v>10917438.408828899</v>
      </c>
      <c r="I18" s="322">
        <v>91</v>
      </c>
      <c r="J18" s="388">
        <f>I16+I18</f>
        <v>890</v>
      </c>
      <c r="K18" s="443" t="s">
        <v>3381</v>
      </c>
      <c r="L18" s="293" t="s">
        <v>3382</v>
      </c>
      <c r="M18" s="294">
        <v>55245963.324750021</v>
      </c>
      <c r="N18" s="393">
        <v>80</v>
      </c>
      <c r="O18" t="s">
        <v>3418</v>
      </c>
    </row>
    <row r="19" spans="1:15" ht="15.5" x14ac:dyDescent="0.35">
      <c r="A19" s="444"/>
      <c r="B19" s="312" t="s">
        <v>3388</v>
      </c>
      <c r="C19" s="313">
        <v>39782098</v>
      </c>
      <c r="D19" s="322">
        <v>112</v>
      </c>
      <c r="F19" s="302"/>
      <c r="G19" s="58"/>
      <c r="H19" s="58"/>
      <c r="I19" s="304"/>
      <c r="K19" s="444"/>
      <c r="L19" s="293" t="s">
        <v>3383</v>
      </c>
      <c r="M19" s="294">
        <v>55306323.702827059</v>
      </c>
      <c r="N19" s="393">
        <v>139</v>
      </c>
      <c r="O19" t="s">
        <v>3419</v>
      </c>
    </row>
    <row r="20" spans="1:15" ht="16" thickBot="1" x14ac:dyDescent="0.4">
      <c r="A20" s="345"/>
      <c r="B20" s="306" t="s">
        <v>44</v>
      </c>
      <c r="C20" s="307">
        <f>C18+C19</f>
        <v>78117460</v>
      </c>
      <c r="D20" s="353">
        <v>180</v>
      </c>
      <c r="E20" s="388">
        <f>D16+D20</f>
        <v>956</v>
      </c>
      <c r="F20" s="302"/>
      <c r="G20" s="58"/>
      <c r="H20" s="58"/>
      <c r="I20" s="304"/>
      <c r="K20" s="305"/>
      <c r="L20" s="306" t="s">
        <v>44</v>
      </c>
      <c r="M20" s="307">
        <v>110552287.02757707</v>
      </c>
      <c r="N20" s="308">
        <v>219</v>
      </c>
      <c r="O20" s="389">
        <f>N16+N20</f>
        <v>1001</v>
      </c>
    </row>
    <row r="21" spans="1:15" ht="62" x14ac:dyDescent="0.35">
      <c r="A21" s="447" t="s">
        <v>3389</v>
      </c>
      <c r="B21" s="334" t="s">
        <v>3393</v>
      </c>
      <c r="C21" s="335">
        <v>22024007</v>
      </c>
      <c r="D21" s="336">
        <v>43</v>
      </c>
      <c r="F21" s="349" t="s">
        <v>3389</v>
      </c>
      <c r="G21" s="309"/>
      <c r="H21" s="309">
        <v>36000000</v>
      </c>
      <c r="I21" s="322" t="s">
        <v>3400</v>
      </c>
      <c r="K21" s="446" t="s">
        <v>3389</v>
      </c>
      <c r="L21" s="330" t="s">
        <v>3390</v>
      </c>
      <c r="M21" s="392">
        <v>23136769.149723865</v>
      </c>
      <c r="N21" s="331">
        <v>43</v>
      </c>
      <c r="O21" s="13" t="s">
        <v>3420</v>
      </c>
    </row>
    <row r="22" spans="1:15" ht="29" x14ac:dyDescent="0.35">
      <c r="A22" s="448"/>
      <c r="B22" s="312" t="s">
        <v>3394</v>
      </c>
      <c r="C22" s="316">
        <v>1112762</v>
      </c>
      <c r="D22" s="322">
        <v>4</v>
      </c>
      <c r="F22" s="302"/>
      <c r="G22" s="58"/>
      <c r="H22" s="58"/>
      <c r="I22" s="304"/>
      <c r="K22" s="440"/>
      <c r="L22" s="328" t="s">
        <v>3391</v>
      </c>
      <c r="M22" s="329">
        <v>13105000</v>
      </c>
      <c r="N22" s="301"/>
    </row>
    <row r="23" spans="1:15" ht="16" thickBot="1" x14ac:dyDescent="0.4">
      <c r="A23" s="449"/>
      <c r="B23" s="325" t="s">
        <v>44</v>
      </c>
      <c r="C23" s="326">
        <v>23136769</v>
      </c>
      <c r="D23" s="327">
        <v>47</v>
      </c>
      <c r="F23" s="302"/>
      <c r="G23" s="58"/>
      <c r="H23" s="58"/>
      <c r="I23" s="304"/>
      <c r="K23" s="302"/>
      <c r="L23" s="295" t="s">
        <v>44</v>
      </c>
      <c r="M23" s="296">
        <f>SUM(M21:M22)</f>
        <v>36241769.149723865</v>
      </c>
      <c r="N23" s="303">
        <v>43</v>
      </c>
    </row>
    <row r="24" spans="1:15" x14ac:dyDescent="0.35">
      <c r="A24" s="302"/>
      <c r="B24" s="58"/>
      <c r="C24" s="58"/>
      <c r="D24" s="304"/>
      <c r="F24" s="302"/>
      <c r="G24" s="58"/>
      <c r="H24" s="58"/>
      <c r="I24" s="304"/>
      <c r="K24" s="302"/>
      <c r="L24" s="58"/>
      <c r="M24" s="58"/>
      <c r="N24" s="304"/>
    </row>
    <row r="25" spans="1:15" ht="15.5" customHeight="1" x14ac:dyDescent="0.35">
      <c r="A25" s="440" t="s">
        <v>3392</v>
      </c>
      <c r="B25" s="295" t="s">
        <v>44</v>
      </c>
      <c r="C25" s="329">
        <v>2953893</v>
      </c>
      <c r="D25" s="304"/>
      <c r="F25" s="349" t="s">
        <v>3392</v>
      </c>
      <c r="G25" s="309"/>
      <c r="H25" s="309">
        <v>56593636.32117112</v>
      </c>
      <c r="I25" s="304"/>
      <c r="K25" s="440" t="s">
        <v>3392</v>
      </c>
      <c r="L25" s="295" t="s">
        <v>44</v>
      </c>
      <c r="M25" s="329">
        <v>23885544.492423266</v>
      </c>
      <c r="N25" s="304"/>
    </row>
    <row r="26" spans="1:15" ht="14.5" customHeight="1" x14ac:dyDescent="0.35">
      <c r="A26" s="440"/>
      <c r="B26" s="58"/>
      <c r="C26" s="58"/>
      <c r="D26" s="304"/>
      <c r="F26" s="302"/>
      <c r="G26" s="58"/>
      <c r="H26" s="58"/>
      <c r="I26" s="304"/>
      <c r="K26" s="440"/>
      <c r="L26" s="58"/>
      <c r="M26" s="58"/>
      <c r="N26" s="304"/>
    </row>
    <row r="27" spans="1:15" ht="19" thickBot="1" x14ac:dyDescent="0.4">
      <c r="A27" s="302"/>
      <c r="B27" s="58"/>
      <c r="C27" s="58"/>
      <c r="D27" s="304"/>
      <c r="F27" s="350" t="s">
        <v>2787</v>
      </c>
      <c r="G27" s="351" t="s">
        <v>44</v>
      </c>
      <c r="H27" s="352">
        <v>601695721</v>
      </c>
      <c r="I27" s="333"/>
      <c r="K27" s="302"/>
      <c r="L27" s="58"/>
      <c r="M27" s="58"/>
      <c r="N27" s="304"/>
    </row>
    <row r="28" spans="1:15" ht="18.5" x14ac:dyDescent="0.35">
      <c r="A28" s="440" t="s">
        <v>2787</v>
      </c>
      <c r="B28" s="295" t="s">
        <v>44</v>
      </c>
      <c r="C28" s="296">
        <v>624050608</v>
      </c>
      <c r="D28" s="304"/>
      <c r="F28" s="359"/>
      <c r="G28" s="74"/>
      <c r="H28" s="74"/>
      <c r="I28" s="360"/>
      <c r="K28" s="440" t="s">
        <v>2787</v>
      </c>
      <c r="L28" s="295" t="s">
        <v>44</v>
      </c>
      <c r="M28" s="296">
        <f>M16+M20+M23+M25</f>
        <v>696199047.14972389</v>
      </c>
      <c r="N28" s="391"/>
    </row>
    <row r="29" spans="1:15" ht="15" customHeight="1" thickBot="1" x14ac:dyDescent="0.4">
      <c r="A29" s="441"/>
      <c r="B29" s="332"/>
      <c r="C29" s="332"/>
      <c r="D29" s="333"/>
      <c r="F29" s="386" t="s">
        <v>3401</v>
      </c>
      <c r="G29" s="387"/>
      <c r="H29" s="387">
        <f>H14-H27</f>
        <v>20000000</v>
      </c>
      <c r="I29" s="361"/>
      <c r="K29" s="441"/>
      <c r="L29" s="332"/>
      <c r="M29" s="332"/>
      <c r="N29" s="333"/>
    </row>
    <row r="30" spans="1:15" x14ac:dyDescent="0.35">
      <c r="O30" s="58"/>
    </row>
    <row r="31" spans="1:15" x14ac:dyDescent="0.35">
      <c r="O31" s="58"/>
    </row>
    <row r="32" spans="1:15" x14ac:dyDescent="0.35">
      <c r="N32" s="265">
        <v>45119736</v>
      </c>
    </row>
    <row r="33" spans="14:14" x14ac:dyDescent="0.35">
      <c r="N33" s="54">
        <f>N32-M21</f>
        <v>21982966.850276135</v>
      </c>
    </row>
  </sheetData>
  <mergeCells count="11">
    <mergeCell ref="K25:K26"/>
    <mergeCell ref="K28:K29"/>
    <mergeCell ref="A25:A26"/>
    <mergeCell ref="A28:A29"/>
    <mergeCell ref="K12:L12"/>
    <mergeCell ref="K14:K15"/>
    <mergeCell ref="K18:K19"/>
    <mergeCell ref="A14:A16"/>
    <mergeCell ref="K21:K22"/>
    <mergeCell ref="A21:A23"/>
    <mergeCell ref="A18:A19"/>
  </mergeCell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93"/>
  <sheetViews>
    <sheetView showGridLines="0" zoomScaleNormal="100" workbookViewId="0">
      <pane ySplit="3" topLeftCell="A4" activePane="bottomLeft" state="frozen"/>
      <selection pane="bottomLeft" activeCell="E5" sqref="E5"/>
    </sheetView>
  </sheetViews>
  <sheetFormatPr defaultRowHeight="14.5" x14ac:dyDescent="0.35"/>
  <cols>
    <col min="1" max="1" width="11.7265625" hidden="1" customWidth="1"/>
    <col min="2" max="2" width="12.7265625" style="250" customWidth="1"/>
    <col min="3" max="3" width="20.453125" style="374" customWidth="1"/>
    <col min="4" max="4" width="13.453125" style="378" customWidth="1"/>
    <col min="5" max="5" width="13.54296875" style="378" customWidth="1"/>
    <col min="6" max="6" width="14.90625" style="378" customWidth="1"/>
    <col min="7" max="7" width="15.26953125" style="378" bestFit="1" customWidth="1"/>
    <col min="8" max="8" width="14.81640625" style="250" customWidth="1"/>
    <col min="9" max="9" width="18" style="250" customWidth="1"/>
    <col min="10" max="10" width="63.81640625" customWidth="1"/>
    <col min="11" max="11" width="63.81640625" style="66" customWidth="1"/>
    <col min="12" max="12" width="14.6328125" bestFit="1" customWidth="1"/>
  </cols>
  <sheetData>
    <row r="1" spans="1:12" ht="18.5" x14ac:dyDescent="0.35">
      <c r="C1" s="379" t="s">
        <v>3402</v>
      </c>
    </row>
    <row r="2" spans="1:12" ht="23" customHeight="1" thickBot="1" x14ac:dyDescent="0.4">
      <c r="A2" s="288"/>
      <c r="B2" s="372"/>
      <c r="C2" s="373" t="s">
        <v>2787</v>
      </c>
      <c r="D2" s="375">
        <f>SUM(D4:D92)</f>
        <v>579850000</v>
      </c>
      <c r="E2" s="375">
        <f>SUM(E4:E92)</f>
        <v>273206238.62</v>
      </c>
      <c r="F2" s="375">
        <f>SUM(F4:F92)</f>
        <v>897981340.85027611</v>
      </c>
      <c r="G2" s="375">
        <f>SUM(G4:G92)</f>
        <v>318131340.85027611</v>
      </c>
      <c r="H2" s="372"/>
      <c r="I2" s="372"/>
      <c r="J2" s="288"/>
    </row>
    <row r="3" spans="1:12" s="249" customFormat="1" ht="27" customHeight="1" thickTop="1" x14ac:dyDescent="0.35">
      <c r="A3" s="286" t="s">
        <v>3343</v>
      </c>
      <c r="B3" s="365" t="s">
        <v>7</v>
      </c>
      <c r="C3" s="366" t="s">
        <v>3341</v>
      </c>
      <c r="D3" s="376" t="s">
        <v>3335</v>
      </c>
      <c r="E3" s="394" t="s">
        <v>3415</v>
      </c>
      <c r="F3" s="376" t="s">
        <v>3403</v>
      </c>
      <c r="G3" s="376" t="s">
        <v>3340</v>
      </c>
      <c r="H3" s="366" t="s">
        <v>3356</v>
      </c>
      <c r="I3" s="366" t="s">
        <v>3358</v>
      </c>
      <c r="J3" s="286" t="s">
        <v>330</v>
      </c>
      <c r="K3" s="250"/>
    </row>
    <row r="4" spans="1:12" s="39" customFormat="1" ht="87" x14ac:dyDescent="0.35">
      <c r="A4" s="37" t="s">
        <v>61</v>
      </c>
      <c r="B4" s="367">
        <v>425749</v>
      </c>
      <c r="C4" s="368" t="s">
        <v>1052</v>
      </c>
      <c r="D4" s="377">
        <v>135037862</v>
      </c>
      <c r="E4" s="377">
        <v>66630459.659999996</v>
      </c>
      <c r="F4" s="377">
        <v>244626000</v>
      </c>
      <c r="G4" s="377">
        <f t="shared" ref="G4:G35" si="0">F4-D4</f>
        <v>109588138</v>
      </c>
      <c r="H4" s="369">
        <f>G4/D4</f>
        <v>0.81153638229254543</v>
      </c>
      <c r="I4" s="369">
        <f t="shared" ref="I4:I35" si="1">G4/$G$2</f>
        <v>0.34447451076999064</v>
      </c>
      <c r="J4" s="407" t="s">
        <v>3413</v>
      </c>
      <c r="K4" s="415" t="s">
        <v>3423</v>
      </c>
      <c r="L4" s="82"/>
    </row>
    <row r="5" spans="1:12" s="39" customFormat="1" ht="58" x14ac:dyDescent="0.35">
      <c r="A5" s="37" t="s">
        <v>61</v>
      </c>
      <c r="B5" s="367">
        <v>420811</v>
      </c>
      <c r="C5" s="368" t="s">
        <v>65</v>
      </c>
      <c r="D5" s="377">
        <v>12949400</v>
      </c>
      <c r="E5" s="377">
        <v>276944.2</v>
      </c>
      <c r="F5" s="439">
        <v>27999050.850276135</v>
      </c>
      <c r="G5" s="377">
        <f t="shared" si="0"/>
        <v>15049650.850276135</v>
      </c>
      <c r="H5" s="369">
        <f>G5/D5</f>
        <v>1.1621890473903143</v>
      </c>
      <c r="I5" s="369">
        <f t="shared" si="1"/>
        <v>4.7306407504688557E-2</v>
      </c>
      <c r="J5" s="408" t="s">
        <v>3449</v>
      </c>
      <c r="K5" s="79" t="s">
        <v>3451</v>
      </c>
    </row>
    <row r="6" spans="1:12" s="39" customFormat="1" ht="116" x14ac:dyDescent="0.35">
      <c r="A6" s="37" t="s">
        <v>61</v>
      </c>
      <c r="B6" s="367">
        <v>420570</v>
      </c>
      <c r="C6" s="368" t="s">
        <v>231</v>
      </c>
      <c r="D6" s="377">
        <v>26364292</v>
      </c>
      <c r="E6" s="377">
        <v>64153.81</v>
      </c>
      <c r="F6" s="377">
        <v>56595297</v>
      </c>
      <c r="G6" s="377">
        <f t="shared" si="0"/>
        <v>30231005</v>
      </c>
      <c r="H6" s="369">
        <f>G6/D6</f>
        <v>1.1466647767366558</v>
      </c>
      <c r="I6" s="369">
        <f t="shared" si="1"/>
        <v>9.50268053414699E-2</v>
      </c>
      <c r="J6" s="409" t="s">
        <v>3368</v>
      </c>
      <c r="K6" s="79" t="s">
        <v>3451</v>
      </c>
    </row>
    <row r="7" spans="1:12" s="39" customFormat="1" ht="101.5" x14ac:dyDescent="0.35">
      <c r="A7" s="37" t="s">
        <v>61</v>
      </c>
      <c r="B7" s="367">
        <v>430120</v>
      </c>
      <c r="C7" s="368" t="s">
        <v>2428</v>
      </c>
      <c r="D7" s="377">
        <v>0</v>
      </c>
      <c r="E7" s="377">
        <v>0</v>
      </c>
      <c r="F7" s="377">
        <v>22219870</v>
      </c>
      <c r="G7" s="377">
        <f t="shared" si="0"/>
        <v>22219870</v>
      </c>
      <c r="H7" s="369">
        <v>1</v>
      </c>
      <c r="I7" s="369">
        <f t="shared" si="1"/>
        <v>6.9844957559391976E-2</v>
      </c>
      <c r="J7" s="414" t="s">
        <v>3427</v>
      </c>
      <c r="K7" s="79"/>
    </row>
    <row r="8" spans="1:12" s="39" customFormat="1" ht="43.5" x14ac:dyDescent="0.35">
      <c r="A8" s="37" t="s">
        <v>61</v>
      </c>
      <c r="B8" s="367">
        <v>425741</v>
      </c>
      <c r="C8" s="368" t="s">
        <v>1485</v>
      </c>
      <c r="D8" s="377">
        <v>80501600</v>
      </c>
      <c r="E8" s="377">
        <v>38326679.57</v>
      </c>
      <c r="F8" s="377">
        <v>98652604</v>
      </c>
      <c r="G8" s="377">
        <f t="shared" si="0"/>
        <v>18151004</v>
      </c>
      <c r="H8" s="369">
        <f t="shared" ref="H8:H39" si="2">G8/D8</f>
        <v>0.22547382909159569</v>
      </c>
      <c r="I8" s="369">
        <f t="shared" si="1"/>
        <v>5.705506396033614E-2</v>
      </c>
      <c r="J8" s="410" t="s">
        <v>3416</v>
      </c>
      <c r="K8" s="79"/>
    </row>
    <row r="9" spans="1:12" s="39" customFormat="1" ht="101.5" x14ac:dyDescent="0.35">
      <c r="A9" s="37" t="s">
        <v>61</v>
      </c>
      <c r="B9" s="367">
        <v>435508</v>
      </c>
      <c r="C9" s="368" t="s">
        <v>405</v>
      </c>
      <c r="D9" s="377">
        <v>7985186</v>
      </c>
      <c r="E9" s="377">
        <v>4531173.6899999995</v>
      </c>
      <c r="F9" s="439">
        <v>33397354</v>
      </c>
      <c r="G9" s="377">
        <f t="shared" si="0"/>
        <v>25412168</v>
      </c>
      <c r="H9" s="369">
        <f t="shared" si="2"/>
        <v>3.1824140351896624</v>
      </c>
      <c r="I9" s="369">
        <f t="shared" si="1"/>
        <v>7.9879486038943473E-2</v>
      </c>
      <c r="J9" s="409" t="s">
        <v>3450</v>
      </c>
      <c r="K9" s="79" t="s">
        <v>3451</v>
      </c>
    </row>
    <row r="10" spans="1:12" s="39" customFormat="1" ht="87" x14ac:dyDescent="0.35">
      <c r="A10" s="37" t="s">
        <v>61</v>
      </c>
      <c r="B10" s="367">
        <v>435523</v>
      </c>
      <c r="C10" s="368" t="s">
        <v>1243</v>
      </c>
      <c r="D10" s="377">
        <v>100917600</v>
      </c>
      <c r="E10" s="377">
        <v>40551573.030000001</v>
      </c>
      <c r="F10" s="377">
        <v>113648860</v>
      </c>
      <c r="G10" s="377">
        <f t="shared" si="0"/>
        <v>12731260</v>
      </c>
      <c r="H10" s="369">
        <f t="shared" si="2"/>
        <v>0.12615500170436078</v>
      </c>
      <c r="I10" s="369">
        <f t="shared" si="1"/>
        <v>4.0018880145454711E-2</v>
      </c>
      <c r="J10" s="410" t="s">
        <v>3369</v>
      </c>
      <c r="K10" s="416" t="s">
        <v>3428</v>
      </c>
    </row>
    <row r="11" spans="1:12" s="39" customFormat="1" ht="58" x14ac:dyDescent="0.35">
      <c r="A11" s="37" t="s">
        <v>61</v>
      </c>
      <c r="B11" s="367">
        <v>432120</v>
      </c>
      <c r="C11" s="368" t="s">
        <v>1480</v>
      </c>
      <c r="D11" s="377">
        <v>22798578</v>
      </c>
      <c r="E11" s="377">
        <v>21138493.489999998</v>
      </c>
      <c r="F11" s="377">
        <v>34225569</v>
      </c>
      <c r="G11" s="377">
        <f t="shared" si="0"/>
        <v>11426991</v>
      </c>
      <c r="H11" s="369">
        <f t="shared" si="2"/>
        <v>0.50121507578235802</v>
      </c>
      <c r="I11" s="369">
        <f t="shared" si="1"/>
        <v>3.5919098600781831E-2</v>
      </c>
      <c r="J11" s="409" t="s">
        <v>3370</v>
      </c>
      <c r="K11" s="79"/>
    </row>
    <row r="12" spans="1:12" s="39" customFormat="1" ht="159.5" x14ac:dyDescent="0.35">
      <c r="A12" s="37" t="s">
        <v>61</v>
      </c>
      <c r="B12" s="367">
        <v>425100</v>
      </c>
      <c r="C12" s="368" t="s">
        <v>1184</v>
      </c>
      <c r="D12" s="377">
        <v>6447464</v>
      </c>
      <c r="E12" s="377">
        <v>4732387.4400000004</v>
      </c>
      <c r="F12" s="377">
        <v>15916000</v>
      </c>
      <c r="G12" s="377">
        <f t="shared" si="0"/>
        <v>9468536</v>
      </c>
      <c r="H12" s="369">
        <f t="shared" si="2"/>
        <v>1.4685674863791407</v>
      </c>
      <c r="I12" s="369">
        <f t="shared" si="1"/>
        <v>2.9762977689319296E-2</v>
      </c>
      <c r="J12" s="409" t="s">
        <v>3371</v>
      </c>
      <c r="K12" s="79"/>
    </row>
    <row r="13" spans="1:12" s="39" customFormat="1" ht="58" x14ac:dyDescent="0.35">
      <c r="A13" s="37" t="s">
        <v>61</v>
      </c>
      <c r="B13" s="367">
        <v>421000</v>
      </c>
      <c r="C13" s="368" t="s">
        <v>1011</v>
      </c>
      <c r="D13" s="377">
        <v>2525900</v>
      </c>
      <c r="E13" s="377">
        <v>1542000</v>
      </c>
      <c r="F13" s="377">
        <v>8290000</v>
      </c>
      <c r="G13" s="377">
        <f t="shared" si="0"/>
        <v>5764100</v>
      </c>
      <c r="H13" s="369">
        <f t="shared" si="2"/>
        <v>2.2819984955857318</v>
      </c>
      <c r="I13" s="369">
        <f t="shared" si="1"/>
        <v>1.811861724969999E-2</v>
      </c>
      <c r="J13" s="409" t="s">
        <v>3429</v>
      </c>
      <c r="K13" s="79"/>
    </row>
    <row r="14" spans="1:12" s="39" customFormat="1" ht="58" x14ac:dyDescent="0.35">
      <c r="A14" s="37" t="s">
        <v>61</v>
      </c>
      <c r="B14" s="367">
        <v>426610</v>
      </c>
      <c r="C14" s="368" t="s">
        <v>694</v>
      </c>
      <c r="D14" s="377">
        <v>17172519</v>
      </c>
      <c r="E14" s="377">
        <v>11830689.600000001</v>
      </c>
      <c r="F14" s="377">
        <v>21231889</v>
      </c>
      <c r="G14" s="377">
        <f t="shared" si="0"/>
        <v>4059370</v>
      </c>
      <c r="H14" s="369">
        <f t="shared" si="2"/>
        <v>0.23638756783439868</v>
      </c>
      <c r="I14" s="369">
        <f t="shared" si="1"/>
        <v>1.276004429224244E-2</v>
      </c>
      <c r="J14" s="410" t="s">
        <v>3351</v>
      </c>
      <c r="K14" s="79"/>
    </row>
    <row r="15" spans="1:12" s="39" customFormat="1" ht="87" x14ac:dyDescent="0.35">
      <c r="A15" s="37" t="s">
        <v>61</v>
      </c>
      <c r="B15" s="367">
        <v>428640</v>
      </c>
      <c r="C15" s="368" t="s">
        <v>279</v>
      </c>
      <c r="D15" s="377">
        <v>1588000</v>
      </c>
      <c r="E15" s="377">
        <v>242575.55</v>
      </c>
      <c r="F15" s="377">
        <v>4947721</v>
      </c>
      <c r="G15" s="377">
        <f t="shared" si="0"/>
        <v>3359721</v>
      </c>
      <c r="H15" s="369">
        <f t="shared" si="2"/>
        <v>2.1156933249370278</v>
      </c>
      <c r="I15" s="369">
        <f t="shared" si="1"/>
        <v>1.0560798540063376E-2</v>
      </c>
      <c r="J15" s="409" t="s">
        <v>3430</v>
      </c>
      <c r="K15" s="79"/>
    </row>
    <row r="16" spans="1:12" s="39" customFormat="1" ht="72.5" x14ac:dyDescent="0.35">
      <c r="A16" s="37" t="s">
        <v>61</v>
      </c>
      <c r="B16" s="367">
        <v>425550</v>
      </c>
      <c r="C16" s="368" t="s">
        <v>253</v>
      </c>
      <c r="D16" s="377">
        <v>1796957</v>
      </c>
      <c r="E16" s="377">
        <v>87596.72</v>
      </c>
      <c r="F16" s="377">
        <v>5035030</v>
      </c>
      <c r="G16" s="377">
        <f t="shared" si="0"/>
        <v>3238073</v>
      </c>
      <c r="H16" s="369">
        <f t="shared" si="2"/>
        <v>1.8019757846181073</v>
      </c>
      <c r="I16" s="369">
        <f t="shared" si="1"/>
        <v>1.0178415591954997E-2</v>
      </c>
      <c r="J16" s="411" t="s">
        <v>3352</v>
      </c>
      <c r="K16" s="79"/>
    </row>
    <row r="17" spans="1:11" s="39" customFormat="1" ht="29" x14ac:dyDescent="0.35">
      <c r="A17" s="37" t="s">
        <v>61</v>
      </c>
      <c r="B17" s="367">
        <v>428111</v>
      </c>
      <c r="C17" s="368" t="s">
        <v>1478</v>
      </c>
      <c r="D17" s="377">
        <v>15465717</v>
      </c>
      <c r="E17" s="377">
        <v>4197494.34</v>
      </c>
      <c r="F17" s="377">
        <v>18698211</v>
      </c>
      <c r="G17" s="377">
        <f t="shared" si="0"/>
        <v>3232494</v>
      </c>
      <c r="H17" s="369">
        <f t="shared" si="2"/>
        <v>0.20901029030855794</v>
      </c>
      <c r="I17" s="369">
        <f t="shared" si="1"/>
        <v>1.016087880986654E-2</v>
      </c>
      <c r="J17" s="412" t="s">
        <v>3360</v>
      </c>
      <c r="K17" s="79"/>
    </row>
    <row r="18" spans="1:11" s="39" customFormat="1" ht="58" x14ac:dyDescent="0.35">
      <c r="A18" s="37" t="s">
        <v>61</v>
      </c>
      <c r="B18" s="367">
        <v>429900</v>
      </c>
      <c r="C18" s="368" t="s">
        <v>2359</v>
      </c>
      <c r="D18" s="377">
        <v>99510</v>
      </c>
      <c r="E18" s="377">
        <v>41250</v>
      </c>
      <c r="F18" s="377">
        <v>3288000</v>
      </c>
      <c r="G18" s="377">
        <f t="shared" si="0"/>
        <v>3188490</v>
      </c>
      <c r="H18" s="369">
        <f t="shared" si="2"/>
        <v>32.041905336147124</v>
      </c>
      <c r="I18" s="369">
        <f t="shared" si="1"/>
        <v>1.0022558580610316E-2</v>
      </c>
      <c r="J18" s="410" t="s">
        <v>3353</v>
      </c>
      <c r="K18" s="79"/>
    </row>
    <row r="19" spans="1:11" s="39" customFormat="1" ht="43.5" x14ac:dyDescent="0.35">
      <c r="A19" s="37" t="s">
        <v>61</v>
      </c>
      <c r="B19" s="367">
        <v>421700</v>
      </c>
      <c r="C19" s="368" t="s">
        <v>2438</v>
      </c>
      <c r="D19" s="377">
        <v>2271312</v>
      </c>
      <c r="E19" s="377">
        <v>368465.86</v>
      </c>
      <c r="F19" s="377">
        <v>5220000</v>
      </c>
      <c r="G19" s="377">
        <f t="shared" si="0"/>
        <v>2948688</v>
      </c>
      <c r="H19" s="369">
        <f t="shared" si="2"/>
        <v>1.2982311545045331</v>
      </c>
      <c r="I19" s="369">
        <f t="shared" si="1"/>
        <v>9.2687755696090231E-3</v>
      </c>
      <c r="J19" s="410" t="s">
        <v>3354</v>
      </c>
      <c r="K19" s="79"/>
    </row>
    <row r="20" spans="1:11" s="39" customFormat="1" ht="29" x14ac:dyDescent="0.35">
      <c r="A20" s="37" t="s">
        <v>61</v>
      </c>
      <c r="B20" s="367">
        <v>425740</v>
      </c>
      <c r="C20" s="368" t="s">
        <v>259</v>
      </c>
      <c r="D20" s="377">
        <v>694710</v>
      </c>
      <c r="E20" s="377">
        <v>0</v>
      </c>
      <c r="F20" s="377">
        <v>3600012</v>
      </c>
      <c r="G20" s="377">
        <f t="shared" si="0"/>
        <v>2905302</v>
      </c>
      <c r="H20" s="369">
        <f t="shared" si="2"/>
        <v>4.1820356695599603</v>
      </c>
      <c r="I20" s="369">
        <f t="shared" si="1"/>
        <v>9.1323979342460889E-3</v>
      </c>
      <c r="J20" s="411" t="s">
        <v>3345</v>
      </c>
      <c r="K20" s="79"/>
    </row>
    <row r="21" spans="1:11" s="39" customFormat="1" ht="101.5" x14ac:dyDescent="0.35">
      <c r="A21" s="37" t="s">
        <v>61</v>
      </c>
      <c r="B21" s="367">
        <v>425510</v>
      </c>
      <c r="C21" s="368" t="s">
        <v>247</v>
      </c>
      <c r="D21" s="377">
        <v>8184179</v>
      </c>
      <c r="E21" s="377">
        <v>6097762.2199999997</v>
      </c>
      <c r="F21" s="377">
        <v>10949900</v>
      </c>
      <c r="G21" s="377">
        <f t="shared" si="0"/>
        <v>2765721</v>
      </c>
      <c r="H21" s="369">
        <f t="shared" si="2"/>
        <v>0.33793505738327573</v>
      </c>
      <c r="I21" s="369">
        <f t="shared" si="1"/>
        <v>8.6936451863183339E-3</v>
      </c>
      <c r="J21" s="410" t="s">
        <v>3372</v>
      </c>
      <c r="K21" s="79"/>
    </row>
    <row r="22" spans="1:11" s="39" customFormat="1" ht="72.5" x14ac:dyDescent="0.35">
      <c r="A22" s="37" t="s">
        <v>61</v>
      </c>
      <c r="B22" s="367">
        <v>432209</v>
      </c>
      <c r="C22" s="368" t="s">
        <v>393</v>
      </c>
      <c r="D22" s="377">
        <v>17441427</v>
      </c>
      <c r="E22" s="377">
        <v>13569787.16</v>
      </c>
      <c r="F22" s="439">
        <v>21267845</v>
      </c>
      <c r="G22" s="377">
        <f t="shared" si="0"/>
        <v>3826418</v>
      </c>
      <c r="H22" s="369">
        <f t="shared" si="2"/>
        <v>0.21938675086619919</v>
      </c>
      <c r="I22" s="369">
        <f t="shared" si="1"/>
        <v>1.2027793268569687E-2</v>
      </c>
      <c r="J22" s="410" t="s">
        <v>3452</v>
      </c>
      <c r="K22" s="79"/>
    </row>
    <row r="23" spans="1:11" s="39" customFormat="1" ht="29" x14ac:dyDescent="0.35">
      <c r="A23" s="37" t="s">
        <v>61</v>
      </c>
      <c r="B23" s="367">
        <v>425746</v>
      </c>
      <c r="C23" s="368" t="s">
        <v>1047</v>
      </c>
      <c r="D23" s="377">
        <v>9641961</v>
      </c>
      <c r="E23" s="377">
        <v>603484.03</v>
      </c>
      <c r="F23" s="377">
        <v>11693028</v>
      </c>
      <c r="G23" s="377">
        <f t="shared" si="0"/>
        <v>2051067</v>
      </c>
      <c r="H23" s="369">
        <f t="shared" si="2"/>
        <v>0.212723013503166</v>
      </c>
      <c r="I23" s="369">
        <f t="shared" si="1"/>
        <v>6.4472333801444126E-3</v>
      </c>
      <c r="J23" s="412" t="s">
        <v>3346</v>
      </c>
      <c r="K23" s="79"/>
    </row>
    <row r="24" spans="1:11" s="39" customFormat="1" ht="190.5" customHeight="1" x14ac:dyDescent="0.35">
      <c r="A24" s="37" t="s">
        <v>61</v>
      </c>
      <c r="B24" s="367">
        <v>432205</v>
      </c>
      <c r="C24" s="390" t="s">
        <v>3040</v>
      </c>
      <c r="D24" s="377">
        <v>2050385</v>
      </c>
      <c r="E24" s="377">
        <v>1983663.16</v>
      </c>
      <c r="F24" s="377">
        <v>4339500</v>
      </c>
      <c r="G24" s="377">
        <f t="shared" si="0"/>
        <v>2289115</v>
      </c>
      <c r="H24" s="369">
        <f t="shared" si="2"/>
        <v>1.1164317920780731</v>
      </c>
      <c r="I24" s="369">
        <f t="shared" si="1"/>
        <v>7.1955029450472743E-3</v>
      </c>
      <c r="J24" s="410" t="s">
        <v>3432</v>
      </c>
      <c r="K24" s="79"/>
    </row>
    <row r="25" spans="1:11" s="39" customFormat="1" ht="43.5" x14ac:dyDescent="0.35">
      <c r="A25" s="37" t="s">
        <v>61</v>
      </c>
      <c r="B25" s="367">
        <v>425762</v>
      </c>
      <c r="C25" s="395" t="s">
        <v>573</v>
      </c>
      <c r="D25" s="377">
        <v>3429974</v>
      </c>
      <c r="E25" s="377">
        <v>128025</v>
      </c>
      <c r="F25" s="377">
        <v>5675974</v>
      </c>
      <c r="G25" s="377">
        <f t="shared" si="0"/>
        <v>2246000</v>
      </c>
      <c r="H25" s="369">
        <f t="shared" si="2"/>
        <v>0.65481545924254825</v>
      </c>
      <c r="I25" s="369">
        <f t="shared" si="1"/>
        <v>7.0599771591100396E-3</v>
      </c>
      <c r="J25" s="406" t="s">
        <v>3431</v>
      </c>
      <c r="K25" s="79"/>
    </row>
    <row r="26" spans="1:11" s="39" customFormat="1" ht="29" x14ac:dyDescent="0.35">
      <c r="A26" s="37" t="s">
        <v>61</v>
      </c>
      <c r="B26" s="367">
        <v>435340</v>
      </c>
      <c r="C26" s="368" t="s">
        <v>655</v>
      </c>
      <c r="D26" s="377">
        <v>9681515</v>
      </c>
      <c r="E26" s="377">
        <v>4279841.18</v>
      </c>
      <c r="F26" s="377">
        <v>11842000</v>
      </c>
      <c r="G26" s="377">
        <f t="shared" si="0"/>
        <v>2160485</v>
      </c>
      <c r="H26" s="369">
        <f t="shared" si="2"/>
        <v>0.22315567346639448</v>
      </c>
      <c r="I26" s="369">
        <f t="shared" si="1"/>
        <v>6.7911730866428554E-3</v>
      </c>
      <c r="J26" s="412" t="s">
        <v>3347</v>
      </c>
      <c r="K26" s="79"/>
    </row>
    <row r="27" spans="1:11" s="39" customFormat="1" ht="43.5" x14ac:dyDescent="0.35">
      <c r="A27" s="37" t="s">
        <v>61</v>
      </c>
      <c r="B27" s="367">
        <v>428090</v>
      </c>
      <c r="C27" s="368" t="s">
        <v>154</v>
      </c>
      <c r="D27" s="377">
        <v>3458093</v>
      </c>
      <c r="E27" s="377">
        <v>76231.87</v>
      </c>
      <c r="F27" s="377">
        <v>5535090</v>
      </c>
      <c r="G27" s="377">
        <f t="shared" si="0"/>
        <v>2076997</v>
      </c>
      <c r="H27" s="369">
        <f t="shared" si="2"/>
        <v>0.60061918519831592</v>
      </c>
      <c r="I27" s="369">
        <f t="shared" si="1"/>
        <v>6.5287405964114314E-3</v>
      </c>
      <c r="J27" s="410" t="s">
        <v>3355</v>
      </c>
      <c r="K27" s="79"/>
    </row>
    <row r="28" spans="1:11" s="39" customFormat="1" ht="43.5" x14ac:dyDescent="0.35">
      <c r="A28" s="37" t="s">
        <v>61</v>
      </c>
      <c r="B28" s="367">
        <v>425770</v>
      </c>
      <c r="C28" s="368" t="s">
        <v>367</v>
      </c>
      <c r="D28" s="377">
        <v>5589749</v>
      </c>
      <c r="E28" s="377">
        <v>519162.08</v>
      </c>
      <c r="F28" s="377">
        <v>7561925</v>
      </c>
      <c r="G28" s="377">
        <f t="shared" si="0"/>
        <v>1972176</v>
      </c>
      <c r="H28" s="369">
        <f t="shared" si="2"/>
        <v>0.35282013557317154</v>
      </c>
      <c r="I28" s="369">
        <f t="shared" si="1"/>
        <v>6.1992508965917192E-3</v>
      </c>
      <c r="J28" s="413"/>
      <c r="K28" s="79"/>
    </row>
    <row r="29" spans="1:11" s="39" customFormat="1" x14ac:dyDescent="0.35">
      <c r="A29" s="37" t="s">
        <v>61</v>
      </c>
      <c r="B29" s="367">
        <v>420900</v>
      </c>
      <c r="C29" s="368" t="s">
        <v>1266</v>
      </c>
      <c r="D29" s="377">
        <v>3355444</v>
      </c>
      <c r="E29" s="377">
        <v>2498518.73</v>
      </c>
      <c r="F29" s="377">
        <v>5298500</v>
      </c>
      <c r="G29" s="377">
        <f t="shared" si="0"/>
        <v>1943056</v>
      </c>
      <c r="H29" s="369">
        <f t="shared" si="2"/>
        <v>0.5790756752310573</v>
      </c>
      <c r="I29" s="369">
        <f t="shared" si="1"/>
        <v>6.1077163752768105E-3</v>
      </c>
      <c r="J29" s="413"/>
      <c r="K29" s="79"/>
    </row>
    <row r="30" spans="1:11" s="39" customFormat="1" ht="43.5" x14ac:dyDescent="0.35">
      <c r="A30" s="37" t="s">
        <v>61</v>
      </c>
      <c r="B30" s="367">
        <v>425900</v>
      </c>
      <c r="C30" s="368" t="s">
        <v>266</v>
      </c>
      <c r="D30" s="377">
        <v>1480064</v>
      </c>
      <c r="E30" s="377">
        <v>125625.32</v>
      </c>
      <c r="F30" s="377">
        <v>3419632</v>
      </c>
      <c r="G30" s="377">
        <f t="shared" si="0"/>
        <v>1939568</v>
      </c>
      <c r="H30" s="369">
        <f t="shared" si="2"/>
        <v>1.310462250281069</v>
      </c>
      <c r="I30" s="369">
        <f t="shared" si="1"/>
        <v>6.0967523501962335E-3</v>
      </c>
      <c r="J30" s="413"/>
      <c r="K30" s="79"/>
    </row>
    <row r="31" spans="1:11" s="39" customFormat="1" ht="43.5" x14ac:dyDescent="0.35">
      <c r="A31" s="37" t="s">
        <v>61</v>
      </c>
      <c r="B31" s="367">
        <v>425745</v>
      </c>
      <c r="C31" s="368" t="s">
        <v>1041</v>
      </c>
      <c r="D31" s="377">
        <v>1995663</v>
      </c>
      <c r="E31" s="377">
        <v>841645</v>
      </c>
      <c r="F31" s="377">
        <v>3929115</v>
      </c>
      <c r="G31" s="377">
        <f t="shared" si="0"/>
        <v>1933452</v>
      </c>
      <c r="H31" s="369">
        <f t="shared" si="2"/>
        <v>0.9688269011351115</v>
      </c>
      <c r="I31" s="369">
        <f t="shared" si="1"/>
        <v>6.0775275860354512E-3</v>
      </c>
      <c r="J31" s="413"/>
      <c r="K31" s="79"/>
    </row>
    <row r="32" spans="1:11" s="39" customFormat="1" ht="29" x14ac:dyDescent="0.35">
      <c r="A32" s="37" t="s">
        <v>61</v>
      </c>
      <c r="B32" s="367">
        <v>425750</v>
      </c>
      <c r="C32" s="368" t="s">
        <v>1057</v>
      </c>
      <c r="D32" s="377">
        <v>887069</v>
      </c>
      <c r="E32" s="377">
        <v>92850.06</v>
      </c>
      <c r="F32" s="377">
        <v>2704485</v>
      </c>
      <c r="G32" s="377">
        <f t="shared" si="0"/>
        <v>1817416</v>
      </c>
      <c r="H32" s="369">
        <f t="shared" si="2"/>
        <v>2.0487876365874582</v>
      </c>
      <c r="I32" s="369">
        <f t="shared" si="1"/>
        <v>5.7127851507574046E-3</v>
      </c>
      <c r="J32" s="413"/>
      <c r="K32" s="79"/>
    </row>
    <row r="33" spans="1:11" s="39" customFormat="1" ht="43.5" x14ac:dyDescent="0.35">
      <c r="A33" s="37" t="s">
        <v>61</v>
      </c>
      <c r="B33" s="367">
        <v>425720</v>
      </c>
      <c r="C33" s="368" t="s">
        <v>620</v>
      </c>
      <c r="D33" s="377">
        <v>2677815</v>
      </c>
      <c r="E33" s="377">
        <v>1834395.28</v>
      </c>
      <c r="F33" s="377">
        <v>4400850</v>
      </c>
      <c r="G33" s="377">
        <f t="shared" si="0"/>
        <v>1723035</v>
      </c>
      <c r="H33" s="369">
        <f t="shared" si="2"/>
        <v>0.64344810974619238</v>
      </c>
      <c r="I33" s="369">
        <f t="shared" si="1"/>
        <v>5.4161120856398787E-3</v>
      </c>
      <c r="J33" s="413"/>
      <c r="K33" s="79"/>
    </row>
    <row r="34" spans="1:11" s="39" customFormat="1" ht="29" x14ac:dyDescent="0.35">
      <c r="A34" s="37" t="s">
        <v>61</v>
      </c>
      <c r="B34" s="367">
        <v>420550</v>
      </c>
      <c r="C34" s="368" t="s">
        <v>225</v>
      </c>
      <c r="D34" s="377">
        <v>1917312</v>
      </c>
      <c r="E34" s="377">
        <v>156883.79999999999</v>
      </c>
      <c r="F34" s="377">
        <v>3540830</v>
      </c>
      <c r="G34" s="377">
        <f t="shared" si="0"/>
        <v>1623518</v>
      </c>
      <c r="H34" s="369">
        <f t="shared" si="2"/>
        <v>0.84676776653982244</v>
      </c>
      <c r="I34" s="369">
        <f t="shared" si="1"/>
        <v>5.1032947450596671E-3</v>
      </c>
      <c r="J34" s="413"/>
      <c r="K34" s="79"/>
    </row>
    <row r="35" spans="1:11" s="39" customFormat="1" ht="29" x14ac:dyDescent="0.35">
      <c r="A35" s="37" t="s">
        <v>61</v>
      </c>
      <c r="B35" s="367">
        <v>435350</v>
      </c>
      <c r="C35" s="368" t="s">
        <v>399</v>
      </c>
      <c r="D35" s="377">
        <v>2894920</v>
      </c>
      <c r="E35" s="377">
        <v>575666.04</v>
      </c>
      <c r="F35" s="377">
        <v>4515000</v>
      </c>
      <c r="G35" s="377">
        <f t="shared" si="0"/>
        <v>1620080</v>
      </c>
      <c r="H35" s="369">
        <f t="shared" si="2"/>
        <v>0.55962859077280203</v>
      </c>
      <c r="I35" s="369">
        <f t="shared" si="1"/>
        <v>5.0924878877698096E-3</v>
      </c>
      <c r="J35" s="413"/>
      <c r="K35" s="79"/>
    </row>
    <row r="36" spans="1:11" s="39" customFormat="1" ht="29" x14ac:dyDescent="0.35">
      <c r="A36" s="37" t="s">
        <v>61</v>
      </c>
      <c r="B36" s="367">
        <v>427100</v>
      </c>
      <c r="C36" s="368" t="s">
        <v>2323</v>
      </c>
      <c r="D36" s="377">
        <v>1157850</v>
      </c>
      <c r="E36" s="377">
        <v>909458.75</v>
      </c>
      <c r="F36" s="377">
        <v>2500000</v>
      </c>
      <c r="G36" s="377">
        <f t="shared" ref="G36:G67" si="3">F36-D36</f>
        <v>1342150</v>
      </c>
      <c r="H36" s="369">
        <f t="shared" si="2"/>
        <v>1.1591743317355443</v>
      </c>
      <c r="I36" s="369">
        <f t="shared" ref="I36:I67" si="4">G36/$G$2</f>
        <v>4.2188550062776222E-3</v>
      </c>
      <c r="J36" s="413"/>
      <c r="K36" s="79"/>
    </row>
    <row r="37" spans="1:11" s="39" customFormat="1" ht="72.5" x14ac:dyDescent="0.35">
      <c r="A37" s="37" t="s">
        <v>61</v>
      </c>
      <c r="B37" s="367">
        <v>422900</v>
      </c>
      <c r="C37" s="368" t="s">
        <v>1139</v>
      </c>
      <c r="D37" s="377">
        <v>416100</v>
      </c>
      <c r="E37" s="377">
        <v>416100</v>
      </c>
      <c r="F37" s="377">
        <v>1710000</v>
      </c>
      <c r="G37" s="377">
        <f t="shared" si="3"/>
        <v>1293900</v>
      </c>
      <c r="H37" s="369">
        <f t="shared" si="2"/>
        <v>3.1095890410958904</v>
      </c>
      <c r="I37" s="369">
        <f t="shared" si="4"/>
        <v>4.0671880882335171E-3</v>
      </c>
      <c r="J37" s="413"/>
      <c r="K37" s="79"/>
    </row>
    <row r="38" spans="1:11" s="39" customFormat="1" ht="29" x14ac:dyDescent="0.35">
      <c r="A38" s="37" t="s">
        <v>61</v>
      </c>
      <c r="B38" s="367">
        <v>430330</v>
      </c>
      <c r="C38" s="368" t="s">
        <v>2553</v>
      </c>
      <c r="D38" s="377">
        <v>967680</v>
      </c>
      <c r="E38" s="377">
        <v>771960</v>
      </c>
      <c r="F38" s="377">
        <v>1870125</v>
      </c>
      <c r="G38" s="377">
        <f t="shared" si="3"/>
        <v>902445</v>
      </c>
      <c r="H38" s="369">
        <f t="shared" si="2"/>
        <v>0.93258618551587302</v>
      </c>
      <c r="I38" s="369">
        <f t="shared" si="4"/>
        <v>2.8367057379132055E-3</v>
      </c>
      <c r="J38" s="413"/>
      <c r="K38" s="79"/>
    </row>
    <row r="39" spans="1:11" s="39" customFormat="1" ht="58" x14ac:dyDescent="0.35">
      <c r="A39" s="37" t="s">
        <v>61</v>
      </c>
      <c r="B39" s="367">
        <v>430250</v>
      </c>
      <c r="C39" s="368" t="s">
        <v>162</v>
      </c>
      <c r="D39" s="377">
        <v>1021317</v>
      </c>
      <c r="E39" s="377">
        <v>1019273.79</v>
      </c>
      <c r="F39" s="377">
        <v>1864650</v>
      </c>
      <c r="G39" s="377">
        <f t="shared" si="3"/>
        <v>843333</v>
      </c>
      <c r="H39" s="369">
        <f t="shared" si="2"/>
        <v>0.82573089452148551</v>
      </c>
      <c r="I39" s="369">
        <f t="shared" si="4"/>
        <v>2.6508956890132444E-3</v>
      </c>
      <c r="J39" s="413"/>
      <c r="K39" s="79"/>
    </row>
    <row r="40" spans="1:11" s="39" customFormat="1" ht="58" x14ac:dyDescent="0.35">
      <c r="A40" s="37" t="s">
        <v>61</v>
      </c>
      <c r="B40" s="367">
        <v>436600</v>
      </c>
      <c r="C40" s="368" t="s">
        <v>416</v>
      </c>
      <c r="D40" s="377">
        <v>272140</v>
      </c>
      <c r="E40" s="377">
        <v>43920</v>
      </c>
      <c r="F40" s="377">
        <v>889350</v>
      </c>
      <c r="G40" s="377">
        <f t="shared" si="3"/>
        <v>617210</v>
      </c>
      <c r="H40" s="369">
        <f t="shared" ref="H40:H71" si="5">G40/D40</f>
        <v>2.2679870654810026</v>
      </c>
      <c r="I40" s="369">
        <f t="shared" si="4"/>
        <v>1.9401106421969311E-3</v>
      </c>
      <c r="J40" s="413"/>
      <c r="K40" s="79"/>
    </row>
    <row r="41" spans="1:11" s="39" customFormat="1" ht="29" x14ac:dyDescent="0.35">
      <c r="A41" s="37" t="s">
        <v>61</v>
      </c>
      <c r="B41" s="367">
        <v>428112</v>
      </c>
      <c r="C41" s="368" t="s">
        <v>1479</v>
      </c>
      <c r="D41" s="377">
        <v>4691229</v>
      </c>
      <c r="E41" s="377">
        <v>1176622.4099999999</v>
      </c>
      <c r="F41" s="377">
        <v>5208419</v>
      </c>
      <c r="G41" s="377">
        <f t="shared" si="3"/>
        <v>517190</v>
      </c>
      <c r="H41" s="369">
        <f t="shared" si="5"/>
        <v>0.11024616363856891</v>
      </c>
      <c r="I41" s="369">
        <f t="shared" si="4"/>
        <v>1.6257121936420842E-3</v>
      </c>
      <c r="J41" s="413"/>
      <c r="K41" s="79"/>
    </row>
    <row r="42" spans="1:11" s="39" customFormat="1" ht="29" x14ac:dyDescent="0.35">
      <c r="A42" s="37" t="s">
        <v>61</v>
      </c>
      <c r="B42" s="367">
        <v>425742</v>
      </c>
      <c r="C42" s="368" t="s">
        <v>1036</v>
      </c>
      <c r="D42" s="377">
        <v>1827000</v>
      </c>
      <c r="E42" s="377">
        <v>589413.47</v>
      </c>
      <c r="F42" s="377">
        <v>2277975</v>
      </c>
      <c r="G42" s="377">
        <f t="shared" si="3"/>
        <v>450975</v>
      </c>
      <c r="H42" s="369">
        <f t="shared" si="5"/>
        <v>0.24683908045977013</v>
      </c>
      <c r="I42" s="369">
        <f t="shared" si="4"/>
        <v>1.4175748883925423E-3</v>
      </c>
      <c r="J42" s="413"/>
      <c r="K42" s="79"/>
    </row>
    <row r="43" spans="1:11" s="39" customFormat="1" x14ac:dyDescent="0.35">
      <c r="A43" s="37" t="s">
        <v>61</v>
      </c>
      <c r="B43" s="367">
        <v>435330</v>
      </c>
      <c r="C43" s="368" t="s">
        <v>1111</v>
      </c>
      <c r="D43" s="377">
        <v>15861570</v>
      </c>
      <c r="E43" s="377">
        <v>14250287.120000001</v>
      </c>
      <c r="F43" s="377">
        <v>16210654</v>
      </c>
      <c r="G43" s="377">
        <f t="shared" si="3"/>
        <v>349084</v>
      </c>
      <c r="H43" s="369">
        <f t="shared" si="5"/>
        <v>2.2008161865439548E-2</v>
      </c>
      <c r="I43" s="369">
        <f t="shared" si="4"/>
        <v>1.09729522110898E-3</v>
      </c>
      <c r="J43" s="413"/>
      <c r="K43" s="79"/>
    </row>
    <row r="44" spans="1:11" s="39" customFormat="1" ht="58" x14ac:dyDescent="0.35">
      <c r="A44" s="37" t="s">
        <v>61</v>
      </c>
      <c r="B44" s="367">
        <v>435530</v>
      </c>
      <c r="C44" s="368" t="s">
        <v>1127</v>
      </c>
      <c r="D44" s="377">
        <v>47000</v>
      </c>
      <c r="E44" s="377">
        <v>730</v>
      </c>
      <c r="F44" s="377">
        <v>331350</v>
      </c>
      <c r="G44" s="377">
        <f t="shared" si="3"/>
        <v>284350</v>
      </c>
      <c r="H44" s="369">
        <f t="shared" si="5"/>
        <v>6.05</v>
      </c>
      <c r="I44" s="369">
        <f t="shared" si="4"/>
        <v>8.9381322582054307E-4</v>
      </c>
      <c r="J44" s="413"/>
      <c r="K44" s="79"/>
    </row>
    <row r="45" spans="1:11" s="39" customFormat="1" ht="58" x14ac:dyDescent="0.35">
      <c r="A45" s="37" t="s">
        <v>61</v>
      </c>
      <c r="B45" s="367">
        <v>432226</v>
      </c>
      <c r="C45" s="368" t="s">
        <v>184</v>
      </c>
      <c r="D45" s="377">
        <v>360000</v>
      </c>
      <c r="E45" s="377">
        <v>109115.62</v>
      </c>
      <c r="F45" s="377">
        <v>540000</v>
      </c>
      <c r="G45" s="377">
        <f t="shared" si="3"/>
        <v>180000</v>
      </c>
      <c r="H45" s="369">
        <f t="shared" si="5"/>
        <v>0.5</v>
      </c>
      <c r="I45" s="369">
        <f t="shared" si="4"/>
        <v>5.6580404658940653E-4</v>
      </c>
      <c r="J45" s="413"/>
      <c r="K45" s="79"/>
    </row>
    <row r="46" spans="1:11" s="39" customFormat="1" ht="29" x14ac:dyDescent="0.35">
      <c r="A46" s="37" t="s">
        <v>61</v>
      </c>
      <c r="B46" s="367">
        <v>436110</v>
      </c>
      <c r="C46" s="368" t="s">
        <v>190</v>
      </c>
      <c r="D46" s="377">
        <v>828277</v>
      </c>
      <c r="E46" s="377">
        <v>190452.72999999998</v>
      </c>
      <c r="F46" s="377">
        <v>1007150</v>
      </c>
      <c r="G46" s="377">
        <f t="shared" si="3"/>
        <v>178873</v>
      </c>
      <c r="H46" s="369">
        <f t="shared" si="5"/>
        <v>0.21595794643579383</v>
      </c>
      <c r="I46" s="369">
        <f t="shared" si="4"/>
        <v>5.6226148458659404E-4</v>
      </c>
      <c r="J46" s="413"/>
      <c r="K46" s="79"/>
    </row>
    <row r="47" spans="1:11" s="39" customFormat="1" ht="29" x14ac:dyDescent="0.35">
      <c r="A47" s="37" t="s">
        <v>61</v>
      </c>
      <c r="B47" s="367">
        <v>432210</v>
      </c>
      <c r="C47" s="368" t="s">
        <v>1107</v>
      </c>
      <c r="D47" s="377">
        <v>35000</v>
      </c>
      <c r="E47" s="377">
        <v>0</v>
      </c>
      <c r="F47" s="377">
        <v>200000</v>
      </c>
      <c r="G47" s="377">
        <f t="shared" si="3"/>
        <v>165000</v>
      </c>
      <c r="H47" s="369">
        <f t="shared" si="5"/>
        <v>4.7142857142857144</v>
      </c>
      <c r="I47" s="369">
        <f t="shared" si="4"/>
        <v>5.1865370937362266E-4</v>
      </c>
      <c r="J47" s="413"/>
      <c r="K47" s="79"/>
    </row>
    <row r="48" spans="1:11" s="39" customFormat="1" x14ac:dyDescent="0.35">
      <c r="A48" s="37" t="s">
        <v>61</v>
      </c>
      <c r="B48" s="367">
        <v>436120</v>
      </c>
      <c r="C48" s="368" t="s">
        <v>291</v>
      </c>
      <c r="D48" s="377">
        <v>271125</v>
      </c>
      <c r="E48" s="377">
        <v>112817.09</v>
      </c>
      <c r="F48" s="377">
        <v>369400</v>
      </c>
      <c r="G48" s="377">
        <f t="shared" si="3"/>
        <v>98275</v>
      </c>
      <c r="H48" s="369">
        <f t="shared" si="5"/>
        <v>0.36247118487782387</v>
      </c>
      <c r="I48" s="369">
        <f t="shared" si="4"/>
        <v>3.0891329265874404E-4</v>
      </c>
      <c r="J48" s="413"/>
      <c r="K48" s="79"/>
    </row>
    <row r="49" spans="1:11" s="39" customFormat="1" ht="29" x14ac:dyDescent="0.35">
      <c r="A49" s="37" t="s">
        <v>61</v>
      </c>
      <c r="B49" s="367">
        <v>425761</v>
      </c>
      <c r="C49" s="368" t="s">
        <v>1383</v>
      </c>
      <c r="D49" s="377">
        <v>2370500</v>
      </c>
      <c r="E49" s="377">
        <v>188928.37</v>
      </c>
      <c r="F49" s="377">
        <v>2439500</v>
      </c>
      <c r="G49" s="377">
        <f t="shared" si="3"/>
        <v>69000</v>
      </c>
      <c r="H49" s="369">
        <f t="shared" si="5"/>
        <v>2.9107783168107994E-2</v>
      </c>
      <c r="I49" s="369">
        <f t="shared" si="4"/>
        <v>2.1689155119260583E-4</v>
      </c>
      <c r="J49" s="413"/>
      <c r="K49" s="79"/>
    </row>
    <row r="50" spans="1:11" s="39" customFormat="1" ht="29" x14ac:dyDescent="0.35">
      <c r="A50" s="37" t="s">
        <v>61</v>
      </c>
      <c r="B50" s="367">
        <v>427200</v>
      </c>
      <c r="C50" s="368" t="s">
        <v>1085</v>
      </c>
      <c r="D50" s="377">
        <v>1377674</v>
      </c>
      <c r="E50" s="377">
        <v>17150.009999999998</v>
      </c>
      <c r="F50" s="377">
        <v>1445005</v>
      </c>
      <c r="G50" s="377">
        <f t="shared" si="3"/>
        <v>67331</v>
      </c>
      <c r="H50" s="369">
        <f t="shared" si="5"/>
        <v>4.8872955430675179E-2</v>
      </c>
      <c r="I50" s="369">
        <f t="shared" si="4"/>
        <v>2.1164529033839628E-4</v>
      </c>
      <c r="J50" s="413"/>
      <c r="K50" s="79"/>
    </row>
    <row r="51" spans="1:11" s="39" customFormat="1" ht="58" x14ac:dyDescent="0.35">
      <c r="A51" s="37" t="s">
        <v>61</v>
      </c>
      <c r="B51" s="367">
        <v>425710</v>
      </c>
      <c r="C51" s="368" t="s">
        <v>1526</v>
      </c>
      <c r="D51" s="377">
        <v>300000</v>
      </c>
      <c r="E51" s="377">
        <v>0</v>
      </c>
      <c r="F51" s="377">
        <v>360000</v>
      </c>
      <c r="G51" s="377">
        <f t="shared" si="3"/>
        <v>60000</v>
      </c>
      <c r="H51" s="369">
        <f t="shared" si="5"/>
        <v>0.2</v>
      </c>
      <c r="I51" s="369">
        <f t="shared" si="4"/>
        <v>1.8860134886313553E-4</v>
      </c>
      <c r="J51" s="413"/>
      <c r="K51" s="79"/>
    </row>
    <row r="52" spans="1:11" s="39" customFormat="1" ht="43.5" x14ac:dyDescent="0.35">
      <c r="A52" s="37" t="s">
        <v>61</v>
      </c>
      <c r="B52" s="367">
        <v>425760</v>
      </c>
      <c r="C52" s="368" t="s">
        <v>352</v>
      </c>
      <c r="D52" s="377">
        <v>1456500</v>
      </c>
      <c r="E52" s="377">
        <v>280884.03999999998</v>
      </c>
      <c r="F52" s="377">
        <v>1502870</v>
      </c>
      <c r="G52" s="377">
        <f t="shared" si="3"/>
        <v>46370</v>
      </c>
      <c r="H52" s="369">
        <f t="shared" si="5"/>
        <v>3.1836594576038449E-2</v>
      </c>
      <c r="I52" s="369">
        <f t="shared" si="4"/>
        <v>1.4575740911305991E-4</v>
      </c>
      <c r="J52" s="413"/>
      <c r="K52" s="79"/>
    </row>
    <row r="53" spans="1:11" s="39" customFormat="1" ht="43.5" x14ac:dyDescent="0.35">
      <c r="A53" s="37" t="s">
        <v>61</v>
      </c>
      <c r="B53" s="367">
        <v>427710</v>
      </c>
      <c r="C53" s="368" t="s">
        <v>1090</v>
      </c>
      <c r="D53" s="377">
        <v>781304</v>
      </c>
      <c r="E53" s="377">
        <v>540496.34</v>
      </c>
      <c r="F53" s="377">
        <v>822391</v>
      </c>
      <c r="G53" s="377">
        <f t="shared" si="3"/>
        <v>41087</v>
      </c>
      <c r="H53" s="369">
        <f t="shared" si="5"/>
        <v>5.2587725136438571E-2</v>
      </c>
      <c r="I53" s="369">
        <f t="shared" si="4"/>
        <v>1.2915106034566083E-4</v>
      </c>
      <c r="J53" s="413"/>
      <c r="K53" s="79"/>
    </row>
    <row r="54" spans="1:11" s="39" customFormat="1" ht="43.5" x14ac:dyDescent="0.35">
      <c r="A54" s="37" t="s">
        <v>61</v>
      </c>
      <c r="B54" s="367">
        <v>432170</v>
      </c>
      <c r="C54" s="368" t="s">
        <v>1536</v>
      </c>
      <c r="D54" s="377">
        <v>230000</v>
      </c>
      <c r="E54" s="377">
        <v>7416</v>
      </c>
      <c r="F54" s="377">
        <v>270000</v>
      </c>
      <c r="G54" s="377">
        <f t="shared" si="3"/>
        <v>40000</v>
      </c>
      <c r="H54" s="369">
        <f t="shared" si="5"/>
        <v>0.17391304347826086</v>
      </c>
      <c r="I54" s="369">
        <f t="shared" si="4"/>
        <v>1.2573423257542367E-4</v>
      </c>
      <c r="J54" s="413"/>
      <c r="K54" s="79"/>
    </row>
    <row r="55" spans="1:11" s="39" customFormat="1" x14ac:dyDescent="0.35">
      <c r="A55" s="37" t="s">
        <v>61</v>
      </c>
      <c r="B55" s="370">
        <v>430110</v>
      </c>
      <c r="C55" s="371" t="s">
        <v>3344</v>
      </c>
      <c r="D55" s="377">
        <v>200211</v>
      </c>
      <c r="E55" s="377">
        <v>199212.79999999999</v>
      </c>
      <c r="F55" s="377">
        <v>233000</v>
      </c>
      <c r="G55" s="377">
        <f t="shared" si="3"/>
        <v>32789</v>
      </c>
      <c r="H55" s="369">
        <f t="shared" si="5"/>
        <v>0.16377222030757552</v>
      </c>
      <c r="I55" s="369">
        <f t="shared" si="4"/>
        <v>1.0306749379788917E-4</v>
      </c>
      <c r="J55" s="413"/>
      <c r="K55" s="79"/>
    </row>
    <row r="56" spans="1:11" s="39" customFormat="1" ht="29" x14ac:dyDescent="0.35">
      <c r="A56" s="37" t="s">
        <v>61</v>
      </c>
      <c r="B56" s="367">
        <v>432320</v>
      </c>
      <c r="C56" s="368" t="s">
        <v>2467</v>
      </c>
      <c r="D56" s="377">
        <v>26000</v>
      </c>
      <c r="E56" s="377">
        <v>5024</v>
      </c>
      <c r="F56" s="377">
        <v>55000</v>
      </c>
      <c r="G56" s="377">
        <f t="shared" si="3"/>
        <v>29000</v>
      </c>
      <c r="H56" s="369">
        <f t="shared" si="5"/>
        <v>1.1153846153846154</v>
      </c>
      <c r="I56" s="369">
        <f t="shared" si="4"/>
        <v>9.1157318617182166E-5</v>
      </c>
      <c r="J56" s="413"/>
      <c r="K56" s="79"/>
    </row>
    <row r="57" spans="1:11" s="39" customFormat="1" ht="58" x14ac:dyDescent="0.35">
      <c r="A57" s="37" t="s">
        <v>61</v>
      </c>
      <c r="B57" s="367">
        <v>425350</v>
      </c>
      <c r="C57" s="368" t="s">
        <v>3041</v>
      </c>
      <c r="D57" s="377">
        <v>90000</v>
      </c>
      <c r="E57" s="377">
        <v>44854.42</v>
      </c>
      <c r="F57" s="377">
        <v>117000</v>
      </c>
      <c r="G57" s="377">
        <f t="shared" si="3"/>
        <v>27000</v>
      </c>
      <c r="H57" s="369">
        <f t="shared" si="5"/>
        <v>0.3</v>
      </c>
      <c r="I57" s="369">
        <f t="shared" si="4"/>
        <v>8.4870606988410983E-5</v>
      </c>
      <c r="J57" s="413"/>
      <c r="K57" s="79"/>
    </row>
    <row r="58" spans="1:11" s="39" customFormat="1" ht="29" x14ac:dyDescent="0.35">
      <c r="A58" s="37" t="s">
        <v>61</v>
      </c>
      <c r="B58" s="367">
        <v>420120</v>
      </c>
      <c r="C58" s="368" t="s">
        <v>2734</v>
      </c>
      <c r="D58" s="377">
        <v>500000</v>
      </c>
      <c r="E58" s="377">
        <v>500000</v>
      </c>
      <c r="F58" s="377">
        <v>520000</v>
      </c>
      <c r="G58" s="377">
        <f t="shared" si="3"/>
        <v>20000</v>
      </c>
      <c r="H58" s="369">
        <f t="shared" si="5"/>
        <v>0.04</v>
      </c>
      <c r="I58" s="369">
        <f t="shared" si="4"/>
        <v>6.2867116287711834E-5</v>
      </c>
      <c r="J58" s="413"/>
      <c r="K58" s="79"/>
    </row>
    <row r="59" spans="1:11" s="39" customFormat="1" ht="58" x14ac:dyDescent="0.35">
      <c r="A59" s="37" t="s">
        <v>61</v>
      </c>
      <c r="B59" s="367">
        <v>426100</v>
      </c>
      <c r="C59" s="368" t="s">
        <v>1071</v>
      </c>
      <c r="D59" s="377">
        <v>110000</v>
      </c>
      <c r="E59" s="377">
        <v>0</v>
      </c>
      <c r="F59" s="377">
        <v>122000</v>
      </c>
      <c r="G59" s="377">
        <f t="shared" si="3"/>
        <v>12000</v>
      </c>
      <c r="H59" s="369">
        <f t="shared" si="5"/>
        <v>0.10909090909090909</v>
      </c>
      <c r="I59" s="369">
        <f t="shared" si="4"/>
        <v>3.77202697726271E-5</v>
      </c>
      <c r="J59" s="413"/>
      <c r="K59" s="79"/>
    </row>
    <row r="60" spans="1:11" s="39" customFormat="1" ht="43.5" x14ac:dyDescent="0.35">
      <c r="A60" s="37" t="s">
        <v>61</v>
      </c>
      <c r="B60" s="367">
        <v>435310</v>
      </c>
      <c r="C60" s="368" t="s">
        <v>1336</v>
      </c>
      <c r="D60" s="377">
        <v>95229</v>
      </c>
      <c r="E60" s="377">
        <v>21405.23</v>
      </c>
      <c r="F60" s="377">
        <v>107228</v>
      </c>
      <c r="G60" s="377">
        <f t="shared" si="3"/>
        <v>11999</v>
      </c>
      <c r="H60" s="369">
        <f t="shared" si="5"/>
        <v>0.12600153314641549</v>
      </c>
      <c r="I60" s="369">
        <f t="shared" si="4"/>
        <v>3.7717126416812719E-5</v>
      </c>
      <c r="J60" s="413"/>
      <c r="K60" s="79"/>
    </row>
    <row r="61" spans="1:11" s="39" customFormat="1" ht="58" x14ac:dyDescent="0.35">
      <c r="A61" s="37" t="s">
        <v>61</v>
      </c>
      <c r="B61" s="367">
        <v>427810</v>
      </c>
      <c r="C61" s="368" t="s">
        <v>3043</v>
      </c>
      <c r="D61" s="377">
        <v>810000</v>
      </c>
      <c r="E61" s="377">
        <v>718525.65</v>
      </c>
      <c r="F61" s="377">
        <v>820800</v>
      </c>
      <c r="G61" s="377">
        <f t="shared" si="3"/>
        <v>10800</v>
      </c>
      <c r="H61" s="369">
        <f t="shared" si="5"/>
        <v>1.3333333333333334E-2</v>
      </c>
      <c r="I61" s="369">
        <f t="shared" si="4"/>
        <v>3.3948242795364394E-5</v>
      </c>
      <c r="J61" s="413"/>
      <c r="K61" s="79"/>
    </row>
    <row r="62" spans="1:11" s="39" customFormat="1" ht="29" x14ac:dyDescent="0.35">
      <c r="A62" s="37" t="s">
        <v>61</v>
      </c>
      <c r="B62" s="367">
        <v>425763</v>
      </c>
      <c r="C62" s="368" t="s">
        <v>359</v>
      </c>
      <c r="D62" s="377">
        <v>2802590</v>
      </c>
      <c r="E62" s="377">
        <v>988267.84000000008</v>
      </c>
      <c r="F62" s="377">
        <v>2809795</v>
      </c>
      <c r="G62" s="377">
        <f t="shared" si="3"/>
        <v>7205</v>
      </c>
      <c r="H62" s="369">
        <f t="shared" si="5"/>
        <v>2.5708362621717769E-3</v>
      </c>
      <c r="I62" s="369">
        <f t="shared" si="4"/>
        <v>2.264787864264819E-5</v>
      </c>
      <c r="J62" s="413"/>
      <c r="K62" s="79"/>
    </row>
    <row r="63" spans="1:11" s="39" customFormat="1" ht="29" x14ac:dyDescent="0.35">
      <c r="A63" s="37" t="s">
        <v>61</v>
      </c>
      <c r="B63" s="367">
        <v>420810</v>
      </c>
      <c r="C63" s="368" t="s">
        <v>59</v>
      </c>
      <c r="D63" s="377">
        <v>0</v>
      </c>
      <c r="E63" s="377">
        <v>0</v>
      </c>
      <c r="F63" s="377">
        <v>0</v>
      </c>
      <c r="G63" s="377">
        <f t="shared" si="3"/>
        <v>0</v>
      </c>
      <c r="H63" s="369">
        <v>0</v>
      </c>
      <c r="I63" s="369">
        <f t="shared" si="4"/>
        <v>0</v>
      </c>
      <c r="J63" s="413"/>
      <c r="K63" s="79"/>
    </row>
    <row r="64" spans="1:11" s="39" customFormat="1" ht="29" x14ac:dyDescent="0.35">
      <c r="A64" s="37" t="s">
        <v>61</v>
      </c>
      <c r="B64" s="367">
        <v>422100</v>
      </c>
      <c r="C64" s="368" t="s">
        <v>1021</v>
      </c>
      <c r="D64" s="377">
        <v>12000</v>
      </c>
      <c r="E64" s="377">
        <v>0</v>
      </c>
      <c r="F64" s="377">
        <v>12000</v>
      </c>
      <c r="G64" s="377">
        <f t="shared" si="3"/>
        <v>0</v>
      </c>
      <c r="H64" s="369">
        <f>G64/D64</f>
        <v>0</v>
      </c>
      <c r="I64" s="369">
        <f t="shared" si="4"/>
        <v>0</v>
      </c>
      <c r="J64" s="413"/>
      <c r="K64" s="79"/>
    </row>
    <row r="65" spans="1:11" s="39" customFormat="1" ht="29" x14ac:dyDescent="0.35">
      <c r="A65" s="37" t="s">
        <v>61</v>
      </c>
      <c r="B65" s="367">
        <v>422400</v>
      </c>
      <c r="C65" s="368" t="s">
        <v>3039</v>
      </c>
      <c r="D65" s="377">
        <v>0</v>
      </c>
      <c r="E65" s="377">
        <v>0</v>
      </c>
      <c r="F65" s="377">
        <v>0</v>
      </c>
      <c r="G65" s="377">
        <f t="shared" si="3"/>
        <v>0</v>
      </c>
      <c r="H65" s="369">
        <v>0</v>
      </c>
      <c r="I65" s="369">
        <f t="shared" si="4"/>
        <v>0</v>
      </c>
      <c r="J65" s="413"/>
      <c r="K65" s="79"/>
    </row>
    <row r="66" spans="1:11" s="39" customFormat="1" ht="29" x14ac:dyDescent="0.35">
      <c r="A66" s="37" t="s">
        <v>61</v>
      </c>
      <c r="B66" s="367">
        <v>426210</v>
      </c>
      <c r="C66" s="368" t="s">
        <v>2551</v>
      </c>
      <c r="D66" s="377">
        <v>0</v>
      </c>
      <c r="E66" s="377">
        <v>0</v>
      </c>
      <c r="F66" s="377">
        <v>0</v>
      </c>
      <c r="G66" s="377">
        <f t="shared" si="3"/>
        <v>0</v>
      </c>
      <c r="H66" s="369">
        <v>0</v>
      </c>
      <c r="I66" s="369">
        <f t="shared" si="4"/>
        <v>0</v>
      </c>
      <c r="J66" s="413"/>
      <c r="K66" s="79"/>
    </row>
    <row r="67" spans="1:11" s="39" customFormat="1" ht="29" x14ac:dyDescent="0.35">
      <c r="A67" s="37" t="s">
        <v>61</v>
      </c>
      <c r="B67" s="367">
        <v>426220</v>
      </c>
      <c r="C67" s="368" t="s">
        <v>1477</v>
      </c>
      <c r="D67" s="377">
        <v>984151</v>
      </c>
      <c r="E67" s="377">
        <v>44981.51</v>
      </c>
      <c r="F67" s="377">
        <v>984151</v>
      </c>
      <c r="G67" s="377">
        <f t="shared" si="3"/>
        <v>0</v>
      </c>
      <c r="H67" s="369">
        <f>G67/D67</f>
        <v>0</v>
      </c>
      <c r="I67" s="369">
        <f t="shared" si="4"/>
        <v>0</v>
      </c>
      <c r="J67" s="413"/>
      <c r="K67" s="79"/>
    </row>
    <row r="68" spans="1:11" s="39" customFormat="1" ht="29" x14ac:dyDescent="0.35">
      <c r="A68" s="37" t="s">
        <v>61</v>
      </c>
      <c r="B68" s="367">
        <v>426250</v>
      </c>
      <c r="C68" s="368" t="s">
        <v>2442</v>
      </c>
      <c r="D68" s="377">
        <v>50000</v>
      </c>
      <c r="E68" s="377">
        <v>14718</v>
      </c>
      <c r="F68" s="377">
        <v>50000</v>
      </c>
      <c r="G68" s="377">
        <f t="shared" ref="G68:G99" si="6">F68-D68</f>
        <v>0</v>
      </c>
      <c r="H68" s="369">
        <f>G68/D68</f>
        <v>0</v>
      </c>
      <c r="I68" s="369">
        <f t="shared" ref="I68:I92" si="7">G68/$G$2</f>
        <v>0</v>
      </c>
      <c r="J68" s="413"/>
      <c r="K68" s="79"/>
    </row>
    <row r="69" spans="1:11" s="39" customFormat="1" ht="29" x14ac:dyDescent="0.35">
      <c r="A69" s="37" t="s">
        <v>61</v>
      </c>
      <c r="B69" s="367">
        <v>426290</v>
      </c>
      <c r="C69" s="368" t="s">
        <v>3046</v>
      </c>
      <c r="D69" s="377">
        <v>0</v>
      </c>
      <c r="E69" s="377">
        <v>0</v>
      </c>
      <c r="F69" s="377">
        <v>0</v>
      </c>
      <c r="G69" s="377">
        <f t="shared" si="6"/>
        <v>0</v>
      </c>
      <c r="H69" s="369">
        <v>0</v>
      </c>
      <c r="I69" s="369">
        <f t="shared" si="7"/>
        <v>0</v>
      </c>
      <c r="J69" s="413"/>
      <c r="K69" s="79"/>
    </row>
    <row r="70" spans="1:11" s="39" customFormat="1" ht="43.5" x14ac:dyDescent="0.35">
      <c r="A70" s="37" t="s">
        <v>61</v>
      </c>
      <c r="B70" s="367">
        <v>426800</v>
      </c>
      <c r="C70" s="368" t="s">
        <v>2552</v>
      </c>
      <c r="D70" s="377">
        <v>10000</v>
      </c>
      <c r="E70" s="377">
        <v>848</v>
      </c>
      <c r="F70" s="377">
        <v>10000</v>
      </c>
      <c r="G70" s="377">
        <f t="shared" si="6"/>
        <v>0</v>
      </c>
      <c r="H70" s="369">
        <f>G70/D70</f>
        <v>0</v>
      </c>
      <c r="I70" s="369">
        <f t="shared" si="7"/>
        <v>0</v>
      </c>
      <c r="J70" s="413"/>
      <c r="K70" s="79"/>
    </row>
    <row r="71" spans="1:11" s="39" customFormat="1" ht="43.5" x14ac:dyDescent="0.35">
      <c r="A71" s="37" t="s">
        <v>61</v>
      </c>
      <c r="B71" s="367">
        <v>427900</v>
      </c>
      <c r="C71" s="368" t="s">
        <v>1205</v>
      </c>
      <c r="D71" s="377">
        <v>15000</v>
      </c>
      <c r="E71" s="377">
        <v>0</v>
      </c>
      <c r="F71" s="377">
        <v>15000</v>
      </c>
      <c r="G71" s="377">
        <f t="shared" si="6"/>
        <v>0</v>
      </c>
      <c r="H71" s="369">
        <f>G71/D71</f>
        <v>0</v>
      </c>
      <c r="I71" s="369">
        <f t="shared" si="7"/>
        <v>0</v>
      </c>
      <c r="J71" s="413"/>
      <c r="K71" s="79"/>
    </row>
    <row r="72" spans="1:11" s="39" customFormat="1" ht="43.5" x14ac:dyDescent="0.35">
      <c r="A72" s="37" t="s">
        <v>61</v>
      </c>
      <c r="B72" s="367">
        <v>428400</v>
      </c>
      <c r="C72" s="368" t="s">
        <v>2726</v>
      </c>
      <c r="D72" s="377">
        <v>50000</v>
      </c>
      <c r="E72" s="377">
        <v>0</v>
      </c>
      <c r="F72" s="377">
        <v>50000</v>
      </c>
      <c r="G72" s="377">
        <f t="shared" si="6"/>
        <v>0</v>
      </c>
      <c r="H72" s="369">
        <f>G72/D72</f>
        <v>0</v>
      </c>
      <c r="I72" s="369">
        <f t="shared" si="7"/>
        <v>0</v>
      </c>
      <c r="J72" s="413"/>
      <c r="K72" s="79"/>
    </row>
    <row r="73" spans="1:11" s="39" customFormat="1" ht="29" x14ac:dyDescent="0.35">
      <c r="A73" s="37" t="s">
        <v>61</v>
      </c>
      <c r="B73" s="367">
        <v>430230</v>
      </c>
      <c r="C73" s="368" t="s">
        <v>160</v>
      </c>
      <c r="D73" s="377">
        <v>0</v>
      </c>
      <c r="E73" s="377">
        <v>0</v>
      </c>
      <c r="F73" s="377">
        <v>0</v>
      </c>
      <c r="G73" s="377">
        <f t="shared" si="6"/>
        <v>0</v>
      </c>
      <c r="H73" s="369">
        <v>0</v>
      </c>
      <c r="I73" s="369">
        <f t="shared" si="7"/>
        <v>0</v>
      </c>
      <c r="J73" s="413"/>
      <c r="K73" s="79"/>
    </row>
    <row r="74" spans="1:11" s="39" customFormat="1" ht="29" x14ac:dyDescent="0.35">
      <c r="A74" s="37" t="s">
        <v>61</v>
      </c>
      <c r="B74" s="367">
        <v>432540</v>
      </c>
      <c r="C74" s="368" t="s">
        <v>2554</v>
      </c>
      <c r="D74" s="377">
        <v>140000</v>
      </c>
      <c r="E74" s="377">
        <v>20578.84</v>
      </c>
      <c r="F74" s="377">
        <v>140000</v>
      </c>
      <c r="G74" s="377">
        <f t="shared" si="6"/>
        <v>0</v>
      </c>
      <c r="H74" s="369">
        <f>G74/D74</f>
        <v>0</v>
      </c>
      <c r="I74" s="369">
        <f t="shared" si="7"/>
        <v>0</v>
      </c>
      <c r="J74" s="413"/>
      <c r="K74" s="79"/>
    </row>
    <row r="75" spans="1:11" s="39" customFormat="1" ht="58" x14ac:dyDescent="0.35">
      <c r="A75" s="37" t="s">
        <v>61</v>
      </c>
      <c r="B75" s="367">
        <v>432690</v>
      </c>
      <c r="C75" s="368" t="s">
        <v>651</v>
      </c>
      <c r="D75" s="377">
        <v>0</v>
      </c>
      <c r="E75" s="377">
        <v>0</v>
      </c>
      <c r="F75" s="377">
        <v>0</v>
      </c>
      <c r="G75" s="377">
        <f t="shared" si="6"/>
        <v>0</v>
      </c>
      <c r="H75" s="369">
        <v>0</v>
      </c>
      <c r="I75" s="369">
        <f t="shared" si="7"/>
        <v>0</v>
      </c>
      <c r="J75" s="413"/>
      <c r="K75" s="79"/>
    </row>
    <row r="76" spans="1:11" s="39" customFormat="1" ht="29" x14ac:dyDescent="0.35">
      <c r="A76" s="37" t="s">
        <v>61</v>
      </c>
      <c r="B76" s="367">
        <v>435410</v>
      </c>
      <c r="C76" s="368" t="s">
        <v>2590</v>
      </c>
      <c r="D76" s="377">
        <v>840000</v>
      </c>
      <c r="E76" s="377">
        <v>357963.58</v>
      </c>
      <c r="F76" s="377">
        <v>840000</v>
      </c>
      <c r="G76" s="377">
        <f t="shared" si="6"/>
        <v>0</v>
      </c>
      <c r="H76" s="369">
        <f>G76/D76</f>
        <v>0</v>
      </c>
      <c r="I76" s="369">
        <f t="shared" si="7"/>
        <v>0</v>
      </c>
      <c r="J76" s="413"/>
      <c r="K76" s="79"/>
    </row>
    <row r="77" spans="1:11" s="39" customFormat="1" ht="29" x14ac:dyDescent="0.35">
      <c r="A77" s="37" t="s">
        <v>61</v>
      </c>
      <c r="B77" s="367">
        <v>435510</v>
      </c>
      <c r="C77" s="368" t="s">
        <v>3045</v>
      </c>
      <c r="D77" s="377">
        <v>0</v>
      </c>
      <c r="E77" s="377">
        <v>0</v>
      </c>
      <c r="F77" s="377">
        <v>0</v>
      </c>
      <c r="G77" s="377">
        <f t="shared" si="6"/>
        <v>0</v>
      </c>
      <c r="H77" s="369">
        <v>0</v>
      </c>
      <c r="I77" s="369">
        <f t="shared" si="7"/>
        <v>0</v>
      </c>
      <c r="J77" s="413"/>
      <c r="K77" s="79"/>
    </row>
    <row r="78" spans="1:11" s="39" customFormat="1" ht="43.5" x14ac:dyDescent="0.35">
      <c r="A78" s="37" t="s">
        <v>61</v>
      </c>
      <c r="B78" s="367">
        <v>435740</v>
      </c>
      <c r="C78" s="368" t="s">
        <v>2593</v>
      </c>
      <c r="D78" s="377">
        <v>336000</v>
      </c>
      <c r="E78" s="377">
        <v>266719.75</v>
      </c>
      <c r="F78" s="377">
        <v>336000</v>
      </c>
      <c r="G78" s="377">
        <f t="shared" si="6"/>
        <v>0</v>
      </c>
      <c r="H78" s="369">
        <f>G78/D78</f>
        <v>0</v>
      </c>
      <c r="I78" s="369">
        <f t="shared" si="7"/>
        <v>0</v>
      </c>
      <c r="J78" s="413"/>
      <c r="K78" s="79"/>
    </row>
    <row r="79" spans="1:11" s="39" customFormat="1" x14ac:dyDescent="0.35">
      <c r="A79" s="37" t="s">
        <v>61</v>
      </c>
      <c r="B79" s="367">
        <v>436220</v>
      </c>
      <c r="C79" s="368" t="s">
        <v>2555</v>
      </c>
      <c r="D79" s="377">
        <v>0</v>
      </c>
      <c r="E79" s="377">
        <v>0</v>
      </c>
      <c r="F79" s="377">
        <v>0</v>
      </c>
      <c r="G79" s="377">
        <f t="shared" si="6"/>
        <v>0</v>
      </c>
      <c r="H79" s="369">
        <v>0</v>
      </c>
      <c r="I79" s="369">
        <f t="shared" si="7"/>
        <v>0</v>
      </c>
      <c r="J79" s="413"/>
      <c r="K79" s="79"/>
    </row>
    <row r="80" spans="1:11" s="39" customFormat="1" ht="29" x14ac:dyDescent="0.35">
      <c r="A80" s="37" t="s">
        <v>61</v>
      </c>
      <c r="B80" s="367">
        <v>425300</v>
      </c>
      <c r="C80" s="368" t="s">
        <v>1164</v>
      </c>
      <c r="D80" s="377">
        <v>3600</v>
      </c>
      <c r="E80" s="377">
        <v>246.14</v>
      </c>
      <c r="F80" s="377">
        <v>2400</v>
      </c>
      <c r="G80" s="377">
        <f t="shared" si="6"/>
        <v>-1200</v>
      </c>
      <c r="H80" s="369">
        <f t="shared" ref="H80:H92" si="8">G80/D80</f>
        <v>-0.33333333333333331</v>
      </c>
      <c r="I80" s="369">
        <f t="shared" si="7"/>
        <v>-3.7720269772627102E-6</v>
      </c>
      <c r="J80" s="413"/>
      <c r="K80" s="79"/>
    </row>
    <row r="81" spans="1:11" s="39" customFormat="1" ht="43.5" x14ac:dyDescent="0.35">
      <c r="A81" s="37" t="s">
        <v>61</v>
      </c>
      <c r="B81" s="367">
        <v>426900</v>
      </c>
      <c r="C81" s="368" t="s">
        <v>1080</v>
      </c>
      <c r="D81" s="377">
        <v>72000</v>
      </c>
      <c r="E81" s="377">
        <v>11503.29</v>
      </c>
      <c r="F81" s="377">
        <v>56190</v>
      </c>
      <c r="G81" s="377">
        <f t="shared" si="6"/>
        <v>-15810</v>
      </c>
      <c r="H81" s="369">
        <f t="shared" si="8"/>
        <v>-0.21958333333333332</v>
      </c>
      <c r="I81" s="369">
        <f t="shared" si="7"/>
        <v>-4.9696455425436207E-5</v>
      </c>
      <c r="J81" s="413"/>
      <c r="K81" s="79"/>
    </row>
    <row r="82" spans="1:11" s="39" customFormat="1" ht="43.5" x14ac:dyDescent="0.35">
      <c r="A82" s="37" t="s">
        <v>61</v>
      </c>
      <c r="B82" s="367">
        <v>436340</v>
      </c>
      <c r="C82" s="368" t="s">
        <v>3349</v>
      </c>
      <c r="D82" s="377">
        <v>20000</v>
      </c>
      <c r="E82" s="377">
        <v>0</v>
      </c>
      <c r="F82" s="377">
        <v>0</v>
      </c>
      <c r="G82" s="377">
        <f t="shared" si="6"/>
        <v>-20000</v>
      </c>
      <c r="H82" s="369">
        <f t="shared" si="8"/>
        <v>-1</v>
      </c>
      <c r="I82" s="369">
        <f t="shared" si="7"/>
        <v>-6.2867116287711834E-5</v>
      </c>
      <c r="J82" s="413"/>
      <c r="K82" s="79"/>
    </row>
    <row r="83" spans="1:11" s="39" customFormat="1" ht="43.5" x14ac:dyDescent="0.35">
      <c r="A83" s="37" t="s">
        <v>61</v>
      </c>
      <c r="B83" s="367">
        <v>435519</v>
      </c>
      <c r="C83" s="368" t="s">
        <v>2348</v>
      </c>
      <c r="D83" s="377">
        <v>155000</v>
      </c>
      <c r="E83" s="377">
        <v>43812</v>
      </c>
      <c r="F83" s="377">
        <v>135000</v>
      </c>
      <c r="G83" s="377">
        <f t="shared" si="6"/>
        <v>-20000</v>
      </c>
      <c r="H83" s="369">
        <f t="shared" si="8"/>
        <v>-0.12903225806451613</v>
      </c>
      <c r="I83" s="369">
        <f t="shared" si="7"/>
        <v>-6.2867116287711834E-5</v>
      </c>
      <c r="J83" s="413"/>
      <c r="K83" s="79"/>
    </row>
    <row r="84" spans="1:11" s="39" customFormat="1" ht="29" x14ac:dyDescent="0.35">
      <c r="A84" s="37" t="s">
        <v>61</v>
      </c>
      <c r="B84" s="367">
        <v>420130</v>
      </c>
      <c r="C84" s="368" t="s">
        <v>1151</v>
      </c>
      <c r="D84" s="377">
        <v>295000</v>
      </c>
      <c r="E84" s="377">
        <v>171100</v>
      </c>
      <c r="F84" s="377">
        <v>236850</v>
      </c>
      <c r="G84" s="377">
        <f t="shared" si="6"/>
        <v>-58150</v>
      </c>
      <c r="H84" s="369">
        <f t="shared" si="8"/>
        <v>-0.19711864406779661</v>
      </c>
      <c r="I84" s="369">
        <f t="shared" si="7"/>
        <v>-1.8278614060652216E-4</v>
      </c>
      <c r="J84" s="413"/>
      <c r="K84" s="79"/>
    </row>
    <row r="85" spans="1:11" s="39" customFormat="1" ht="43.5" x14ac:dyDescent="0.35">
      <c r="A85" s="37" t="s">
        <v>61</v>
      </c>
      <c r="B85" s="367">
        <v>428200</v>
      </c>
      <c r="C85" s="368" t="s">
        <v>2383</v>
      </c>
      <c r="D85" s="377">
        <v>890000</v>
      </c>
      <c r="E85" s="377">
        <v>638092.87</v>
      </c>
      <c r="F85" s="377">
        <v>690000</v>
      </c>
      <c r="G85" s="377">
        <f t="shared" si="6"/>
        <v>-200000</v>
      </c>
      <c r="H85" s="369">
        <f t="shared" si="8"/>
        <v>-0.2247191011235955</v>
      </c>
      <c r="I85" s="369">
        <f t="shared" si="7"/>
        <v>-6.2867116287711839E-4</v>
      </c>
      <c r="J85" s="413"/>
      <c r="K85" s="79"/>
    </row>
    <row r="86" spans="1:11" s="39" customFormat="1" ht="29" x14ac:dyDescent="0.35">
      <c r="A86" s="37" t="s">
        <v>61</v>
      </c>
      <c r="B86" s="367">
        <v>425747</v>
      </c>
      <c r="C86" s="368" t="s">
        <v>2550</v>
      </c>
      <c r="D86" s="377">
        <v>225000</v>
      </c>
      <c r="E86" s="377">
        <v>81632</v>
      </c>
      <c r="F86" s="377">
        <v>0</v>
      </c>
      <c r="G86" s="377">
        <f t="shared" si="6"/>
        <v>-225000</v>
      </c>
      <c r="H86" s="369">
        <f t="shared" si="8"/>
        <v>-1</v>
      </c>
      <c r="I86" s="369">
        <f t="shared" si="7"/>
        <v>-7.0725505823675814E-4</v>
      </c>
      <c r="J86" s="413"/>
      <c r="K86" s="79"/>
    </row>
    <row r="87" spans="1:11" s="39" customFormat="1" ht="29" x14ac:dyDescent="0.35">
      <c r="A87" s="37" t="s">
        <v>61</v>
      </c>
      <c r="B87" s="367">
        <v>425743</v>
      </c>
      <c r="C87" s="368" t="s">
        <v>1590</v>
      </c>
      <c r="D87" s="377">
        <v>240000</v>
      </c>
      <c r="E87" s="377">
        <v>240000</v>
      </c>
      <c r="F87" s="377">
        <v>0</v>
      </c>
      <c r="G87" s="377">
        <f t="shared" si="6"/>
        <v>-240000</v>
      </c>
      <c r="H87" s="369">
        <f t="shared" si="8"/>
        <v>-1</v>
      </c>
      <c r="I87" s="369">
        <f t="shared" si="7"/>
        <v>-7.5440539545254212E-4</v>
      </c>
      <c r="J87" s="413"/>
      <c r="K87" s="79"/>
    </row>
    <row r="88" spans="1:11" s="39" customFormat="1" ht="43.5" x14ac:dyDescent="0.35">
      <c r="A88" s="37" t="s">
        <v>61</v>
      </c>
      <c r="B88" s="367">
        <v>420310</v>
      </c>
      <c r="C88" s="368" t="s">
        <v>3038</v>
      </c>
      <c r="D88" s="377">
        <v>9167788</v>
      </c>
      <c r="E88" s="377">
        <v>9126376.8100000005</v>
      </c>
      <c r="F88" s="377">
        <v>8921788</v>
      </c>
      <c r="G88" s="377">
        <f t="shared" si="6"/>
        <v>-246000</v>
      </c>
      <c r="H88" s="369">
        <f t="shared" si="8"/>
        <v>-2.683308121871928E-2</v>
      </c>
      <c r="I88" s="369">
        <f t="shared" si="7"/>
        <v>-7.732655303388556E-4</v>
      </c>
      <c r="J88" s="413"/>
      <c r="K88" s="79"/>
    </row>
    <row r="89" spans="1:11" s="39" customFormat="1" ht="29" x14ac:dyDescent="0.35">
      <c r="A89" s="37" t="s">
        <v>61</v>
      </c>
      <c r="B89" s="367">
        <v>421600</v>
      </c>
      <c r="C89" s="368" t="s">
        <v>1475</v>
      </c>
      <c r="D89" s="377">
        <v>9282680</v>
      </c>
      <c r="E89" s="377">
        <v>8651860.459999999</v>
      </c>
      <c r="F89" s="377">
        <v>8915130</v>
      </c>
      <c r="G89" s="377">
        <f t="shared" si="6"/>
        <v>-367550</v>
      </c>
      <c r="H89" s="369">
        <f t="shared" si="8"/>
        <v>-3.9595246200450733E-2</v>
      </c>
      <c r="I89" s="369">
        <f t="shared" si="7"/>
        <v>-1.1553404295774243E-3</v>
      </c>
      <c r="J89" s="413"/>
      <c r="K89" s="79"/>
    </row>
    <row r="90" spans="1:11" s="39" customFormat="1" ht="58" x14ac:dyDescent="0.35">
      <c r="A90" s="37" t="s">
        <v>61</v>
      </c>
      <c r="B90" s="367">
        <v>427850</v>
      </c>
      <c r="C90" s="368" t="s">
        <v>3044</v>
      </c>
      <c r="D90" s="377">
        <v>2618028</v>
      </c>
      <c r="E90" s="377">
        <v>744317</v>
      </c>
      <c r="F90" s="377">
        <v>2018028</v>
      </c>
      <c r="G90" s="377">
        <f t="shared" si="6"/>
        <v>-600000</v>
      </c>
      <c r="H90" s="369">
        <f t="shared" si="8"/>
        <v>-0.22918013099936288</v>
      </c>
      <c r="I90" s="369">
        <f t="shared" si="7"/>
        <v>-1.8860134886313552E-3</v>
      </c>
      <c r="J90" s="413"/>
      <c r="K90" s="79"/>
    </row>
    <row r="91" spans="1:11" s="39" customFormat="1" ht="29" x14ac:dyDescent="0.35">
      <c r="A91" s="37" t="s">
        <v>61</v>
      </c>
      <c r="B91" s="367">
        <v>425744</v>
      </c>
      <c r="C91" s="368" t="s">
        <v>1592</v>
      </c>
      <c r="D91" s="377">
        <v>4816800</v>
      </c>
      <c r="E91" s="377">
        <v>588624.56999999995</v>
      </c>
      <c r="F91" s="377">
        <v>3700000</v>
      </c>
      <c r="G91" s="377">
        <f t="shared" si="6"/>
        <v>-1116800</v>
      </c>
      <c r="H91" s="369">
        <f t="shared" si="8"/>
        <v>-0.23185517355920943</v>
      </c>
      <c r="I91" s="369">
        <f t="shared" si="7"/>
        <v>-3.5104997735058291E-3</v>
      </c>
      <c r="J91" s="413"/>
      <c r="K91" s="79"/>
    </row>
    <row r="92" spans="1:11" s="39" customFormat="1" ht="43.5" x14ac:dyDescent="0.35">
      <c r="A92" s="37" t="s">
        <v>61</v>
      </c>
      <c r="B92" s="367">
        <v>421100</v>
      </c>
      <c r="C92" s="368" t="s">
        <v>3042</v>
      </c>
      <c r="D92" s="377">
        <v>1418480</v>
      </c>
      <c r="E92" s="377">
        <v>1155070.23</v>
      </c>
      <c r="F92" s="377">
        <v>0</v>
      </c>
      <c r="G92" s="377">
        <f t="shared" si="6"/>
        <v>-1418480</v>
      </c>
      <c r="H92" s="369">
        <f t="shared" si="8"/>
        <v>-1</v>
      </c>
      <c r="I92" s="369">
        <f t="shared" si="7"/>
        <v>-4.4587873555896745E-3</v>
      </c>
      <c r="J92" s="413"/>
      <c r="K92" s="79"/>
    </row>
    <row r="93" spans="1:11" x14ac:dyDescent="0.35">
      <c r="D93" s="378">
        <f>SUM(D4:D92)</f>
        <v>579850000</v>
      </c>
      <c r="E93" s="378">
        <f>SUM(E4:E92)</f>
        <v>273206238.62</v>
      </c>
      <c r="F93" s="378">
        <f t="shared" ref="F93:G93" si="9">SUM(F4:F92)</f>
        <v>897981340.85027611</v>
      </c>
      <c r="G93" s="378">
        <f t="shared" si="9"/>
        <v>318131340.85027611</v>
      </c>
    </row>
  </sheetData>
  <autoFilter ref="A3:J92"/>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topLeftCell="B1" zoomScale="80" zoomScaleNormal="80" workbookViewId="0">
      <pane ySplit="3" topLeftCell="A4" activePane="bottomLeft" state="frozen"/>
      <selection pane="bottomLeft" activeCell="B1" sqref="B1"/>
    </sheetView>
  </sheetViews>
  <sheetFormatPr defaultRowHeight="14.5" x14ac:dyDescent="0.35"/>
  <cols>
    <col min="1" max="1" width="19.7265625" hidden="1" customWidth="1"/>
    <col min="2" max="2" width="13.453125" style="8" customWidth="1"/>
    <col min="3" max="3" width="22.90625" style="13" customWidth="1"/>
    <col min="4" max="4" width="16.08984375" bestFit="1" customWidth="1"/>
    <col min="5" max="5" width="16.08984375" customWidth="1"/>
    <col min="6" max="6" width="18.08984375" bestFit="1" customWidth="1"/>
    <col min="7" max="7" width="15.26953125" bestFit="1" customWidth="1"/>
    <col min="8" max="8" width="19" customWidth="1"/>
    <col min="9" max="9" width="20.54296875" customWidth="1"/>
    <col min="10" max="10" width="58.6328125" customWidth="1"/>
    <col min="12" max="12" width="5.81640625" bestFit="1" customWidth="1"/>
    <col min="13" max="13" width="14.6328125" bestFit="1" customWidth="1"/>
  </cols>
  <sheetData>
    <row r="1" spans="1:10" ht="18.5" x14ac:dyDescent="0.35">
      <c r="C1" s="379" t="s">
        <v>3410</v>
      </c>
    </row>
    <row r="2" spans="1:10" ht="15" thickBot="1" x14ac:dyDescent="0.4">
      <c r="A2" s="283"/>
      <c r="B2" s="292"/>
      <c r="C2" s="373" t="s">
        <v>2787</v>
      </c>
      <c r="D2" s="375">
        <f>SUM(D4:D13)</f>
        <v>110301000</v>
      </c>
      <c r="E2" s="375">
        <f>SUM(E4:E13)</f>
        <v>101082740.41999999</v>
      </c>
      <c r="F2" s="375">
        <f>SUM(F4:F13)</f>
        <v>279895425</v>
      </c>
      <c r="G2" s="375">
        <f>SUM(G4:G13)</f>
        <v>169594425</v>
      </c>
      <c r="H2" s="372"/>
      <c r="I2" s="372"/>
      <c r="J2" s="288"/>
    </row>
    <row r="3" spans="1:10" s="282" customFormat="1" ht="44" thickTop="1" x14ac:dyDescent="0.35">
      <c r="A3" s="286" t="s">
        <v>3343</v>
      </c>
      <c r="B3" s="290" t="s">
        <v>7</v>
      </c>
      <c r="C3" s="287" t="s">
        <v>3341</v>
      </c>
      <c r="D3" s="286" t="s">
        <v>3335</v>
      </c>
      <c r="E3" s="394" t="s">
        <v>3415</v>
      </c>
      <c r="F3" s="286" t="s">
        <v>23</v>
      </c>
      <c r="G3" s="287" t="s">
        <v>3357</v>
      </c>
      <c r="H3" s="287" t="s">
        <v>3356</v>
      </c>
      <c r="I3" s="287" t="s">
        <v>3359</v>
      </c>
      <c r="J3" s="286" t="s">
        <v>330</v>
      </c>
    </row>
    <row r="4" spans="1:10" s="39" customFormat="1" ht="116" x14ac:dyDescent="0.35">
      <c r="A4" s="37" t="s">
        <v>192</v>
      </c>
      <c r="B4" s="91">
        <v>492316</v>
      </c>
      <c r="C4" s="289" t="s">
        <v>221</v>
      </c>
      <c r="D4" s="38">
        <v>54372197</v>
      </c>
      <c r="E4" s="38">
        <v>48639176.25</v>
      </c>
      <c r="F4" s="38">
        <v>150888360</v>
      </c>
      <c r="G4" s="38">
        <f t="shared" ref="G4:G13" si="0">F4-D4</f>
        <v>96516163</v>
      </c>
      <c r="H4" s="281">
        <f t="shared" ref="H4:H9" si="1">G4/D4</f>
        <v>1.7751013997098555</v>
      </c>
      <c r="I4" s="281">
        <f>G4/$G$2</f>
        <v>0.56909985690862186</v>
      </c>
      <c r="J4" s="437" t="s">
        <v>3453</v>
      </c>
    </row>
    <row r="5" spans="1:10" s="39" customFormat="1" ht="116" x14ac:dyDescent="0.35">
      <c r="A5" s="37" t="s">
        <v>192</v>
      </c>
      <c r="B5" s="91">
        <v>492200</v>
      </c>
      <c r="C5" s="289" t="s">
        <v>2475</v>
      </c>
      <c r="D5" s="38">
        <v>46279509</v>
      </c>
      <c r="E5" s="38">
        <v>44899320.489999995</v>
      </c>
      <c r="F5" s="38">
        <v>104517560</v>
      </c>
      <c r="G5" s="38">
        <f t="shared" si="0"/>
        <v>58238051</v>
      </c>
      <c r="H5" s="281">
        <f t="shared" si="1"/>
        <v>1.2583982038357409</v>
      </c>
      <c r="I5" s="281">
        <f t="shared" ref="I5:I13" si="2">G5/$G$2</f>
        <v>0.34339602259920987</v>
      </c>
      <c r="J5" s="438" t="s">
        <v>3454</v>
      </c>
    </row>
    <row r="6" spans="1:10" s="39" customFormat="1" ht="87" x14ac:dyDescent="0.35">
      <c r="A6" s="37" t="s">
        <v>192</v>
      </c>
      <c r="B6" s="91">
        <v>492610</v>
      </c>
      <c r="C6" s="289" t="s">
        <v>2537</v>
      </c>
      <c r="D6" s="38">
        <v>2099461</v>
      </c>
      <c r="E6" s="38">
        <v>884839</v>
      </c>
      <c r="F6" s="38">
        <v>6326594</v>
      </c>
      <c r="G6" s="38">
        <f t="shared" si="0"/>
        <v>4227133</v>
      </c>
      <c r="H6" s="281">
        <f t="shared" si="1"/>
        <v>2.0134372584201374</v>
      </c>
      <c r="I6" s="281">
        <f t="shared" si="2"/>
        <v>2.4924952574354963E-2</v>
      </c>
      <c r="J6" s="21" t="s">
        <v>3350</v>
      </c>
    </row>
    <row r="7" spans="1:10" s="39" customFormat="1" ht="58" x14ac:dyDescent="0.35">
      <c r="A7" s="37" t="s">
        <v>192</v>
      </c>
      <c r="B7" s="91">
        <v>495113</v>
      </c>
      <c r="C7" s="289" t="s">
        <v>214</v>
      </c>
      <c r="D7" s="38">
        <v>1630974</v>
      </c>
      <c r="E7" s="38">
        <v>1263794.83</v>
      </c>
      <c r="F7" s="38">
        <v>5722572</v>
      </c>
      <c r="G7" s="38">
        <f t="shared" si="0"/>
        <v>4091598</v>
      </c>
      <c r="H7" s="281">
        <f t="shared" si="1"/>
        <v>2.5086837681042127</v>
      </c>
      <c r="I7" s="281">
        <f t="shared" si="2"/>
        <v>2.4125781257255362E-2</v>
      </c>
      <c r="J7" s="21" t="s">
        <v>3366</v>
      </c>
    </row>
    <row r="8" spans="1:10" s="39" customFormat="1" ht="101.5" x14ac:dyDescent="0.35">
      <c r="A8" s="37" t="s">
        <v>192</v>
      </c>
      <c r="B8" s="91">
        <v>492356</v>
      </c>
      <c r="C8" s="289" t="s">
        <v>206</v>
      </c>
      <c r="D8" s="38">
        <v>650000</v>
      </c>
      <c r="E8" s="38">
        <v>583836</v>
      </c>
      <c r="F8" s="38">
        <v>4018539</v>
      </c>
      <c r="G8" s="38">
        <f t="shared" si="0"/>
        <v>3368539</v>
      </c>
      <c r="H8" s="281">
        <f t="shared" si="1"/>
        <v>5.1823676923076922</v>
      </c>
      <c r="I8" s="281">
        <f t="shared" si="2"/>
        <v>1.9862321535628308E-2</v>
      </c>
      <c r="J8" s="21" t="s">
        <v>3367</v>
      </c>
    </row>
    <row r="9" spans="1:10" s="39" customFormat="1" ht="58" x14ac:dyDescent="0.35">
      <c r="A9" s="37" t="s">
        <v>192</v>
      </c>
      <c r="B9" s="91">
        <v>492354</v>
      </c>
      <c r="C9" s="289" t="s">
        <v>204</v>
      </c>
      <c r="D9" s="38">
        <v>321500</v>
      </c>
      <c r="E9" s="38">
        <v>321320</v>
      </c>
      <c r="F9" s="38">
        <v>2238800</v>
      </c>
      <c r="G9" s="38">
        <f t="shared" si="0"/>
        <v>1917300</v>
      </c>
      <c r="H9" s="281">
        <f t="shared" si="1"/>
        <v>5.9636080870917576</v>
      </c>
      <c r="I9" s="281">
        <f t="shared" si="2"/>
        <v>1.1305206524330031E-2</v>
      </c>
      <c r="J9" s="37"/>
    </row>
    <row r="10" spans="1:10" s="39" customFormat="1" ht="29" x14ac:dyDescent="0.35">
      <c r="A10" s="37" t="s">
        <v>192</v>
      </c>
      <c r="B10" s="91">
        <v>495110</v>
      </c>
      <c r="C10" s="289" t="s">
        <v>213</v>
      </c>
      <c r="D10" s="38">
        <v>0</v>
      </c>
      <c r="E10" s="38">
        <v>0</v>
      </c>
      <c r="F10" s="38">
        <v>1859500</v>
      </c>
      <c r="G10" s="38">
        <f t="shared" si="0"/>
        <v>1859500</v>
      </c>
      <c r="H10" s="281">
        <v>1</v>
      </c>
      <c r="I10" s="281">
        <f t="shared" si="2"/>
        <v>1.0964393434512956E-2</v>
      </c>
      <c r="J10" s="37"/>
    </row>
    <row r="11" spans="1:10" s="39" customFormat="1" ht="29" x14ac:dyDescent="0.35">
      <c r="A11" s="37" t="s">
        <v>192</v>
      </c>
      <c r="B11" s="291">
        <v>492310</v>
      </c>
      <c r="C11" s="289" t="s">
        <v>191</v>
      </c>
      <c r="D11" s="38">
        <v>2884648</v>
      </c>
      <c r="E11" s="38">
        <v>2444879</v>
      </c>
      <c r="F11" s="38">
        <v>2916500</v>
      </c>
      <c r="G11" s="38">
        <f t="shared" si="0"/>
        <v>31852</v>
      </c>
      <c r="H11" s="281">
        <f>G11/D11</f>
        <v>1.1041901819563427E-2</v>
      </c>
      <c r="I11" s="281">
        <f t="shared" si="2"/>
        <v>1.8781277745421172E-4</v>
      </c>
      <c r="J11" s="37"/>
    </row>
    <row r="12" spans="1:10" s="39" customFormat="1" ht="29" x14ac:dyDescent="0.35">
      <c r="A12" s="37" t="s">
        <v>192</v>
      </c>
      <c r="B12" s="91">
        <v>495140</v>
      </c>
      <c r="C12" s="289" t="s">
        <v>541</v>
      </c>
      <c r="D12" s="38">
        <v>46409</v>
      </c>
      <c r="E12" s="38">
        <v>30302.25</v>
      </c>
      <c r="F12" s="38">
        <v>18000</v>
      </c>
      <c r="G12" s="38">
        <f t="shared" si="0"/>
        <v>-28409</v>
      </c>
      <c r="H12" s="281">
        <f>G12/D12</f>
        <v>-0.61214419616884652</v>
      </c>
      <c r="I12" s="281">
        <f t="shared" si="2"/>
        <v>-1.6751140257116351E-4</v>
      </c>
      <c r="J12" s="37"/>
    </row>
    <row r="13" spans="1:10" s="39" customFormat="1" ht="43.5" x14ac:dyDescent="0.35">
      <c r="A13" s="37" t="s">
        <v>192</v>
      </c>
      <c r="B13" s="91">
        <v>492352</v>
      </c>
      <c r="C13" s="289" t="s">
        <v>198</v>
      </c>
      <c r="D13" s="38">
        <v>2016302</v>
      </c>
      <c r="E13" s="38">
        <v>2015272.6</v>
      </c>
      <c r="F13" s="38">
        <v>1389000</v>
      </c>
      <c r="G13" s="38">
        <f t="shared" si="0"/>
        <v>-627302</v>
      </c>
      <c r="H13" s="281">
        <f>G13/D13</f>
        <v>-0.31111510081327104</v>
      </c>
      <c r="I13" s="281">
        <f t="shared" si="2"/>
        <v>-3.6988362087963683E-3</v>
      </c>
      <c r="J13" s="37"/>
    </row>
    <row r="14" spans="1:10" x14ac:dyDescent="0.35">
      <c r="D14" s="54">
        <f>SUM(D4:D13)</f>
        <v>110301000</v>
      </c>
      <c r="E14" s="54">
        <f>SUM(E4:E13)</f>
        <v>101082740.41999999</v>
      </c>
      <c r="F14" s="54">
        <f>SUM(F4:F13)</f>
        <v>279895425</v>
      </c>
      <c r="G14" s="54">
        <f>SUM(G4:G13)</f>
        <v>169594425</v>
      </c>
    </row>
    <row r="15" spans="1:10" x14ac:dyDescent="0.35">
      <c r="E15" s="40">
        <v>273206238.62</v>
      </c>
      <c r="G15" s="40"/>
    </row>
    <row r="16" spans="1:10" x14ac:dyDescent="0.35">
      <c r="D16" s="40"/>
      <c r="E16" s="40">
        <f>SUM(E14:E15)</f>
        <v>374288979.03999996</v>
      </c>
      <c r="F16" s="40"/>
      <c r="G16" s="40"/>
    </row>
    <row r="17" spans="4:7" x14ac:dyDescent="0.35">
      <c r="D17" s="54"/>
      <c r="E17" s="54"/>
      <c r="F17" s="54"/>
      <c r="G17" s="54"/>
    </row>
  </sheetData>
  <sortState ref="A2:K102">
    <sortCondition ref="A2:A102"/>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B799"/>
  <sheetViews>
    <sheetView tabSelected="1" zoomScale="80" zoomScaleNormal="80" workbookViewId="0">
      <pane ySplit="1" topLeftCell="A2" activePane="bottomLeft" state="frozen"/>
      <selection activeCell="C1" sqref="C1"/>
      <selection pane="bottomLeft" activeCell="S742" sqref="S742"/>
    </sheetView>
  </sheetViews>
  <sheetFormatPr defaultRowHeight="14.5" x14ac:dyDescent="0.35"/>
  <cols>
    <col min="1" max="1" width="32.6328125" customWidth="1"/>
    <col min="2" max="2" width="42.08984375" customWidth="1"/>
    <col min="3" max="3" width="19.453125" customWidth="1"/>
    <col min="4" max="4" width="41.7265625" customWidth="1"/>
    <col min="5" max="5" width="24.54296875" style="8" customWidth="1"/>
    <col min="6" max="6" width="34.7265625" customWidth="1"/>
    <col min="7" max="7" width="19.1796875" customWidth="1"/>
    <col min="8" max="8" width="23.81640625" customWidth="1"/>
    <col min="9" max="9" width="10.08984375" customWidth="1"/>
    <col min="10" max="10" width="14.6328125" customWidth="1"/>
    <col min="11" max="14" width="17" customWidth="1"/>
    <col min="15" max="15" width="30.54296875" customWidth="1"/>
    <col min="16" max="16" width="17.54296875" customWidth="1"/>
    <col min="17" max="17" width="14.453125" customWidth="1"/>
    <col min="18" max="18" width="17" customWidth="1"/>
    <col min="19" max="22" width="18" customWidth="1"/>
    <col min="23" max="23" width="17" customWidth="1"/>
    <col min="24" max="24" width="17" style="40" customWidth="1"/>
    <col min="25" max="25" width="14.7265625" customWidth="1"/>
    <col min="26" max="26" width="15" customWidth="1"/>
    <col min="27" max="27" width="10.08984375" bestFit="1" customWidth="1"/>
    <col min="28" max="28" width="20.6328125" bestFit="1" customWidth="1"/>
    <col min="30" max="30" width="34.6328125" bestFit="1" customWidth="1"/>
  </cols>
  <sheetData>
    <row r="1" spans="1:25" ht="29" x14ac:dyDescent="0.35">
      <c r="A1" s="4" t="s">
        <v>2</v>
      </c>
      <c r="B1" s="4" t="s">
        <v>14</v>
      </c>
      <c r="C1" s="4" t="s">
        <v>4</v>
      </c>
      <c r="D1" s="4" t="s">
        <v>5</v>
      </c>
      <c r="E1" s="5" t="s">
        <v>7</v>
      </c>
      <c r="F1" s="4" t="s">
        <v>8</v>
      </c>
      <c r="G1" s="4" t="s">
        <v>3028</v>
      </c>
      <c r="H1" s="4" t="s">
        <v>3030</v>
      </c>
      <c r="I1" s="4" t="s">
        <v>3029</v>
      </c>
      <c r="J1" s="4" t="s">
        <v>3031</v>
      </c>
      <c r="K1" s="4" t="s">
        <v>2905</v>
      </c>
      <c r="L1" s="4" t="s">
        <v>2904</v>
      </c>
      <c r="M1" s="4" t="s">
        <v>2906</v>
      </c>
      <c r="N1" s="4" t="s">
        <v>16</v>
      </c>
      <c r="O1" s="4" t="s">
        <v>17</v>
      </c>
      <c r="P1" s="4" t="s">
        <v>3050</v>
      </c>
      <c r="Q1" s="4" t="s">
        <v>2838</v>
      </c>
      <c r="R1" s="4" t="s">
        <v>2839</v>
      </c>
      <c r="S1" s="4" t="s">
        <v>23</v>
      </c>
      <c r="T1" s="4" t="s">
        <v>26</v>
      </c>
      <c r="U1" s="4" t="s">
        <v>27</v>
      </c>
      <c r="V1" s="4" t="s">
        <v>28</v>
      </c>
      <c r="W1" s="4" t="s">
        <v>3047</v>
      </c>
      <c r="X1" s="4" t="s">
        <v>3048</v>
      </c>
      <c r="Y1" s="4" t="s">
        <v>3339</v>
      </c>
    </row>
    <row r="2" spans="1:25" s="39" customFormat="1" x14ac:dyDescent="0.35">
      <c r="A2" s="436" t="s">
        <v>3049</v>
      </c>
      <c r="B2" s="436" t="s">
        <v>3049</v>
      </c>
      <c r="C2" s="436" t="s">
        <v>3049</v>
      </c>
      <c r="D2" s="436" t="s">
        <v>3049</v>
      </c>
      <c r="E2" s="436" t="s">
        <v>3049</v>
      </c>
      <c r="F2" s="436" t="s">
        <v>3049</v>
      </c>
      <c r="G2" s="436" t="s">
        <v>3049</v>
      </c>
      <c r="H2" s="436" t="s">
        <v>3049</v>
      </c>
      <c r="I2" s="436" t="s">
        <v>3049</v>
      </c>
      <c r="J2" s="436" t="s">
        <v>3049</v>
      </c>
      <c r="K2" s="93">
        <v>734104574</v>
      </c>
      <c r="L2" s="93">
        <v>541385100</v>
      </c>
      <c r="M2" s="93">
        <v>583579295</v>
      </c>
      <c r="N2" s="93">
        <v>622545692</v>
      </c>
      <c r="O2" s="93">
        <v>601695721</v>
      </c>
      <c r="P2" s="93">
        <v>273667080</v>
      </c>
      <c r="Q2" s="93">
        <v>1643996</v>
      </c>
      <c r="R2" s="93">
        <v>7959693</v>
      </c>
      <c r="S2" s="93">
        <v>696199047.14972389</v>
      </c>
      <c r="T2" s="93"/>
      <c r="U2" s="93"/>
      <c r="V2" s="93"/>
      <c r="W2" s="93">
        <v>714862760</v>
      </c>
      <c r="X2" s="93">
        <v>779727079</v>
      </c>
      <c r="Y2" s="37">
        <v>0</v>
      </c>
    </row>
    <row r="3" spans="1:25" s="39" customFormat="1" x14ac:dyDescent="0.35">
      <c r="A3" s="37" t="s">
        <v>1350</v>
      </c>
      <c r="B3" s="37" t="s">
        <v>1715</v>
      </c>
      <c r="C3" s="91">
        <v>8470230</v>
      </c>
      <c r="D3" s="37" t="s">
        <v>1583</v>
      </c>
      <c r="E3" s="91">
        <v>420550</v>
      </c>
      <c r="F3" s="37" t="s">
        <v>225</v>
      </c>
      <c r="G3" s="90">
        <v>847001</v>
      </c>
      <c r="H3" s="37" t="s">
        <v>50</v>
      </c>
      <c r="I3" s="90">
        <v>200179</v>
      </c>
      <c r="J3" s="37" t="s">
        <v>61</v>
      </c>
      <c r="K3" s="265">
        <v>346386</v>
      </c>
      <c r="L3" s="265">
        <v>79120</v>
      </c>
      <c r="M3" s="265">
        <v>56949</v>
      </c>
      <c r="N3" s="265">
        <v>1020620</v>
      </c>
      <c r="O3" s="265">
        <v>1020620</v>
      </c>
      <c r="P3" s="265">
        <v>0</v>
      </c>
      <c r="Q3" s="265">
        <v>0</v>
      </c>
      <c r="R3" s="265">
        <v>0</v>
      </c>
      <c r="S3" s="265">
        <v>2009826</v>
      </c>
      <c r="T3" s="265">
        <v>1808843</v>
      </c>
      <c r="U3" s="265">
        <v>1607861</v>
      </c>
      <c r="V3" s="265">
        <v>1406878</v>
      </c>
      <c r="W3" s="265">
        <v>2764960</v>
      </c>
      <c r="X3" s="265">
        <v>5655600</v>
      </c>
      <c r="Y3" s="50">
        <f t="shared" ref="Y3:Y66" si="0">S3-N3</f>
        <v>989206</v>
      </c>
    </row>
    <row r="4" spans="1:25" s="39" customFormat="1" x14ac:dyDescent="0.35">
      <c r="A4" s="37" t="s">
        <v>1350</v>
      </c>
      <c r="B4" s="37" t="s">
        <v>1716</v>
      </c>
      <c r="C4" s="91">
        <v>8470230</v>
      </c>
      <c r="D4" s="37" t="s">
        <v>1583</v>
      </c>
      <c r="E4" s="91">
        <v>425100</v>
      </c>
      <c r="F4" s="37" t="s">
        <v>1184</v>
      </c>
      <c r="G4" s="90">
        <v>847001</v>
      </c>
      <c r="H4" s="37" t="s">
        <v>50</v>
      </c>
      <c r="I4" s="90">
        <v>200179</v>
      </c>
      <c r="J4" s="37" t="s">
        <v>61</v>
      </c>
      <c r="K4" s="265">
        <v>251555</v>
      </c>
      <c r="L4" s="265">
        <v>0</v>
      </c>
      <c r="M4" s="265">
        <v>0</v>
      </c>
      <c r="N4" s="265">
        <v>300000</v>
      </c>
      <c r="O4" s="265">
        <v>300000</v>
      </c>
      <c r="P4" s="265">
        <v>0</v>
      </c>
      <c r="Q4" s="265">
        <v>0</v>
      </c>
      <c r="R4" s="265">
        <v>0</v>
      </c>
      <c r="S4" s="265">
        <v>300000</v>
      </c>
      <c r="T4" s="265">
        <v>270000</v>
      </c>
      <c r="U4" s="265">
        <v>240000</v>
      </c>
      <c r="V4" s="265">
        <v>210000</v>
      </c>
      <c r="W4" s="265">
        <v>300000</v>
      </c>
      <c r="X4" s="265">
        <v>300000</v>
      </c>
      <c r="Y4" s="50">
        <f t="shared" si="0"/>
        <v>0</v>
      </c>
    </row>
    <row r="5" spans="1:25" s="39" customFormat="1" x14ac:dyDescent="0.35">
      <c r="A5" s="37" t="s">
        <v>1350</v>
      </c>
      <c r="B5" s="37" t="s">
        <v>1717</v>
      </c>
      <c r="C5" s="91">
        <v>8470230</v>
      </c>
      <c r="D5" s="37" t="s">
        <v>1583</v>
      </c>
      <c r="E5" s="91">
        <v>425510</v>
      </c>
      <c r="F5" s="37" t="s">
        <v>247</v>
      </c>
      <c r="G5" s="90">
        <v>847001</v>
      </c>
      <c r="H5" s="37" t="s">
        <v>50</v>
      </c>
      <c r="I5" s="90">
        <v>200179</v>
      </c>
      <c r="J5" s="37" t="s">
        <v>61</v>
      </c>
      <c r="K5" s="265">
        <v>46161</v>
      </c>
      <c r="L5" s="265">
        <v>17919</v>
      </c>
      <c r="M5" s="265">
        <v>3706</v>
      </c>
      <c r="N5" s="38">
        <v>34000</v>
      </c>
      <c r="O5" s="265">
        <v>34000</v>
      </c>
      <c r="P5" s="265">
        <v>0</v>
      </c>
      <c r="Q5" s="265">
        <v>0</v>
      </c>
      <c r="R5" s="265">
        <v>0</v>
      </c>
      <c r="S5" s="38">
        <v>38400</v>
      </c>
      <c r="T5" s="265">
        <v>34560</v>
      </c>
      <c r="U5" s="265">
        <v>30720</v>
      </c>
      <c r="V5" s="265">
        <v>26880</v>
      </c>
      <c r="W5" s="265">
        <v>48000</v>
      </c>
      <c r="X5" s="265">
        <v>64000</v>
      </c>
      <c r="Y5" s="38">
        <f t="shared" si="0"/>
        <v>4400</v>
      </c>
    </row>
    <row r="6" spans="1:25" s="39" customFormat="1" x14ac:dyDescent="0.35">
      <c r="A6" s="37" t="s">
        <v>1350</v>
      </c>
      <c r="B6" s="37" t="s">
        <v>1718</v>
      </c>
      <c r="C6" s="91">
        <v>8470230</v>
      </c>
      <c r="D6" s="37" t="s">
        <v>1583</v>
      </c>
      <c r="E6" s="91">
        <v>425550</v>
      </c>
      <c r="F6" s="37" t="s">
        <v>253</v>
      </c>
      <c r="G6" s="90">
        <v>847001</v>
      </c>
      <c r="H6" s="37" t="s">
        <v>50</v>
      </c>
      <c r="I6" s="90">
        <v>200179</v>
      </c>
      <c r="J6" s="37" t="s">
        <v>61</v>
      </c>
      <c r="K6" s="265">
        <v>347020</v>
      </c>
      <c r="L6" s="265">
        <v>25200</v>
      </c>
      <c r="M6" s="265">
        <v>3326</v>
      </c>
      <c r="N6" s="38">
        <v>222000</v>
      </c>
      <c r="O6" s="265">
        <v>222000</v>
      </c>
      <c r="P6" s="265">
        <v>22420.5</v>
      </c>
      <c r="Q6" s="265">
        <v>0</v>
      </c>
      <c r="R6" s="265">
        <v>0</v>
      </c>
      <c r="S6" s="38">
        <v>355200</v>
      </c>
      <c r="T6" s="265">
        <v>319680</v>
      </c>
      <c r="U6" s="265">
        <v>284160</v>
      </c>
      <c r="V6" s="265">
        <v>248640</v>
      </c>
      <c r="W6" s="265">
        <v>444000</v>
      </c>
      <c r="X6" s="265">
        <v>592000</v>
      </c>
      <c r="Y6" s="38">
        <f t="shared" si="0"/>
        <v>133200</v>
      </c>
    </row>
    <row r="7" spans="1:25" s="39" customFormat="1" x14ac:dyDescent="0.35">
      <c r="A7" s="37" t="s">
        <v>1350</v>
      </c>
      <c r="B7" s="37" t="s">
        <v>1719</v>
      </c>
      <c r="C7" s="91">
        <v>8470230</v>
      </c>
      <c r="D7" s="37" t="s">
        <v>1583</v>
      </c>
      <c r="E7" s="91">
        <v>425743</v>
      </c>
      <c r="F7" s="37" t="s">
        <v>1590</v>
      </c>
      <c r="G7" s="90">
        <v>847001</v>
      </c>
      <c r="H7" s="37" t="s">
        <v>50</v>
      </c>
      <c r="I7" s="90">
        <v>200179</v>
      </c>
      <c r="J7" s="37" t="s">
        <v>61</v>
      </c>
      <c r="K7" s="265">
        <v>7340000</v>
      </c>
      <c r="L7" s="265">
        <v>2010000</v>
      </c>
      <c r="M7" s="265">
        <v>960000</v>
      </c>
      <c r="N7" s="265">
        <v>240000</v>
      </c>
      <c r="O7" s="265">
        <v>240000</v>
      </c>
      <c r="P7" s="265">
        <v>240000</v>
      </c>
      <c r="Q7" s="265">
        <v>0</v>
      </c>
      <c r="R7" s="265">
        <v>0</v>
      </c>
      <c r="S7" s="265">
        <v>0</v>
      </c>
      <c r="T7" s="265">
        <v>0</v>
      </c>
      <c r="U7" s="265">
        <v>0</v>
      </c>
      <c r="V7" s="265">
        <v>0</v>
      </c>
      <c r="W7" s="265">
        <v>0</v>
      </c>
      <c r="X7" s="265">
        <v>0</v>
      </c>
      <c r="Y7" s="50">
        <f t="shared" si="0"/>
        <v>-240000</v>
      </c>
    </row>
    <row r="8" spans="1:25" s="39" customFormat="1" x14ac:dyDescent="0.35">
      <c r="A8" s="37" t="s">
        <v>1350</v>
      </c>
      <c r="B8" s="37" t="s">
        <v>1720</v>
      </c>
      <c r="C8" s="91">
        <v>8470230</v>
      </c>
      <c r="D8" s="37" t="s">
        <v>1583</v>
      </c>
      <c r="E8" s="91">
        <v>425744</v>
      </c>
      <c r="F8" s="37" t="s">
        <v>1592</v>
      </c>
      <c r="G8" s="90">
        <v>847001</v>
      </c>
      <c r="H8" s="37" t="s">
        <v>50</v>
      </c>
      <c r="I8" s="90">
        <v>200179</v>
      </c>
      <c r="J8" s="37" t="s">
        <v>61</v>
      </c>
      <c r="K8" s="265">
        <v>0</v>
      </c>
      <c r="L8" s="265">
        <v>0</v>
      </c>
      <c r="M8" s="265">
        <v>0</v>
      </c>
      <c r="N8" s="265">
        <v>4816800</v>
      </c>
      <c r="O8" s="265">
        <v>4816800</v>
      </c>
      <c r="P8" s="265">
        <v>588624.56999999995</v>
      </c>
      <c r="Q8" s="265">
        <v>0</v>
      </c>
      <c r="R8" s="265">
        <v>0</v>
      </c>
      <c r="S8" s="265">
        <v>3700000</v>
      </c>
      <c r="T8" s="265">
        <v>3330000</v>
      </c>
      <c r="U8" s="265">
        <v>2960000</v>
      </c>
      <c r="V8" s="265">
        <v>2590000</v>
      </c>
      <c r="W8" s="265">
        <v>4380000</v>
      </c>
      <c r="X8" s="265">
        <v>4824000</v>
      </c>
      <c r="Y8" s="50">
        <f t="shared" si="0"/>
        <v>-1116800</v>
      </c>
    </row>
    <row r="9" spans="1:25" s="39" customFormat="1" x14ac:dyDescent="0.35">
      <c r="A9" s="37" t="s">
        <v>1350</v>
      </c>
      <c r="B9" s="37" t="s">
        <v>1721</v>
      </c>
      <c r="C9" s="91">
        <v>8470230</v>
      </c>
      <c r="D9" s="37" t="s">
        <v>1583</v>
      </c>
      <c r="E9" s="91">
        <v>425745</v>
      </c>
      <c r="F9" s="37" t="s">
        <v>1041</v>
      </c>
      <c r="G9" s="90">
        <v>847001</v>
      </c>
      <c r="H9" s="37" t="s">
        <v>50</v>
      </c>
      <c r="I9" s="90">
        <v>200179</v>
      </c>
      <c r="J9" s="37" t="s">
        <v>61</v>
      </c>
      <c r="K9" s="265">
        <v>2585909</v>
      </c>
      <c r="L9" s="265">
        <v>1706509</v>
      </c>
      <c r="M9" s="265">
        <v>1286175</v>
      </c>
      <c r="N9" s="265">
        <v>1971263</v>
      </c>
      <c r="O9" s="265">
        <v>1971263</v>
      </c>
      <c r="P9" s="265">
        <v>817645</v>
      </c>
      <c r="Q9" s="265">
        <v>0</v>
      </c>
      <c r="R9" s="265">
        <v>0</v>
      </c>
      <c r="S9" s="265">
        <v>3104115</v>
      </c>
      <c r="T9" s="265">
        <v>2793704</v>
      </c>
      <c r="U9" s="265">
        <v>2483292</v>
      </c>
      <c r="V9" s="265">
        <v>2172881</v>
      </c>
      <c r="W9" s="265">
        <v>3663925</v>
      </c>
      <c r="X9" s="265">
        <v>3931250</v>
      </c>
      <c r="Y9" s="50">
        <f t="shared" si="0"/>
        <v>1132852</v>
      </c>
    </row>
    <row r="10" spans="1:25" s="39" customFormat="1" x14ac:dyDescent="0.35">
      <c r="A10" s="37" t="s">
        <v>1350</v>
      </c>
      <c r="B10" s="37" t="s">
        <v>1722</v>
      </c>
      <c r="C10" s="91">
        <v>8470230</v>
      </c>
      <c r="D10" s="37" t="s">
        <v>1583</v>
      </c>
      <c r="E10" s="91">
        <v>425749</v>
      </c>
      <c r="F10" s="37" t="s">
        <v>1052</v>
      </c>
      <c r="G10" s="90">
        <v>847001</v>
      </c>
      <c r="H10" s="37" t="s">
        <v>50</v>
      </c>
      <c r="I10" s="90">
        <v>200179</v>
      </c>
      <c r="J10" s="37" t="s">
        <v>61</v>
      </c>
      <c r="K10" s="265">
        <v>0</v>
      </c>
      <c r="L10" s="265">
        <v>22420057</v>
      </c>
      <c r="M10" s="265">
        <v>84701166</v>
      </c>
      <c r="N10" s="265">
        <v>110824684</v>
      </c>
      <c r="O10" s="265">
        <v>110824684</v>
      </c>
      <c r="P10" s="265">
        <v>55768459.640000001</v>
      </c>
      <c r="Q10" s="265">
        <v>0</v>
      </c>
      <c r="R10" s="265">
        <v>0</v>
      </c>
      <c r="S10" s="265">
        <v>203750000</v>
      </c>
      <c r="T10" s="265">
        <v>183375000</v>
      </c>
      <c r="U10" s="265">
        <v>163000000</v>
      </c>
      <c r="V10" s="265">
        <v>142625000</v>
      </c>
      <c r="W10" s="265">
        <v>249200000</v>
      </c>
      <c r="X10" s="265">
        <v>274120000</v>
      </c>
      <c r="Y10" s="50">
        <f t="shared" si="0"/>
        <v>92925316</v>
      </c>
    </row>
    <row r="11" spans="1:25" s="39" customFormat="1" x14ac:dyDescent="0.35">
      <c r="A11" s="37" t="s">
        <v>1350</v>
      </c>
      <c r="B11" s="37" t="s">
        <v>1723</v>
      </c>
      <c r="C11" s="91">
        <v>8470230</v>
      </c>
      <c r="D11" s="37" t="s">
        <v>1583</v>
      </c>
      <c r="E11" s="91">
        <v>425761</v>
      </c>
      <c r="F11" s="37" t="s">
        <v>1383</v>
      </c>
      <c r="G11" s="90">
        <v>847001</v>
      </c>
      <c r="H11" s="37" t="s">
        <v>50</v>
      </c>
      <c r="I11" s="90">
        <v>200179</v>
      </c>
      <c r="J11" s="37" t="s">
        <v>61</v>
      </c>
      <c r="K11" s="265">
        <v>0</v>
      </c>
      <c r="L11" s="265">
        <v>0</v>
      </c>
      <c r="M11" s="265">
        <v>0</v>
      </c>
      <c r="N11" s="265">
        <v>150000</v>
      </c>
      <c r="O11" s="265">
        <v>150000</v>
      </c>
      <c r="P11" s="265">
        <v>0</v>
      </c>
      <c r="Q11" s="265">
        <v>0</v>
      </c>
      <c r="R11" s="265">
        <v>0</v>
      </c>
      <c r="S11" s="265">
        <v>180000</v>
      </c>
      <c r="T11" s="265">
        <v>162000</v>
      </c>
      <c r="U11" s="265">
        <v>144000</v>
      </c>
      <c r="V11" s="265">
        <v>126000</v>
      </c>
      <c r="W11" s="265">
        <v>225000</v>
      </c>
      <c r="X11" s="265">
        <v>300000</v>
      </c>
      <c r="Y11" s="50">
        <f t="shared" si="0"/>
        <v>30000</v>
      </c>
    </row>
    <row r="12" spans="1:25" s="39" customFormat="1" x14ac:dyDescent="0.35">
      <c r="A12" s="37" t="s">
        <v>1350</v>
      </c>
      <c r="B12" s="37" t="s">
        <v>1724</v>
      </c>
      <c r="C12" s="91">
        <v>8470230</v>
      </c>
      <c r="D12" s="37" t="s">
        <v>1583</v>
      </c>
      <c r="E12" s="91">
        <v>425762</v>
      </c>
      <c r="F12" s="37" t="s">
        <v>573</v>
      </c>
      <c r="G12" s="90">
        <v>847001</v>
      </c>
      <c r="H12" s="37" t="s">
        <v>50</v>
      </c>
      <c r="I12" s="90">
        <v>200179</v>
      </c>
      <c r="J12" s="37" t="s">
        <v>61</v>
      </c>
      <c r="K12" s="265">
        <v>0</v>
      </c>
      <c r="L12" s="265">
        <v>0</v>
      </c>
      <c r="M12" s="265">
        <v>0</v>
      </c>
      <c r="N12" s="265">
        <v>150000</v>
      </c>
      <c r="O12" s="265">
        <v>150000</v>
      </c>
      <c r="P12" s="265">
        <v>0</v>
      </c>
      <c r="Q12" s="265">
        <v>0</v>
      </c>
      <c r="R12" s="265">
        <v>0</v>
      </c>
      <c r="S12" s="265">
        <v>180000</v>
      </c>
      <c r="T12" s="265">
        <v>162000</v>
      </c>
      <c r="U12" s="265">
        <v>144000</v>
      </c>
      <c r="V12" s="265">
        <v>126000</v>
      </c>
      <c r="W12" s="265">
        <v>225000</v>
      </c>
      <c r="X12" s="265">
        <v>300000</v>
      </c>
      <c r="Y12" s="50">
        <f t="shared" si="0"/>
        <v>30000</v>
      </c>
    </row>
    <row r="13" spans="1:25" s="39" customFormat="1" x14ac:dyDescent="0.35">
      <c r="A13" s="37" t="s">
        <v>1350</v>
      </c>
      <c r="B13" s="37" t="s">
        <v>1725</v>
      </c>
      <c r="C13" s="91">
        <v>8470230</v>
      </c>
      <c r="D13" s="37" t="s">
        <v>1583</v>
      </c>
      <c r="E13" s="91">
        <v>425900</v>
      </c>
      <c r="F13" s="37" t="s">
        <v>266</v>
      </c>
      <c r="G13" s="90">
        <v>847001</v>
      </c>
      <c r="H13" s="37" t="s">
        <v>50</v>
      </c>
      <c r="I13" s="90">
        <v>200179</v>
      </c>
      <c r="J13" s="37" t="s">
        <v>61</v>
      </c>
      <c r="K13" s="265">
        <v>16320</v>
      </c>
      <c r="L13" s="265">
        <v>6993</v>
      </c>
      <c r="M13" s="265">
        <v>0</v>
      </c>
      <c r="N13" s="265">
        <v>45648</v>
      </c>
      <c r="O13" s="265">
        <v>45648</v>
      </c>
      <c r="P13" s="265">
        <v>0</v>
      </c>
      <c r="Q13" s="265">
        <v>0</v>
      </c>
      <c r="R13" s="265">
        <v>0</v>
      </c>
      <c r="S13" s="265">
        <v>60078</v>
      </c>
      <c r="T13" s="265">
        <v>54070</v>
      </c>
      <c r="U13" s="265">
        <v>48062</v>
      </c>
      <c r="V13" s="265">
        <v>42055</v>
      </c>
      <c r="W13" s="265">
        <v>64320</v>
      </c>
      <c r="X13" s="265">
        <v>77720</v>
      </c>
      <c r="Y13" s="50">
        <f t="shared" si="0"/>
        <v>14430</v>
      </c>
    </row>
    <row r="14" spans="1:25" s="39" customFormat="1" x14ac:dyDescent="0.35">
      <c r="A14" s="37" t="s">
        <v>1350</v>
      </c>
      <c r="B14" s="37" t="s">
        <v>1726</v>
      </c>
      <c r="C14" s="91">
        <v>8470230</v>
      </c>
      <c r="D14" s="37" t="s">
        <v>1583</v>
      </c>
      <c r="E14" s="91">
        <v>426610</v>
      </c>
      <c r="F14" s="37" t="s">
        <v>694</v>
      </c>
      <c r="G14" s="90">
        <v>847001</v>
      </c>
      <c r="H14" s="37" t="s">
        <v>50</v>
      </c>
      <c r="I14" s="90">
        <v>200179</v>
      </c>
      <c r="J14" s="37" t="s">
        <v>61</v>
      </c>
      <c r="K14" s="265">
        <v>0</v>
      </c>
      <c r="L14" s="265">
        <v>0</v>
      </c>
      <c r="M14" s="265">
        <v>0</v>
      </c>
      <c r="N14" s="265">
        <v>10000</v>
      </c>
      <c r="O14" s="265">
        <v>10000</v>
      </c>
      <c r="P14" s="265">
        <v>0</v>
      </c>
      <c r="Q14" s="265">
        <v>0</v>
      </c>
      <c r="R14" s="265">
        <v>0</v>
      </c>
      <c r="S14" s="265">
        <v>10000</v>
      </c>
      <c r="T14" s="265">
        <v>9000</v>
      </c>
      <c r="U14" s="265">
        <v>8000</v>
      </c>
      <c r="V14" s="265">
        <v>7000</v>
      </c>
      <c r="W14" s="265">
        <v>10000</v>
      </c>
      <c r="X14" s="265">
        <v>10000</v>
      </c>
      <c r="Y14" s="50">
        <f t="shared" si="0"/>
        <v>0</v>
      </c>
    </row>
    <row r="15" spans="1:25" s="39" customFormat="1" x14ac:dyDescent="0.35">
      <c r="A15" s="37" t="s">
        <v>1350</v>
      </c>
      <c r="B15" s="37" t="s">
        <v>1727</v>
      </c>
      <c r="C15" s="91">
        <v>8470230</v>
      </c>
      <c r="D15" s="37" t="s">
        <v>1583</v>
      </c>
      <c r="E15" s="91">
        <v>428090</v>
      </c>
      <c r="F15" s="37" t="s">
        <v>154</v>
      </c>
      <c r="G15" s="90">
        <v>847001</v>
      </c>
      <c r="H15" s="37" t="s">
        <v>50</v>
      </c>
      <c r="I15" s="90">
        <v>200179</v>
      </c>
      <c r="J15" s="37" t="s">
        <v>61</v>
      </c>
      <c r="K15" s="265">
        <v>166493</v>
      </c>
      <c r="L15" s="265">
        <v>10779</v>
      </c>
      <c r="M15" s="265">
        <v>0</v>
      </c>
      <c r="N15" s="265">
        <v>97000</v>
      </c>
      <c r="O15" s="265">
        <v>97000</v>
      </c>
      <c r="P15" s="265">
        <v>0</v>
      </c>
      <c r="Q15" s="265">
        <v>0</v>
      </c>
      <c r="R15" s="265">
        <v>0</v>
      </c>
      <c r="S15" s="265">
        <v>95800</v>
      </c>
      <c r="T15" s="265">
        <v>86220</v>
      </c>
      <c r="U15" s="265">
        <v>76640</v>
      </c>
      <c r="V15" s="265">
        <v>67060</v>
      </c>
      <c r="W15" s="265">
        <v>95800</v>
      </c>
      <c r="X15" s="265">
        <v>95800</v>
      </c>
      <c r="Y15" s="50">
        <f t="shared" si="0"/>
        <v>-1200</v>
      </c>
    </row>
    <row r="16" spans="1:25" s="39" customFormat="1" x14ac:dyDescent="0.35">
      <c r="A16" s="37" t="s">
        <v>1350</v>
      </c>
      <c r="B16" s="37" t="s">
        <v>1728</v>
      </c>
      <c r="C16" s="91">
        <v>8470230</v>
      </c>
      <c r="D16" s="37" t="s">
        <v>1583</v>
      </c>
      <c r="E16" s="91">
        <v>428640</v>
      </c>
      <c r="F16" s="37" t="s">
        <v>279</v>
      </c>
      <c r="G16" s="90">
        <v>847001</v>
      </c>
      <c r="H16" s="37" t="s">
        <v>50</v>
      </c>
      <c r="I16" s="90">
        <v>200179</v>
      </c>
      <c r="J16" s="37" t="s">
        <v>61</v>
      </c>
      <c r="K16" s="265">
        <v>4500</v>
      </c>
      <c r="L16" s="265">
        <v>0</v>
      </c>
      <c r="M16" s="265">
        <v>0</v>
      </c>
      <c r="N16" s="265">
        <v>80000</v>
      </c>
      <c r="O16" s="265">
        <v>80000</v>
      </c>
      <c r="P16" s="265">
        <v>0</v>
      </c>
      <c r="Q16" s="265">
        <v>0</v>
      </c>
      <c r="R16" s="265">
        <v>0</v>
      </c>
      <c r="S16" s="265">
        <v>71221</v>
      </c>
      <c r="T16" s="265">
        <v>64099</v>
      </c>
      <c r="U16" s="265">
        <v>56977</v>
      </c>
      <c r="V16" s="265">
        <v>49855</v>
      </c>
      <c r="W16" s="265">
        <v>84864</v>
      </c>
      <c r="X16" s="265">
        <v>128700</v>
      </c>
      <c r="Y16" s="50">
        <f t="shared" si="0"/>
        <v>-8779</v>
      </c>
    </row>
    <row r="17" spans="1:25" s="39" customFormat="1" x14ac:dyDescent="0.35">
      <c r="A17" s="37" t="s">
        <v>1350</v>
      </c>
      <c r="B17" s="37" t="s">
        <v>1729</v>
      </c>
      <c r="C17" s="91">
        <v>8470230</v>
      </c>
      <c r="D17" s="37" t="s">
        <v>1583</v>
      </c>
      <c r="E17" s="91">
        <v>436110</v>
      </c>
      <c r="F17" s="37" t="s">
        <v>190</v>
      </c>
      <c r="G17" s="90">
        <v>847001</v>
      </c>
      <c r="H17" s="37" t="s">
        <v>50</v>
      </c>
      <c r="I17" s="90">
        <v>200179</v>
      </c>
      <c r="J17" s="37" t="s">
        <v>61</v>
      </c>
      <c r="K17" s="265">
        <v>1400</v>
      </c>
      <c r="L17" s="265">
        <v>42100</v>
      </c>
      <c r="M17" s="265">
        <v>0</v>
      </c>
      <c r="N17" s="265">
        <v>5000</v>
      </c>
      <c r="O17" s="265">
        <v>5000</v>
      </c>
      <c r="P17" s="265">
        <v>0</v>
      </c>
      <c r="Q17" s="265">
        <v>0</v>
      </c>
      <c r="R17" s="265">
        <v>0</v>
      </c>
      <c r="S17" s="265">
        <v>5000</v>
      </c>
      <c r="T17" s="265">
        <v>4500</v>
      </c>
      <c r="U17" s="265">
        <v>4000</v>
      </c>
      <c r="V17" s="265">
        <v>3500</v>
      </c>
      <c r="W17" s="265">
        <v>5000</v>
      </c>
      <c r="X17" s="265">
        <v>5000</v>
      </c>
      <c r="Y17" s="50">
        <f t="shared" si="0"/>
        <v>0</v>
      </c>
    </row>
    <row r="18" spans="1:25" s="39" customFormat="1" x14ac:dyDescent="0.35">
      <c r="A18" s="37" t="s">
        <v>1350</v>
      </c>
      <c r="B18" s="37" t="s">
        <v>1730</v>
      </c>
      <c r="C18" s="91">
        <v>8470230</v>
      </c>
      <c r="D18" s="37" t="s">
        <v>1583</v>
      </c>
      <c r="E18" s="91">
        <v>492310</v>
      </c>
      <c r="F18" s="37" t="s">
        <v>191</v>
      </c>
      <c r="G18" s="90">
        <v>847001</v>
      </c>
      <c r="H18" s="37" t="s">
        <v>50</v>
      </c>
      <c r="I18" s="90">
        <v>300180</v>
      </c>
      <c r="J18" s="37" t="s">
        <v>192</v>
      </c>
      <c r="K18" s="265">
        <v>0</v>
      </c>
      <c r="L18" s="265">
        <v>0</v>
      </c>
      <c r="M18" s="265">
        <v>0</v>
      </c>
      <c r="N18" s="265">
        <v>1380709</v>
      </c>
      <c r="O18" s="265">
        <v>1380709</v>
      </c>
      <c r="P18" s="265">
        <v>0</v>
      </c>
      <c r="Q18" s="265">
        <v>0</v>
      </c>
      <c r="R18" s="265">
        <v>1333260</v>
      </c>
      <c r="S18" s="265">
        <v>1561500</v>
      </c>
      <c r="T18" s="265">
        <v>1405350</v>
      </c>
      <c r="U18" s="265">
        <v>1249200</v>
      </c>
      <c r="V18" s="265">
        <v>1093050</v>
      </c>
      <c r="W18" s="265">
        <v>931500</v>
      </c>
      <c r="X18" s="265">
        <v>931500</v>
      </c>
      <c r="Y18" s="50">
        <f t="shared" si="0"/>
        <v>180791</v>
      </c>
    </row>
    <row r="19" spans="1:25" s="39" customFormat="1" x14ac:dyDescent="0.35">
      <c r="A19" s="37" t="s">
        <v>1350</v>
      </c>
      <c r="B19" s="37" t="s">
        <v>1645</v>
      </c>
      <c r="C19" s="91">
        <v>8471210</v>
      </c>
      <c r="D19" s="37" t="s">
        <v>1351</v>
      </c>
      <c r="E19" s="91">
        <v>425900</v>
      </c>
      <c r="F19" s="37" t="s">
        <v>266</v>
      </c>
      <c r="G19" s="90">
        <v>847001</v>
      </c>
      <c r="H19" s="37" t="s">
        <v>50</v>
      </c>
      <c r="I19" s="90">
        <v>200179</v>
      </c>
      <c r="J19" s="37" t="s">
        <v>61</v>
      </c>
      <c r="K19" s="265">
        <v>2218</v>
      </c>
      <c r="L19" s="265">
        <v>0</v>
      </c>
      <c r="M19" s="265">
        <v>0</v>
      </c>
      <c r="N19" s="265">
        <v>15000</v>
      </c>
      <c r="O19" s="265">
        <v>15000</v>
      </c>
      <c r="P19" s="265">
        <v>13795</v>
      </c>
      <c r="Q19" s="265">
        <v>0</v>
      </c>
      <c r="R19" s="265">
        <v>0</v>
      </c>
      <c r="S19" s="265">
        <v>15000</v>
      </c>
      <c r="T19" s="265">
        <v>13500</v>
      </c>
      <c r="U19" s="265">
        <v>12000</v>
      </c>
      <c r="V19" s="265">
        <v>10500</v>
      </c>
      <c r="W19" s="265">
        <v>15000</v>
      </c>
      <c r="X19" s="265">
        <v>15000</v>
      </c>
      <c r="Y19" s="50">
        <f t="shared" si="0"/>
        <v>0</v>
      </c>
    </row>
    <row r="20" spans="1:25" s="39" customFormat="1" x14ac:dyDescent="0.35">
      <c r="A20" s="37" t="s">
        <v>1350</v>
      </c>
      <c r="B20" s="37" t="s">
        <v>1646</v>
      </c>
      <c r="C20" s="91">
        <v>8471210</v>
      </c>
      <c r="D20" s="37" t="s">
        <v>1351</v>
      </c>
      <c r="E20" s="91">
        <v>428090</v>
      </c>
      <c r="F20" s="37" t="s">
        <v>154</v>
      </c>
      <c r="G20" s="90">
        <v>847001</v>
      </c>
      <c r="H20" s="37" t="s">
        <v>50</v>
      </c>
      <c r="I20" s="90">
        <v>200179</v>
      </c>
      <c r="J20" s="37" t="s">
        <v>61</v>
      </c>
      <c r="K20" s="265">
        <v>61140</v>
      </c>
      <c r="L20" s="265">
        <v>9000</v>
      </c>
      <c r="M20" s="265">
        <v>0</v>
      </c>
      <c r="N20" s="265">
        <v>100000</v>
      </c>
      <c r="O20" s="265">
        <v>100000</v>
      </c>
      <c r="P20" s="265">
        <v>0</v>
      </c>
      <c r="Q20" s="265">
        <v>0</v>
      </c>
      <c r="R20" s="265">
        <v>0</v>
      </c>
      <c r="S20" s="265">
        <v>160000</v>
      </c>
      <c r="T20" s="265">
        <v>144000</v>
      </c>
      <c r="U20" s="265">
        <v>128000</v>
      </c>
      <c r="V20" s="265">
        <v>112000</v>
      </c>
      <c r="W20" s="265">
        <v>160000</v>
      </c>
      <c r="X20" s="265">
        <v>160000</v>
      </c>
      <c r="Y20" s="50">
        <f t="shared" si="0"/>
        <v>60000</v>
      </c>
    </row>
    <row r="21" spans="1:25" s="39" customFormat="1" x14ac:dyDescent="0.35">
      <c r="A21" s="37" t="s">
        <v>1350</v>
      </c>
      <c r="B21" s="37" t="s">
        <v>1647</v>
      </c>
      <c r="C21" s="91">
        <v>8471210</v>
      </c>
      <c r="D21" s="37" t="s">
        <v>1351</v>
      </c>
      <c r="E21" s="91">
        <v>428640</v>
      </c>
      <c r="F21" s="37" t="s">
        <v>279</v>
      </c>
      <c r="G21" s="90">
        <v>847001</v>
      </c>
      <c r="H21" s="37" t="s">
        <v>50</v>
      </c>
      <c r="I21" s="90">
        <v>200179</v>
      </c>
      <c r="J21" s="37" t="s">
        <v>61</v>
      </c>
      <c r="K21" s="265">
        <v>0</v>
      </c>
      <c r="L21" s="265">
        <v>0</v>
      </c>
      <c r="M21" s="265">
        <v>0</v>
      </c>
      <c r="N21" s="265">
        <v>20000</v>
      </c>
      <c r="O21" s="265">
        <v>20000</v>
      </c>
      <c r="P21" s="265">
        <v>0</v>
      </c>
      <c r="Q21" s="265">
        <v>0</v>
      </c>
      <c r="R21" s="265">
        <v>0</v>
      </c>
      <c r="S21" s="265">
        <v>20000</v>
      </c>
      <c r="T21" s="265">
        <v>18000</v>
      </c>
      <c r="U21" s="265">
        <v>16000</v>
      </c>
      <c r="V21" s="265">
        <v>14000</v>
      </c>
      <c r="W21" s="265">
        <v>20000</v>
      </c>
      <c r="X21" s="265">
        <v>20000</v>
      </c>
      <c r="Y21" s="50">
        <f t="shared" si="0"/>
        <v>0</v>
      </c>
    </row>
    <row r="22" spans="1:25" s="39" customFormat="1" x14ac:dyDescent="0.35">
      <c r="A22" s="37" t="s">
        <v>1350</v>
      </c>
      <c r="B22" s="37" t="s">
        <v>1648</v>
      </c>
      <c r="C22" s="91">
        <v>8471210</v>
      </c>
      <c r="D22" s="37" t="s">
        <v>1351</v>
      </c>
      <c r="E22" s="91">
        <v>435530</v>
      </c>
      <c r="F22" s="37" t="s">
        <v>1127</v>
      </c>
      <c r="G22" s="90">
        <v>847001</v>
      </c>
      <c r="H22" s="37" t="s">
        <v>50</v>
      </c>
      <c r="I22" s="90">
        <v>200179</v>
      </c>
      <c r="J22" s="37" t="s">
        <v>61</v>
      </c>
      <c r="K22" s="265">
        <v>0</v>
      </c>
      <c r="L22" s="265">
        <v>0</v>
      </c>
      <c r="M22" s="265">
        <v>0</v>
      </c>
      <c r="N22" s="265">
        <v>20000</v>
      </c>
      <c r="O22" s="265">
        <v>20000</v>
      </c>
      <c r="P22" s="265">
        <v>0</v>
      </c>
      <c r="Q22" s="265">
        <v>0</v>
      </c>
      <c r="R22" s="265">
        <v>0</v>
      </c>
      <c r="S22" s="265">
        <v>20000</v>
      </c>
      <c r="T22" s="265">
        <v>18000</v>
      </c>
      <c r="U22" s="265">
        <v>16000</v>
      </c>
      <c r="V22" s="265">
        <v>14000</v>
      </c>
      <c r="W22" s="265">
        <v>20000</v>
      </c>
      <c r="X22" s="265">
        <v>20000</v>
      </c>
      <c r="Y22" s="50">
        <f t="shared" si="0"/>
        <v>0</v>
      </c>
    </row>
    <row r="23" spans="1:25" s="39" customFormat="1" x14ac:dyDescent="0.35">
      <c r="A23" s="37" t="s">
        <v>1350</v>
      </c>
      <c r="B23" s="37" t="s">
        <v>1676</v>
      </c>
      <c r="C23" s="91">
        <v>8471220</v>
      </c>
      <c r="D23" s="37" t="s">
        <v>1481</v>
      </c>
      <c r="E23" s="91">
        <v>425510</v>
      </c>
      <c r="F23" s="37" t="s">
        <v>247</v>
      </c>
      <c r="G23" s="90">
        <v>847001</v>
      </c>
      <c r="H23" s="37" t="s">
        <v>50</v>
      </c>
      <c r="I23" s="90">
        <v>200179</v>
      </c>
      <c r="J23" s="37" t="s">
        <v>61</v>
      </c>
      <c r="K23" s="265">
        <v>0</v>
      </c>
      <c r="L23" s="265">
        <v>2200</v>
      </c>
      <c r="M23" s="265">
        <v>0</v>
      </c>
      <c r="N23" s="38">
        <v>2200</v>
      </c>
      <c r="O23" s="265">
        <v>2200</v>
      </c>
      <c r="P23" s="265">
        <v>0</v>
      </c>
      <c r="Q23" s="265">
        <v>0</v>
      </c>
      <c r="R23" s="265">
        <v>0</v>
      </c>
      <c r="S23" s="38">
        <v>4000</v>
      </c>
      <c r="T23" s="265">
        <v>3600</v>
      </c>
      <c r="U23" s="265">
        <v>3200</v>
      </c>
      <c r="V23" s="265">
        <v>2800</v>
      </c>
      <c r="W23" s="265">
        <v>4800</v>
      </c>
      <c r="X23" s="265">
        <v>5760</v>
      </c>
      <c r="Y23" s="38">
        <f t="shared" si="0"/>
        <v>1800</v>
      </c>
    </row>
    <row r="24" spans="1:25" s="39" customFormat="1" x14ac:dyDescent="0.35">
      <c r="A24" s="37" t="s">
        <v>1350</v>
      </c>
      <c r="B24" s="37" t="s">
        <v>1677</v>
      </c>
      <c r="C24" s="91">
        <v>8471220</v>
      </c>
      <c r="D24" s="37" t="s">
        <v>1481</v>
      </c>
      <c r="E24" s="91">
        <v>425741</v>
      </c>
      <c r="F24" s="37" t="s">
        <v>1485</v>
      </c>
      <c r="G24" s="90">
        <v>847001</v>
      </c>
      <c r="H24" s="37" t="s">
        <v>50</v>
      </c>
      <c r="I24" s="90">
        <v>200179</v>
      </c>
      <c r="J24" s="37" t="s">
        <v>61</v>
      </c>
      <c r="K24" s="265">
        <v>47701100</v>
      </c>
      <c r="L24" s="265">
        <v>27445103</v>
      </c>
      <c r="M24" s="265">
        <v>-19400</v>
      </c>
      <c r="N24" s="265">
        <v>80501600</v>
      </c>
      <c r="O24" s="265">
        <v>80501600</v>
      </c>
      <c r="P24" s="265">
        <v>38326679.57</v>
      </c>
      <c r="Q24" s="265">
        <v>0</v>
      </c>
      <c r="R24" s="265">
        <v>0</v>
      </c>
      <c r="S24" s="265">
        <v>98652604</v>
      </c>
      <c r="T24" s="265">
        <v>88787344</v>
      </c>
      <c r="U24" s="265">
        <v>78922083</v>
      </c>
      <c r="V24" s="265">
        <v>69056823</v>
      </c>
      <c r="W24" s="265">
        <v>118383125</v>
      </c>
      <c r="X24" s="265">
        <v>142059750</v>
      </c>
      <c r="Y24" s="50">
        <f t="shared" si="0"/>
        <v>18151004</v>
      </c>
    </row>
    <row r="25" spans="1:25" s="39" customFormat="1" x14ac:dyDescent="0.35">
      <c r="A25" s="37" t="s">
        <v>1350</v>
      </c>
      <c r="B25" s="37" t="s">
        <v>1678</v>
      </c>
      <c r="C25" s="91">
        <v>8471220</v>
      </c>
      <c r="D25" s="37" t="s">
        <v>1481</v>
      </c>
      <c r="E25" s="91">
        <v>426900</v>
      </c>
      <c r="F25" s="37" t="s">
        <v>1080</v>
      </c>
      <c r="G25" s="90">
        <v>847001</v>
      </c>
      <c r="H25" s="37" t="s">
        <v>50</v>
      </c>
      <c r="I25" s="90">
        <v>200179</v>
      </c>
      <c r="J25" s="37" t="s">
        <v>61</v>
      </c>
      <c r="K25" s="265">
        <v>0</v>
      </c>
      <c r="L25" s="265">
        <v>10807</v>
      </c>
      <c r="M25" s="265">
        <v>0</v>
      </c>
      <c r="N25" s="265">
        <v>11000</v>
      </c>
      <c r="O25" s="265">
        <v>11000</v>
      </c>
      <c r="P25" s="265">
        <v>0</v>
      </c>
      <c r="Q25" s="265">
        <v>0</v>
      </c>
      <c r="R25" s="265">
        <v>0</v>
      </c>
      <c r="S25" s="265">
        <v>5190</v>
      </c>
      <c r="T25" s="265">
        <v>4671</v>
      </c>
      <c r="U25" s="265">
        <v>4152</v>
      </c>
      <c r="V25" s="265">
        <v>3633</v>
      </c>
      <c r="W25" s="265">
        <v>6228</v>
      </c>
      <c r="X25" s="265">
        <v>7474</v>
      </c>
      <c r="Y25" s="50">
        <f t="shared" si="0"/>
        <v>-5810</v>
      </c>
    </row>
    <row r="26" spans="1:25" s="39" customFormat="1" x14ac:dyDescent="0.35">
      <c r="A26" s="37" t="s">
        <v>1350</v>
      </c>
      <c r="B26" s="37" t="s">
        <v>1679</v>
      </c>
      <c r="C26" s="91">
        <v>8471220</v>
      </c>
      <c r="D26" s="37" t="s">
        <v>1481</v>
      </c>
      <c r="E26" s="91">
        <v>435340</v>
      </c>
      <c r="F26" s="37" t="s">
        <v>655</v>
      </c>
      <c r="G26" s="90">
        <v>847001</v>
      </c>
      <c r="H26" s="37" t="s">
        <v>50</v>
      </c>
      <c r="I26" s="90">
        <v>200179</v>
      </c>
      <c r="J26" s="37" t="s">
        <v>61</v>
      </c>
      <c r="K26" s="265">
        <v>7518618</v>
      </c>
      <c r="L26" s="265">
        <v>11132827</v>
      </c>
      <c r="M26" s="265">
        <v>9483734</v>
      </c>
      <c r="N26" s="265">
        <v>9500000</v>
      </c>
      <c r="O26" s="265">
        <v>9500000</v>
      </c>
      <c r="P26" s="265">
        <v>4279841.18</v>
      </c>
      <c r="Q26" s="265">
        <v>0</v>
      </c>
      <c r="R26" s="265">
        <v>0</v>
      </c>
      <c r="S26" s="265">
        <v>11400000</v>
      </c>
      <c r="T26" s="265">
        <v>10260000</v>
      </c>
      <c r="U26" s="265">
        <v>9120000</v>
      </c>
      <c r="V26" s="265">
        <v>7980000</v>
      </c>
      <c r="W26" s="265">
        <v>13680000</v>
      </c>
      <c r="X26" s="265">
        <v>16416000</v>
      </c>
      <c r="Y26" s="50">
        <f t="shared" si="0"/>
        <v>1900000</v>
      </c>
    </row>
    <row r="27" spans="1:25" s="39" customFormat="1" x14ac:dyDescent="0.35">
      <c r="A27" s="37" t="s">
        <v>1350</v>
      </c>
      <c r="B27" s="37" t="s">
        <v>1680</v>
      </c>
      <c r="C27" s="91">
        <v>8471220</v>
      </c>
      <c r="D27" s="37" t="s">
        <v>1481</v>
      </c>
      <c r="E27" s="91">
        <v>436110</v>
      </c>
      <c r="F27" s="37" t="s">
        <v>190</v>
      </c>
      <c r="G27" s="90">
        <v>847001</v>
      </c>
      <c r="H27" s="37" t="s">
        <v>50</v>
      </c>
      <c r="I27" s="90">
        <v>200179</v>
      </c>
      <c r="J27" s="37" t="s">
        <v>61</v>
      </c>
      <c r="K27" s="265">
        <v>15800</v>
      </c>
      <c r="L27" s="265">
        <v>0</v>
      </c>
      <c r="M27" s="265">
        <v>21820</v>
      </c>
      <c r="N27" s="265">
        <v>300000</v>
      </c>
      <c r="O27" s="265">
        <v>300000</v>
      </c>
      <c r="P27" s="265">
        <v>52000</v>
      </c>
      <c r="Q27" s="265">
        <v>0</v>
      </c>
      <c r="R27" s="265">
        <v>63500</v>
      </c>
      <c r="S27" s="265">
        <v>361000</v>
      </c>
      <c r="T27" s="265">
        <v>324900</v>
      </c>
      <c r="U27" s="265">
        <v>288800</v>
      </c>
      <c r="V27" s="265">
        <v>252700</v>
      </c>
      <c r="W27" s="265">
        <v>433200</v>
      </c>
      <c r="X27" s="265">
        <v>519840</v>
      </c>
      <c r="Y27" s="50">
        <f t="shared" si="0"/>
        <v>61000</v>
      </c>
    </row>
    <row r="28" spans="1:25" s="39" customFormat="1" x14ac:dyDescent="0.35">
      <c r="A28" s="37" t="s">
        <v>1350</v>
      </c>
      <c r="B28" s="37" t="s">
        <v>1681</v>
      </c>
      <c r="C28" s="91">
        <v>8471220</v>
      </c>
      <c r="D28" s="37" t="s">
        <v>1481</v>
      </c>
      <c r="E28" s="91">
        <v>436120</v>
      </c>
      <c r="F28" s="37" t="s">
        <v>291</v>
      </c>
      <c r="G28" s="90">
        <v>847001</v>
      </c>
      <c r="H28" s="37" t="s">
        <v>50</v>
      </c>
      <c r="I28" s="90">
        <v>200179</v>
      </c>
      <c r="J28" s="37" t="s">
        <v>61</v>
      </c>
      <c r="K28" s="265">
        <v>816</v>
      </c>
      <c r="L28" s="265">
        <v>0</v>
      </c>
      <c r="M28" s="265">
        <v>0</v>
      </c>
      <c r="N28" s="265">
        <v>6000</v>
      </c>
      <c r="O28" s="265">
        <v>6000</v>
      </c>
      <c r="P28" s="265">
        <v>0</v>
      </c>
      <c r="Q28" s="265">
        <v>0</v>
      </c>
      <c r="R28" s="265">
        <v>0</v>
      </c>
      <c r="S28" s="265">
        <v>2400</v>
      </c>
      <c r="T28" s="265">
        <v>2160</v>
      </c>
      <c r="U28" s="265">
        <v>1920</v>
      </c>
      <c r="V28" s="265">
        <v>1680</v>
      </c>
      <c r="W28" s="265">
        <v>2880</v>
      </c>
      <c r="X28" s="265">
        <v>3456</v>
      </c>
      <c r="Y28" s="50">
        <f t="shared" si="0"/>
        <v>-3600</v>
      </c>
    </row>
    <row r="29" spans="1:25" s="39" customFormat="1" x14ac:dyDescent="0.35">
      <c r="A29" s="37" t="s">
        <v>1350</v>
      </c>
      <c r="B29" s="37" t="s">
        <v>1686</v>
      </c>
      <c r="C29" s="91">
        <v>8471230</v>
      </c>
      <c r="D29" s="37" t="s">
        <v>1507</v>
      </c>
      <c r="E29" s="91">
        <v>425742</v>
      </c>
      <c r="F29" s="37" t="s">
        <v>1036</v>
      </c>
      <c r="G29" s="90">
        <v>847001</v>
      </c>
      <c r="H29" s="37" t="s">
        <v>50</v>
      </c>
      <c r="I29" s="90">
        <v>200179</v>
      </c>
      <c r="J29" s="37" t="s">
        <v>61</v>
      </c>
      <c r="K29" s="265">
        <v>5721219</v>
      </c>
      <c r="L29" s="265">
        <v>1691072</v>
      </c>
      <c r="M29" s="265">
        <v>967573</v>
      </c>
      <c r="N29" s="265">
        <v>1647000</v>
      </c>
      <c r="O29" s="265">
        <v>1647000</v>
      </c>
      <c r="P29" s="265">
        <v>251892.61</v>
      </c>
      <c r="Q29" s="265">
        <v>110000</v>
      </c>
      <c r="R29" s="265">
        <v>149008.60999999999</v>
      </c>
      <c r="S29" s="265">
        <v>1980000</v>
      </c>
      <c r="T29" s="265">
        <v>495000</v>
      </c>
      <c r="U29" s="265">
        <v>440000</v>
      </c>
      <c r="V29" s="265">
        <v>385000</v>
      </c>
      <c r="W29" s="265">
        <v>2200000</v>
      </c>
      <c r="X29" s="265">
        <v>2500000</v>
      </c>
      <c r="Y29" s="50">
        <f t="shared" si="0"/>
        <v>333000</v>
      </c>
    </row>
    <row r="30" spans="1:25" s="39" customFormat="1" x14ac:dyDescent="0.35">
      <c r="A30" s="37" t="s">
        <v>1350</v>
      </c>
      <c r="B30" s="37" t="s">
        <v>1687</v>
      </c>
      <c r="C30" s="91">
        <v>8471230</v>
      </c>
      <c r="D30" s="37" t="s">
        <v>1507</v>
      </c>
      <c r="E30" s="91">
        <v>426610</v>
      </c>
      <c r="F30" s="37" t="s">
        <v>694</v>
      </c>
      <c r="G30" s="90">
        <v>847001</v>
      </c>
      <c r="H30" s="37" t="s">
        <v>50</v>
      </c>
      <c r="I30" s="90">
        <v>200179</v>
      </c>
      <c r="J30" s="37" t="s">
        <v>61</v>
      </c>
      <c r="K30" s="265">
        <v>0</v>
      </c>
      <c r="L30" s="265">
        <v>0</v>
      </c>
      <c r="M30" s="265">
        <v>95605</v>
      </c>
      <c r="N30" s="265">
        <v>120000</v>
      </c>
      <c r="O30" s="265">
        <v>120000</v>
      </c>
      <c r="P30" s="265">
        <v>0</v>
      </c>
      <c r="Q30" s="265">
        <v>0</v>
      </c>
      <c r="R30" s="265">
        <v>0</v>
      </c>
      <c r="S30" s="265">
        <v>100000</v>
      </c>
      <c r="T30" s="265">
        <v>90000</v>
      </c>
      <c r="U30" s="265">
        <v>80000</v>
      </c>
      <c r="V30" s="265">
        <v>70000</v>
      </c>
      <c r="W30" s="265">
        <v>100000</v>
      </c>
      <c r="X30" s="265">
        <v>100000</v>
      </c>
      <c r="Y30" s="50">
        <f t="shared" si="0"/>
        <v>-20000</v>
      </c>
    </row>
    <row r="31" spans="1:25" s="39" customFormat="1" x14ac:dyDescent="0.35">
      <c r="A31" s="37" t="s">
        <v>1350</v>
      </c>
      <c r="B31" s="37" t="s">
        <v>1649</v>
      </c>
      <c r="C31" s="91">
        <v>8471240</v>
      </c>
      <c r="D31" s="37" t="s">
        <v>1364</v>
      </c>
      <c r="E31" s="91">
        <v>425510</v>
      </c>
      <c r="F31" s="37" t="s">
        <v>247</v>
      </c>
      <c r="G31" s="90">
        <v>847001</v>
      </c>
      <c r="H31" s="37" t="s">
        <v>50</v>
      </c>
      <c r="I31" s="90">
        <v>200179</v>
      </c>
      <c r="J31" s="37" t="s">
        <v>61</v>
      </c>
      <c r="K31" s="265">
        <v>90097</v>
      </c>
      <c r="L31" s="265">
        <v>42054</v>
      </c>
      <c r="M31" s="265">
        <v>2888</v>
      </c>
      <c r="N31" s="38">
        <v>220000</v>
      </c>
      <c r="O31" s="265">
        <v>220000</v>
      </c>
      <c r="P31" s="265">
        <v>51401.25</v>
      </c>
      <c r="Q31" s="265">
        <v>0</v>
      </c>
      <c r="R31" s="265">
        <v>0</v>
      </c>
      <c r="S31" s="38">
        <v>220000</v>
      </c>
      <c r="T31" s="265">
        <v>40500</v>
      </c>
      <c r="U31" s="265">
        <v>36000</v>
      </c>
      <c r="V31" s="265">
        <v>31500</v>
      </c>
      <c r="W31" s="265">
        <v>220000</v>
      </c>
      <c r="X31" s="265">
        <v>220000</v>
      </c>
      <c r="Y31" s="38">
        <f t="shared" si="0"/>
        <v>0</v>
      </c>
    </row>
    <row r="32" spans="1:25" s="39" customFormat="1" x14ac:dyDescent="0.35">
      <c r="A32" s="37" t="s">
        <v>1350</v>
      </c>
      <c r="B32" s="37" t="s">
        <v>1650</v>
      </c>
      <c r="C32" s="91">
        <v>8471240</v>
      </c>
      <c r="D32" s="37" t="s">
        <v>1364</v>
      </c>
      <c r="E32" s="91">
        <v>425720</v>
      </c>
      <c r="F32" s="37" t="s">
        <v>620</v>
      </c>
      <c r="G32" s="90">
        <v>847001</v>
      </c>
      <c r="H32" s="37" t="s">
        <v>50</v>
      </c>
      <c r="I32" s="90">
        <v>200179</v>
      </c>
      <c r="J32" s="37" t="s">
        <v>61</v>
      </c>
      <c r="K32" s="265">
        <v>51422</v>
      </c>
      <c r="L32" s="265">
        <v>107865</v>
      </c>
      <c r="M32" s="265">
        <v>-95</v>
      </c>
      <c r="N32" s="265">
        <v>128000</v>
      </c>
      <c r="O32" s="265">
        <v>128000</v>
      </c>
      <c r="P32" s="265">
        <v>0</v>
      </c>
      <c r="Q32" s="265">
        <v>0</v>
      </c>
      <c r="R32" s="265">
        <v>0</v>
      </c>
      <c r="S32" s="265">
        <v>128000</v>
      </c>
      <c r="T32" s="265">
        <v>67500</v>
      </c>
      <c r="U32" s="265">
        <v>60000</v>
      </c>
      <c r="V32" s="265">
        <v>52500</v>
      </c>
      <c r="W32" s="265">
        <v>128000</v>
      </c>
      <c r="X32" s="265">
        <v>128000</v>
      </c>
      <c r="Y32" s="50">
        <f t="shared" si="0"/>
        <v>0</v>
      </c>
    </row>
    <row r="33" spans="1:25" s="39" customFormat="1" x14ac:dyDescent="0.35">
      <c r="A33" s="37" t="s">
        <v>1350</v>
      </c>
      <c r="B33" s="37" t="s">
        <v>1651</v>
      </c>
      <c r="C33" s="91">
        <v>8471240</v>
      </c>
      <c r="D33" s="37" t="s">
        <v>1364</v>
      </c>
      <c r="E33" s="91">
        <v>425750</v>
      </c>
      <c r="F33" s="37" t="s">
        <v>1057</v>
      </c>
      <c r="G33" s="90">
        <v>847001</v>
      </c>
      <c r="H33" s="37" t="s">
        <v>50</v>
      </c>
      <c r="I33" s="90">
        <v>200179</v>
      </c>
      <c r="J33" s="37" t="s">
        <v>61</v>
      </c>
      <c r="K33" s="265">
        <v>0</v>
      </c>
      <c r="L33" s="265">
        <v>-16200</v>
      </c>
      <c r="M33" s="265">
        <v>0</v>
      </c>
      <c r="N33" s="265">
        <v>23000</v>
      </c>
      <c r="O33" s="265">
        <v>23000</v>
      </c>
      <c r="P33" s="265">
        <v>0</v>
      </c>
      <c r="Q33" s="265">
        <v>0</v>
      </c>
      <c r="R33" s="265">
        <v>0</v>
      </c>
      <c r="S33" s="265">
        <v>23000</v>
      </c>
      <c r="T33" s="265">
        <v>7560</v>
      </c>
      <c r="U33" s="265">
        <v>6720</v>
      </c>
      <c r="V33" s="265">
        <v>5880</v>
      </c>
      <c r="W33" s="265">
        <v>23000</v>
      </c>
      <c r="X33" s="265">
        <v>23000</v>
      </c>
      <c r="Y33" s="50">
        <f t="shared" si="0"/>
        <v>0</v>
      </c>
    </row>
    <row r="34" spans="1:25" s="39" customFormat="1" x14ac:dyDescent="0.35">
      <c r="A34" s="37" t="s">
        <v>1350</v>
      </c>
      <c r="B34" s="37" t="s">
        <v>1652</v>
      </c>
      <c r="C34" s="91">
        <v>8471240</v>
      </c>
      <c r="D34" s="37" t="s">
        <v>1364</v>
      </c>
      <c r="E34" s="91">
        <v>425761</v>
      </c>
      <c r="F34" s="37" t="s">
        <v>1383</v>
      </c>
      <c r="G34" s="90">
        <v>847001</v>
      </c>
      <c r="H34" s="37" t="s">
        <v>50</v>
      </c>
      <c r="I34" s="90">
        <v>200179</v>
      </c>
      <c r="J34" s="37" t="s">
        <v>61</v>
      </c>
      <c r="K34" s="265">
        <v>144141</v>
      </c>
      <c r="L34" s="265">
        <v>466665</v>
      </c>
      <c r="M34" s="265">
        <v>236380</v>
      </c>
      <c r="N34" s="265">
        <v>800000</v>
      </c>
      <c r="O34" s="265">
        <v>800000</v>
      </c>
      <c r="P34" s="265">
        <v>101641.63</v>
      </c>
      <c r="Q34" s="265">
        <v>0</v>
      </c>
      <c r="R34" s="265">
        <v>0</v>
      </c>
      <c r="S34" s="265">
        <v>1000000</v>
      </c>
      <c r="T34" s="265">
        <v>900000</v>
      </c>
      <c r="U34" s="265">
        <v>800000</v>
      </c>
      <c r="V34" s="265">
        <v>700000</v>
      </c>
      <c r="W34" s="265">
        <v>1200000</v>
      </c>
      <c r="X34" s="265">
        <v>1200000</v>
      </c>
      <c r="Y34" s="50">
        <f t="shared" si="0"/>
        <v>200000</v>
      </c>
    </row>
    <row r="35" spans="1:25" s="39" customFormat="1" x14ac:dyDescent="0.35">
      <c r="A35" s="37" t="s">
        <v>1350</v>
      </c>
      <c r="B35" s="37" t="s">
        <v>1653</v>
      </c>
      <c r="C35" s="91">
        <v>8471240</v>
      </c>
      <c r="D35" s="37" t="s">
        <v>1364</v>
      </c>
      <c r="E35" s="91">
        <v>425900</v>
      </c>
      <c r="F35" s="37" t="s">
        <v>266</v>
      </c>
      <c r="G35" s="90">
        <v>847001</v>
      </c>
      <c r="H35" s="37" t="s">
        <v>50</v>
      </c>
      <c r="I35" s="90">
        <v>200179</v>
      </c>
      <c r="J35" s="37" t="s">
        <v>61</v>
      </c>
      <c r="K35" s="265">
        <v>1208</v>
      </c>
      <c r="L35" s="265">
        <v>0</v>
      </c>
      <c r="M35" s="265">
        <v>0</v>
      </c>
      <c r="N35" s="265">
        <v>24000</v>
      </c>
      <c r="O35" s="265">
        <v>24000</v>
      </c>
      <c r="P35" s="265">
        <v>1816.5</v>
      </c>
      <c r="Q35" s="265">
        <v>0</v>
      </c>
      <c r="R35" s="265">
        <v>0</v>
      </c>
      <c r="S35" s="265">
        <v>24000</v>
      </c>
      <c r="T35" s="265">
        <v>13050</v>
      </c>
      <c r="U35" s="265">
        <v>11600</v>
      </c>
      <c r="V35" s="265">
        <v>10150</v>
      </c>
      <c r="W35" s="265">
        <v>24000</v>
      </c>
      <c r="X35" s="265">
        <v>24000</v>
      </c>
      <c r="Y35" s="50">
        <f t="shared" si="0"/>
        <v>0</v>
      </c>
    </row>
    <row r="36" spans="1:25" s="39" customFormat="1" x14ac:dyDescent="0.35">
      <c r="A36" s="37" t="s">
        <v>1350</v>
      </c>
      <c r="B36" s="37" t="s">
        <v>1654</v>
      </c>
      <c r="C36" s="91">
        <v>8471240</v>
      </c>
      <c r="D36" s="37" t="s">
        <v>1364</v>
      </c>
      <c r="E36" s="91">
        <v>426610</v>
      </c>
      <c r="F36" s="37" t="s">
        <v>694</v>
      </c>
      <c r="G36" s="90">
        <v>847001</v>
      </c>
      <c r="H36" s="37" t="s">
        <v>50</v>
      </c>
      <c r="I36" s="90">
        <v>200179</v>
      </c>
      <c r="J36" s="37" t="s">
        <v>61</v>
      </c>
      <c r="K36" s="265">
        <v>0</v>
      </c>
      <c r="L36" s="265">
        <v>0</v>
      </c>
      <c r="M36" s="265">
        <v>495462</v>
      </c>
      <c r="N36" s="265">
        <v>363000</v>
      </c>
      <c r="O36" s="265">
        <v>363000</v>
      </c>
      <c r="P36" s="265">
        <v>0</v>
      </c>
      <c r="Q36" s="265">
        <v>0</v>
      </c>
      <c r="R36" s="265">
        <v>362782.21</v>
      </c>
      <c r="S36" s="265">
        <v>400000</v>
      </c>
      <c r="T36" s="265">
        <v>360000</v>
      </c>
      <c r="U36" s="265">
        <v>320000</v>
      </c>
      <c r="V36" s="265">
        <v>280000</v>
      </c>
      <c r="W36" s="265">
        <v>400000</v>
      </c>
      <c r="X36" s="265">
        <v>400000</v>
      </c>
      <c r="Y36" s="50">
        <f t="shared" si="0"/>
        <v>37000</v>
      </c>
    </row>
    <row r="37" spans="1:25" s="39" customFormat="1" x14ac:dyDescent="0.35">
      <c r="A37" s="37" t="s">
        <v>1350</v>
      </c>
      <c r="B37" s="37" t="s">
        <v>1655</v>
      </c>
      <c r="C37" s="91">
        <v>8471240</v>
      </c>
      <c r="D37" s="37" t="s">
        <v>1364</v>
      </c>
      <c r="E37" s="91">
        <v>428090</v>
      </c>
      <c r="F37" s="37" t="s">
        <v>154</v>
      </c>
      <c r="G37" s="90">
        <v>847001</v>
      </c>
      <c r="H37" s="37" t="s">
        <v>50</v>
      </c>
      <c r="I37" s="90">
        <v>200179</v>
      </c>
      <c r="J37" s="37" t="s">
        <v>61</v>
      </c>
      <c r="K37" s="265">
        <v>0</v>
      </c>
      <c r="L37" s="265">
        <v>0</v>
      </c>
      <c r="M37" s="265">
        <v>0</v>
      </c>
      <c r="N37" s="265">
        <v>60000</v>
      </c>
      <c r="O37" s="265">
        <v>60000</v>
      </c>
      <c r="P37" s="265">
        <v>0</v>
      </c>
      <c r="Q37" s="265">
        <v>0</v>
      </c>
      <c r="R37" s="265">
        <v>0</v>
      </c>
      <c r="S37" s="265">
        <v>60000</v>
      </c>
      <c r="T37" s="265">
        <v>54000</v>
      </c>
      <c r="U37" s="265">
        <v>48000</v>
      </c>
      <c r="V37" s="265">
        <v>42000</v>
      </c>
      <c r="W37" s="265">
        <v>60000</v>
      </c>
      <c r="X37" s="265">
        <v>60000</v>
      </c>
      <c r="Y37" s="50">
        <f t="shared" si="0"/>
        <v>0</v>
      </c>
    </row>
    <row r="38" spans="1:25" s="39" customFormat="1" x14ac:dyDescent="0.35">
      <c r="A38" s="37" t="s">
        <v>1350</v>
      </c>
      <c r="B38" s="37" t="s">
        <v>1656</v>
      </c>
      <c r="C38" s="91">
        <v>8471240</v>
      </c>
      <c r="D38" s="37" t="s">
        <v>1364</v>
      </c>
      <c r="E38" s="91">
        <v>428640</v>
      </c>
      <c r="F38" s="37" t="s">
        <v>279</v>
      </c>
      <c r="G38" s="90">
        <v>847001</v>
      </c>
      <c r="H38" s="37" t="s">
        <v>50</v>
      </c>
      <c r="I38" s="90">
        <v>200179</v>
      </c>
      <c r="J38" s="37" t="s">
        <v>61</v>
      </c>
      <c r="K38" s="265">
        <v>-72</v>
      </c>
      <c r="L38" s="265">
        <v>4192</v>
      </c>
      <c r="M38" s="265">
        <v>0</v>
      </c>
      <c r="N38" s="265">
        <v>14000</v>
      </c>
      <c r="O38" s="265">
        <v>14000</v>
      </c>
      <c r="P38" s="265">
        <v>0</v>
      </c>
      <c r="Q38" s="265">
        <v>0</v>
      </c>
      <c r="R38" s="265">
        <v>0</v>
      </c>
      <c r="S38" s="265">
        <v>14000</v>
      </c>
      <c r="T38" s="265">
        <v>9000</v>
      </c>
      <c r="U38" s="265">
        <v>8000</v>
      </c>
      <c r="V38" s="265">
        <v>7000</v>
      </c>
      <c r="W38" s="265">
        <v>14000</v>
      </c>
      <c r="X38" s="265">
        <v>14000</v>
      </c>
      <c r="Y38" s="50">
        <f t="shared" si="0"/>
        <v>0</v>
      </c>
    </row>
    <row r="39" spans="1:25" s="39" customFormat="1" x14ac:dyDescent="0.35">
      <c r="A39" s="37" t="s">
        <v>1350</v>
      </c>
      <c r="B39" s="37" t="s">
        <v>1657</v>
      </c>
      <c r="C39" s="91">
        <v>8471240</v>
      </c>
      <c r="D39" s="37" t="s">
        <v>1364</v>
      </c>
      <c r="E39" s="91">
        <v>435330</v>
      </c>
      <c r="F39" s="37" t="s">
        <v>1111</v>
      </c>
      <c r="G39" s="90">
        <v>847001</v>
      </c>
      <c r="H39" s="37" t="s">
        <v>50</v>
      </c>
      <c r="I39" s="90">
        <v>200179</v>
      </c>
      <c r="J39" s="37" t="s">
        <v>61</v>
      </c>
      <c r="K39" s="265">
        <v>0</v>
      </c>
      <c r="L39" s="265">
        <v>0</v>
      </c>
      <c r="M39" s="265">
        <v>0</v>
      </c>
      <c r="N39" s="265">
        <v>4750</v>
      </c>
      <c r="O39" s="265">
        <v>4750</v>
      </c>
      <c r="P39" s="265">
        <v>0</v>
      </c>
      <c r="Q39" s="265">
        <v>0</v>
      </c>
      <c r="R39" s="265">
        <v>0</v>
      </c>
      <c r="S39" s="265">
        <v>4750</v>
      </c>
      <c r="T39" s="265">
        <v>4275</v>
      </c>
      <c r="U39" s="265">
        <v>3800</v>
      </c>
      <c r="V39" s="265">
        <v>3325</v>
      </c>
      <c r="W39" s="265">
        <v>4750</v>
      </c>
      <c r="X39" s="265">
        <v>4750</v>
      </c>
      <c r="Y39" s="50">
        <f t="shared" si="0"/>
        <v>0</v>
      </c>
    </row>
    <row r="40" spans="1:25" s="39" customFormat="1" x14ac:dyDescent="0.35">
      <c r="A40" s="37" t="s">
        <v>1350</v>
      </c>
      <c r="B40" s="37" t="s">
        <v>1658</v>
      </c>
      <c r="C40" s="91">
        <v>8471240</v>
      </c>
      <c r="D40" s="37" t="s">
        <v>1364</v>
      </c>
      <c r="E40" s="91">
        <v>436110</v>
      </c>
      <c r="F40" s="37" t="s">
        <v>190</v>
      </c>
      <c r="G40" s="90">
        <v>847001</v>
      </c>
      <c r="H40" s="37" t="s">
        <v>50</v>
      </c>
      <c r="I40" s="90">
        <v>200179</v>
      </c>
      <c r="J40" s="37" t="s">
        <v>61</v>
      </c>
      <c r="K40" s="265">
        <v>320</v>
      </c>
      <c r="L40" s="265">
        <v>0</v>
      </c>
      <c r="M40" s="265">
        <v>0</v>
      </c>
      <c r="N40" s="265">
        <v>42000</v>
      </c>
      <c r="O40" s="265">
        <v>42000</v>
      </c>
      <c r="P40" s="265">
        <v>0</v>
      </c>
      <c r="Q40" s="265">
        <v>0</v>
      </c>
      <c r="R40" s="265">
        <v>0</v>
      </c>
      <c r="S40" s="265">
        <v>42000</v>
      </c>
      <c r="T40" s="265">
        <v>31500</v>
      </c>
      <c r="U40" s="265">
        <v>28000</v>
      </c>
      <c r="V40" s="265">
        <v>24500</v>
      </c>
      <c r="W40" s="265">
        <v>42000</v>
      </c>
      <c r="X40" s="265">
        <v>42000</v>
      </c>
      <c r="Y40" s="50">
        <f t="shared" si="0"/>
        <v>0</v>
      </c>
    </row>
    <row r="41" spans="1:25" s="39" customFormat="1" x14ac:dyDescent="0.35">
      <c r="A41" s="37" t="s">
        <v>1350</v>
      </c>
      <c r="B41" s="37" t="s">
        <v>1659</v>
      </c>
      <c r="C41" s="91">
        <v>8471240</v>
      </c>
      <c r="D41" s="37" t="s">
        <v>1364</v>
      </c>
      <c r="E41" s="91">
        <v>436120</v>
      </c>
      <c r="F41" s="37" t="s">
        <v>291</v>
      </c>
      <c r="G41" s="90">
        <v>847001</v>
      </c>
      <c r="H41" s="37" t="s">
        <v>50</v>
      </c>
      <c r="I41" s="90">
        <v>200179</v>
      </c>
      <c r="J41" s="37" t="s">
        <v>61</v>
      </c>
      <c r="K41" s="265">
        <v>-595</v>
      </c>
      <c r="L41" s="265">
        <v>0</v>
      </c>
      <c r="M41" s="265">
        <v>0</v>
      </c>
      <c r="N41" s="265">
        <v>25000</v>
      </c>
      <c r="O41" s="265">
        <v>25000</v>
      </c>
      <c r="P41" s="265">
        <v>0</v>
      </c>
      <c r="Q41" s="265">
        <v>0</v>
      </c>
      <c r="R41" s="265">
        <v>0</v>
      </c>
      <c r="S41" s="265">
        <v>35000</v>
      </c>
      <c r="T41" s="265">
        <v>30600</v>
      </c>
      <c r="U41" s="265">
        <v>27200</v>
      </c>
      <c r="V41" s="265">
        <v>23800</v>
      </c>
      <c r="W41" s="265">
        <v>35000</v>
      </c>
      <c r="X41" s="265">
        <v>35000</v>
      </c>
      <c r="Y41" s="50">
        <f t="shared" si="0"/>
        <v>10000</v>
      </c>
    </row>
    <row r="42" spans="1:25" s="39" customFormat="1" x14ac:dyDescent="0.35">
      <c r="A42" s="37" t="s">
        <v>1350</v>
      </c>
      <c r="B42" s="37" t="s">
        <v>1701</v>
      </c>
      <c r="C42" s="91">
        <v>8471250</v>
      </c>
      <c r="D42" s="37" t="s">
        <v>1545</v>
      </c>
      <c r="E42" s="91">
        <v>425510</v>
      </c>
      <c r="F42" s="37" t="s">
        <v>247</v>
      </c>
      <c r="G42" s="90">
        <v>847001</v>
      </c>
      <c r="H42" s="37" t="s">
        <v>50</v>
      </c>
      <c r="I42" s="90">
        <v>200179</v>
      </c>
      <c r="J42" s="37" t="s">
        <v>61</v>
      </c>
      <c r="K42" s="265">
        <v>197232</v>
      </c>
      <c r="L42" s="265">
        <v>391731</v>
      </c>
      <c r="M42" s="265">
        <v>255065</v>
      </c>
      <c r="N42" s="38">
        <v>867500</v>
      </c>
      <c r="O42" s="265">
        <v>867500</v>
      </c>
      <c r="P42" s="265">
        <v>0</v>
      </c>
      <c r="Q42" s="265">
        <v>867000</v>
      </c>
      <c r="R42" s="265">
        <v>0</v>
      </c>
      <c r="S42" s="38">
        <v>1000000</v>
      </c>
      <c r="T42" s="265">
        <v>900000</v>
      </c>
      <c r="U42" s="265">
        <v>800000</v>
      </c>
      <c r="V42" s="265">
        <v>700000</v>
      </c>
      <c r="W42" s="265">
        <v>1000000</v>
      </c>
      <c r="X42" s="265">
        <v>1000000</v>
      </c>
      <c r="Y42" s="38">
        <f t="shared" si="0"/>
        <v>132500</v>
      </c>
    </row>
    <row r="43" spans="1:25" s="39" customFormat="1" x14ac:dyDescent="0.35">
      <c r="A43" s="37" t="s">
        <v>1350</v>
      </c>
      <c r="B43" s="37" t="s">
        <v>1702</v>
      </c>
      <c r="C43" s="91">
        <v>8471250</v>
      </c>
      <c r="D43" s="37" t="s">
        <v>1545</v>
      </c>
      <c r="E43" s="91">
        <v>425720</v>
      </c>
      <c r="F43" s="37" t="s">
        <v>620</v>
      </c>
      <c r="G43" s="90">
        <v>847001</v>
      </c>
      <c r="H43" s="37" t="s">
        <v>50</v>
      </c>
      <c r="I43" s="90">
        <v>200179</v>
      </c>
      <c r="J43" s="37" t="s">
        <v>61</v>
      </c>
      <c r="K43" s="265">
        <v>116885</v>
      </c>
      <c r="L43" s="265">
        <v>207900</v>
      </c>
      <c r="M43" s="265">
        <v>370000</v>
      </c>
      <c r="N43" s="265">
        <v>0</v>
      </c>
      <c r="O43" s="265">
        <v>0</v>
      </c>
      <c r="P43" s="265">
        <v>0</v>
      </c>
      <c r="Q43" s="265">
        <v>0</v>
      </c>
      <c r="R43" s="265">
        <v>0</v>
      </c>
      <c r="S43" s="265">
        <v>560000</v>
      </c>
      <c r="T43" s="265">
        <v>504000</v>
      </c>
      <c r="U43" s="265">
        <v>448000</v>
      </c>
      <c r="V43" s="265">
        <v>392000</v>
      </c>
      <c r="W43" s="265">
        <v>560000</v>
      </c>
      <c r="X43" s="265">
        <v>560000</v>
      </c>
      <c r="Y43" s="50">
        <f t="shared" si="0"/>
        <v>560000</v>
      </c>
    </row>
    <row r="44" spans="1:25" s="39" customFormat="1" x14ac:dyDescent="0.35">
      <c r="A44" s="37" t="s">
        <v>1350</v>
      </c>
      <c r="B44" s="37" t="s">
        <v>1703</v>
      </c>
      <c r="C44" s="91">
        <v>8471250</v>
      </c>
      <c r="D44" s="37" t="s">
        <v>1545</v>
      </c>
      <c r="E44" s="91">
        <v>425762</v>
      </c>
      <c r="F44" s="37" t="s">
        <v>573</v>
      </c>
      <c r="G44" s="90">
        <v>847001</v>
      </c>
      <c r="H44" s="37" t="s">
        <v>50</v>
      </c>
      <c r="I44" s="90">
        <v>200179</v>
      </c>
      <c r="J44" s="37" t="s">
        <v>61</v>
      </c>
      <c r="K44" s="265">
        <v>766233</v>
      </c>
      <c r="L44" s="265">
        <v>243698</v>
      </c>
      <c r="M44" s="265">
        <v>0</v>
      </c>
      <c r="N44" s="265">
        <v>520000</v>
      </c>
      <c r="O44" s="265">
        <v>520000</v>
      </c>
      <c r="P44" s="265">
        <v>128025</v>
      </c>
      <c r="Q44" s="265">
        <v>0</v>
      </c>
      <c r="R44" s="265">
        <v>0</v>
      </c>
      <c r="S44" s="265">
        <v>2144000</v>
      </c>
      <c r="T44" s="265">
        <v>1929600</v>
      </c>
      <c r="U44" s="265">
        <v>1715200</v>
      </c>
      <c r="V44" s="265">
        <v>1500800</v>
      </c>
      <c r="W44" s="265">
        <v>2144000</v>
      </c>
      <c r="X44" s="265">
        <v>2144000</v>
      </c>
      <c r="Y44" s="50">
        <f t="shared" si="0"/>
        <v>1624000</v>
      </c>
    </row>
    <row r="45" spans="1:25" s="39" customFormat="1" x14ac:dyDescent="0.35">
      <c r="A45" s="37" t="s">
        <v>1350</v>
      </c>
      <c r="B45" s="37" t="s">
        <v>1704</v>
      </c>
      <c r="C45" s="91">
        <v>8471250</v>
      </c>
      <c r="D45" s="37" t="s">
        <v>1545</v>
      </c>
      <c r="E45" s="91">
        <v>425900</v>
      </c>
      <c r="F45" s="37" t="s">
        <v>266</v>
      </c>
      <c r="G45" s="90">
        <v>847001</v>
      </c>
      <c r="H45" s="37" t="s">
        <v>50</v>
      </c>
      <c r="I45" s="90">
        <v>200179</v>
      </c>
      <c r="J45" s="37" t="s">
        <v>61</v>
      </c>
      <c r="K45" s="265">
        <v>377</v>
      </c>
      <c r="L45" s="265">
        <v>18560</v>
      </c>
      <c r="M45" s="265">
        <v>0</v>
      </c>
      <c r="N45" s="265">
        <v>51000</v>
      </c>
      <c r="O45" s="265">
        <v>51000</v>
      </c>
      <c r="P45" s="265">
        <v>0</v>
      </c>
      <c r="Q45" s="265">
        <v>0</v>
      </c>
      <c r="R45" s="265">
        <v>0</v>
      </c>
      <c r="S45" s="265">
        <v>75000</v>
      </c>
      <c r="T45" s="265">
        <v>67500</v>
      </c>
      <c r="U45" s="265">
        <v>60000</v>
      </c>
      <c r="V45" s="265">
        <v>52500</v>
      </c>
      <c r="W45" s="265">
        <v>75000</v>
      </c>
      <c r="X45" s="265">
        <v>75000</v>
      </c>
      <c r="Y45" s="50">
        <f t="shared" si="0"/>
        <v>24000</v>
      </c>
    </row>
    <row r="46" spans="1:25" s="39" customFormat="1" x14ac:dyDescent="0.35">
      <c r="A46" s="37" t="s">
        <v>1350</v>
      </c>
      <c r="B46" s="37" t="s">
        <v>1705</v>
      </c>
      <c r="C46" s="91">
        <v>8471250</v>
      </c>
      <c r="D46" s="37" t="s">
        <v>1545</v>
      </c>
      <c r="E46" s="91">
        <v>426610</v>
      </c>
      <c r="F46" s="37" t="s">
        <v>694</v>
      </c>
      <c r="G46" s="90">
        <v>847001</v>
      </c>
      <c r="H46" s="37" t="s">
        <v>50</v>
      </c>
      <c r="I46" s="90">
        <v>200179</v>
      </c>
      <c r="J46" s="37" t="s">
        <v>61</v>
      </c>
      <c r="K46" s="265">
        <v>134380</v>
      </c>
      <c r="L46" s="265">
        <v>238680</v>
      </c>
      <c r="M46" s="265">
        <v>0</v>
      </c>
      <c r="N46" s="265">
        <v>60608</v>
      </c>
      <c r="O46" s="265">
        <v>60608</v>
      </c>
      <c r="P46" s="265">
        <v>0</v>
      </c>
      <c r="Q46" s="265">
        <v>60604.5</v>
      </c>
      <c r="R46" s="265">
        <v>0</v>
      </c>
      <c r="S46" s="265">
        <v>373152</v>
      </c>
      <c r="T46" s="265">
        <v>335837</v>
      </c>
      <c r="U46" s="265">
        <v>298522</v>
      </c>
      <c r="V46" s="265">
        <v>261206</v>
      </c>
      <c r="W46" s="265">
        <v>1119456</v>
      </c>
      <c r="X46" s="265">
        <v>1119456</v>
      </c>
      <c r="Y46" s="50">
        <f t="shared" si="0"/>
        <v>312544</v>
      </c>
    </row>
    <row r="47" spans="1:25" s="39" customFormat="1" x14ac:dyDescent="0.35">
      <c r="A47" s="37" t="s">
        <v>1350</v>
      </c>
      <c r="B47" s="37" t="s">
        <v>1706</v>
      </c>
      <c r="C47" s="91">
        <v>8471250</v>
      </c>
      <c r="D47" s="37" t="s">
        <v>1545</v>
      </c>
      <c r="E47" s="91">
        <v>428090</v>
      </c>
      <c r="F47" s="37" t="s">
        <v>154</v>
      </c>
      <c r="G47" s="90">
        <v>847001</v>
      </c>
      <c r="H47" s="37" t="s">
        <v>50</v>
      </c>
      <c r="I47" s="90">
        <v>200179</v>
      </c>
      <c r="J47" s="37" t="s">
        <v>61</v>
      </c>
      <c r="K47" s="265">
        <v>0</v>
      </c>
      <c r="L47" s="265">
        <v>0</v>
      </c>
      <c r="M47" s="265">
        <v>0</v>
      </c>
      <c r="N47" s="265">
        <v>10000</v>
      </c>
      <c r="O47" s="265">
        <v>10000</v>
      </c>
      <c r="P47" s="265">
        <v>4400</v>
      </c>
      <c r="Q47" s="265">
        <v>0</v>
      </c>
      <c r="R47" s="265">
        <v>0</v>
      </c>
      <c r="S47" s="265">
        <v>0</v>
      </c>
      <c r="T47" s="265">
        <v>0</v>
      </c>
      <c r="U47" s="265">
        <v>0</v>
      </c>
      <c r="V47" s="265">
        <v>0</v>
      </c>
      <c r="W47" s="265">
        <v>0</v>
      </c>
      <c r="X47" s="265">
        <v>0</v>
      </c>
      <c r="Y47" s="50">
        <f t="shared" si="0"/>
        <v>-10000</v>
      </c>
    </row>
    <row r="48" spans="1:25" s="39" customFormat="1" x14ac:dyDescent="0.35">
      <c r="A48" s="37" t="s">
        <v>1350</v>
      </c>
      <c r="B48" s="37" t="s">
        <v>1707</v>
      </c>
      <c r="C48" s="91">
        <v>8471250</v>
      </c>
      <c r="D48" s="37" t="s">
        <v>1545</v>
      </c>
      <c r="E48" s="91">
        <v>428640</v>
      </c>
      <c r="F48" s="37" t="s">
        <v>279</v>
      </c>
      <c r="G48" s="90">
        <v>847001</v>
      </c>
      <c r="H48" s="37" t="s">
        <v>50</v>
      </c>
      <c r="I48" s="90">
        <v>200179</v>
      </c>
      <c r="J48" s="37" t="s">
        <v>61</v>
      </c>
      <c r="K48" s="265">
        <v>0</v>
      </c>
      <c r="L48" s="265">
        <v>0</v>
      </c>
      <c r="M48" s="265">
        <v>0</v>
      </c>
      <c r="N48" s="265">
        <v>46500</v>
      </c>
      <c r="O48" s="265">
        <v>46500</v>
      </c>
      <c r="P48" s="265">
        <v>0</v>
      </c>
      <c r="Q48" s="265">
        <v>0</v>
      </c>
      <c r="R48" s="265">
        <v>0</v>
      </c>
      <c r="S48" s="265">
        <v>80000</v>
      </c>
      <c r="T48" s="265">
        <v>72000</v>
      </c>
      <c r="U48" s="265">
        <v>64000</v>
      </c>
      <c r="V48" s="265">
        <v>56000</v>
      </c>
      <c r="W48" s="265">
        <v>80000</v>
      </c>
      <c r="X48" s="265">
        <v>80000</v>
      </c>
      <c r="Y48" s="50">
        <f t="shared" si="0"/>
        <v>33500</v>
      </c>
    </row>
    <row r="49" spans="1:25" s="39" customFormat="1" x14ac:dyDescent="0.35">
      <c r="A49" s="37" t="s">
        <v>1350</v>
      </c>
      <c r="B49" s="37" t="s">
        <v>1708</v>
      </c>
      <c r="C49" s="91">
        <v>8471250</v>
      </c>
      <c r="D49" s="37" t="s">
        <v>1545</v>
      </c>
      <c r="E49" s="91">
        <v>436110</v>
      </c>
      <c r="F49" s="37" t="s">
        <v>190</v>
      </c>
      <c r="G49" s="90">
        <v>847001</v>
      </c>
      <c r="H49" s="37" t="s">
        <v>50</v>
      </c>
      <c r="I49" s="90">
        <v>200179</v>
      </c>
      <c r="J49" s="37" t="s">
        <v>61</v>
      </c>
      <c r="K49" s="265">
        <v>-14910</v>
      </c>
      <c r="L49" s="265">
        <v>0</v>
      </c>
      <c r="M49" s="265">
        <v>-5910</v>
      </c>
      <c r="N49" s="265">
        <v>10000</v>
      </c>
      <c r="O49" s="265">
        <v>10000</v>
      </c>
      <c r="P49" s="265">
        <v>0</v>
      </c>
      <c r="Q49" s="265">
        <v>0</v>
      </c>
      <c r="R49" s="265">
        <v>0</v>
      </c>
      <c r="S49" s="265">
        <v>10000</v>
      </c>
      <c r="T49" s="265">
        <v>9000</v>
      </c>
      <c r="U49" s="265">
        <v>8000</v>
      </c>
      <c r="V49" s="265">
        <v>7000</v>
      </c>
      <c r="W49" s="265">
        <v>10000</v>
      </c>
      <c r="X49" s="265">
        <v>10000</v>
      </c>
      <c r="Y49" s="50">
        <f t="shared" si="0"/>
        <v>0</v>
      </c>
    </row>
    <row r="50" spans="1:25" s="39" customFormat="1" x14ac:dyDescent="0.35">
      <c r="A50" s="37" t="s">
        <v>1350</v>
      </c>
      <c r="B50" s="37" t="s">
        <v>1667</v>
      </c>
      <c r="C50" s="91">
        <v>8471260</v>
      </c>
      <c r="D50" s="37" t="s">
        <v>1404</v>
      </c>
      <c r="E50" s="91">
        <v>420310</v>
      </c>
      <c r="F50" s="37" t="s">
        <v>3038</v>
      </c>
      <c r="G50" s="90">
        <v>847001</v>
      </c>
      <c r="H50" s="37" t="s">
        <v>50</v>
      </c>
      <c r="I50" s="90">
        <v>200179</v>
      </c>
      <c r="J50" s="37" t="s">
        <v>61</v>
      </c>
      <c r="K50" s="265">
        <v>2077931</v>
      </c>
      <c r="L50" s="265">
        <v>2150684</v>
      </c>
      <c r="M50" s="265">
        <v>-2820</v>
      </c>
      <c r="N50" s="265">
        <v>0</v>
      </c>
      <c r="O50" s="265">
        <v>0</v>
      </c>
      <c r="P50" s="265">
        <v>0</v>
      </c>
      <c r="Q50" s="265">
        <v>0</v>
      </c>
      <c r="R50" s="265">
        <v>0</v>
      </c>
      <c r="S50" s="265">
        <v>0</v>
      </c>
      <c r="T50" s="265">
        <v>0</v>
      </c>
      <c r="U50" s="265">
        <v>0</v>
      </c>
      <c r="V50" s="265">
        <v>0</v>
      </c>
      <c r="W50" s="265">
        <v>0</v>
      </c>
      <c r="X50" s="265">
        <v>0</v>
      </c>
      <c r="Y50" s="50">
        <f t="shared" si="0"/>
        <v>0</v>
      </c>
    </row>
    <row r="51" spans="1:25" s="39" customFormat="1" x14ac:dyDescent="0.35">
      <c r="A51" s="37" t="s">
        <v>1350</v>
      </c>
      <c r="B51" s="37" t="s">
        <v>1668</v>
      </c>
      <c r="C51" s="91">
        <v>8471260</v>
      </c>
      <c r="D51" s="37" t="s">
        <v>1404</v>
      </c>
      <c r="E51" s="91">
        <v>421600</v>
      </c>
      <c r="F51" s="37" t="s">
        <v>1475</v>
      </c>
      <c r="G51" s="90">
        <v>847001</v>
      </c>
      <c r="H51" s="37" t="s">
        <v>50</v>
      </c>
      <c r="I51" s="90">
        <v>200179</v>
      </c>
      <c r="J51" s="37" t="s">
        <v>61</v>
      </c>
      <c r="K51" s="265">
        <v>920424</v>
      </c>
      <c r="L51" s="265">
        <v>1337824</v>
      </c>
      <c r="M51" s="265">
        <v>1750</v>
      </c>
      <c r="N51" s="265">
        <v>0</v>
      </c>
      <c r="O51" s="265">
        <v>0</v>
      </c>
      <c r="P51" s="265">
        <v>0</v>
      </c>
      <c r="Q51" s="265">
        <v>0</v>
      </c>
      <c r="R51" s="265">
        <v>0</v>
      </c>
      <c r="S51" s="265">
        <v>0</v>
      </c>
      <c r="T51" s="265">
        <v>0</v>
      </c>
      <c r="U51" s="265">
        <v>0</v>
      </c>
      <c r="V51" s="265">
        <v>0</v>
      </c>
      <c r="W51" s="265">
        <v>0</v>
      </c>
      <c r="X51" s="265">
        <v>0</v>
      </c>
      <c r="Y51" s="50">
        <f t="shared" si="0"/>
        <v>0</v>
      </c>
    </row>
    <row r="52" spans="1:25" s="39" customFormat="1" x14ac:dyDescent="0.35">
      <c r="A52" s="37" t="s">
        <v>1350</v>
      </c>
      <c r="B52" s="37" t="s">
        <v>1669</v>
      </c>
      <c r="C52" s="91">
        <v>8471260</v>
      </c>
      <c r="D52" s="37" t="s">
        <v>1404</v>
      </c>
      <c r="E52" s="91">
        <v>422400</v>
      </c>
      <c r="F52" s="37" t="s">
        <v>3039</v>
      </c>
      <c r="G52" s="90">
        <v>847001</v>
      </c>
      <c r="H52" s="37" t="s">
        <v>50</v>
      </c>
      <c r="I52" s="90">
        <v>200179</v>
      </c>
      <c r="J52" s="37" t="s">
        <v>61</v>
      </c>
      <c r="K52" s="265">
        <v>0</v>
      </c>
      <c r="L52" s="265">
        <v>0</v>
      </c>
      <c r="M52" s="265">
        <v>0</v>
      </c>
      <c r="N52" s="265">
        <v>0</v>
      </c>
      <c r="O52" s="265">
        <v>0</v>
      </c>
      <c r="P52" s="265">
        <v>0</v>
      </c>
      <c r="Q52" s="265">
        <v>0</v>
      </c>
      <c r="R52" s="265">
        <v>0</v>
      </c>
      <c r="S52" s="265">
        <v>0</v>
      </c>
      <c r="T52" s="265">
        <v>0</v>
      </c>
      <c r="U52" s="265">
        <v>0</v>
      </c>
      <c r="V52" s="265">
        <v>0</v>
      </c>
      <c r="W52" s="265">
        <v>0</v>
      </c>
      <c r="X52" s="265">
        <v>0</v>
      </c>
      <c r="Y52" s="50">
        <f t="shared" si="0"/>
        <v>0</v>
      </c>
    </row>
    <row r="53" spans="1:25" s="39" customFormat="1" x14ac:dyDescent="0.35">
      <c r="A53" s="419" t="s">
        <v>1350</v>
      </c>
      <c r="B53" s="419" t="s">
        <v>1660</v>
      </c>
      <c r="C53" s="291">
        <v>8471260</v>
      </c>
      <c r="D53" s="419" t="s">
        <v>1404</v>
      </c>
      <c r="E53" s="291">
        <v>425510</v>
      </c>
      <c r="F53" s="419" t="s">
        <v>247</v>
      </c>
      <c r="G53" s="420">
        <v>847001</v>
      </c>
      <c r="H53" s="419" t="s">
        <v>50</v>
      </c>
      <c r="I53" s="420">
        <v>200179</v>
      </c>
      <c r="J53" s="419" t="s">
        <v>61</v>
      </c>
      <c r="K53" s="418">
        <v>89382</v>
      </c>
      <c r="L53" s="418">
        <v>20550</v>
      </c>
      <c r="M53" s="418">
        <v>0</v>
      </c>
      <c r="N53" s="421">
        <v>205000</v>
      </c>
      <c r="O53" s="418">
        <v>205000</v>
      </c>
      <c r="P53" s="265">
        <v>18873.75</v>
      </c>
      <c r="Q53" s="265">
        <v>61320</v>
      </c>
      <c r="R53" s="265">
        <v>0</v>
      </c>
      <c r="S53" s="421">
        <v>274000</v>
      </c>
      <c r="T53" s="421">
        <v>246600</v>
      </c>
      <c r="U53" s="421">
        <v>219200</v>
      </c>
      <c r="V53" s="421">
        <v>191800</v>
      </c>
      <c r="W53" s="421">
        <v>301000</v>
      </c>
      <c r="X53" s="421">
        <v>301000</v>
      </c>
      <c r="Y53" s="421">
        <f t="shared" si="0"/>
        <v>69000</v>
      </c>
    </row>
    <row r="54" spans="1:25" s="39" customFormat="1" x14ac:dyDescent="0.35">
      <c r="A54" s="37" t="s">
        <v>1350</v>
      </c>
      <c r="B54" s="37" t="s">
        <v>1661</v>
      </c>
      <c r="C54" s="91">
        <v>8471260</v>
      </c>
      <c r="D54" s="37" t="s">
        <v>1404</v>
      </c>
      <c r="E54" s="91">
        <v>425746</v>
      </c>
      <c r="F54" s="37" t="s">
        <v>1047</v>
      </c>
      <c r="G54" s="90">
        <v>847001</v>
      </c>
      <c r="H54" s="37" t="s">
        <v>50</v>
      </c>
      <c r="I54" s="90">
        <v>200179</v>
      </c>
      <c r="J54" s="37" t="s">
        <v>61</v>
      </c>
      <c r="K54" s="265">
        <v>9622796</v>
      </c>
      <c r="L54" s="265">
        <v>3208632</v>
      </c>
      <c r="M54" s="265">
        <v>8221711</v>
      </c>
      <c r="N54" s="265">
        <v>9349361</v>
      </c>
      <c r="O54" s="265">
        <v>9349361</v>
      </c>
      <c r="P54" s="265">
        <v>-58814.48</v>
      </c>
      <c r="Q54" s="265">
        <v>0</v>
      </c>
      <c r="R54" s="265">
        <v>662298.51</v>
      </c>
      <c r="S54" s="265">
        <v>11316828</v>
      </c>
      <c r="T54" s="265">
        <v>10185145.200000001</v>
      </c>
      <c r="U54" s="265">
        <v>9053462.4000000004</v>
      </c>
      <c r="V54" s="265">
        <v>7921779.5999999996</v>
      </c>
      <c r="W54" s="265">
        <v>11616828</v>
      </c>
      <c r="X54" s="265">
        <v>11616828</v>
      </c>
      <c r="Y54" s="50">
        <f t="shared" si="0"/>
        <v>1967467</v>
      </c>
    </row>
    <row r="55" spans="1:25" s="39" customFormat="1" x14ac:dyDescent="0.35">
      <c r="A55" s="37" t="s">
        <v>1350</v>
      </c>
      <c r="B55" s="37" t="s">
        <v>1670</v>
      </c>
      <c r="C55" s="91">
        <v>8471260</v>
      </c>
      <c r="D55" s="37" t="s">
        <v>1404</v>
      </c>
      <c r="E55" s="91">
        <v>425750</v>
      </c>
      <c r="F55" s="37" t="s">
        <v>1057</v>
      </c>
      <c r="G55" s="90">
        <v>847001</v>
      </c>
      <c r="H55" s="37" t="s">
        <v>50</v>
      </c>
      <c r="I55" s="90">
        <v>200179</v>
      </c>
      <c r="J55" s="37" t="s">
        <v>61</v>
      </c>
      <c r="K55" s="265">
        <v>0</v>
      </c>
      <c r="L55" s="265">
        <v>0</v>
      </c>
      <c r="M55" s="265">
        <v>25000</v>
      </c>
      <c r="N55" s="265">
        <v>0</v>
      </c>
      <c r="O55" s="265">
        <v>0</v>
      </c>
      <c r="P55" s="265">
        <v>0</v>
      </c>
      <c r="Q55" s="265">
        <v>0</v>
      </c>
      <c r="R55" s="265">
        <v>0</v>
      </c>
      <c r="S55" s="265">
        <v>0</v>
      </c>
      <c r="T55" s="265">
        <v>0</v>
      </c>
      <c r="U55" s="265">
        <v>0</v>
      </c>
      <c r="V55" s="265">
        <v>0</v>
      </c>
      <c r="W55" s="265">
        <v>0</v>
      </c>
      <c r="X55" s="265">
        <v>0</v>
      </c>
      <c r="Y55" s="50">
        <f t="shared" si="0"/>
        <v>0</v>
      </c>
    </row>
    <row r="56" spans="1:25" s="39" customFormat="1" x14ac:dyDescent="0.35">
      <c r="A56" s="37" t="s">
        <v>1350</v>
      </c>
      <c r="B56" s="37" t="s">
        <v>1662</v>
      </c>
      <c r="C56" s="91">
        <v>8471260</v>
      </c>
      <c r="D56" s="37" t="s">
        <v>1404</v>
      </c>
      <c r="E56" s="91">
        <v>425760</v>
      </c>
      <c r="F56" s="37" t="s">
        <v>352</v>
      </c>
      <c r="G56" s="90">
        <v>847001</v>
      </c>
      <c r="H56" s="37" t="s">
        <v>50</v>
      </c>
      <c r="I56" s="90">
        <v>200179</v>
      </c>
      <c r="J56" s="37" t="s">
        <v>61</v>
      </c>
      <c r="K56" s="265">
        <v>430483</v>
      </c>
      <c r="L56" s="265">
        <v>16013</v>
      </c>
      <c r="M56" s="265">
        <v>229618</v>
      </c>
      <c r="N56" s="265">
        <v>936870</v>
      </c>
      <c r="O56" s="265">
        <v>936870</v>
      </c>
      <c r="P56" s="265">
        <v>278706</v>
      </c>
      <c r="Q56" s="265">
        <v>0</v>
      </c>
      <c r="R56" s="265">
        <v>0</v>
      </c>
      <c r="S56" s="265">
        <v>847520</v>
      </c>
      <c r="T56" s="265">
        <v>762768</v>
      </c>
      <c r="U56" s="265">
        <v>678016</v>
      </c>
      <c r="V56" s="265">
        <v>593264</v>
      </c>
      <c r="W56" s="265">
        <v>1001122</v>
      </c>
      <c r="X56" s="265">
        <v>1188622</v>
      </c>
      <c r="Y56" s="50">
        <f t="shared" si="0"/>
        <v>-89350</v>
      </c>
    </row>
    <row r="57" spans="1:25" s="39" customFormat="1" x14ac:dyDescent="0.35">
      <c r="A57" s="37" t="s">
        <v>1350</v>
      </c>
      <c r="B57" s="37" t="s">
        <v>1663</v>
      </c>
      <c r="C57" s="91">
        <v>8471260</v>
      </c>
      <c r="D57" s="37" t="s">
        <v>1404</v>
      </c>
      <c r="E57" s="91">
        <v>425900</v>
      </c>
      <c r="F57" s="37" t="s">
        <v>266</v>
      </c>
      <c r="G57" s="90">
        <v>847001</v>
      </c>
      <c r="H57" s="37" t="s">
        <v>50</v>
      </c>
      <c r="I57" s="90">
        <v>200179</v>
      </c>
      <c r="J57" s="37" t="s">
        <v>61</v>
      </c>
      <c r="K57" s="265">
        <v>54299</v>
      </c>
      <c r="L57" s="265">
        <v>0</v>
      </c>
      <c r="M57" s="265">
        <v>7086</v>
      </c>
      <c r="N57" s="265">
        <v>70800</v>
      </c>
      <c r="O57" s="265">
        <v>70800</v>
      </c>
      <c r="P57" s="265">
        <v>44428.44</v>
      </c>
      <c r="Q57" s="265">
        <v>0</v>
      </c>
      <c r="R57" s="265">
        <v>0</v>
      </c>
      <c r="S57" s="265">
        <v>170000</v>
      </c>
      <c r="T57" s="265">
        <v>45900</v>
      </c>
      <c r="U57" s="265">
        <v>40800</v>
      </c>
      <c r="V57" s="265">
        <v>35700</v>
      </c>
      <c r="W57" s="265">
        <v>170000</v>
      </c>
      <c r="X57" s="265">
        <v>170000</v>
      </c>
      <c r="Y57" s="50">
        <f t="shared" si="0"/>
        <v>99200</v>
      </c>
    </row>
    <row r="58" spans="1:25" s="39" customFormat="1" x14ac:dyDescent="0.35">
      <c r="A58" s="37" t="s">
        <v>1350</v>
      </c>
      <c r="B58" s="37" t="s">
        <v>1671</v>
      </c>
      <c r="C58" s="91">
        <v>8471260</v>
      </c>
      <c r="D58" s="37" t="s">
        <v>1404</v>
      </c>
      <c r="E58" s="91">
        <v>426220</v>
      </c>
      <c r="F58" s="37" t="s">
        <v>1477</v>
      </c>
      <c r="G58" s="90">
        <v>847001</v>
      </c>
      <c r="H58" s="37" t="s">
        <v>50</v>
      </c>
      <c r="I58" s="90">
        <v>200179</v>
      </c>
      <c r="J58" s="37" t="s">
        <v>61</v>
      </c>
      <c r="K58" s="265">
        <v>535013</v>
      </c>
      <c r="L58" s="265">
        <v>335082</v>
      </c>
      <c r="M58" s="265">
        <v>7905</v>
      </c>
      <c r="N58" s="265">
        <v>0</v>
      </c>
      <c r="O58" s="265">
        <v>0</v>
      </c>
      <c r="P58" s="265">
        <v>0</v>
      </c>
      <c r="Q58" s="265">
        <v>0</v>
      </c>
      <c r="R58" s="265">
        <v>0</v>
      </c>
      <c r="S58" s="265">
        <v>0</v>
      </c>
      <c r="T58" s="265">
        <v>0</v>
      </c>
      <c r="U58" s="265">
        <v>0</v>
      </c>
      <c r="V58" s="265">
        <v>0</v>
      </c>
      <c r="W58" s="265">
        <v>0</v>
      </c>
      <c r="X58" s="265">
        <v>0</v>
      </c>
      <c r="Y58" s="50">
        <f t="shared" si="0"/>
        <v>0</v>
      </c>
    </row>
    <row r="59" spans="1:25" s="39" customFormat="1" x14ac:dyDescent="0.35">
      <c r="A59" s="37" t="s">
        <v>1350</v>
      </c>
      <c r="B59" s="37" t="s">
        <v>1672</v>
      </c>
      <c r="C59" s="91">
        <v>8471260</v>
      </c>
      <c r="D59" s="37" t="s">
        <v>1404</v>
      </c>
      <c r="E59" s="91">
        <v>428111</v>
      </c>
      <c r="F59" s="37" t="s">
        <v>1478</v>
      </c>
      <c r="G59" s="90">
        <v>847001</v>
      </c>
      <c r="H59" s="37" t="s">
        <v>50</v>
      </c>
      <c r="I59" s="90">
        <v>200179</v>
      </c>
      <c r="J59" s="37" t="s">
        <v>61</v>
      </c>
      <c r="K59" s="265">
        <v>5729606</v>
      </c>
      <c r="L59" s="265">
        <v>6823015</v>
      </c>
      <c r="M59" s="265">
        <v>506185</v>
      </c>
      <c r="N59" s="265">
        <v>0</v>
      </c>
      <c r="O59" s="265">
        <v>0</v>
      </c>
      <c r="P59" s="265">
        <v>0</v>
      </c>
      <c r="Q59" s="265">
        <v>0</v>
      </c>
      <c r="R59" s="265">
        <v>0</v>
      </c>
      <c r="S59" s="265">
        <v>0</v>
      </c>
      <c r="T59" s="265">
        <v>0</v>
      </c>
      <c r="U59" s="265">
        <v>0</v>
      </c>
      <c r="V59" s="265">
        <v>0</v>
      </c>
      <c r="W59" s="265">
        <v>0</v>
      </c>
      <c r="X59" s="265">
        <v>0</v>
      </c>
      <c r="Y59" s="50">
        <f t="shared" si="0"/>
        <v>0</v>
      </c>
    </row>
    <row r="60" spans="1:25" s="39" customFormat="1" x14ac:dyDescent="0.35">
      <c r="A60" s="37" t="s">
        <v>1350</v>
      </c>
      <c r="B60" s="37" t="s">
        <v>1673</v>
      </c>
      <c r="C60" s="91">
        <v>8471260</v>
      </c>
      <c r="D60" s="37" t="s">
        <v>1404</v>
      </c>
      <c r="E60" s="91">
        <v>428112</v>
      </c>
      <c r="F60" s="37" t="s">
        <v>1479</v>
      </c>
      <c r="G60" s="90">
        <v>847001</v>
      </c>
      <c r="H60" s="37" t="s">
        <v>50</v>
      </c>
      <c r="I60" s="90">
        <v>200179</v>
      </c>
      <c r="J60" s="37" t="s">
        <v>61</v>
      </c>
      <c r="K60" s="265">
        <v>308074</v>
      </c>
      <c r="L60" s="265">
        <v>1875749</v>
      </c>
      <c r="M60" s="265">
        <v>166805</v>
      </c>
      <c r="N60" s="265">
        <v>0</v>
      </c>
      <c r="O60" s="265">
        <v>0</v>
      </c>
      <c r="P60" s="265">
        <v>0</v>
      </c>
      <c r="Q60" s="265">
        <v>0</v>
      </c>
      <c r="R60" s="265">
        <v>0</v>
      </c>
      <c r="S60" s="265">
        <v>0</v>
      </c>
      <c r="T60" s="265">
        <v>0</v>
      </c>
      <c r="U60" s="265">
        <v>0</v>
      </c>
      <c r="V60" s="265">
        <v>0</v>
      </c>
      <c r="W60" s="265">
        <v>0</v>
      </c>
      <c r="X60" s="265">
        <v>0</v>
      </c>
      <c r="Y60" s="50">
        <f t="shared" si="0"/>
        <v>0</v>
      </c>
    </row>
    <row r="61" spans="1:25" s="39" customFormat="1" x14ac:dyDescent="0.35">
      <c r="A61" s="37" t="s">
        <v>1350</v>
      </c>
      <c r="B61" s="37" t="s">
        <v>1664</v>
      </c>
      <c r="C61" s="91">
        <v>8471260</v>
      </c>
      <c r="D61" s="37" t="s">
        <v>1404</v>
      </c>
      <c r="E61" s="91">
        <v>428640</v>
      </c>
      <c r="F61" s="37" t="s">
        <v>279</v>
      </c>
      <c r="G61" s="90">
        <v>847001</v>
      </c>
      <c r="H61" s="37" t="s">
        <v>50</v>
      </c>
      <c r="I61" s="90">
        <v>200179</v>
      </c>
      <c r="J61" s="37" t="s">
        <v>61</v>
      </c>
      <c r="K61" s="265">
        <v>0</v>
      </c>
      <c r="L61" s="265">
        <v>0</v>
      </c>
      <c r="M61" s="265">
        <v>10810</v>
      </c>
      <c r="N61" s="265">
        <v>32500</v>
      </c>
      <c r="O61" s="265">
        <v>32500</v>
      </c>
      <c r="P61" s="265">
        <v>6975.25</v>
      </c>
      <c r="Q61" s="265">
        <v>0</v>
      </c>
      <c r="R61" s="265">
        <v>0</v>
      </c>
      <c r="S61" s="265">
        <v>32000</v>
      </c>
      <c r="T61" s="265">
        <v>28800</v>
      </c>
      <c r="U61" s="265">
        <v>25600</v>
      </c>
      <c r="V61" s="265">
        <v>22400</v>
      </c>
      <c r="W61" s="265">
        <v>32000</v>
      </c>
      <c r="X61" s="265">
        <v>32000</v>
      </c>
      <c r="Y61" s="50">
        <f t="shared" si="0"/>
        <v>-500</v>
      </c>
    </row>
    <row r="62" spans="1:25" s="39" customFormat="1" x14ac:dyDescent="0.35">
      <c r="A62" s="37" t="s">
        <v>1350</v>
      </c>
      <c r="B62" s="37" t="s">
        <v>1674</v>
      </c>
      <c r="C62" s="91">
        <v>8471260</v>
      </c>
      <c r="D62" s="37" t="s">
        <v>1404</v>
      </c>
      <c r="E62" s="91">
        <v>430230</v>
      </c>
      <c r="F62" s="37" t="s">
        <v>160</v>
      </c>
      <c r="G62" s="90">
        <v>847001</v>
      </c>
      <c r="H62" s="37" t="s">
        <v>50</v>
      </c>
      <c r="I62" s="90">
        <v>200179</v>
      </c>
      <c r="J62" s="37" t="s">
        <v>61</v>
      </c>
      <c r="K62" s="265">
        <v>2144</v>
      </c>
      <c r="L62" s="265">
        <v>0</v>
      </c>
      <c r="M62" s="265">
        <v>5500</v>
      </c>
      <c r="N62" s="265">
        <v>0</v>
      </c>
      <c r="O62" s="265">
        <v>0</v>
      </c>
      <c r="P62" s="265">
        <v>0</v>
      </c>
      <c r="Q62" s="265">
        <v>0</v>
      </c>
      <c r="R62" s="265">
        <v>0</v>
      </c>
      <c r="S62" s="265">
        <v>0</v>
      </c>
      <c r="T62" s="265">
        <v>0</v>
      </c>
      <c r="U62" s="265">
        <v>0</v>
      </c>
      <c r="V62" s="265">
        <v>0</v>
      </c>
      <c r="W62" s="265">
        <v>0</v>
      </c>
      <c r="X62" s="265">
        <v>0</v>
      </c>
      <c r="Y62" s="50">
        <f t="shared" si="0"/>
        <v>0</v>
      </c>
    </row>
    <row r="63" spans="1:25" s="39" customFormat="1" x14ac:dyDescent="0.35">
      <c r="A63" s="37" t="s">
        <v>1350</v>
      </c>
      <c r="B63" s="37" t="s">
        <v>1675</v>
      </c>
      <c r="C63" s="91">
        <v>8471260</v>
      </c>
      <c r="D63" s="37" t="s">
        <v>1404</v>
      </c>
      <c r="E63" s="91">
        <v>432120</v>
      </c>
      <c r="F63" s="37" t="s">
        <v>1480</v>
      </c>
      <c r="G63" s="90">
        <v>847001</v>
      </c>
      <c r="H63" s="37" t="s">
        <v>50</v>
      </c>
      <c r="I63" s="90">
        <v>200179</v>
      </c>
      <c r="J63" s="37" t="s">
        <v>61</v>
      </c>
      <c r="K63" s="265">
        <v>2170108</v>
      </c>
      <c r="L63" s="265">
        <v>8001536</v>
      </c>
      <c r="M63" s="265">
        <v>118836</v>
      </c>
      <c r="N63" s="265">
        <v>0</v>
      </c>
      <c r="O63" s="265">
        <v>0</v>
      </c>
      <c r="P63" s="265">
        <v>0</v>
      </c>
      <c r="Q63" s="265">
        <v>0</v>
      </c>
      <c r="R63" s="265">
        <v>0</v>
      </c>
      <c r="S63" s="265">
        <v>0</v>
      </c>
      <c r="T63" s="265">
        <v>0</v>
      </c>
      <c r="U63" s="265">
        <v>0</v>
      </c>
      <c r="V63" s="265">
        <v>0</v>
      </c>
      <c r="W63" s="265">
        <v>0</v>
      </c>
      <c r="X63" s="265">
        <v>0</v>
      </c>
      <c r="Y63" s="50">
        <f t="shared" si="0"/>
        <v>0</v>
      </c>
    </row>
    <row r="64" spans="1:25" s="39" customFormat="1" x14ac:dyDescent="0.35">
      <c r="A64" s="37" t="s">
        <v>1350</v>
      </c>
      <c r="B64" s="37" t="s">
        <v>1665</v>
      </c>
      <c r="C64" s="91">
        <v>8471260</v>
      </c>
      <c r="D64" s="37" t="s">
        <v>1404</v>
      </c>
      <c r="E64" s="91">
        <v>435530</v>
      </c>
      <c r="F64" s="37" t="s">
        <v>1127</v>
      </c>
      <c r="G64" s="90">
        <v>847001</v>
      </c>
      <c r="H64" s="37" t="s">
        <v>50</v>
      </c>
      <c r="I64" s="90">
        <v>200179</v>
      </c>
      <c r="J64" s="37" t="s">
        <v>61</v>
      </c>
      <c r="K64" s="265">
        <v>0</v>
      </c>
      <c r="L64" s="265">
        <v>0</v>
      </c>
      <c r="M64" s="265">
        <v>31417</v>
      </c>
      <c r="N64" s="265">
        <v>12000</v>
      </c>
      <c r="O64" s="265">
        <v>12000</v>
      </c>
      <c r="P64" s="265">
        <v>650</v>
      </c>
      <c r="Q64" s="265">
        <v>0</v>
      </c>
      <c r="R64" s="265">
        <v>0</v>
      </c>
      <c r="S64" s="265">
        <v>80350</v>
      </c>
      <c r="T64" s="265">
        <v>72315</v>
      </c>
      <c r="U64" s="265">
        <v>64280</v>
      </c>
      <c r="V64" s="265">
        <v>56245</v>
      </c>
      <c r="W64" s="265">
        <v>85100</v>
      </c>
      <c r="X64" s="265">
        <v>85100</v>
      </c>
      <c r="Y64" s="50">
        <f t="shared" si="0"/>
        <v>68350</v>
      </c>
    </row>
    <row r="65" spans="1:25" s="39" customFormat="1" x14ac:dyDescent="0.35">
      <c r="A65" s="37" t="s">
        <v>1350</v>
      </c>
      <c r="B65" s="37" t="s">
        <v>1666</v>
      </c>
      <c r="C65" s="91">
        <v>8471260</v>
      </c>
      <c r="D65" s="37" t="s">
        <v>1404</v>
      </c>
      <c r="E65" s="91">
        <v>436110</v>
      </c>
      <c r="F65" s="37" t="s">
        <v>190</v>
      </c>
      <c r="G65" s="90">
        <v>847001</v>
      </c>
      <c r="H65" s="37" t="s">
        <v>50</v>
      </c>
      <c r="I65" s="90">
        <v>200179</v>
      </c>
      <c r="J65" s="37" t="s">
        <v>61</v>
      </c>
      <c r="K65" s="265">
        <v>21450</v>
      </c>
      <c r="L65" s="265">
        <v>0</v>
      </c>
      <c r="M65" s="265">
        <v>0</v>
      </c>
      <c r="N65" s="265">
        <v>13500</v>
      </c>
      <c r="O65" s="265">
        <v>13500</v>
      </c>
      <c r="P65" s="265">
        <v>1505.95</v>
      </c>
      <c r="Q65" s="265">
        <v>0</v>
      </c>
      <c r="R65" s="265">
        <v>0</v>
      </c>
      <c r="S65" s="265">
        <v>9600</v>
      </c>
      <c r="T65" s="265">
        <v>8640</v>
      </c>
      <c r="U65" s="265">
        <v>7680</v>
      </c>
      <c r="V65" s="265">
        <v>6720</v>
      </c>
      <c r="W65" s="265">
        <v>12400</v>
      </c>
      <c r="X65" s="265">
        <v>12400</v>
      </c>
      <c r="Y65" s="50">
        <f t="shared" si="0"/>
        <v>-3900</v>
      </c>
    </row>
    <row r="66" spans="1:25" s="39" customFormat="1" x14ac:dyDescent="0.35">
      <c r="A66" s="37" t="s">
        <v>1350</v>
      </c>
      <c r="B66" s="37" t="s">
        <v>1682</v>
      </c>
      <c r="C66" s="91">
        <v>8471270</v>
      </c>
      <c r="D66" s="37" t="s">
        <v>1497</v>
      </c>
      <c r="E66" s="91">
        <v>425900</v>
      </c>
      <c r="F66" s="37" t="s">
        <v>266</v>
      </c>
      <c r="G66" s="90">
        <v>847001</v>
      </c>
      <c r="H66" s="37" t="s">
        <v>50</v>
      </c>
      <c r="I66" s="90">
        <v>200179</v>
      </c>
      <c r="J66" s="37" t="s">
        <v>61</v>
      </c>
      <c r="K66" s="265">
        <v>1250</v>
      </c>
      <c r="L66" s="265">
        <v>150</v>
      </c>
      <c r="M66" s="265">
        <v>0</v>
      </c>
      <c r="N66" s="265">
        <v>50000</v>
      </c>
      <c r="O66" s="265">
        <v>50000</v>
      </c>
      <c r="P66" s="265">
        <v>0</v>
      </c>
      <c r="Q66" s="265">
        <v>0</v>
      </c>
      <c r="R66" s="265">
        <v>0</v>
      </c>
      <c r="S66" s="265">
        <v>50000</v>
      </c>
      <c r="T66" s="265">
        <v>45000</v>
      </c>
      <c r="U66" s="265">
        <v>40000</v>
      </c>
      <c r="V66" s="265">
        <v>35000</v>
      </c>
      <c r="W66" s="265">
        <v>50000</v>
      </c>
      <c r="X66" s="265">
        <v>50000</v>
      </c>
      <c r="Y66" s="50">
        <f t="shared" si="0"/>
        <v>0</v>
      </c>
    </row>
    <row r="67" spans="1:25" s="39" customFormat="1" x14ac:dyDescent="0.35">
      <c r="A67" s="37" t="s">
        <v>1350</v>
      </c>
      <c r="B67" s="37" t="s">
        <v>1683</v>
      </c>
      <c r="C67" s="91">
        <v>8471270</v>
      </c>
      <c r="D67" s="37" t="s">
        <v>1497</v>
      </c>
      <c r="E67" s="91">
        <v>428090</v>
      </c>
      <c r="F67" s="37" t="s">
        <v>154</v>
      </c>
      <c r="G67" s="90">
        <v>847001</v>
      </c>
      <c r="H67" s="37" t="s">
        <v>50</v>
      </c>
      <c r="I67" s="90">
        <v>200179</v>
      </c>
      <c r="J67" s="37" t="s">
        <v>61</v>
      </c>
      <c r="K67" s="265">
        <v>8898</v>
      </c>
      <c r="L67" s="265">
        <v>13309</v>
      </c>
      <c r="M67" s="265">
        <v>0</v>
      </c>
      <c r="N67" s="265">
        <v>300000</v>
      </c>
      <c r="O67" s="265">
        <v>300000</v>
      </c>
      <c r="P67" s="265">
        <v>0</v>
      </c>
      <c r="Q67" s="265">
        <v>0</v>
      </c>
      <c r="R67" s="265">
        <v>0</v>
      </c>
      <c r="S67" s="265">
        <v>300000</v>
      </c>
      <c r="T67" s="265">
        <v>270000</v>
      </c>
      <c r="U67" s="265">
        <v>240000</v>
      </c>
      <c r="V67" s="265">
        <v>210000</v>
      </c>
      <c r="W67" s="265">
        <v>300000</v>
      </c>
      <c r="X67" s="265">
        <v>300000</v>
      </c>
      <c r="Y67" s="50">
        <f t="shared" ref="Y67:Y130" si="1">S67-N67</f>
        <v>0</v>
      </c>
    </row>
    <row r="68" spans="1:25" s="39" customFormat="1" x14ac:dyDescent="0.35">
      <c r="A68" s="37" t="s">
        <v>1350</v>
      </c>
      <c r="B68" s="37" t="s">
        <v>1684</v>
      </c>
      <c r="C68" s="91">
        <v>8471270</v>
      </c>
      <c r="D68" s="37" t="s">
        <v>1497</v>
      </c>
      <c r="E68" s="91">
        <v>435330</v>
      </c>
      <c r="F68" s="37" t="s">
        <v>1111</v>
      </c>
      <c r="G68" s="90">
        <v>847001</v>
      </c>
      <c r="H68" s="37" t="s">
        <v>50</v>
      </c>
      <c r="I68" s="90">
        <v>200179</v>
      </c>
      <c r="J68" s="37" t="s">
        <v>61</v>
      </c>
      <c r="K68" s="265">
        <v>13899920</v>
      </c>
      <c r="L68" s="265">
        <v>11619785</v>
      </c>
      <c r="M68" s="265">
        <v>13236763</v>
      </c>
      <c r="N68" s="265">
        <v>15199430</v>
      </c>
      <c r="O68" s="265">
        <v>15199430</v>
      </c>
      <c r="P68" s="265">
        <v>6717744.7300000004</v>
      </c>
      <c r="Q68" s="265">
        <v>1501553.83</v>
      </c>
      <c r="R68" s="265">
        <v>5718238.2300000004</v>
      </c>
      <c r="S68" s="265">
        <v>15564000</v>
      </c>
      <c r="T68" s="265">
        <v>14007600</v>
      </c>
      <c r="U68" s="265">
        <v>12451200</v>
      </c>
      <c r="V68" s="265">
        <v>10894800</v>
      </c>
      <c r="W68" s="265">
        <v>16344000</v>
      </c>
      <c r="X68" s="265">
        <v>17160000</v>
      </c>
      <c r="Y68" s="50">
        <f t="shared" si="1"/>
        <v>364570</v>
      </c>
    </row>
    <row r="69" spans="1:25" s="39" customFormat="1" x14ac:dyDescent="0.35">
      <c r="A69" s="37" t="s">
        <v>1350</v>
      </c>
      <c r="B69" s="37" t="s">
        <v>1685</v>
      </c>
      <c r="C69" s="91">
        <v>8471270</v>
      </c>
      <c r="D69" s="37" t="s">
        <v>1497</v>
      </c>
      <c r="E69" s="91">
        <v>436110</v>
      </c>
      <c r="F69" s="37" t="s">
        <v>190</v>
      </c>
      <c r="G69" s="90">
        <v>847001</v>
      </c>
      <c r="H69" s="37" t="s">
        <v>50</v>
      </c>
      <c r="I69" s="90">
        <v>200179</v>
      </c>
      <c r="J69" s="37" t="s">
        <v>61</v>
      </c>
      <c r="K69" s="265">
        <v>0</v>
      </c>
      <c r="L69" s="265">
        <v>0</v>
      </c>
      <c r="M69" s="265">
        <v>0</v>
      </c>
      <c r="N69" s="265">
        <v>50000</v>
      </c>
      <c r="O69" s="265">
        <v>50000</v>
      </c>
      <c r="P69" s="265">
        <v>0</v>
      </c>
      <c r="Q69" s="265">
        <v>0</v>
      </c>
      <c r="R69" s="265">
        <v>0</v>
      </c>
      <c r="S69" s="265">
        <v>48000</v>
      </c>
      <c r="T69" s="265">
        <v>43200</v>
      </c>
      <c r="U69" s="265">
        <v>38400</v>
      </c>
      <c r="V69" s="265">
        <v>33600</v>
      </c>
      <c r="W69" s="265">
        <v>44000</v>
      </c>
      <c r="X69" s="265">
        <v>500000</v>
      </c>
      <c r="Y69" s="50">
        <f t="shared" si="1"/>
        <v>-2000</v>
      </c>
    </row>
    <row r="70" spans="1:25" s="39" customFormat="1" x14ac:dyDescent="0.35">
      <c r="A70" s="37" t="s">
        <v>1350</v>
      </c>
      <c r="B70" s="37" t="s">
        <v>1688</v>
      </c>
      <c r="C70" s="91">
        <v>8471280</v>
      </c>
      <c r="D70" s="37" t="s">
        <v>1520</v>
      </c>
      <c r="E70" s="91">
        <v>425100</v>
      </c>
      <c r="F70" s="37" t="s">
        <v>1184</v>
      </c>
      <c r="G70" s="90">
        <v>847001</v>
      </c>
      <c r="H70" s="37" t="s">
        <v>50</v>
      </c>
      <c r="I70" s="90">
        <v>200179</v>
      </c>
      <c r="J70" s="37" t="s">
        <v>61</v>
      </c>
      <c r="K70" s="265">
        <v>0</v>
      </c>
      <c r="L70" s="265">
        <v>0</v>
      </c>
      <c r="M70" s="265">
        <v>0</v>
      </c>
      <c r="N70" s="265">
        <v>2500</v>
      </c>
      <c r="O70" s="265">
        <v>2500</v>
      </c>
      <c r="P70" s="265">
        <v>0</v>
      </c>
      <c r="Q70" s="265">
        <v>0</v>
      </c>
      <c r="R70" s="265">
        <v>0</v>
      </c>
      <c r="S70" s="265">
        <v>3000</v>
      </c>
      <c r="T70" s="265">
        <v>2700</v>
      </c>
      <c r="U70" s="265">
        <v>2400</v>
      </c>
      <c r="V70" s="265">
        <v>2100</v>
      </c>
      <c r="W70" s="265">
        <v>3750</v>
      </c>
      <c r="X70" s="265">
        <v>4875</v>
      </c>
      <c r="Y70" s="50">
        <f t="shared" si="1"/>
        <v>500</v>
      </c>
    </row>
    <row r="71" spans="1:25" s="39" customFormat="1" x14ac:dyDescent="0.35">
      <c r="A71" s="37" t="s">
        <v>1350</v>
      </c>
      <c r="B71" s="37" t="s">
        <v>1689</v>
      </c>
      <c r="C71" s="91">
        <v>8471280</v>
      </c>
      <c r="D71" s="37" t="s">
        <v>1520</v>
      </c>
      <c r="E71" s="91">
        <v>425510</v>
      </c>
      <c r="F71" s="37" t="s">
        <v>247</v>
      </c>
      <c r="G71" s="90">
        <v>847001</v>
      </c>
      <c r="H71" s="37" t="s">
        <v>50</v>
      </c>
      <c r="I71" s="90">
        <v>200179</v>
      </c>
      <c r="J71" s="37" t="s">
        <v>61</v>
      </c>
      <c r="K71" s="265">
        <v>24710</v>
      </c>
      <c r="L71" s="265">
        <v>32792</v>
      </c>
      <c r="M71" s="265">
        <v>14261</v>
      </c>
      <c r="N71" s="38">
        <v>30000</v>
      </c>
      <c r="O71" s="265">
        <v>30000</v>
      </c>
      <c r="P71" s="265">
        <v>5707</v>
      </c>
      <c r="Q71" s="265">
        <v>0</v>
      </c>
      <c r="R71" s="265">
        <v>0</v>
      </c>
      <c r="S71" s="38">
        <v>36000</v>
      </c>
      <c r="T71" s="265">
        <v>32400</v>
      </c>
      <c r="U71" s="265">
        <v>28800</v>
      </c>
      <c r="V71" s="265">
        <v>25200</v>
      </c>
      <c r="W71" s="265">
        <v>45000</v>
      </c>
      <c r="X71" s="265">
        <v>58500</v>
      </c>
      <c r="Y71" s="38">
        <f t="shared" si="1"/>
        <v>6000</v>
      </c>
    </row>
    <row r="72" spans="1:25" s="39" customFormat="1" x14ac:dyDescent="0.35">
      <c r="A72" s="37" t="s">
        <v>1350</v>
      </c>
      <c r="B72" s="37" t="s">
        <v>1690</v>
      </c>
      <c r="C72" s="91">
        <v>8471280</v>
      </c>
      <c r="D72" s="37" t="s">
        <v>1520</v>
      </c>
      <c r="E72" s="91">
        <v>425550</v>
      </c>
      <c r="F72" s="37" t="s">
        <v>253</v>
      </c>
      <c r="G72" s="90">
        <v>847001</v>
      </c>
      <c r="H72" s="37" t="s">
        <v>50</v>
      </c>
      <c r="I72" s="90">
        <v>200179</v>
      </c>
      <c r="J72" s="37" t="s">
        <v>61</v>
      </c>
      <c r="K72" s="265">
        <v>0</v>
      </c>
      <c r="L72" s="265">
        <v>0</v>
      </c>
      <c r="M72" s="265">
        <v>7346</v>
      </c>
      <c r="N72" s="38">
        <v>60000</v>
      </c>
      <c r="O72" s="265">
        <v>60000</v>
      </c>
      <c r="P72" s="265">
        <v>3630.61</v>
      </c>
      <c r="Q72" s="265">
        <v>0</v>
      </c>
      <c r="R72" s="265">
        <v>0</v>
      </c>
      <c r="S72" s="38">
        <v>72000</v>
      </c>
      <c r="T72" s="265">
        <v>64800</v>
      </c>
      <c r="U72" s="265">
        <v>57600</v>
      </c>
      <c r="V72" s="265">
        <v>50400</v>
      </c>
      <c r="W72" s="265">
        <v>90000</v>
      </c>
      <c r="X72" s="265">
        <v>117000</v>
      </c>
      <c r="Y72" s="38">
        <f t="shared" si="1"/>
        <v>12000</v>
      </c>
    </row>
    <row r="73" spans="1:25" s="39" customFormat="1" x14ac:dyDescent="0.35">
      <c r="A73" s="37" t="s">
        <v>1350</v>
      </c>
      <c r="B73" s="37" t="s">
        <v>1691</v>
      </c>
      <c r="C73" s="91">
        <v>8471280</v>
      </c>
      <c r="D73" s="37" t="s">
        <v>1520</v>
      </c>
      <c r="E73" s="91">
        <v>425710</v>
      </c>
      <c r="F73" s="37" t="s">
        <v>1526</v>
      </c>
      <c r="G73" s="90">
        <v>847001</v>
      </c>
      <c r="H73" s="37" t="s">
        <v>50</v>
      </c>
      <c r="I73" s="90">
        <v>200179</v>
      </c>
      <c r="J73" s="37" t="s">
        <v>61</v>
      </c>
      <c r="K73" s="265">
        <v>0</v>
      </c>
      <c r="L73" s="265">
        <v>0</v>
      </c>
      <c r="M73" s="265">
        <v>0</v>
      </c>
      <c r="N73" s="265">
        <v>300000</v>
      </c>
      <c r="O73" s="265">
        <v>300000</v>
      </c>
      <c r="P73" s="265">
        <v>0</v>
      </c>
      <c r="Q73" s="265">
        <v>0</v>
      </c>
      <c r="R73" s="265">
        <v>0</v>
      </c>
      <c r="S73" s="265">
        <v>360000</v>
      </c>
      <c r="T73" s="265">
        <v>324000</v>
      </c>
      <c r="U73" s="265">
        <v>288000</v>
      </c>
      <c r="V73" s="265">
        <v>252000</v>
      </c>
      <c r="W73" s="265">
        <v>450000</v>
      </c>
      <c r="X73" s="265">
        <v>585000</v>
      </c>
      <c r="Y73" s="50">
        <f t="shared" si="1"/>
        <v>60000</v>
      </c>
    </row>
    <row r="74" spans="1:25" s="39" customFormat="1" x14ac:dyDescent="0.35">
      <c r="A74" s="37" t="s">
        <v>1350</v>
      </c>
      <c r="B74" s="37" t="s">
        <v>1692</v>
      </c>
      <c r="C74" s="91">
        <v>8471280</v>
      </c>
      <c r="D74" s="37" t="s">
        <v>1520</v>
      </c>
      <c r="E74" s="91">
        <v>425760</v>
      </c>
      <c r="F74" s="37" t="s">
        <v>352</v>
      </c>
      <c r="G74" s="90">
        <v>847001</v>
      </c>
      <c r="H74" s="37" t="s">
        <v>50</v>
      </c>
      <c r="I74" s="90">
        <v>200179</v>
      </c>
      <c r="J74" s="37" t="s">
        <v>61</v>
      </c>
      <c r="K74" s="265">
        <v>0</v>
      </c>
      <c r="L74" s="265">
        <v>0</v>
      </c>
      <c r="M74" s="265">
        <v>0</v>
      </c>
      <c r="N74" s="265">
        <v>30000</v>
      </c>
      <c r="O74" s="265">
        <v>30000</v>
      </c>
      <c r="P74" s="265">
        <v>0</v>
      </c>
      <c r="Q74" s="265">
        <v>0</v>
      </c>
      <c r="R74" s="265">
        <v>0</v>
      </c>
      <c r="S74" s="265">
        <v>36000</v>
      </c>
      <c r="T74" s="265">
        <v>32400</v>
      </c>
      <c r="U74" s="265">
        <v>28800</v>
      </c>
      <c r="V74" s="265">
        <v>25200</v>
      </c>
      <c r="W74" s="265">
        <v>45000</v>
      </c>
      <c r="X74" s="265">
        <v>58500</v>
      </c>
      <c r="Y74" s="50">
        <f t="shared" si="1"/>
        <v>6000</v>
      </c>
    </row>
    <row r="75" spans="1:25" s="39" customFormat="1" x14ac:dyDescent="0.35">
      <c r="A75" s="37" t="s">
        <v>1350</v>
      </c>
      <c r="B75" s="37" t="s">
        <v>1693</v>
      </c>
      <c r="C75" s="91">
        <v>8471280</v>
      </c>
      <c r="D75" s="37" t="s">
        <v>1520</v>
      </c>
      <c r="E75" s="91">
        <v>425770</v>
      </c>
      <c r="F75" s="37" t="s">
        <v>367</v>
      </c>
      <c r="G75" s="90">
        <v>847001</v>
      </c>
      <c r="H75" s="37" t="s">
        <v>50</v>
      </c>
      <c r="I75" s="90">
        <v>200179</v>
      </c>
      <c r="J75" s="37" t="s">
        <v>61</v>
      </c>
      <c r="K75" s="265">
        <v>33674</v>
      </c>
      <c r="L75" s="265">
        <v>73608</v>
      </c>
      <c r="M75" s="265">
        <v>30907</v>
      </c>
      <c r="N75" s="265">
        <v>200000</v>
      </c>
      <c r="O75" s="265">
        <v>200000</v>
      </c>
      <c r="P75" s="265">
        <v>0</v>
      </c>
      <c r="Q75" s="265">
        <v>82642.5</v>
      </c>
      <c r="R75" s="265">
        <v>0</v>
      </c>
      <c r="S75" s="265">
        <v>240000</v>
      </c>
      <c r="T75" s="265">
        <v>216000</v>
      </c>
      <c r="U75" s="265">
        <v>192000</v>
      </c>
      <c r="V75" s="265">
        <v>168000</v>
      </c>
      <c r="W75" s="265">
        <v>300000</v>
      </c>
      <c r="X75" s="265">
        <v>390000</v>
      </c>
      <c r="Y75" s="50">
        <f t="shared" si="1"/>
        <v>40000</v>
      </c>
    </row>
    <row r="76" spans="1:25" s="39" customFormat="1" x14ac:dyDescent="0.35">
      <c r="A76" s="37" t="s">
        <v>1350</v>
      </c>
      <c r="B76" s="37" t="s">
        <v>1694</v>
      </c>
      <c r="C76" s="91">
        <v>8471280</v>
      </c>
      <c r="D76" s="37" t="s">
        <v>1520</v>
      </c>
      <c r="E76" s="91">
        <v>426610</v>
      </c>
      <c r="F76" s="37" t="s">
        <v>694</v>
      </c>
      <c r="G76" s="90">
        <v>847001</v>
      </c>
      <c r="H76" s="37" t="s">
        <v>50</v>
      </c>
      <c r="I76" s="90">
        <v>200179</v>
      </c>
      <c r="J76" s="37" t="s">
        <v>61</v>
      </c>
      <c r="K76" s="265">
        <v>11390</v>
      </c>
      <c r="L76" s="265">
        <v>154275</v>
      </c>
      <c r="M76" s="265">
        <v>117690</v>
      </c>
      <c r="N76" s="265">
        <v>321000</v>
      </c>
      <c r="O76" s="265">
        <v>321000</v>
      </c>
      <c r="P76" s="265">
        <v>178854.68</v>
      </c>
      <c r="Q76" s="265">
        <v>75749</v>
      </c>
      <c r="R76" s="265">
        <v>5876.8</v>
      </c>
      <c r="S76" s="265">
        <v>1585200</v>
      </c>
      <c r="T76" s="265">
        <v>1426680</v>
      </c>
      <c r="U76" s="265">
        <v>1268160</v>
      </c>
      <c r="V76" s="265">
        <v>1109640</v>
      </c>
      <c r="W76" s="265">
        <v>1902040</v>
      </c>
      <c r="X76" s="265">
        <v>2852800</v>
      </c>
      <c r="Y76" s="50">
        <f t="shared" si="1"/>
        <v>1264200</v>
      </c>
    </row>
    <row r="77" spans="1:25" s="39" customFormat="1" x14ac:dyDescent="0.35">
      <c r="A77" s="37" t="s">
        <v>1350</v>
      </c>
      <c r="B77" s="37" t="s">
        <v>1700</v>
      </c>
      <c r="C77" s="91">
        <v>8471280</v>
      </c>
      <c r="D77" s="37" t="s">
        <v>1520</v>
      </c>
      <c r="E77" s="91">
        <v>428090</v>
      </c>
      <c r="F77" s="37" t="s">
        <v>154</v>
      </c>
      <c r="G77" s="90">
        <v>847001</v>
      </c>
      <c r="H77" s="37" t="s">
        <v>50</v>
      </c>
      <c r="I77" s="90">
        <v>200179</v>
      </c>
      <c r="J77" s="37" t="s">
        <v>61</v>
      </c>
      <c r="K77" s="265">
        <v>0</v>
      </c>
      <c r="L77" s="265">
        <v>0</v>
      </c>
      <c r="M77" s="265">
        <v>2200</v>
      </c>
      <c r="N77" s="265">
        <v>0</v>
      </c>
      <c r="O77" s="265">
        <v>0</v>
      </c>
      <c r="P77" s="265">
        <v>0</v>
      </c>
      <c r="Q77" s="265">
        <v>0</v>
      </c>
      <c r="R77" s="265">
        <v>0</v>
      </c>
      <c r="S77" s="265">
        <v>2640</v>
      </c>
      <c r="T77" s="265">
        <v>2376</v>
      </c>
      <c r="U77" s="265">
        <v>2112</v>
      </c>
      <c r="V77" s="265">
        <v>1848</v>
      </c>
      <c r="W77" s="265">
        <v>3300</v>
      </c>
      <c r="X77" s="265">
        <v>4200</v>
      </c>
      <c r="Y77" s="50">
        <f t="shared" si="1"/>
        <v>2640</v>
      </c>
    </row>
    <row r="78" spans="1:25" s="39" customFormat="1" x14ac:dyDescent="0.35">
      <c r="A78" s="37" t="s">
        <v>1350</v>
      </c>
      <c r="B78" s="37" t="s">
        <v>1695</v>
      </c>
      <c r="C78" s="91">
        <v>8471280</v>
      </c>
      <c r="D78" s="37" t="s">
        <v>1520</v>
      </c>
      <c r="E78" s="91">
        <v>428640</v>
      </c>
      <c r="F78" s="37" t="s">
        <v>279</v>
      </c>
      <c r="G78" s="90">
        <v>847001</v>
      </c>
      <c r="H78" s="37" t="s">
        <v>50</v>
      </c>
      <c r="I78" s="90">
        <v>200179</v>
      </c>
      <c r="J78" s="37" t="s">
        <v>61</v>
      </c>
      <c r="K78" s="265">
        <v>156</v>
      </c>
      <c r="L78" s="265">
        <v>0</v>
      </c>
      <c r="M78" s="265">
        <v>866</v>
      </c>
      <c r="N78" s="265">
        <v>15000</v>
      </c>
      <c r="O78" s="265">
        <v>15000</v>
      </c>
      <c r="P78" s="265">
        <v>0</v>
      </c>
      <c r="Q78" s="265">
        <v>0</v>
      </c>
      <c r="R78" s="265">
        <v>0</v>
      </c>
      <c r="S78" s="265">
        <v>18000</v>
      </c>
      <c r="T78" s="265">
        <v>16200</v>
      </c>
      <c r="U78" s="265">
        <v>14400</v>
      </c>
      <c r="V78" s="265">
        <v>12600</v>
      </c>
      <c r="W78" s="265">
        <v>22500</v>
      </c>
      <c r="X78" s="265">
        <v>30000</v>
      </c>
      <c r="Y78" s="50">
        <f t="shared" si="1"/>
        <v>3000</v>
      </c>
    </row>
    <row r="79" spans="1:25" s="39" customFormat="1" x14ac:dyDescent="0.35">
      <c r="A79" s="37" t="s">
        <v>1350</v>
      </c>
      <c r="B79" s="37" t="s">
        <v>1696</v>
      </c>
      <c r="C79" s="91">
        <v>8471280</v>
      </c>
      <c r="D79" s="37" t="s">
        <v>1520</v>
      </c>
      <c r="E79" s="91">
        <v>432170</v>
      </c>
      <c r="F79" s="37" t="s">
        <v>1536</v>
      </c>
      <c r="G79" s="90">
        <v>847001</v>
      </c>
      <c r="H79" s="37" t="s">
        <v>50</v>
      </c>
      <c r="I79" s="90">
        <v>200179</v>
      </c>
      <c r="J79" s="37" t="s">
        <v>61</v>
      </c>
      <c r="K79" s="265">
        <v>58140</v>
      </c>
      <c r="L79" s="265">
        <v>0</v>
      </c>
      <c r="M79" s="265">
        <v>0</v>
      </c>
      <c r="N79" s="265">
        <v>200000</v>
      </c>
      <c r="O79" s="265">
        <v>200000</v>
      </c>
      <c r="P79" s="265">
        <v>0</v>
      </c>
      <c r="Q79" s="265">
        <v>0</v>
      </c>
      <c r="R79" s="265">
        <v>0</v>
      </c>
      <c r="S79" s="265">
        <v>240000</v>
      </c>
      <c r="T79" s="265">
        <v>216000</v>
      </c>
      <c r="U79" s="265">
        <v>192000</v>
      </c>
      <c r="V79" s="265">
        <v>168000</v>
      </c>
      <c r="W79" s="265">
        <v>300000</v>
      </c>
      <c r="X79" s="265">
        <v>390000</v>
      </c>
      <c r="Y79" s="50">
        <f t="shared" si="1"/>
        <v>40000</v>
      </c>
    </row>
    <row r="80" spans="1:25" s="39" customFormat="1" x14ac:dyDescent="0.35">
      <c r="A80" s="37" t="s">
        <v>1350</v>
      </c>
      <c r="B80" s="37" t="s">
        <v>1697</v>
      </c>
      <c r="C80" s="91">
        <v>8471280</v>
      </c>
      <c r="D80" s="37" t="s">
        <v>1520</v>
      </c>
      <c r="E80" s="91">
        <v>435340</v>
      </c>
      <c r="F80" s="37" t="s">
        <v>655</v>
      </c>
      <c r="G80" s="90">
        <v>847001</v>
      </c>
      <c r="H80" s="37" t="s">
        <v>50</v>
      </c>
      <c r="I80" s="90">
        <v>200179</v>
      </c>
      <c r="J80" s="37" t="s">
        <v>61</v>
      </c>
      <c r="K80" s="265">
        <v>0</v>
      </c>
      <c r="L80" s="265">
        <v>0</v>
      </c>
      <c r="M80" s="265">
        <v>0</v>
      </c>
      <c r="N80" s="265">
        <v>10000</v>
      </c>
      <c r="O80" s="265">
        <v>10000</v>
      </c>
      <c r="P80" s="265">
        <v>0</v>
      </c>
      <c r="Q80" s="265">
        <v>0</v>
      </c>
      <c r="R80" s="265">
        <v>0</v>
      </c>
      <c r="S80" s="265">
        <v>12000</v>
      </c>
      <c r="T80" s="265">
        <v>10800</v>
      </c>
      <c r="U80" s="265">
        <v>9600</v>
      </c>
      <c r="V80" s="265">
        <v>8400</v>
      </c>
      <c r="W80" s="265">
        <v>15000</v>
      </c>
      <c r="X80" s="265">
        <v>19500</v>
      </c>
      <c r="Y80" s="50">
        <f t="shared" si="1"/>
        <v>2000</v>
      </c>
    </row>
    <row r="81" spans="1:25" s="39" customFormat="1" x14ac:dyDescent="0.35">
      <c r="A81" s="37" t="s">
        <v>1350</v>
      </c>
      <c r="B81" s="37" t="s">
        <v>1698</v>
      </c>
      <c r="C81" s="91">
        <v>8471280</v>
      </c>
      <c r="D81" s="37" t="s">
        <v>1520</v>
      </c>
      <c r="E81" s="91">
        <v>435530</v>
      </c>
      <c r="F81" s="37" t="s">
        <v>1127</v>
      </c>
      <c r="G81" s="90">
        <v>847001</v>
      </c>
      <c r="H81" s="37" t="s">
        <v>50</v>
      </c>
      <c r="I81" s="90">
        <v>200179</v>
      </c>
      <c r="J81" s="37" t="s">
        <v>61</v>
      </c>
      <c r="K81" s="265">
        <v>740</v>
      </c>
      <c r="L81" s="265">
        <v>894</v>
      </c>
      <c r="M81" s="265">
        <v>0</v>
      </c>
      <c r="N81" s="265">
        <v>5000</v>
      </c>
      <c r="O81" s="265">
        <v>5000</v>
      </c>
      <c r="P81" s="265">
        <v>0</v>
      </c>
      <c r="Q81" s="265">
        <v>0</v>
      </c>
      <c r="R81" s="265">
        <v>0</v>
      </c>
      <c r="S81" s="265">
        <v>6000</v>
      </c>
      <c r="T81" s="265">
        <v>5400</v>
      </c>
      <c r="U81" s="265">
        <v>4800</v>
      </c>
      <c r="V81" s="265">
        <v>4200</v>
      </c>
      <c r="W81" s="265">
        <v>7500</v>
      </c>
      <c r="X81" s="265">
        <v>10000</v>
      </c>
      <c r="Y81" s="50">
        <f t="shared" si="1"/>
        <v>1000</v>
      </c>
    </row>
    <row r="82" spans="1:25" s="39" customFormat="1" x14ac:dyDescent="0.35">
      <c r="A82" s="37" t="s">
        <v>1350</v>
      </c>
      <c r="B82" s="37" t="s">
        <v>1699</v>
      </c>
      <c r="C82" s="91">
        <v>8471280</v>
      </c>
      <c r="D82" s="37" t="s">
        <v>1520</v>
      </c>
      <c r="E82" s="91">
        <v>492316</v>
      </c>
      <c r="F82" s="37" t="s">
        <v>221</v>
      </c>
      <c r="G82" s="90">
        <v>847001</v>
      </c>
      <c r="H82" s="37" t="s">
        <v>50</v>
      </c>
      <c r="I82" s="90">
        <v>300180</v>
      </c>
      <c r="J82" s="37" t="s">
        <v>192</v>
      </c>
      <c r="K82" s="265">
        <v>0</v>
      </c>
      <c r="L82" s="265">
        <v>0</v>
      </c>
      <c r="M82" s="265">
        <v>0</v>
      </c>
      <c r="N82" s="265">
        <v>6879</v>
      </c>
      <c r="O82" s="265">
        <v>6879</v>
      </c>
      <c r="P82" s="265">
        <v>0</v>
      </c>
      <c r="Q82" s="265">
        <v>0</v>
      </c>
      <c r="R82" s="265">
        <v>0</v>
      </c>
      <c r="S82" s="265">
        <v>8250</v>
      </c>
      <c r="T82" s="265">
        <v>7425</v>
      </c>
      <c r="U82" s="265">
        <v>6600</v>
      </c>
      <c r="V82" s="265">
        <v>5775</v>
      </c>
      <c r="W82" s="265">
        <v>10000</v>
      </c>
      <c r="X82" s="265">
        <v>14000</v>
      </c>
      <c r="Y82" s="50">
        <f t="shared" si="1"/>
        <v>1371</v>
      </c>
    </row>
    <row r="83" spans="1:25" s="39" customFormat="1" x14ac:dyDescent="0.35">
      <c r="A83" s="37" t="s">
        <v>1784</v>
      </c>
      <c r="B83" s="37" t="s">
        <v>1786</v>
      </c>
      <c r="C83" s="91">
        <v>8470405</v>
      </c>
      <c r="D83" s="37" t="s">
        <v>1785</v>
      </c>
      <c r="E83" s="91">
        <v>420550</v>
      </c>
      <c r="F83" s="37" t="s">
        <v>225</v>
      </c>
      <c r="G83" s="90">
        <v>847001</v>
      </c>
      <c r="H83" s="37" t="s">
        <v>50</v>
      </c>
      <c r="I83" s="90">
        <v>200179</v>
      </c>
      <c r="J83" s="37" t="s">
        <v>61</v>
      </c>
      <c r="K83" s="265">
        <v>0</v>
      </c>
      <c r="L83" s="265">
        <v>0</v>
      </c>
      <c r="M83" s="265">
        <v>0</v>
      </c>
      <c r="N83" s="265">
        <v>65692</v>
      </c>
      <c r="O83" s="265">
        <v>65692</v>
      </c>
      <c r="P83" s="265">
        <v>64718.46</v>
      </c>
      <c r="Q83" s="265">
        <v>0</v>
      </c>
      <c r="R83" s="265">
        <v>0</v>
      </c>
      <c r="S83" s="265">
        <v>23504</v>
      </c>
      <c r="T83" s="265">
        <v>21154</v>
      </c>
      <c r="U83" s="265">
        <v>18803</v>
      </c>
      <c r="V83" s="265">
        <v>16453</v>
      </c>
      <c r="W83" s="265">
        <v>23504</v>
      </c>
      <c r="X83" s="265">
        <v>26442</v>
      </c>
      <c r="Y83" s="50">
        <f t="shared" si="1"/>
        <v>-42188</v>
      </c>
    </row>
    <row r="84" spans="1:25" s="39" customFormat="1" x14ac:dyDescent="0.35">
      <c r="A84" s="37" t="s">
        <v>1784</v>
      </c>
      <c r="B84" s="37" t="s">
        <v>1789</v>
      </c>
      <c r="C84" s="91">
        <v>8470405</v>
      </c>
      <c r="D84" s="37" t="s">
        <v>1785</v>
      </c>
      <c r="E84" s="91">
        <v>421700</v>
      </c>
      <c r="F84" s="37" t="s">
        <v>2438</v>
      </c>
      <c r="G84" s="90">
        <v>847001</v>
      </c>
      <c r="H84" s="37" t="s">
        <v>50</v>
      </c>
      <c r="I84" s="90">
        <v>200179</v>
      </c>
      <c r="J84" s="37" t="s">
        <v>61</v>
      </c>
      <c r="K84" s="265">
        <v>85877</v>
      </c>
      <c r="L84" s="265">
        <v>345102</v>
      </c>
      <c r="M84" s="265">
        <v>109525</v>
      </c>
      <c r="N84" s="265">
        <v>500308</v>
      </c>
      <c r="O84" s="265">
        <v>500308</v>
      </c>
      <c r="P84" s="265">
        <v>61934.26</v>
      </c>
      <c r="Q84" s="265">
        <v>0</v>
      </c>
      <c r="R84" s="265">
        <v>0</v>
      </c>
      <c r="S84" s="38">
        <v>280000</v>
      </c>
      <c r="T84" s="265">
        <v>252000</v>
      </c>
      <c r="U84" s="265">
        <v>224000</v>
      </c>
      <c r="V84" s="265">
        <v>196000</v>
      </c>
      <c r="W84" s="265">
        <v>280000</v>
      </c>
      <c r="X84" s="265">
        <v>280000</v>
      </c>
      <c r="Y84" s="50">
        <f t="shared" si="1"/>
        <v>-220308</v>
      </c>
    </row>
    <row r="85" spans="1:25" s="39" customFormat="1" x14ac:dyDescent="0.35">
      <c r="A85" s="37" t="s">
        <v>1784</v>
      </c>
      <c r="B85" s="37" t="s">
        <v>1792</v>
      </c>
      <c r="C85" s="91">
        <v>8470405</v>
      </c>
      <c r="D85" s="37" t="s">
        <v>1785</v>
      </c>
      <c r="E85" s="91">
        <v>425510</v>
      </c>
      <c r="F85" s="37" t="s">
        <v>247</v>
      </c>
      <c r="G85" s="90">
        <v>847001</v>
      </c>
      <c r="H85" s="37" t="s">
        <v>50</v>
      </c>
      <c r="I85" s="90">
        <v>200179</v>
      </c>
      <c r="J85" s="37" t="s">
        <v>61</v>
      </c>
      <c r="K85" s="265">
        <v>7073</v>
      </c>
      <c r="L85" s="265">
        <v>5943</v>
      </c>
      <c r="M85" s="265">
        <v>4400</v>
      </c>
      <c r="N85" s="38">
        <v>15000</v>
      </c>
      <c r="O85" s="265">
        <v>15000</v>
      </c>
      <c r="P85" s="265">
        <v>4967</v>
      </c>
      <c r="Q85" s="265">
        <v>0</v>
      </c>
      <c r="R85" s="265">
        <v>0</v>
      </c>
      <c r="S85" s="38">
        <v>15000</v>
      </c>
      <c r="T85" s="265">
        <v>13500</v>
      </c>
      <c r="U85" s="265">
        <v>12000</v>
      </c>
      <c r="V85" s="265">
        <v>10500</v>
      </c>
      <c r="W85" s="265">
        <v>15000</v>
      </c>
      <c r="X85" s="265">
        <v>15000</v>
      </c>
      <c r="Y85" s="38">
        <f t="shared" si="1"/>
        <v>0</v>
      </c>
    </row>
    <row r="86" spans="1:25" s="39" customFormat="1" x14ac:dyDescent="0.35">
      <c r="A86" s="37" t="s">
        <v>1784</v>
      </c>
      <c r="B86" s="37" t="s">
        <v>1794</v>
      </c>
      <c r="C86" s="91">
        <v>8470405</v>
      </c>
      <c r="D86" s="37" t="s">
        <v>1785</v>
      </c>
      <c r="E86" s="91">
        <v>425550</v>
      </c>
      <c r="F86" s="37" t="s">
        <v>253</v>
      </c>
      <c r="G86" s="90">
        <v>847001</v>
      </c>
      <c r="H86" s="37" t="s">
        <v>50</v>
      </c>
      <c r="I86" s="90">
        <v>200179</v>
      </c>
      <c r="J86" s="37" t="s">
        <v>61</v>
      </c>
      <c r="K86" s="265">
        <v>11599</v>
      </c>
      <c r="L86" s="265">
        <v>10137</v>
      </c>
      <c r="M86" s="265">
        <v>0</v>
      </c>
      <c r="N86" s="38">
        <v>15000</v>
      </c>
      <c r="O86" s="265">
        <v>15000</v>
      </c>
      <c r="P86" s="265">
        <v>13957.9</v>
      </c>
      <c r="Q86" s="265">
        <v>0</v>
      </c>
      <c r="R86" s="265">
        <v>0</v>
      </c>
      <c r="S86" s="38">
        <v>15000</v>
      </c>
      <c r="T86" s="265">
        <v>13500</v>
      </c>
      <c r="U86" s="265">
        <v>12000</v>
      </c>
      <c r="V86" s="265">
        <v>10500</v>
      </c>
      <c r="W86" s="265">
        <v>15000</v>
      </c>
      <c r="X86" s="265">
        <v>15000</v>
      </c>
      <c r="Y86" s="38">
        <f t="shared" si="1"/>
        <v>0</v>
      </c>
    </row>
    <row r="87" spans="1:25" s="39" customFormat="1" x14ac:dyDescent="0.35">
      <c r="A87" s="37" t="s">
        <v>1784</v>
      </c>
      <c r="B87" s="37" t="s">
        <v>1811</v>
      </c>
      <c r="C87" s="91">
        <v>8470405</v>
      </c>
      <c r="D87" s="37" t="s">
        <v>1785</v>
      </c>
      <c r="E87" s="91">
        <v>425720</v>
      </c>
      <c r="F87" s="37" t="s">
        <v>620</v>
      </c>
      <c r="G87" s="90">
        <v>847001</v>
      </c>
      <c r="H87" s="37" t="s">
        <v>50</v>
      </c>
      <c r="I87" s="90">
        <v>200179</v>
      </c>
      <c r="J87" s="37" t="s">
        <v>61</v>
      </c>
      <c r="K87" s="265">
        <v>0</v>
      </c>
      <c r="L87" s="265">
        <v>0</v>
      </c>
      <c r="M87" s="265">
        <v>0</v>
      </c>
      <c r="N87" s="265">
        <v>0</v>
      </c>
      <c r="O87" s="265">
        <v>0</v>
      </c>
      <c r="P87" s="265">
        <v>0</v>
      </c>
      <c r="Q87" s="265">
        <v>0</v>
      </c>
      <c r="R87" s="265">
        <v>0</v>
      </c>
      <c r="S87" s="265">
        <v>550000</v>
      </c>
      <c r="T87" s="265">
        <v>189000</v>
      </c>
      <c r="U87" s="265">
        <v>168000</v>
      </c>
      <c r="V87" s="265">
        <v>147000</v>
      </c>
      <c r="W87" s="265">
        <v>0</v>
      </c>
      <c r="X87" s="265">
        <v>0</v>
      </c>
      <c r="Y87" s="50">
        <f t="shared" si="1"/>
        <v>550000</v>
      </c>
    </row>
    <row r="88" spans="1:25" s="39" customFormat="1" x14ac:dyDescent="0.35">
      <c r="A88" s="37" t="s">
        <v>1784</v>
      </c>
      <c r="B88" s="37" t="s">
        <v>1817</v>
      </c>
      <c r="C88" s="91">
        <v>8470405</v>
      </c>
      <c r="D88" s="37" t="s">
        <v>1785</v>
      </c>
      <c r="E88" s="91">
        <v>425763</v>
      </c>
      <c r="F88" s="37" t="s">
        <v>359</v>
      </c>
      <c r="G88" s="90">
        <v>847001</v>
      </c>
      <c r="H88" s="37" t="s">
        <v>50</v>
      </c>
      <c r="I88" s="90">
        <v>200179</v>
      </c>
      <c r="J88" s="37" t="s">
        <v>61</v>
      </c>
      <c r="K88" s="265">
        <v>0</v>
      </c>
      <c r="L88" s="265">
        <v>0</v>
      </c>
      <c r="M88" s="265">
        <v>0</v>
      </c>
      <c r="N88" s="265">
        <v>0</v>
      </c>
      <c r="O88" s="265">
        <v>0</v>
      </c>
      <c r="P88" s="265">
        <v>0</v>
      </c>
      <c r="Q88" s="265">
        <v>0</v>
      </c>
      <c r="R88" s="265">
        <v>0</v>
      </c>
      <c r="S88" s="265">
        <v>150000</v>
      </c>
      <c r="T88" s="265">
        <v>135000</v>
      </c>
      <c r="U88" s="265">
        <v>120000</v>
      </c>
      <c r="V88" s="265">
        <v>105000</v>
      </c>
      <c r="W88" s="265">
        <v>0</v>
      </c>
      <c r="X88" s="265">
        <v>0</v>
      </c>
      <c r="Y88" s="50">
        <f t="shared" si="1"/>
        <v>150000</v>
      </c>
    </row>
    <row r="89" spans="1:25" s="39" customFormat="1" x14ac:dyDescent="0.35">
      <c r="A89" s="37" t="s">
        <v>1784</v>
      </c>
      <c r="B89" s="37" t="s">
        <v>1797</v>
      </c>
      <c r="C89" s="91">
        <v>8470405</v>
      </c>
      <c r="D89" s="37" t="s">
        <v>1785</v>
      </c>
      <c r="E89" s="91">
        <v>425770</v>
      </c>
      <c r="F89" s="37" t="s">
        <v>367</v>
      </c>
      <c r="G89" s="90">
        <v>847001</v>
      </c>
      <c r="H89" s="37" t="s">
        <v>50</v>
      </c>
      <c r="I89" s="90">
        <v>200179</v>
      </c>
      <c r="J89" s="37" t="s">
        <v>61</v>
      </c>
      <c r="K89" s="265">
        <v>77977</v>
      </c>
      <c r="L89" s="265">
        <v>13603</v>
      </c>
      <c r="M89" s="265">
        <v>0</v>
      </c>
      <c r="N89" s="265">
        <v>35825</v>
      </c>
      <c r="O89" s="265">
        <v>35825</v>
      </c>
      <c r="P89" s="265">
        <v>15471.72</v>
      </c>
      <c r="Q89" s="265">
        <v>0</v>
      </c>
      <c r="R89" s="265">
        <v>0</v>
      </c>
      <c r="S89" s="265">
        <v>50000</v>
      </c>
      <c r="T89" s="265">
        <v>45000</v>
      </c>
      <c r="U89" s="265">
        <v>40000</v>
      </c>
      <c r="V89" s="265">
        <v>35000</v>
      </c>
      <c r="W89" s="265">
        <v>50000</v>
      </c>
      <c r="X89" s="265">
        <v>50000</v>
      </c>
      <c r="Y89" s="50">
        <f t="shared" si="1"/>
        <v>14175</v>
      </c>
    </row>
    <row r="90" spans="1:25" s="39" customFormat="1" x14ac:dyDescent="0.35">
      <c r="A90" s="37" t="s">
        <v>1784</v>
      </c>
      <c r="B90" s="37" t="s">
        <v>1799</v>
      </c>
      <c r="C90" s="91">
        <v>8470405</v>
      </c>
      <c r="D90" s="37" t="s">
        <v>1785</v>
      </c>
      <c r="E90" s="91">
        <v>427710</v>
      </c>
      <c r="F90" s="37" t="s">
        <v>1090</v>
      </c>
      <c r="G90" s="90">
        <v>847001</v>
      </c>
      <c r="H90" s="37" t="s">
        <v>50</v>
      </c>
      <c r="I90" s="90">
        <v>200179</v>
      </c>
      <c r="J90" s="37" t="s">
        <v>61</v>
      </c>
      <c r="K90" s="265">
        <v>0</v>
      </c>
      <c r="L90" s="265">
        <v>0</v>
      </c>
      <c r="M90" s="265">
        <v>12539</v>
      </c>
      <c r="N90" s="265">
        <v>20175</v>
      </c>
      <c r="O90" s="265">
        <v>20175</v>
      </c>
      <c r="P90" s="265">
        <v>20174.88</v>
      </c>
      <c r="Q90" s="265">
        <v>0</v>
      </c>
      <c r="R90" s="265">
        <v>0</v>
      </c>
      <c r="S90" s="265">
        <v>33620</v>
      </c>
      <c r="T90" s="265">
        <v>30258</v>
      </c>
      <c r="U90" s="265">
        <v>26896</v>
      </c>
      <c r="V90" s="265">
        <v>23534</v>
      </c>
      <c r="W90" s="265">
        <v>33620</v>
      </c>
      <c r="X90" s="265">
        <v>33620</v>
      </c>
      <c r="Y90" s="50">
        <f t="shared" si="1"/>
        <v>13445</v>
      </c>
    </row>
    <row r="91" spans="1:25" s="39" customFormat="1" x14ac:dyDescent="0.35">
      <c r="A91" s="37" t="s">
        <v>1784</v>
      </c>
      <c r="B91" s="37" t="s">
        <v>1807</v>
      </c>
      <c r="C91" s="91">
        <v>8470405</v>
      </c>
      <c r="D91" s="37" t="s">
        <v>1785</v>
      </c>
      <c r="E91" s="91">
        <v>435350</v>
      </c>
      <c r="F91" s="37" t="s">
        <v>399</v>
      </c>
      <c r="G91" s="90">
        <v>847001</v>
      </c>
      <c r="H91" s="37" t="s">
        <v>50</v>
      </c>
      <c r="I91" s="90">
        <v>200179</v>
      </c>
      <c r="J91" s="37" t="s">
        <v>61</v>
      </c>
      <c r="K91" s="265">
        <v>5419</v>
      </c>
      <c r="L91" s="265">
        <v>0</v>
      </c>
      <c r="M91" s="265">
        <v>65753</v>
      </c>
      <c r="N91" s="265">
        <v>30000</v>
      </c>
      <c r="O91" s="265">
        <v>30000</v>
      </c>
      <c r="P91" s="265">
        <v>28033.25</v>
      </c>
      <c r="Q91" s="265">
        <v>0</v>
      </c>
      <c r="R91" s="265">
        <v>0</v>
      </c>
      <c r="S91" s="265">
        <v>30000</v>
      </c>
      <c r="T91" s="265">
        <v>27000</v>
      </c>
      <c r="U91" s="265">
        <v>24000</v>
      </c>
      <c r="V91" s="265">
        <v>21000</v>
      </c>
      <c r="W91" s="265">
        <v>30000</v>
      </c>
      <c r="X91" s="265">
        <v>30000</v>
      </c>
      <c r="Y91" s="50">
        <f t="shared" si="1"/>
        <v>0</v>
      </c>
    </row>
    <row r="92" spans="1:25" s="39" customFormat="1" x14ac:dyDescent="0.35">
      <c r="A92" s="37" t="s">
        <v>1784</v>
      </c>
      <c r="B92" s="37" t="s">
        <v>1803</v>
      </c>
      <c r="C92" s="91">
        <v>8470405</v>
      </c>
      <c r="D92" s="37" t="s">
        <v>1785</v>
      </c>
      <c r="E92" s="91">
        <v>435508</v>
      </c>
      <c r="F92" s="37" t="s">
        <v>405</v>
      </c>
      <c r="G92" s="90">
        <v>847001</v>
      </c>
      <c r="H92" s="37" t="s">
        <v>50</v>
      </c>
      <c r="I92" s="90">
        <v>200179</v>
      </c>
      <c r="J92" s="37" t="s">
        <v>61</v>
      </c>
      <c r="K92" s="265">
        <v>0</v>
      </c>
      <c r="L92" s="265">
        <v>0</v>
      </c>
      <c r="M92" s="265">
        <v>0</v>
      </c>
      <c r="N92" s="265">
        <v>0</v>
      </c>
      <c r="O92" s="265">
        <v>0</v>
      </c>
      <c r="P92" s="265">
        <v>0</v>
      </c>
      <c r="Q92" s="265">
        <v>0</v>
      </c>
      <c r="R92" s="265">
        <v>0</v>
      </c>
      <c r="S92" s="265">
        <v>200000</v>
      </c>
      <c r="T92" s="265">
        <v>180000</v>
      </c>
      <c r="U92" s="265">
        <v>160000</v>
      </c>
      <c r="V92" s="265">
        <v>140000</v>
      </c>
      <c r="W92" s="265">
        <v>200000</v>
      </c>
      <c r="X92" s="265">
        <v>200000</v>
      </c>
      <c r="Y92" s="50">
        <f t="shared" si="1"/>
        <v>200000</v>
      </c>
    </row>
    <row r="93" spans="1:25" s="39" customFormat="1" x14ac:dyDescent="0.35">
      <c r="A93" s="37" t="s">
        <v>1784</v>
      </c>
      <c r="B93" s="37" t="s">
        <v>1823</v>
      </c>
      <c r="C93" s="91">
        <v>8470410</v>
      </c>
      <c r="D93" s="37" t="s">
        <v>1822</v>
      </c>
      <c r="E93" s="91">
        <v>425761</v>
      </c>
      <c r="F93" s="37" t="s">
        <v>1383</v>
      </c>
      <c r="G93" s="90">
        <v>847001</v>
      </c>
      <c r="H93" s="37" t="s">
        <v>50</v>
      </c>
      <c r="I93" s="90">
        <v>200179</v>
      </c>
      <c r="J93" s="37" t="s">
        <v>61</v>
      </c>
      <c r="K93" s="265">
        <v>127</v>
      </c>
      <c r="L93" s="265">
        <v>0</v>
      </c>
      <c r="M93" s="265">
        <v>0</v>
      </c>
      <c r="N93" s="265">
        <v>162000</v>
      </c>
      <c r="O93" s="265">
        <v>162000</v>
      </c>
      <c r="P93" s="265">
        <v>0</v>
      </c>
      <c r="Q93" s="265">
        <v>0</v>
      </c>
      <c r="R93" s="265">
        <v>0</v>
      </c>
      <c r="S93" s="265">
        <v>1000</v>
      </c>
      <c r="T93" s="265">
        <v>900</v>
      </c>
      <c r="U93" s="265">
        <v>800</v>
      </c>
      <c r="V93" s="265">
        <v>700</v>
      </c>
      <c r="W93" s="265">
        <v>1000</v>
      </c>
      <c r="X93" s="265">
        <v>1000</v>
      </c>
      <c r="Y93" s="50">
        <f t="shared" si="1"/>
        <v>-161000</v>
      </c>
    </row>
    <row r="94" spans="1:25" s="39" customFormat="1" x14ac:dyDescent="0.35">
      <c r="A94" s="37" t="s">
        <v>1784</v>
      </c>
      <c r="B94" s="37" t="s">
        <v>1826</v>
      </c>
      <c r="C94" s="91">
        <v>8470410</v>
      </c>
      <c r="D94" s="37" t="s">
        <v>1822</v>
      </c>
      <c r="E94" s="91">
        <v>425770</v>
      </c>
      <c r="F94" s="37" t="s">
        <v>367</v>
      </c>
      <c r="G94" s="90">
        <v>847001</v>
      </c>
      <c r="H94" s="37" t="s">
        <v>50</v>
      </c>
      <c r="I94" s="90">
        <v>200179</v>
      </c>
      <c r="J94" s="37" t="s">
        <v>61</v>
      </c>
      <c r="K94" s="265">
        <v>226</v>
      </c>
      <c r="L94" s="265">
        <v>-1861</v>
      </c>
      <c r="M94" s="265">
        <v>2513</v>
      </c>
      <c r="N94" s="265">
        <v>120000</v>
      </c>
      <c r="O94" s="265">
        <v>120000</v>
      </c>
      <c r="P94" s="265">
        <v>21450</v>
      </c>
      <c r="Q94" s="265">
        <v>0</v>
      </c>
      <c r="R94" s="265">
        <v>0</v>
      </c>
      <c r="S94" s="265">
        <v>144000</v>
      </c>
      <c r="T94" s="265">
        <v>129600</v>
      </c>
      <c r="U94" s="265">
        <v>115200</v>
      </c>
      <c r="V94" s="265">
        <v>100800</v>
      </c>
      <c r="W94" s="265">
        <v>144000</v>
      </c>
      <c r="X94" s="265">
        <v>144000</v>
      </c>
      <c r="Y94" s="50">
        <f t="shared" si="1"/>
        <v>24000</v>
      </c>
    </row>
    <row r="95" spans="1:25" s="39" customFormat="1" x14ac:dyDescent="0.35">
      <c r="A95" s="37" t="s">
        <v>1784</v>
      </c>
      <c r="B95" s="37" t="s">
        <v>1831</v>
      </c>
      <c r="C95" s="91">
        <v>8470410</v>
      </c>
      <c r="D95" s="37" t="s">
        <v>1822</v>
      </c>
      <c r="E95" s="91">
        <v>426610</v>
      </c>
      <c r="F95" s="37" t="s">
        <v>694</v>
      </c>
      <c r="G95" s="90">
        <v>847001</v>
      </c>
      <c r="H95" s="37" t="s">
        <v>50</v>
      </c>
      <c r="I95" s="90">
        <v>200179</v>
      </c>
      <c r="J95" s="37" t="s">
        <v>61</v>
      </c>
      <c r="K95" s="265">
        <v>0</v>
      </c>
      <c r="L95" s="265">
        <v>0</v>
      </c>
      <c r="M95" s="265">
        <v>346</v>
      </c>
      <c r="N95" s="265">
        <v>5600</v>
      </c>
      <c r="O95" s="265">
        <v>5600</v>
      </c>
      <c r="P95" s="265">
        <v>1612</v>
      </c>
      <c r="Q95" s="265">
        <v>0</v>
      </c>
      <c r="R95" s="265">
        <v>0</v>
      </c>
      <c r="S95" s="265">
        <v>5600</v>
      </c>
      <c r="T95" s="265">
        <v>5040</v>
      </c>
      <c r="U95" s="265">
        <v>4480</v>
      </c>
      <c r="V95" s="265">
        <v>3920</v>
      </c>
      <c r="W95" s="265">
        <v>5600</v>
      </c>
      <c r="X95" s="265">
        <v>5600</v>
      </c>
      <c r="Y95" s="50">
        <f t="shared" si="1"/>
        <v>0</v>
      </c>
    </row>
    <row r="96" spans="1:25" s="39" customFormat="1" x14ac:dyDescent="0.35">
      <c r="A96" s="37" t="s">
        <v>1784</v>
      </c>
      <c r="B96" s="37" t="s">
        <v>1834</v>
      </c>
      <c r="C96" s="91">
        <v>8470410</v>
      </c>
      <c r="D96" s="37" t="s">
        <v>1822</v>
      </c>
      <c r="E96" s="91">
        <v>435310</v>
      </c>
      <c r="F96" s="37" t="s">
        <v>1336</v>
      </c>
      <c r="G96" s="90">
        <v>847001</v>
      </c>
      <c r="H96" s="37" t="s">
        <v>50</v>
      </c>
      <c r="I96" s="90">
        <v>200179</v>
      </c>
      <c r="J96" s="37" t="s">
        <v>61</v>
      </c>
      <c r="K96" s="265">
        <v>0</v>
      </c>
      <c r="L96" s="265">
        <v>0</v>
      </c>
      <c r="M96" s="265">
        <v>0</v>
      </c>
      <c r="N96" s="265">
        <v>85229</v>
      </c>
      <c r="O96" s="265">
        <v>85229</v>
      </c>
      <c r="P96" s="265">
        <v>12957.33</v>
      </c>
      <c r="Q96" s="265">
        <v>8447.9</v>
      </c>
      <c r="R96" s="265">
        <v>0</v>
      </c>
      <c r="S96" s="265">
        <v>85228</v>
      </c>
      <c r="T96" s="265">
        <v>76705</v>
      </c>
      <c r="U96" s="265">
        <v>68182</v>
      </c>
      <c r="V96" s="265">
        <v>59660</v>
      </c>
      <c r="W96" s="265">
        <v>85228</v>
      </c>
      <c r="X96" s="265">
        <v>85228</v>
      </c>
      <c r="Y96" s="50">
        <f t="shared" si="1"/>
        <v>-1</v>
      </c>
    </row>
    <row r="97" spans="1:26" s="39" customFormat="1" x14ac:dyDescent="0.35">
      <c r="A97" s="37" t="s">
        <v>1784</v>
      </c>
      <c r="B97" s="37" t="s">
        <v>1837</v>
      </c>
      <c r="C97" s="91">
        <v>8470410</v>
      </c>
      <c r="D97" s="37" t="s">
        <v>1822</v>
      </c>
      <c r="E97" s="91">
        <v>435350</v>
      </c>
      <c r="F97" s="37" t="s">
        <v>399</v>
      </c>
      <c r="G97" s="90">
        <v>847001</v>
      </c>
      <c r="H97" s="37" t="s">
        <v>50</v>
      </c>
      <c r="I97" s="90">
        <v>200179</v>
      </c>
      <c r="J97" s="37" t="s">
        <v>61</v>
      </c>
      <c r="K97" s="265">
        <v>0</v>
      </c>
      <c r="L97" s="265">
        <v>0</v>
      </c>
      <c r="M97" s="265">
        <v>4800</v>
      </c>
      <c r="N97" s="265">
        <v>17900</v>
      </c>
      <c r="O97" s="265">
        <v>17900</v>
      </c>
      <c r="P97" s="265">
        <v>1500</v>
      </c>
      <c r="Q97" s="265">
        <v>0</v>
      </c>
      <c r="R97" s="265">
        <v>0</v>
      </c>
      <c r="S97" s="265">
        <v>100000</v>
      </c>
      <c r="T97" s="265">
        <v>90000</v>
      </c>
      <c r="U97" s="265">
        <v>80000</v>
      </c>
      <c r="V97" s="265">
        <v>70000</v>
      </c>
      <c r="W97" s="265">
        <v>100000</v>
      </c>
      <c r="X97" s="265">
        <v>100000</v>
      </c>
      <c r="Y97" s="50">
        <f t="shared" si="1"/>
        <v>82100</v>
      </c>
    </row>
    <row r="98" spans="1:26" s="39" customFormat="1" x14ac:dyDescent="0.35">
      <c r="A98" s="37" t="s">
        <v>1784</v>
      </c>
      <c r="B98" s="37" t="s">
        <v>1843</v>
      </c>
      <c r="C98" s="91">
        <v>8470415</v>
      </c>
      <c r="D98" s="37" t="s">
        <v>1842</v>
      </c>
      <c r="E98" s="91">
        <v>421700</v>
      </c>
      <c r="F98" s="37" t="s">
        <v>2438</v>
      </c>
      <c r="G98" s="90">
        <v>847001</v>
      </c>
      <c r="H98" s="37" t="s">
        <v>50</v>
      </c>
      <c r="I98" s="90">
        <v>200179</v>
      </c>
      <c r="J98" s="37" t="s">
        <v>61</v>
      </c>
      <c r="K98" s="265">
        <v>0</v>
      </c>
      <c r="L98" s="265">
        <v>0</v>
      </c>
      <c r="M98" s="265">
        <v>0</v>
      </c>
      <c r="N98" s="265">
        <v>150000</v>
      </c>
      <c r="O98" s="265">
        <v>150000</v>
      </c>
      <c r="P98" s="265">
        <v>0</v>
      </c>
      <c r="Q98" s="265">
        <v>0</v>
      </c>
      <c r="R98" s="265">
        <v>0</v>
      </c>
      <c r="S98" s="38">
        <v>150000</v>
      </c>
      <c r="T98" s="265">
        <v>135000</v>
      </c>
      <c r="U98" s="265">
        <v>120000</v>
      </c>
      <c r="V98" s="265">
        <v>105000</v>
      </c>
      <c r="W98" s="265">
        <v>0</v>
      </c>
      <c r="X98" s="265">
        <v>0</v>
      </c>
      <c r="Y98" s="50">
        <f t="shared" si="1"/>
        <v>0</v>
      </c>
    </row>
    <row r="99" spans="1:26" s="39" customFormat="1" x14ac:dyDescent="0.35">
      <c r="A99" s="37" t="s">
        <v>1784</v>
      </c>
      <c r="B99" s="37" t="s">
        <v>1851</v>
      </c>
      <c r="C99" s="91">
        <v>8470415</v>
      </c>
      <c r="D99" s="37" t="s">
        <v>1842</v>
      </c>
      <c r="E99" s="91">
        <v>425100</v>
      </c>
      <c r="F99" s="37" t="s">
        <v>1184</v>
      </c>
      <c r="G99" s="90">
        <v>847001</v>
      </c>
      <c r="H99" s="37" t="s">
        <v>50</v>
      </c>
      <c r="I99" s="90">
        <v>200179</v>
      </c>
      <c r="J99" s="37" t="s">
        <v>61</v>
      </c>
      <c r="K99" s="265">
        <v>0</v>
      </c>
      <c r="L99" s="265">
        <v>0</v>
      </c>
      <c r="M99" s="265">
        <v>0</v>
      </c>
      <c r="N99" s="265">
        <v>50000</v>
      </c>
      <c r="O99" s="265">
        <v>50000</v>
      </c>
      <c r="P99" s="265">
        <v>0</v>
      </c>
      <c r="Q99" s="265">
        <v>0</v>
      </c>
      <c r="R99" s="265">
        <v>0</v>
      </c>
      <c r="S99" s="265">
        <v>50000</v>
      </c>
      <c r="T99" s="265">
        <v>45000</v>
      </c>
      <c r="U99" s="265">
        <v>40000</v>
      </c>
      <c r="V99" s="265">
        <v>35000</v>
      </c>
      <c r="W99" s="265">
        <v>50000</v>
      </c>
      <c r="X99" s="265">
        <v>50000</v>
      </c>
      <c r="Y99" s="50">
        <f t="shared" si="1"/>
        <v>0</v>
      </c>
    </row>
    <row r="100" spans="1:26" s="39" customFormat="1" x14ac:dyDescent="0.35">
      <c r="A100" s="37" t="s">
        <v>1784</v>
      </c>
      <c r="B100" s="37" t="s">
        <v>1847</v>
      </c>
      <c r="C100" s="91">
        <v>8470415</v>
      </c>
      <c r="D100" s="37" t="s">
        <v>1842</v>
      </c>
      <c r="E100" s="91">
        <v>425510</v>
      </c>
      <c r="F100" s="37" t="s">
        <v>247</v>
      </c>
      <c r="G100" s="90">
        <v>847001</v>
      </c>
      <c r="H100" s="37" t="s">
        <v>50</v>
      </c>
      <c r="I100" s="90">
        <v>200179</v>
      </c>
      <c r="J100" s="37" t="s">
        <v>61</v>
      </c>
      <c r="K100" s="265">
        <v>0</v>
      </c>
      <c r="L100" s="265">
        <v>0</v>
      </c>
      <c r="M100" s="265">
        <v>0</v>
      </c>
      <c r="N100" s="38">
        <v>0</v>
      </c>
      <c r="O100" s="265">
        <v>0</v>
      </c>
      <c r="P100" s="265">
        <v>0</v>
      </c>
      <c r="Q100" s="265">
        <v>0</v>
      </c>
      <c r="R100" s="265">
        <v>0</v>
      </c>
      <c r="S100" s="38">
        <v>100000</v>
      </c>
      <c r="T100" s="265">
        <v>90000</v>
      </c>
      <c r="U100" s="265">
        <v>80000</v>
      </c>
      <c r="V100" s="265">
        <v>70000</v>
      </c>
      <c r="W100" s="265">
        <v>100000</v>
      </c>
      <c r="X100" s="265">
        <v>0</v>
      </c>
      <c r="Y100" s="38">
        <f t="shared" si="1"/>
        <v>100000</v>
      </c>
    </row>
    <row r="101" spans="1:26" s="39" customFormat="1" x14ac:dyDescent="0.35">
      <c r="A101" s="37" t="s">
        <v>1784</v>
      </c>
      <c r="B101" s="37" t="s">
        <v>1860</v>
      </c>
      <c r="C101" s="91">
        <v>8470415</v>
      </c>
      <c r="D101" s="37" t="s">
        <v>1842</v>
      </c>
      <c r="E101" s="91">
        <v>425760</v>
      </c>
      <c r="F101" s="37" t="s">
        <v>352</v>
      </c>
      <c r="G101" s="90">
        <v>847001</v>
      </c>
      <c r="H101" s="37" t="s">
        <v>50</v>
      </c>
      <c r="I101" s="90">
        <v>200179</v>
      </c>
      <c r="J101" s="37" t="s">
        <v>61</v>
      </c>
      <c r="K101" s="265">
        <v>0</v>
      </c>
      <c r="L101" s="265">
        <v>0</v>
      </c>
      <c r="M101" s="265">
        <v>0</v>
      </c>
      <c r="N101" s="265">
        <v>5000</v>
      </c>
      <c r="O101" s="265">
        <v>5000</v>
      </c>
      <c r="P101" s="265">
        <v>0</v>
      </c>
      <c r="Q101" s="265">
        <v>0</v>
      </c>
      <c r="R101" s="265">
        <v>0</v>
      </c>
      <c r="S101" s="265">
        <v>20000</v>
      </c>
      <c r="T101" s="265">
        <v>18000</v>
      </c>
      <c r="U101" s="265">
        <v>16000</v>
      </c>
      <c r="V101" s="265">
        <v>14000</v>
      </c>
      <c r="W101" s="265">
        <v>20000</v>
      </c>
      <c r="X101" s="265">
        <v>20000</v>
      </c>
      <c r="Y101" s="50">
        <f t="shared" si="1"/>
        <v>15000</v>
      </c>
    </row>
    <row r="102" spans="1:26" s="39" customFormat="1" x14ac:dyDescent="0.35">
      <c r="A102" s="37" t="s">
        <v>1784</v>
      </c>
      <c r="B102" s="37" t="s">
        <v>1863</v>
      </c>
      <c r="C102" s="91">
        <v>8470415</v>
      </c>
      <c r="D102" s="37" t="s">
        <v>1842</v>
      </c>
      <c r="E102" s="91">
        <v>425763</v>
      </c>
      <c r="F102" s="37" t="s">
        <v>359</v>
      </c>
      <c r="G102" s="90">
        <v>847001</v>
      </c>
      <c r="H102" s="37" t="s">
        <v>50</v>
      </c>
      <c r="I102" s="90">
        <v>200179</v>
      </c>
      <c r="J102" s="37" t="s">
        <v>61</v>
      </c>
      <c r="K102" s="265">
        <v>0</v>
      </c>
      <c r="L102" s="265">
        <v>0</v>
      </c>
      <c r="M102" s="265">
        <v>0</v>
      </c>
      <c r="N102" s="265">
        <v>80000</v>
      </c>
      <c r="O102" s="265">
        <v>80000</v>
      </c>
      <c r="P102" s="265">
        <v>3365</v>
      </c>
      <c r="Q102" s="265">
        <v>0</v>
      </c>
      <c r="R102" s="265">
        <v>17820</v>
      </c>
      <c r="S102" s="265">
        <v>104000</v>
      </c>
      <c r="T102" s="265">
        <v>21600</v>
      </c>
      <c r="U102" s="265">
        <v>19200</v>
      </c>
      <c r="V102" s="265">
        <v>16800</v>
      </c>
      <c r="W102" s="265">
        <v>164000</v>
      </c>
      <c r="X102" s="265">
        <v>189000</v>
      </c>
      <c r="Y102" s="50">
        <f t="shared" si="1"/>
        <v>24000</v>
      </c>
    </row>
    <row r="103" spans="1:26" s="39" customFormat="1" x14ac:dyDescent="0.35">
      <c r="A103" s="37" t="s">
        <v>1784</v>
      </c>
      <c r="B103" s="37" t="s">
        <v>1872</v>
      </c>
      <c r="C103" s="91">
        <v>8470415</v>
      </c>
      <c r="D103" s="37" t="s">
        <v>1842</v>
      </c>
      <c r="E103" s="91">
        <v>425770</v>
      </c>
      <c r="F103" s="37" t="s">
        <v>367</v>
      </c>
      <c r="G103" s="90">
        <v>847001</v>
      </c>
      <c r="H103" s="37" t="s">
        <v>50</v>
      </c>
      <c r="I103" s="90">
        <v>200179</v>
      </c>
      <c r="J103" s="37" t="s">
        <v>61</v>
      </c>
      <c r="K103" s="265">
        <v>89008</v>
      </c>
      <c r="L103" s="265">
        <v>8895</v>
      </c>
      <c r="M103" s="265">
        <v>6028</v>
      </c>
      <c r="N103" s="265">
        <v>285000</v>
      </c>
      <c r="O103" s="265">
        <v>285000</v>
      </c>
      <c r="P103" s="265">
        <v>46842.96</v>
      </c>
      <c r="Q103" s="265">
        <v>0</v>
      </c>
      <c r="R103" s="265">
        <v>0</v>
      </c>
      <c r="S103" s="265">
        <v>435000</v>
      </c>
      <c r="T103" s="265">
        <v>324000</v>
      </c>
      <c r="U103" s="265">
        <v>288000</v>
      </c>
      <c r="V103" s="265">
        <v>252000</v>
      </c>
      <c r="W103" s="265">
        <v>495000</v>
      </c>
      <c r="X103" s="265">
        <v>525000</v>
      </c>
      <c r="Y103" s="50">
        <f t="shared" si="1"/>
        <v>150000</v>
      </c>
    </row>
    <row r="104" spans="1:26" s="39" customFormat="1" x14ac:dyDescent="0.35">
      <c r="A104" s="37" t="s">
        <v>1784</v>
      </c>
      <c r="B104" s="37" t="s">
        <v>1879</v>
      </c>
      <c r="C104" s="91">
        <v>8470415</v>
      </c>
      <c r="D104" s="37" t="s">
        <v>1842</v>
      </c>
      <c r="E104" s="91">
        <v>425900</v>
      </c>
      <c r="F104" s="37" t="s">
        <v>266</v>
      </c>
      <c r="G104" s="90">
        <v>847001</v>
      </c>
      <c r="H104" s="37" t="s">
        <v>50</v>
      </c>
      <c r="I104" s="90">
        <v>200179</v>
      </c>
      <c r="J104" s="37" t="s">
        <v>61</v>
      </c>
      <c r="K104" s="265">
        <v>0</v>
      </c>
      <c r="L104" s="265">
        <v>794</v>
      </c>
      <c r="M104" s="265">
        <v>0</v>
      </c>
      <c r="N104" s="265">
        <v>140000</v>
      </c>
      <c r="O104" s="265">
        <v>140000</v>
      </c>
      <c r="P104" s="265">
        <v>7839.73</v>
      </c>
      <c r="Q104" s="265">
        <v>0</v>
      </c>
      <c r="R104" s="265">
        <v>0</v>
      </c>
      <c r="S104" s="265">
        <v>376000</v>
      </c>
      <c r="T104" s="265">
        <v>86400</v>
      </c>
      <c r="U104" s="265">
        <v>76800</v>
      </c>
      <c r="V104" s="265">
        <v>67200</v>
      </c>
      <c r="W104" s="265">
        <v>260000</v>
      </c>
      <c r="X104" s="265">
        <v>158000</v>
      </c>
      <c r="Y104" s="50">
        <f t="shared" si="1"/>
        <v>236000</v>
      </c>
    </row>
    <row r="105" spans="1:26" s="39" customFormat="1" x14ac:dyDescent="0.35">
      <c r="A105" s="37" t="s">
        <v>1784</v>
      </c>
      <c r="B105" s="37" t="s">
        <v>1885</v>
      </c>
      <c r="C105" s="91">
        <v>8470415</v>
      </c>
      <c r="D105" s="37" t="s">
        <v>1842</v>
      </c>
      <c r="E105" s="91">
        <v>426610</v>
      </c>
      <c r="F105" s="37" t="s">
        <v>694</v>
      </c>
      <c r="G105" s="90">
        <v>847001</v>
      </c>
      <c r="H105" s="37" t="s">
        <v>50</v>
      </c>
      <c r="I105" s="90">
        <v>200179</v>
      </c>
      <c r="J105" s="37" t="s">
        <v>61</v>
      </c>
      <c r="K105" s="265">
        <v>0</v>
      </c>
      <c r="L105" s="265">
        <v>42016</v>
      </c>
      <c r="M105" s="265">
        <v>35235</v>
      </c>
      <c r="N105" s="265">
        <v>229511</v>
      </c>
      <c r="O105" s="265">
        <v>229511</v>
      </c>
      <c r="P105" s="265">
        <v>30164.11</v>
      </c>
      <c r="Q105" s="265">
        <v>0</v>
      </c>
      <c r="R105" s="265">
        <v>31220.5</v>
      </c>
      <c r="S105" s="265">
        <v>194962</v>
      </c>
      <c r="T105" s="265">
        <v>87855</v>
      </c>
      <c r="U105" s="265">
        <v>78094</v>
      </c>
      <c r="V105" s="265">
        <v>68332</v>
      </c>
      <c r="W105" s="265">
        <v>158812</v>
      </c>
      <c r="X105" s="265">
        <v>158812</v>
      </c>
      <c r="Y105" s="50">
        <f t="shared" si="1"/>
        <v>-34549</v>
      </c>
    </row>
    <row r="106" spans="1:26" s="39" customFormat="1" x14ac:dyDescent="0.35">
      <c r="A106" s="37" t="s">
        <v>1784</v>
      </c>
      <c r="B106" s="37" t="s">
        <v>1858</v>
      </c>
      <c r="C106" s="91">
        <v>8470415</v>
      </c>
      <c r="D106" s="37" t="s">
        <v>1842</v>
      </c>
      <c r="E106" s="91">
        <v>427200</v>
      </c>
      <c r="F106" s="37" t="s">
        <v>1085</v>
      </c>
      <c r="G106" s="90">
        <v>847001</v>
      </c>
      <c r="H106" s="37" t="s">
        <v>50</v>
      </c>
      <c r="I106" s="90">
        <v>200179</v>
      </c>
      <c r="J106" s="37" t="s">
        <v>61</v>
      </c>
      <c r="K106" s="265">
        <v>0</v>
      </c>
      <c r="L106" s="265">
        <v>0</v>
      </c>
      <c r="M106" s="265">
        <v>0</v>
      </c>
      <c r="N106" s="265">
        <v>0</v>
      </c>
      <c r="O106" s="265">
        <v>0</v>
      </c>
      <c r="P106" s="265">
        <v>0</v>
      </c>
      <c r="Q106" s="265">
        <v>0</v>
      </c>
      <c r="R106" s="265">
        <v>0</v>
      </c>
      <c r="S106" s="265">
        <v>10000</v>
      </c>
      <c r="T106" s="265">
        <v>9000</v>
      </c>
      <c r="U106" s="265">
        <v>8000</v>
      </c>
      <c r="V106" s="265">
        <v>7000</v>
      </c>
      <c r="W106" s="265">
        <v>10000</v>
      </c>
      <c r="X106" s="265">
        <v>25000</v>
      </c>
      <c r="Y106" s="50">
        <f t="shared" si="1"/>
        <v>10000</v>
      </c>
    </row>
    <row r="107" spans="1:26" s="39" customFormat="1" x14ac:dyDescent="0.35">
      <c r="A107" s="37" t="s">
        <v>1784</v>
      </c>
      <c r="B107" s="37" t="s">
        <v>1854</v>
      </c>
      <c r="C107" s="91">
        <v>8470415</v>
      </c>
      <c r="D107" s="37" t="s">
        <v>1842</v>
      </c>
      <c r="E107" s="91">
        <v>428090</v>
      </c>
      <c r="F107" s="37" t="s">
        <v>154</v>
      </c>
      <c r="G107" s="90">
        <v>847001</v>
      </c>
      <c r="H107" s="37" t="s">
        <v>50</v>
      </c>
      <c r="I107" s="90">
        <v>200179</v>
      </c>
      <c r="J107" s="37" t="s">
        <v>61</v>
      </c>
      <c r="K107" s="265">
        <v>20447</v>
      </c>
      <c r="L107" s="265">
        <v>0</v>
      </c>
      <c r="M107" s="265">
        <v>0</v>
      </c>
      <c r="N107" s="265">
        <v>0</v>
      </c>
      <c r="O107" s="265">
        <v>0</v>
      </c>
      <c r="P107" s="265">
        <v>0</v>
      </c>
      <c r="Q107" s="265">
        <v>0</v>
      </c>
      <c r="R107" s="265">
        <v>0</v>
      </c>
      <c r="S107" s="265">
        <v>3000</v>
      </c>
      <c r="T107" s="265">
        <v>2700</v>
      </c>
      <c r="U107" s="265">
        <v>2400</v>
      </c>
      <c r="V107" s="265">
        <v>2100</v>
      </c>
      <c r="W107" s="265">
        <v>3000</v>
      </c>
      <c r="X107" s="265">
        <v>5000</v>
      </c>
      <c r="Y107" s="50">
        <f t="shared" si="1"/>
        <v>3000</v>
      </c>
    </row>
    <row r="108" spans="1:26" s="39" customFormat="1" x14ac:dyDescent="0.35">
      <c r="A108" s="37" t="s">
        <v>1784</v>
      </c>
      <c r="B108" s="37" t="s">
        <v>1897</v>
      </c>
      <c r="C108" s="91">
        <v>8470415</v>
      </c>
      <c r="D108" s="37" t="s">
        <v>1842</v>
      </c>
      <c r="E108" s="91">
        <v>428640</v>
      </c>
      <c r="F108" s="37" t="s">
        <v>279</v>
      </c>
      <c r="G108" s="90">
        <v>847001</v>
      </c>
      <c r="H108" s="37" t="s">
        <v>50</v>
      </c>
      <c r="I108" s="90">
        <v>200179</v>
      </c>
      <c r="J108" s="37" t="s">
        <v>61</v>
      </c>
      <c r="K108" s="265">
        <v>426</v>
      </c>
      <c r="L108" s="265">
        <v>0</v>
      </c>
      <c r="M108" s="265">
        <v>0</v>
      </c>
      <c r="N108" s="265">
        <v>15000</v>
      </c>
      <c r="O108" s="265">
        <v>15000</v>
      </c>
      <c r="P108" s="265">
        <v>0</v>
      </c>
      <c r="Q108" s="265">
        <v>0</v>
      </c>
      <c r="R108" s="265">
        <v>0</v>
      </c>
      <c r="S108" s="265">
        <v>20000</v>
      </c>
      <c r="T108" s="265">
        <v>18000</v>
      </c>
      <c r="U108" s="265">
        <v>16000</v>
      </c>
      <c r="V108" s="265">
        <v>14000</v>
      </c>
      <c r="W108" s="265">
        <v>20000</v>
      </c>
      <c r="X108" s="265">
        <v>25000</v>
      </c>
      <c r="Y108" s="50">
        <f t="shared" si="1"/>
        <v>5000</v>
      </c>
    </row>
    <row r="109" spans="1:26" s="39" customFormat="1" x14ac:dyDescent="0.35">
      <c r="A109" s="37" t="s">
        <v>1784</v>
      </c>
      <c r="B109" s="37" t="s">
        <v>1900</v>
      </c>
      <c r="C109" s="91">
        <v>8470415</v>
      </c>
      <c r="D109" s="37" t="s">
        <v>1842</v>
      </c>
      <c r="E109" s="91">
        <v>432209</v>
      </c>
      <c r="F109" s="37" t="s">
        <v>393</v>
      </c>
      <c r="G109" s="90">
        <v>847001</v>
      </c>
      <c r="H109" s="37" t="s">
        <v>50</v>
      </c>
      <c r="I109" s="90">
        <v>200179</v>
      </c>
      <c r="J109" s="37" t="s">
        <v>61</v>
      </c>
      <c r="K109" s="265">
        <v>130434</v>
      </c>
      <c r="L109" s="265">
        <v>71550</v>
      </c>
      <c r="M109" s="265">
        <v>85887</v>
      </c>
      <c r="N109" s="265">
        <v>301000</v>
      </c>
      <c r="O109" s="265">
        <v>301000</v>
      </c>
      <c r="P109" s="265">
        <v>39104</v>
      </c>
      <c r="Q109" s="265">
        <v>82964.100000000006</v>
      </c>
      <c r="R109" s="265">
        <v>82628.61</v>
      </c>
      <c r="S109" s="265">
        <v>980000</v>
      </c>
      <c r="T109" s="265">
        <v>391500</v>
      </c>
      <c r="U109" s="265">
        <v>348000</v>
      </c>
      <c r="V109" s="265">
        <v>304500</v>
      </c>
      <c r="W109" s="265">
        <v>478500</v>
      </c>
      <c r="X109" s="265">
        <v>526000</v>
      </c>
      <c r="Y109" s="50">
        <f t="shared" si="1"/>
        <v>679000</v>
      </c>
      <c r="Z109" s="275">
        <f>Y109/N109</f>
        <v>2.2558139534883721</v>
      </c>
    </row>
    <row r="110" spans="1:26" s="39" customFormat="1" x14ac:dyDescent="0.35">
      <c r="A110" s="37" t="s">
        <v>1784</v>
      </c>
      <c r="B110" s="37" t="s">
        <v>1910</v>
      </c>
      <c r="C110" s="91">
        <v>8470415</v>
      </c>
      <c r="D110" s="37" t="s">
        <v>1842</v>
      </c>
      <c r="E110" s="91">
        <v>435350</v>
      </c>
      <c r="F110" s="37" t="s">
        <v>399</v>
      </c>
      <c r="G110" s="90">
        <v>847001</v>
      </c>
      <c r="H110" s="37" t="s">
        <v>50</v>
      </c>
      <c r="I110" s="90">
        <v>200179</v>
      </c>
      <c r="J110" s="37" t="s">
        <v>61</v>
      </c>
      <c r="K110" s="265">
        <v>0</v>
      </c>
      <c r="L110" s="265">
        <v>18074</v>
      </c>
      <c r="M110" s="265">
        <v>15798</v>
      </c>
      <c r="N110" s="265">
        <v>70000</v>
      </c>
      <c r="O110" s="265">
        <v>70000</v>
      </c>
      <c r="P110" s="265">
        <v>5138</v>
      </c>
      <c r="Q110" s="265">
        <v>0</v>
      </c>
      <c r="R110" s="265">
        <v>0</v>
      </c>
      <c r="S110" s="265">
        <v>180000</v>
      </c>
      <c r="T110" s="265">
        <v>162000</v>
      </c>
      <c r="U110" s="265">
        <v>144000</v>
      </c>
      <c r="V110" s="265">
        <v>126000</v>
      </c>
      <c r="W110" s="265">
        <v>240000</v>
      </c>
      <c r="X110" s="265">
        <v>300000</v>
      </c>
      <c r="Y110" s="50">
        <f t="shared" si="1"/>
        <v>110000</v>
      </c>
    </row>
    <row r="111" spans="1:26" s="39" customFormat="1" x14ac:dyDescent="0.35">
      <c r="A111" s="37" t="s">
        <v>1784</v>
      </c>
      <c r="B111" s="37" t="s">
        <v>1913</v>
      </c>
      <c r="C111" s="91">
        <v>8470415</v>
      </c>
      <c r="D111" s="37" t="s">
        <v>1842</v>
      </c>
      <c r="E111" s="91">
        <v>435508</v>
      </c>
      <c r="F111" s="37" t="s">
        <v>405</v>
      </c>
      <c r="G111" s="90">
        <v>847001</v>
      </c>
      <c r="H111" s="37" t="s">
        <v>50</v>
      </c>
      <c r="I111" s="90">
        <v>200179</v>
      </c>
      <c r="J111" s="37" t="s">
        <v>61</v>
      </c>
      <c r="K111" s="265">
        <v>374661</v>
      </c>
      <c r="L111" s="265">
        <v>267320</v>
      </c>
      <c r="M111" s="265">
        <v>146217</v>
      </c>
      <c r="N111" s="265">
        <v>525000</v>
      </c>
      <c r="O111" s="265">
        <v>525000</v>
      </c>
      <c r="P111" s="265">
        <v>89206.58</v>
      </c>
      <c r="Q111" s="265">
        <v>36675</v>
      </c>
      <c r="R111" s="265">
        <v>76210</v>
      </c>
      <c r="S111" s="265">
        <v>1200000</v>
      </c>
      <c r="T111" s="265">
        <v>675000</v>
      </c>
      <c r="U111" s="265">
        <v>600000</v>
      </c>
      <c r="V111" s="265">
        <v>525000</v>
      </c>
      <c r="W111" s="265">
        <v>925000</v>
      </c>
      <c r="X111" s="265">
        <v>900000</v>
      </c>
      <c r="Y111" s="50">
        <f t="shared" si="1"/>
        <v>675000</v>
      </c>
    </row>
    <row r="112" spans="1:26" s="39" customFormat="1" x14ac:dyDescent="0.35">
      <c r="A112" s="37" t="s">
        <v>1784</v>
      </c>
      <c r="B112" s="37" t="s">
        <v>1924</v>
      </c>
      <c r="C112" s="91">
        <v>8470415</v>
      </c>
      <c r="D112" s="37" t="s">
        <v>1842</v>
      </c>
      <c r="E112" s="91">
        <v>492316</v>
      </c>
      <c r="F112" s="37" t="s">
        <v>221</v>
      </c>
      <c r="G112" s="90">
        <v>847001</v>
      </c>
      <c r="H112" s="37" t="s">
        <v>50</v>
      </c>
      <c r="I112" s="90">
        <v>300180</v>
      </c>
      <c r="J112" s="37" t="s">
        <v>192</v>
      </c>
      <c r="K112" s="265">
        <v>129251</v>
      </c>
      <c r="L112" s="265">
        <v>0</v>
      </c>
      <c r="M112" s="265">
        <v>751050</v>
      </c>
      <c r="N112" s="265">
        <v>1891417</v>
      </c>
      <c r="O112" s="265">
        <v>1891417</v>
      </c>
      <c r="P112" s="265">
        <v>0</v>
      </c>
      <c r="Q112" s="265">
        <v>1774402</v>
      </c>
      <c r="R112" s="265">
        <v>102313</v>
      </c>
      <c r="S112" s="265">
        <v>3386780</v>
      </c>
      <c r="T112" s="265">
        <v>103856</v>
      </c>
      <c r="U112" s="265">
        <v>92316</v>
      </c>
      <c r="V112" s="265">
        <v>80777</v>
      </c>
      <c r="W112" s="265">
        <v>4494200</v>
      </c>
      <c r="X112" s="265">
        <v>346260</v>
      </c>
      <c r="Y112" s="50">
        <f t="shared" si="1"/>
        <v>1495363</v>
      </c>
    </row>
    <row r="113" spans="1:25" s="39" customFormat="1" x14ac:dyDescent="0.35">
      <c r="A113" s="37" t="s">
        <v>1784</v>
      </c>
      <c r="B113" s="37" t="s">
        <v>1944</v>
      </c>
      <c r="C113" s="91">
        <v>8470425</v>
      </c>
      <c r="D113" s="37" t="s">
        <v>1943</v>
      </c>
      <c r="E113" s="91">
        <v>425510</v>
      </c>
      <c r="F113" s="37" t="s">
        <v>247</v>
      </c>
      <c r="G113" s="90">
        <v>847001</v>
      </c>
      <c r="H113" s="37" t="s">
        <v>50</v>
      </c>
      <c r="I113" s="90">
        <v>200179</v>
      </c>
      <c r="J113" s="37" t="s">
        <v>61</v>
      </c>
      <c r="K113" s="265">
        <v>0</v>
      </c>
      <c r="L113" s="265">
        <v>0</v>
      </c>
      <c r="M113" s="265">
        <v>0</v>
      </c>
      <c r="N113" s="38">
        <v>45000</v>
      </c>
      <c r="O113" s="265">
        <v>45000</v>
      </c>
      <c r="P113" s="265">
        <v>0</v>
      </c>
      <c r="Q113" s="265">
        <v>0</v>
      </c>
      <c r="R113" s="265">
        <v>0</v>
      </c>
      <c r="S113" s="38">
        <v>290000</v>
      </c>
      <c r="T113" s="265">
        <v>40500</v>
      </c>
      <c r="U113" s="265">
        <v>36000</v>
      </c>
      <c r="V113" s="265">
        <v>31500</v>
      </c>
      <c r="W113" s="265">
        <v>275000</v>
      </c>
      <c r="X113" s="265">
        <v>295000</v>
      </c>
      <c r="Y113" s="38">
        <f t="shared" si="1"/>
        <v>245000</v>
      </c>
    </row>
    <row r="114" spans="1:25" s="39" customFormat="1" x14ac:dyDescent="0.35">
      <c r="A114" s="37" t="s">
        <v>1784</v>
      </c>
      <c r="B114" s="37" t="s">
        <v>1947</v>
      </c>
      <c r="C114" s="91">
        <v>8470425</v>
      </c>
      <c r="D114" s="37" t="s">
        <v>1943</v>
      </c>
      <c r="E114" s="91">
        <v>425550</v>
      </c>
      <c r="F114" s="37" t="s">
        <v>253</v>
      </c>
      <c r="G114" s="90">
        <v>847001</v>
      </c>
      <c r="H114" s="37" t="s">
        <v>50</v>
      </c>
      <c r="I114" s="90">
        <v>200179</v>
      </c>
      <c r="J114" s="37" t="s">
        <v>61</v>
      </c>
      <c r="K114" s="265">
        <v>0</v>
      </c>
      <c r="L114" s="265">
        <v>0</v>
      </c>
      <c r="M114" s="265">
        <v>0</v>
      </c>
      <c r="N114" s="38">
        <v>225000</v>
      </c>
      <c r="O114" s="265">
        <v>225000</v>
      </c>
      <c r="P114" s="265">
        <v>0</v>
      </c>
      <c r="Q114" s="265">
        <v>0</v>
      </c>
      <c r="R114" s="265">
        <v>0</v>
      </c>
      <c r="S114" s="38">
        <v>247500</v>
      </c>
      <c r="T114" s="265">
        <v>222750</v>
      </c>
      <c r="U114" s="265">
        <v>198000</v>
      </c>
      <c r="V114" s="265">
        <v>173250</v>
      </c>
      <c r="W114" s="265">
        <v>270000</v>
      </c>
      <c r="X114" s="265">
        <v>337500</v>
      </c>
      <c r="Y114" s="38">
        <f t="shared" si="1"/>
        <v>22500</v>
      </c>
    </row>
    <row r="115" spans="1:25" s="39" customFormat="1" x14ac:dyDescent="0.35">
      <c r="A115" s="37" t="s">
        <v>1784</v>
      </c>
      <c r="B115" s="37" t="s">
        <v>1949</v>
      </c>
      <c r="C115" s="91">
        <v>8470425</v>
      </c>
      <c r="D115" s="37" t="s">
        <v>1943</v>
      </c>
      <c r="E115" s="91">
        <v>425770</v>
      </c>
      <c r="F115" s="37" t="s">
        <v>367</v>
      </c>
      <c r="G115" s="90">
        <v>847001</v>
      </c>
      <c r="H115" s="37" t="s">
        <v>50</v>
      </c>
      <c r="I115" s="90">
        <v>200179</v>
      </c>
      <c r="J115" s="37" t="s">
        <v>61</v>
      </c>
      <c r="K115" s="265">
        <v>126527</v>
      </c>
      <c r="L115" s="265">
        <v>66413</v>
      </c>
      <c r="M115" s="265">
        <v>717</v>
      </c>
      <c r="N115" s="265">
        <v>60000</v>
      </c>
      <c r="O115" s="265">
        <v>60000</v>
      </c>
      <c r="P115" s="265">
        <v>11830</v>
      </c>
      <c r="Q115" s="265">
        <v>0</v>
      </c>
      <c r="R115" s="265">
        <v>0</v>
      </c>
      <c r="S115" s="265">
        <v>67500</v>
      </c>
      <c r="T115" s="265">
        <v>60750</v>
      </c>
      <c r="U115" s="265">
        <v>54000</v>
      </c>
      <c r="V115" s="265">
        <v>47250</v>
      </c>
      <c r="W115" s="265">
        <v>90000</v>
      </c>
      <c r="X115" s="265">
        <v>112500</v>
      </c>
      <c r="Y115" s="50">
        <f t="shared" si="1"/>
        <v>7500</v>
      </c>
    </row>
    <row r="116" spans="1:25" s="39" customFormat="1" x14ac:dyDescent="0.35">
      <c r="A116" s="37" t="s">
        <v>1784</v>
      </c>
      <c r="B116" s="37" t="s">
        <v>1951</v>
      </c>
      <c r="C116" s="91">
        <v>8470425</v>
      </c>
      <c r="D116" s="37" t="s">
        <v>1943</v>
      </c>
      <c r="E116" s="91">
        <v>425900</v>
      </c>
      <c r="F116" s="37" t="s">
        <v>266</v>
      </c>
      <c r="G116" s="90">
        <v>847001</v>
      </c>
      <c r="H116" s="37" t="s">
        <v>50</v>
      </c>
      <c r="I116" s="90">
        <v>200179</v>
      </c>
      <c r="J116" s="37" t="s">
        <v>61</v>
      </c>
      <c r="K116" s="265">
        <v>5798</v>
      </c>
      <c r="L116" s="265">
        <v>5058</v>
      </c>
      <c r="M116" s="265">
        <v>0</v>
      </c>
      <c r="N116" s="265">
        <v>10116</v>
      </c>
      <c r="O116" s="265">
        <v>10116</v>
      </c>
      <c r="P116" s="265">
        <v>0</v>
      </c>
      <c r="Q116" s="265">
        <v>0</v>
      </c>
      <c r="R116" s="265">
        <v>0</v>
      </c>
      <c r="S116" s="265">
        <v>145000</v>
      </c>
      <c r="T116" s="265">
        <v>112500</v>
      </c>
      <c r="U116" s="265">
        <v>100000</v>
      </c>
      <c r="V116" s="265">
        <v>87500</v>
      </c>
      <c r="W116" s="265">
        <v>120000</v>
      </c>
      <c r="X116" s="265">
        <v>120000</v>
      </c>
      <c r="Y116" s="50">
        <f t="shared" si="1"/>
        <v>134884</v>
      </c>
    </row>
    <row r="117" spans="1:25" s="39" customFormat="1" x14ac:dyDescent="0.35">
      <c r="A117" s="37" t="s">
        <v>1784</v>
      </c>
      <c r="B117" s="37" t="s">
        <v>1954</v>
      </c>
      <c r="C117" s="91">
        <v>8470425</v>
      </c>
      <c r="D117" s="37" t="s">
        <v>1943</v>
      </c>
      <c r="E117" s="91">
        <v>426610</v>
      </c>
      <c r="F117" s="37" t="s">
        <v>694</v>
      </c>
      <c r="G117" s="90">
        <v>847001</v>
      </c>
      <c r="H117" s="37" t="s">
        <v>50</v>
      </c>
      <c r="I117" s="90">
        <v>200179</v>
      </c>
      <c r="J117" s="37" t="s">
        <v>61</v>
      </c>
      <c r="K117" s="265">
        <v>0</v>
      </c>
      <c r="L117" s="265">
        <v>0</v>
      </c>
      <c r="M117" s="265">
        <v>0</v>
      </c>
      <c r="N117" s="265">
        <v>212000</v>
      </c>
      <c r="O117" s="265">
        <v>212000</v>
      </c>
      <c r="P117" s="265">
        <v>0</v>
      </c>
      <c r="Q117" s="265">
        <v>0</v>
      </c>
      <c r="R117" s="265">
        <v>22497.13</v>
      </c>
      <c r="S117" s="265">
        <v>200000</v>
      </c>
      <c r="T117" s="265">
        <v>180000</v>
      </c>
      <c r="U117" s="265">
        <v>160000</v>
      </c>
      <c r="V117" s="265">
        <v>140000</v>
      </c>
      <c r="W117" s="265">
        <v>450000</v>
      </c>
      <c r="X117" s="265">
        <v>400000</v>
      </c>
      <c r="Y117" s="50">
        <f t="shared" si="1"/>
        <v>-12000</v>
      </c>
    </row>
    <row r="118" spans="1:25" s="39" customFormat="1" x14ac:dyDescent="0.35">
      <c r="A118" s="37" t="s">
        <v>1784</v>
      </c>
      <c r="B118" s="37" t="s">
        <v>1956</v>
      </c>
      <c r="C118" s="91">
        <v>8470425</v>
      </c>
      <c r="D118" s="37" t="s">
        <v>1943</v>
      </c>
      <c r="E118" s="91">
        <v>428090</v>
      </c>
      <c r="F118" s="37" t="s">
        <v>154</v>
      </c>
      <c r="G118" s="90">
        <v>847001</v>
      </c>
      <c r="H118" s="37" t="s">
        <v>50</v>
      </c>
      <c r="I118" s="90">
        <v>200179</v>
      </c>
      <c r="J118" s="37" t="s">
        <v>61</v>
      </c>
      <c r="K118" s="265">
        <v>0</v>
      </c>
      <c r="L118" s="265">
        <v>0</v>
      </c>
      <c r="M118" s="265">
        <v>0</v>
      </c>
      <c r="N118" s="265">
        <v>128000</v>
      </c>
      <c r="O118" s="265">
        <v>128000</v>
      </c>
      <c r="P118" s="265">
        <v>0</v>
      </c>
      <c r="Q118" s="265">
        <v>0</v>
      </c>
      <c r="R118" s="265">
        <v>0</v>
      </c>
      <c r="S118" s="265">
        <v>128000</v>
      </c>
      <c r="T118" s="265">
        <v>115200</v>
      </c>
      <c r="U118" s="265">
        <v>102400</v>
      </c>
      <c r="V118" s="265">
        <v>89600</v>
      </c>
      <c r="W118" s="265">
        <v>192000</v>
      </c>
      <c r="X118" s="265">
        <v>112500</v>
      </c>
      <c r="Y118" s="50">
        <f t="shared" si="1"/>
        <v>0</v>
      </c>
    </row>
    <row r="119" spans="1:25" s="39" customFormat="1" x14ac:dyDescent="0.35">
      <c r="A119" s="37" t="s">
        <v>1784</v>
      </c>
      <c r="B119" s="37" t="s">
        <v>1958</v>
      </c>
      <c r="C119" s="91">
        <v>8470425</v>
      </c>
      <c r="D119" s="37" t="s">
        <v>1943</v>
      </c>
      <c r="E119" s="91">
        <v>435350</v>
      </c>
      <c r="F119" s="37" t="s">
        <v>399</v>
      </c>
      <c r="G119" s="90">
        <v>847001</v>
      </c>
      <c r="H119" s="37" t="s">
        <v>50</v>
      </c>
      <c r="I119" s="90">
        <v>200179</v>
      </c>
      <c r="J119" s="37" t="s">
        <v>61</v>
      </c>
      <c r="K119" s="265">
        <v>14753</v>
      </c>
      <c r="L119" s="265">
        <v>39563</v>
      </c>
      <c r="M119" s="265">
        <v>31871</v>
      </c>
      <c r="N119" s="265">
        <v>120000</v>
      </c>
      <c r="O119" s="265">
        <v>120000</v>
      </c>
      <c r="P119" s="265">
        <v>21287.77</v>
      </c>
      <c r="Q119" s="265">
        <v>0</v>
      </c>
      <c r="R119" s="265">
        <v>0</v>
      </c>
      <c r="S119" s="265">
        <v>150000</v>
      </c>
      <c r="T119" s="265">
        <v>135000</v>
      </c>
      <c r="U119" s="265">
        <v>120000</v>
      </c>
      <c r="V119" s="265">
        <v>105000</v>
      </c>
      <c r="W119" s="265">
        <v>150000</v>
      </c>
      <c r="X119" s="265">
        <v>250000</v>
      </c>
      <c r="Y119" s="50">
        <f t="shared" si="1"/>
        <v>30000</v>
      </c>
    </row>
    <row r="120" spans="1:25" s="39" customFormat="1" x14ac:dyDescent="0.35">
      <c r="A120" s="37" t="s">
        <v>1784</v>
      </c>
      <c r="B120" s="37" t="s">
        <v>1960</v>
      </c>
      <c r="C120" s="91">
        <v>8470425</v>
      </c>
      <c r="D120" s="37" t="s">
        <v>1943</v>
      </c>
      <c r="E120" s="91">
        <v>435508</v>
      </c>
      <c r="F120" s="37" t="s">
        <v>405</v>
      </c>
      <c r="G120" s="90">
        <v>847001</v>
      </c>
      <c r="H120" s="37" t="s">
        <v>50</v>
      </c>
      <c r="I120" s="90">
        <v>200179</v>
      </c>
      <c r="J120" s="37" t="s">
        <v>61</v>
      </c>
      <c r="K120" s="265">
        <v>4600</v>
      </c>
      <c r="L120" s="265">
        <v>42606</v>
      </c>
      <c r="M120" s="265">
        <v>227</v>
      </c>
      <c r="N120" s="265">
        <v>551566</v>
      </c>
      <c r="O120" s="265">
        <v>551566</v>
      </c>
      <c r="P120" s="265">
        <v>0</v>
      </c>
      <c r="Q120" s="265">
        <v>0</v>
      </c>
      <c r="R120" s="265">
        <v>152675</v>
      </c>
      <c r="S120" s="265">
        <v>854700</v>
      </c>
      <c r="T120" s="265">
        <v>35100</v>
      </c>
      <c r="U120" s="265">
        <v>31200</v>
      </c>
      <c r="V120" s="265">
        <v>27300</v>
      </c>
      <c r="W120" s="265">
        <v>840000</v>
      </c>
      <c r="X120" s="265">
        <v>1000000</v>
      </c>
      <c r="Y120" s="50">
        <f t="shared" si="1"/>
        <v>303134</v>
      </c>
    </row>
    <row r="121" spans="1:25" s="39" customFormat="1" x14ac:dyDescent="0.35">
      <c r="A121" s="37" t="s">
        <v>1784</v>
      </c>
      <c r="B121" s="37" t="s">
        <v>1967</v>
      </c>
      <c r="C121" s="91">
        <v>8470425</v>
      </c>
      <c r="D121" s="37" t="s">
        <v>1943</v>
      </c>
      <c r="E121" s="91">
        <v>492310</v>
      </c>
      <c r="F121" s="37" t="s">
        <v>191</v>
      </c>
      <c r="G121" s="90">
        <v>847001</v>
      </c>
      <c r="H121" s="37" t="s">
        <v>50</v>
      </c>
      <c r="I121" s="90">
        <v>300180</v>
      </c>
      <c r="J121" s="37" t="s">
        <v>192</v>
      </c>
      <c r="K121" s="265">
        <v>0</v>
      </c>
      <c r="L121" s="265">
        <v>0</v>
      </c>
      <c r="M121" s="265">
        <v>0</v>
      </c>
      <c r="N121" s="265">
        <v>151348</v>
      </c>
      <c r="O121" s="265">
        <v>151348</v>
      </c>
      <c r="P121" s="265">
        <v>35280</v>
      </c>
      <c r="Q121" s="265">
        <v>0</v>
      </c>
      <c r="R121" s="265">
        <v>0</v>
      </c>
      <c r="S121" s="265">
        <v>800000</v>
      </c>
      <c r="T121" s="265">
        <v>720000</v>
      </c>
      <c r="U121" s="265">
        <v>640000</v>
      </c>
      <c r="V121" s="265">
        <v>560000</v>
      </c>
      <c r="W121" s="265">
        <v>750000</v>
      </c>
      <c r="X121" s="265">
        <v>750000</v>
      </c>
      <c r="Y121" s="50">
        <f t="shared" si="1"/>
        <v>648652</v>
      </c>
    </row>
    <row r="122" spans="1:25" s="39" customFormat="1" x14ac:dyDescent="0.35">
      <c r="A122" s="37" t="s">
        <v>1784</v>
      </c>
      <c r="B122" s="37" t="s">
        <v>1969</v>
      </c>
      <c r="C122" s="91">
        <v>8470425</v>
      </c>
      <c r="D122" s="37" t="s">
        <v>1943</v>
      </c>
      <c r="E122" s="91">
        <v>492316</v>
      </c>
      <c r="F122" s="37" t="s">
        <v>221</v>
      </c>
      <c r="G122" s="90">
        <v>847001</v>
      </c>
      <c r="H122" s="37" t="s">
        <v>50</v>
      </c>
      <c r="I122" s="90">
        <v>300180</v>
      </c>
      <c r="J122" s="37" t="s">
        <v>192</v>
      </c>
      <c r="K122" s="265">
        <v>0</v>
      </c>
      <c r="L122" s="265">
        <v>0</v>
      </c>
      <c r="M122" s="265">
        <v>1788236</v>
      </c>
      <c r="N122" s="265">
        <v>1551340</v>
      </c>
      <c r="O122" s="265">
        <v>1551340</v>
      </c>
      <c r="P122" s="265">
        <v>242437.3</v>
      </c>
      <c r="Q122" s="265">
        <v>1119881.73</v>
      </c>
      <c r="R122" s="265">
        <v>166330.07999999999</v>
      </c>
      <c r="S122" s="265">
        <v>2235000</v>
      </c>
      <c r="T122" s="265">
        <v>1350000</v>
      </c>
      <c r="U122" s="265">
        <v>1200000</v>
      </c>
      <c r="V122" s="265">
        <v>1050000</v>
      </c>
      <c r="W122" s="265">
        <v>3370000</v>
      </c>
      <c r="X122" s="265">
        <v>3000000</v>
      </c>
      <c r="Y122" s="50">
        <f t="shared" si="1"/>
        <v>683660</v>
      </c>
    </row>
    <row r="123" spans="1:25" s="39" customFormat="1" x14ac:dyDescent="0.35">
      <c r="A123" s="37" t="s">
        <v>1784</v>
      </c>
      <c r="B123" s="37" t="s">
        <v>1975</v>
      </c>
      <c r="C123" s="91">
        <v>8470430</v>
      </c>
      <c r="D123" s="37" t="s">
        <v>1974</v>
      </c>
      <c r="E123" s="91">
        <v>425761</v>
      </c>
      <c r="F123" s="37" t="s">
        <v>1383</v>
      </c>
      <c r="G123" s="90">
        <v>847001</v>
      </c>
      <c r="H123" s="37" t="s">
        <v>50</v>
      </c>
      <c r="I123" s="90">
        <v>200179</v>
      </c>
      <c r="J123" s="37" t="s">
        <v>61</v>
      </c>
      <c r="K123" s="265">
        <v>0</v>
      </c>
      <c r="L123" s="265">
        <v>0</v>
      </c>
      <c r="M123" s="265">
        <v>0</v>
      </c>
      <c r="N123" s="265">
        <v>8500</v>
      </c>
      <c r="O123" s="265">
        <v>8500</v>
      </c>
      <c r="P123" s="265">
        <v>0</v>
      </c>
      <c r="Q123" s="265">
        <v>0</v>
      </c>
      <c r="R123" s="265">
        <v>0</v>
      </c>
      <c r="S123" s="265">
        <v>8500</v>
      </c>
      <c r="T123" s="265">
        <v>7650</v>
      </c>
      <c r="U123" s="265">
        <v>6800</v>
      </c>
      <c r="V123" s="265">
        <v>5950</v>
      </c>
      <c r="W123" s="265">
        <v>8500</v>
      </c>
      <c r="X123" s="265">
        <v>8500</v>
      </c>
      <c r="Y123" s="50">
        <f t="shared" si="1"/>
        <v>0</v>
      </c>
    </row>
    <row r="124" spans="1:25" s="39" customFormat="1" x14ac:dyDescent="0.35">
      <c r="A124" s="37" t="s">
        <v>1784</v>
      </c>
      <c r="B124" s="37" t="s">
        <v>1978</v>
      </c>
      <c r="C124" s="91">
        <v>8470430</v>
      </c>
      <c r="D124" s="37" t="s">
        <v>1974</v>
      </c>
      <c r="E124" s="91">
        <v>425770</v>
      </c>
      <c r="F124" s="37" t="s">
        <v>367</v>
      </c>
      <c r="G124" s="90">
        <v>847001</v>
      </c>
      <c r="H124" s="37" t="s">
        <v>50</v>
      </c>
      <c r="I124" s="90">
        <v>200179</v>
      </c>
      <c r="J124" s="37" t="s">
        <v>61</v>
      </c>
      <c r="K124" s="265">
        <v>157754</v>
      </c>
      <c r="L124" s="265">
        <v>23515</v>
      </c>
      <c r="M124" s="265">
        <v>-3393</v>
      </c>
      <c r="N124" s="265">
        <v>373425</v>
      </c>
      <c r="O124" s="265">
        <v>373425</v>
      </c>
      <c r="P124" s="265">
        <v>5500</v>
      </c>
      <c r="Q124" s="265">
        <v>0</v>
      </c>
      <c r="R124" s="265">
        <v>0</v>
      </c>
      <c r="S124" s="265">
        <v>373425</v>
      </c>
      <c r="T124" s="265">
        <v>336083</v>
      </c>
      <c r="U124" s="265">
        <v>298740</v>
      </c>
      <c r="V124" s="265">
        <v>261398</v>
      </c>
      <c r="W124" s="265">
        <v>373425</v>
      </c>
      <c r="X124" s="265">
        <v>373425</v>
      </c>
      <c r="Y124" s="50">
        <f t="shared" si="1"/>
        <v>0</v>
      </c>
    </row>
    <row r="125" spans="1:25" s="39" customFormat="1" x14ac:dyDescent="0.35">
      <c r="A125" s="37" t="s">
        <v>1784</v>
      </c>
      <c r="B125" s="37" t="s">
        <v>1981</v>
      </c>
      <c r="C125" s="91">
        <v>8470430</v>
      </c>
      <c r="D125" s="37" t="s">
        <v>1974</v>
      </c>
      <c r="E125" s="91">
        <v>425900</v>
      </c>
      <c r="F125" s="37" t="s">
        <v>266</v>
      </c>
      <c r="G125" s="90">
        <v>847001</v>
      </c>
      <c r="H125" s="37" t="s">
        <v>50</v>
      </c>
      <c r="I125" s="90">
        <v>200179</v>
      </c>
      <c r="J125" s="37" t="s">
        <v>61</v>
      </c>
      <c r="K125" s="265">
        <v>13951</v>
      </c>
      <c r="L125" s="265">
        <v>6195</v>
      </c>
      <c r="M125" s="265">
        <v>0</v>
      </c>
      <c r="N125" s="265">
        <v>12000</v>
      </c>
      <c r="O125" s="265">
        <v>12000</v>
      </c>
      <c r="P125" s="265">
        <v>0</v>
      </c>
      <c r="Q125" s="265">
        <v>0</v>
      </c>
      <c r="R125" s="265">
        <v>0</v>
      </c>
      <c r="S125" s="265">
        <v>12000</v>
      </c>
      <c r="T125" s="265">
        <v>10800</v>
      </c>
      <c r="U125" s="265">
        <v>9600</v>
      </c>
      <c r="V125" s="265">
        <v>8400</v>
      </c>
      <c r="W125" s="265">
        <v>12000</v>
      </c>
      <c r="X125" s="265">
        <v>12000</v>
      </c>
      <c r="Y125" s="50">
        <f t="shared" si="1"/>
        <v>0</v>
      </c>
    </row>
    <row r="126" spans="1:25" s="39" customFormat="1" x14ac:dyDescent="0.35">
      <c r="A126" s="37" t="s">
        <v>1784</v>
      </c>
      <c r="B126" s="37" t="s">
        <v>1984</v>
      </c>
      <c r="C126" s="91">
        <v>8470430</v>
      </c>
      <c r="D126" s="37" t="s">
        <v>1974</v>
      </c>
      <c r="E126" s="91">
        <v>426610</v>
      </c>
      <c r="F126" s="37" t="s">
        <v>694</v>
      </c>
      <c r="G126" s="90">
        <v>847001</v>
      </c>
      <c r="H126" s="37" t="s">
        <v>50</v>
      </c>
      <c r="I126" s="90">
        <v>200179</v>
      </c>
      <c r="J126" s="37" t="s">
        <v>61</v>
      </c>
      <c r="K126" s="265">
        <v>35196</v>
      </c>
      <c r="L126" s="265">
        <v>7461</v>
      </c>
      <c r="M126" s="265">
        <v>21822</v>
      </c>
      <c r="N126" s="265">
        <v>26152</v>
      </c>
      <c r="O126" s="265">
        <v>26152</v>
      </c>
      <c r="P126" s="265">
        <v>7462.28</v>
      </c>
      <c r="Q126" s="265">
        <v>0</v>
      </c>
      <c r="R126" s="265">
        <v>15518.43</v>
      </c>
      <c r="S126" s="265">
        <v>26152</v>
      </c>
      <c r="T126" s="265">
        <v>23537</v>
      </c>
      <c r="U126" s="265">
        <v>20922</v>
      </c>
      <c r="V126" s="265">
        <v>18306</v>
      </c>
      <c r="W126" s="265">
        <v>26152</v>
      </c>
      <c r="X126" s="265">
        <v>26152</v>
      </c>
      <c r="Y126" s="50">
        <f t="shared" si="1"/>
        <v>0</v>
      </c>
    </row>
    <row r="127" spans="1:25" s="39" customFormat="1" x14ac:dyDescent="0.35">
      <c r="A127" s="37" t="s">
        <v>1784</v>
      </c>
      <c r="B127" s="37" t="s">
        <v>1987</v>
      </c>
      <c r="C127" s="91">
        <v>8470430</v>
      </c>
      <c r="D127" s="37" t="s">
        <v>1974</v>
      </c>
      <c r="E127" s="91">
        <v>432209</v>
      </c>
      <c r="F127" s="37" t="s">
        <v>393</v>
      </c>
      <c r="G127" s="90">
        <v>847001</v>
      </c>
      <c r="H127" s="37" t="s">
        <v>50</v>
      </c>
      <c r="I127" s="90">
        <v>200179</v>
      </c>
      <c r="J127" s="37" t="s">
        <v>61</v>
      </c>
      <c r="K127" s="265">
        <v>0</v>
      </c>
      <c r="L127" s="265">
        <v>0</v>
      </c>
      <c r="M127" s="265">
        <v>0</v>
      </c>
      <c r="N127" s="265">
        <v>1575</v>
      </c>
      <c r="O127" s="265">
        <v>1575</v>
      </c>
      <c r="P127" s="265">
        <v>1500</v>
      </c>
      <c r="Q127" s="265">
        <v>0</v>
      </c>
      <c r="R127" s="265">
        <v>0</v>
      </c>
      <c r="S127" s="265">
        <v>1575</v>
      </c>
      <c r="T127" s="265">
        <v>1418</v>
      </c>
      <c r="U127" s="265">
        <v>1260</v>
      </c>
      <c r="V127" s="265">
        <v>1103</v>
      </c>
      <c r="W127" s="265">
        <v>1575</v>
      </c>
      <c r="X127" s="265">
        <v>1575</v>
      </c>
      <c r="Y127" s="50">
        <f t="shared" si="1"/>
        <v>0</v>
      </c>
    </row>
    <row r="128" spans="1:25" s="39" customFormat="1" x14ac:dyDescent="0.35">
      <c r="A128" s="37" t="s">
        <v>1784</v>
      </c>
      <c r="B128" s="37" t="s">
        <v>1990</v>
      </c>
      <c r="C128" s="91">
        <v>8470430</v>
      </c>
      <c r="D128" s="37" t="s">
        <v>1974</v>
      </c>
      <c r="E128" s="91">
        <v>435508</v>
      </c>
      <c r="F128" s="37" t="s">
        <v>405</v>
      </c>
      <c r="G128" s="90">
        <v>847001</v>
      </c>
      <c r="H128" s="37" t="s">
        <v>50</v>
      </c>
      <c r="I128" s="90">
        <v>200179</v>
      </c>
      <c r="J128" s="37" t="s">
        <v>61</v>
      </c>
      <c r="K128" s="265">
        <v>40358</v>
      </c>
      <c r="L128" s="265">
        <v>-1184</v>
      </c>
      <c r="M128" s="265">
        <v>0</v>
      </c>
      <c r="N128" s="265">
        <v>84600</v>
      </c>
      <c r="O128" s="265">
        <v>84600</v>
      </c>
      <c r="P128" s="265">
        <v>0</v>
      </c>
      <c r="Q128" s="265">
        <v>0</v>
      </c>
      <c r="R128" s="265">
        <v>0</v>
      </c>
      <c r="S128" s="265">
        <v>84600</v>
      </c>
      <c r="T128" s="265">
        <v>76140</v>
      </c>
      <c r="U128" s="265">
        <v>67680</v>
      </c>
      <c r="V128" s="265">
        <v>59220</v>
      </c>
      <c r="W128" s="265">
        <v>84600</v>
      </c>
      <c r="X128" s="265">
        <v>84600</v>
      </c>
      <c r="Y128" s="50">
        <f t="shared" si="1"/>
        <v>0</v>
      </c>
    </row>
    <row r="129" spans="1:25" s="39" customFormat="1" x14ac:dyDescent="0.35">
      <c r="A129" s="37" t="s">
        <v>1784</v>
      </c>
      <c r="B129" s="37" t="s">
        <v>1994</v>
      </c>
      <c r="C129" s="91">
        <v>8470435</v>
      </c>
      <c r="D129" s="37" t="s">
        <v>1993</v>
      </c>
      <c r="E129" s="91">
        <v>425900</v>
      </c>
      <c r="F129" s="37" t="s">
        <v>266</v>
      </c>
      <c r="G129" s="90">
        <v>847001</v>
      </c>
      <c r="H129" s="37" t="s">
        <v>50</v>
      </c>
      <c r="I129" s="90">
        <v>200179</v>
      </c>
      <c r="J129" s="37" t="s">
        <v>61</v>
      </c>
      <c r="K129" s="265">
        <v>0</v>
      </c>
      <c r="L129" s="265">
        <v>0</v>
      </c>
      <c r="M129" s="265">
        <v>0</v>
      </c>
      <c r="N129" s="265">
        <v>0</v>
      </c>
      <c r="O129" s="265">
        <v>0</v>
      </c>
      <c r="P129" s="265">
        <v>0</v>
      </c>
      <c r="Q129" s="265">
        <v>0</v>
      </c>
      <c r="R129" s="265">
        <v>0</v>
      </c>
      <c r="S129" s="265">
        <v>100000</v>
      </c>
      <c r="T129" s="265">
        <v>90000</v>
      </c>
      <c r="U129" s="265">
        <v>80000</v>
      </c>
      <c r="V129" s="265">
        <v>70000</v>
      </c>
      <c r="W129" s="265">
        <v>0</v>
      </c>
      <c r="X129" s="265">
        <v>0</v>
      </c>
      <c r="Y129" s="50">
        <f t="shared" si="1"/>
        <v>100000</v>
      </c>
    </row>
    <row r="130" spans="1:25" s="39" customFormat="1" x14ac:dyDescent="0.35">
      <c r="A130" s="37" t="s">
        <v>1784</v>
      </c>
      <c r="B130" s="37" t="s">
        <v>1995</v>
      </c>
      <c r="C130" s="91">
        <v>8470435</v>
      </c>
      <c r="D130" s="37" t="s">
        <v>1993</v>
      </c>
      <c r="E130" s="91">
        <v>427710</v>
      </c>
      <c r="F130" s="37" t="s">
        <v>1090</v>
      </c>
      <c r="G130" s="90">
        <v>847001</v>
      </c>
      <c r="H130" s="37" t="s">
        <v>50</v>
      </c>
      <c r="I130" s="90">
        <v>200179</v>
      </c>
      <c r="J130" s="37" t="s">
        <v>61</v>
      </c>
      <c r="K130" s="265">
        <v>0</v>
      </c>
      <c r="L130" s="265">
        <v>0</v>
      </c>
      <c r="M130" s="265">
        <v>0</v>
      </c>
      <c r="N130" s="265">
        <v>0</v>
      </c>
      <c r="O130" s="265">
        <v>0</v>
      </c>
      <c r="P130" s="265">
        <v>0</v>
      </c>
      <c r="Q130" s="265">
        <v>0</v>
      </c>
      <c r="R130" s="265">
        <v>0</v>
      </c>
      <c r="S130" s="265">
        <v>30000</v>
      </c>
      <c r="T130" s="265">
        <v>27000</v>
      </c>
      <c r="U130" s="265">
        <v>24000</v>
      </c>
      <c r="V130" s="265">
        <v>21000</v>
      </c>
      <c r="W130" s="265">
        <v>0</v>
      </c>
      <c r="X130" s="265">
        <v>0</v>
      </c>
      <c r="Y130" s="50">
        <f t="shared" si="1"/>
        <v>30000</v>
      </c>
    </row>
    <row r="131" spans="1:25" s="39" customFormat="1" x14ac:dyDescent="0.35">
      <c r="A131" s="37" t="s">
        <v>1784</v>
      </c>
      <c r="B131" s="37" t="s">
        <v>2000</v>
      </c>
      <c r="C131" s="91">
        <v>8470435</v>
      </c>
      <c r="D131" s="37" t="s">
        <v>1993</v>
      </c>
      <c r="E131" s="91">
        <v>435508</v>
      </c>
      <c r="F131" s="37" t="s">
        <v>405</v>
      </c>
      <c r="G131" s="90">
        <v>847001</v>
      </c>
      <c r="H131" s="37" t="s">
        <v>50</v>
      </c>
      <c r="I131" s="90">
        <v>200179</v>
      </c>
      <c r="J131" s="37" t="s">
        <v>61</v>
      </c>
      <c r="K131" s="265">
        <v>0</v>
      </c>
      <c r="L131" s="265">
        <v>0</v>
      </c>
      <c r="M131" s="265">
        <v>0</v>
      </c>
      <c r="N131" s="265">
        <v>0</v>
      </c>
      <c r="O131" s="265">
        <v>0</v>
      </c>
      <c r="P131" s="265">
        <v>0</v>
      </c>
      <c r="Q131" s="265">
        <v>0</v>
      </c>
      <c r="R131" s="265">
        <v>0</v>
      </c>
      <c r="S131" s="265">
        <v>30000</v>
      </c>
      <c r="T131" s="265">
        <v>27000</v>
      </c>
      <c r="U131" s="265">
        <v>24000</v>
      </c>
      <c r="V131" s="265">
        <v>21000</v>
      </c>
      <c r="W131" s="265">
        <v>0</v>
      </c>
      <c r="X131" s="265">
        <v>0</v>
      </c>
      <c r="Y131" s="50">
        <f t="shared" ref="Y131:Y194" si="2">S131-N131</f>
        <v>30000</v>
      </c>
    </row>
    <row r="132" spans="1:25" s="39" customFormat="1" x14ac:dyDescent="0.35">
      <c r="A132" s="37" t="s">
        <v>1784</v>
      </c>
      <c r="B132" s="37" t="s">
        <v>1998</v>
      </c>
      <c r="C132" s="91">
        <v>8470435</v>
      </c>
      <c r="D132" s="37" t="s">
        <v>1993</v>
      </c>
      <c r="E132" s="91">
        <v>436600</v>
      </c>
      <c r="F132" s="37" t="s">
        <v>416</v>
      </c>
      <c r="G132" s="90">
        <v>847001</v>
      </c>
      <c r="H132" s="37" t="s">
        <v>50</v>
      </c>
      <c r="I132" s="90">
        <v>200179</v>
      </c>
      <c r="J132" s="37" t="s">
        <v>61</v>
      </c>
      <c r="K132" s="265">
        <v>0</v>
      </c>
      <c r="L132" s="265">
        <v>0</v>
      </c>
      <c r="M132" s="265">
        <v>0</v>
      </c>
      <c r="N132" s="265">
        <v>30000</v>
      </c>
      <c r="O132" s="265">
        <v>30000</v>
      </c>
      <c r="P132" s="265">
        <v>0</v>
      </c>
      <c r="Q132" s="265">
        <v>0</v>
      </c>
      <c r="R132" s="265">
        <v>0</v>
      </c>
      <c r="S132" s="265">
        <v>35000</v>
      </c>
      <c r="T132" s="265">
        <v>31500</v>
      </c>
      <c r="U132" s="265">
        <v>28000</v>
      </c>
      <c r="V132" s="265">
        <v>24500</v>
      </c>
      <c r="W132" s="265">
        <v>0</v>
      </c>
      <c r="X132" s="265">
        <v>0</v>
      </c>
      <c r="Y132" s="50">
        <f t="shared" si="2"/>
        <v>5000</v>
      </c>
    </row>
    <row r="133" spans="1:25" s="39" customFormat="1" x14ac:dyDescent="0.35">
      <c r="A133" s="37" t="s">
        <v>1784</v>
      </c>
      <c r="B133" s="37" t="s">
        <v>2002</v>
      </c>
      <c r="C133" s="91">
        <v>8470440</v>
      </c>
      <c r="D133" s="37" t="s">
        <v>2001</v>
      </c>
      <c r="E133" s="91">
        <v>420550</v>
      </c>
      <c r="F133" s="37" t="s">
        <v>225</v>
      </c>
      <c r="G133" s="90">
        <v>847001</v>
      </c>
      <c r="H133" s="37" t="s">
        <v>50</v>
      </c>
      <c r="I133" s="90">
        <v>200179</v>
      </c>
      <c r="J133" s="37" t="s">
        <v>61</v>
      </c>
      <c r="K133" s="265">
        <v>0</v>
      </c>
      <c r="L133" s="265">
        <v>0</v>
      </c>
      <c r="M133" s="265">
        <v>0</v>
      </c>
      <c r="N133" s="265">
        <v>560000</v>
      </c>
      <c r="O133" s="265">
        <v>560000</v>
      </c>
      <c r="P133" s="265">
        <v>0</v>
      </c>
      <c r="Q133" s="265">
        <v>0</v>
      </c>
      <c r="R133" s="265">
        <v>0</v>
      </c>
      <c r="S133" s="265">
        <v>560000</v>
      </c>
      <c r="T133" s="265">
        <v>504000</v>
      </c>
      <c r="U133" s="265">
        <v>448000</v>
      </c>
      <c r="V133" s="265">
        <v>392000</v>
      </c>
      <c r="W133" s="265">
        <v>560000</v>
      </c>
      <c r="X133" s="265">
        <v>560000</v>
      </c>
      <c r="Y133" s="50">
        <f t="shared" si="2"/>
        <v>0</v>
      </c>
    </row>
    <row r="134" spans="1:25" s="39" customFormat="1" x14ac:dyDescent="0.35">
      <c r="A134" s="37" t="s">
        <v>1784</v>
      </c>
      <c r="B134" s="37" t="s">
        <v>2006</v>
      </c>
      <c r="C134" s="91">
        <v>8470440</v>
      </c>
      <c r="D134" s="37" t="s">
        <v>2001</v>
      </c>
      <c r="E134" s="91">
        <v>420570</v>
      </c>
      <c r="F134" s="37" t="s">
        <v>231</v>
      </c>
      <c r="G134" s="90">
        <v>847001</v>
      </c>
      <c r="H134" s="37" t="s">
        <v>50</v>
      </c>
      <c r="I134" s="90">
        <v>200179</v>
      </c>
      <c r="J134" s="37" t="s">
        <v>61</v>
      </c>
      <c r="K134" s="265">
        <v>0</v>
      </c>
      <c r="L134" s="265">
        <v>0</v>
      </c>
      <c r="M134" s="265">
        <v>0</v>
      </c>
      <c r="N134" s="265">
        <v>150000</v>
      </c>
      <c r="O134" s="265">
        <v>150000</v>
      </c>
      <c r="P134" s="265">
        <v>0</v>
      </c>
      <c r="Q134" s="265">
        <v>0</v>
      </c>
      <c r="R134" s="265">
        <v>0</v>
      </c>
      <c r="S134" s="265">
        <v>150000</v>
      </c>
      <c r="T134" s="265">
        <v>135000</v>
      </c>
      <c r="U134" s="265">
        <v>120000</v>
      </c>
      <c r="V134" s="265">
        <v>105000</v>
      </c>
      <c r="W134" s="265">
        <v>150000</v>
      </c>
      <c r="X134" s="265">
        <v>150000</v>
      </c>
      <c r="Y134" s="50">
        <f t="shared" si="2"/>
        <v>0</v>
      </c>
    </row>
    <row r="135" spans="1:25" s="39" customFormat="1" x14ac:dyDescent="0.35">
      <c r="A135" s="37" t="s">
        <v>1784</v>
      </c>
      <c r="B135" s="37" t="s">
        <v>2009</v>
      </c>
      <c r="C135" s="91">
        <v>8470440</v>
      </c>
      <c r="D135" s="37" t="s">
        <v>2001</v>
      </c>
      <c r="E135" s="91">
        <v>421700</v>
      </c>
      <c r="F135" s="37" t="s">
        <v>2438</v>
      </c>
      <c r="G135" s="90">
        <v>847001</v>
      </c>
      <c r="H135" s="37" t="s">
        <v>50</v>
      </c>
      <c r="I135" s="90">
        <v>200179</v>
      </c>
      <c r="J135" s="37" t="s">
        <v>61</v>
      </c>
      <c r="K135" s="265">
        <v>0</v>
      </c>
      <c r="L135" s="265">
        <v>0</v>
      </c>
      <c r="M135" s="265">
        <v>0</v>
      </c>
      <c r="N135" s="265">
        <v>280000</v>
      </c>
      <c r="O135" s="265">
        <v>280000</v>
      </c>
      <c r="P135" s="265">
        <v>0</v>
      </c>
      <c r="Q135" s="265">
        <v>0</v>
      </c>
      <c r="R135" s="265">
        <v>0</v>
      </c>
      <c r="S135" s="38">
        <v>280000</v>
      </c>
      <c r="T135" s="265">
        <v>252000</v>
      </c>
      <c r="U135" s="265">
        <v>224000</v>
      </c>
      <c r="V135" s="265">
        <v>196000</v>
      </c>
      <c r="W135" s="265">
        <v>280000</v>
      </c>
      <c r="X135" s="265">
        <v>280000</v>
      </c>
      <c r="Y135" s="50">
        <f t="shared" si="2"/>
        <v>0</v>
      </c>
    </row>
    <row r="136" spans="1:25" s="39" customFormat="1" x14ac:dyDescent="0.35">
      <c r="A136" s="37" t="s">
        <v>1784</v>
      </c>
      <c r="B136" s="37" t="s">
        <v>2013</v>
      </c>
      <c r="C136" s="91">
        <v>8470440</v>
      </c>
      <c r="D136" s="37" t="s">
        <v>2001</v>
      </c>
      <c r="E136" s="91">
        <v>425100</v>
      </c>
      <c r="F136" s="37" t="s">
        <v>1184</v>
      </c>
      <c r="G136" s="90">
        <v>847001</v>
      </c>
      <c r="H136" s="37" t="s">
        <v>50</v>
      </c>
      <c r="I136" s="90">
        <v>200179</v>
      </c>
      <c r="J136" s="37" t="s">
        <v>61</v>
      </c>
      <c r="K136" s="265">
        <v>0</v>
      </c>
      <c r="L136" s="265">
        <v>0</v>
      </c>
      <c r="M136" s="265">
        <v>0</v>
      </c>
      <c r="N136" s="265">
        <v>10000</v>
      </c>
      <c r="O136" s="265">
        <v>10000</v>
      </c>
      <c r="P136" s="265">
        <v>0</v>
      </c>
      <c r="Q136" s="265">
        <v>0</v>
      </c>
      <c r="R136" s="265">
        <v>0</v>
      </c>
      <c r="S136" s="265">
        <v>10000</v>
      </c>
      <c r="T136" s="265">
        <v>9000</v>
      </c>
      <c r="U136" s="265">
        <v>8000</v>
      </c>
      <c r="V136" s="265">
        <v>7000</v>
      </c>
      <c r="W136" s="265">
        <v>10000</v>
      </c>
      <c r="X136" s="265">
        <v>10000</v>
      </c>
      <c r="Y136" s="50">
        <f t="shared" si="2"/>
        <v>0</v>
      </c>
    </row>
    <row r="137" spans="1:25" s="39" customFormat="1" x14ac:dyDescent="0.35">
      <c r="A137" s="37" t="s">
        <v>1784</v>
      </c>
      <c r="B137" s="37" t="s">
        <v>2017</v>
      </c>
      <c r="C137" s="91">
        <v>8470440</v>
      </c>
      <c r="D137" s="37" t="s">
        <v>2001</v>
      </c>
      <c r="E137" s="91">
        <v>425510</v>
      </c>
      <c r="F137" s="37" t="s">
        <v>247</v>
      </c>
      <c r="G137" s="90">
        <v>847001</v>
      </c>
      <c r="H137" s="37" t="s">
        <v>50</v>
      </c>
      <c r="I137" s="90">
        <v>200179</v>
      </c>
      <c r="J137" s="37" t="s">
        <v>61</v>
      </c>
      <c r="K137" s="265">
        <v>0</v>
      </c>
      <c r="L137" s="265">
        <v>0</v>
      </c>
      <c r="M137" s="265">
        <v>0</v>
      </c>
      <c r="N137" s="38">
        <v>225000</v>
      </c>
      <c r="O137" s="265">
        <v>225000</v>
      </c>
      <c r="P137" s="265">
        <v>0</v>
      </c>
      <c r="Q137" s="265">
        <v>0</v>
      </c>
      <c r="R137" s="265">
        <v>0</v>
      </c>
      <c r="S137" s="38">
        <v>225000</v>
      </c>
      <c r="T137" s="265">
        <v>202500</v>
      </c>
      <c r="U137" s="265">
        <v>180000</v>
      </c>
      <c r="V137" s="265">
        <v>157500</v>
      </c>
      <c r="W137" s="265">
        <v>225000</v>
      </c>
      <c r="X137" s="265">
        <v>225000</v>
      </c>
      <c r="Y137" s="38">
        <f t="shared" si="2"/>
        <v>0</v>
      </c>
    </row>
    <row r="138" spans="1:25" s="39" customFormat="1" x14ac:dyDescent="0.35">
      <c r="A138" s="37" t="s">
        <v>1784</v>
      </c>
      <c r="B138" s="37" t="s">
        <v>2021</v>
      </c>
      <c r="C138" s="91">
        <v>8470440</v>
      </c>
      <c r="D138" s="37" t="s">
        <v>2001</v>
      </c>
      <c r="E138" s="91">
        <v>425550</v>
      </c>
      <c r="F138" s="37" t="s">
        <v>253</v>
      </c>
      <c r="G138" s="90">
        <v>847001</v>
      </c>
      <c r="H138" s="37" t="s">
        <v>50</v>
      </c>
      <c r="I138" s="90">
        <v>200179</v>
      </c>
      <c r="J138" s="37" t="s">
        <v>61</v>
      </c>
      <c r="K138" s="265">
        <v>0</v>
      </c>
      <c r="L138" s="265">
        <v>0</v>
      </c>
      <c r="M138" s="265">
        <v>0</v>
      </c>
      <c r="N138" s="38">
        <v>225000</v>
      </c>
      <c r="O138" s="265">
        <v>225000</v>
      </c>
      <c r="P138" s="265">
        <v>0</v>
      </c>
      <c r="Q138" s="265">
        <v>0</v>
      </c>
      <c r="R138" s="265">
        <v>0</v>
      </c>
      <c r="S138" s="38">
        <v>225000</v>
      </c>
      <c r="T138" s="265">
        <v>202500</v>
      </c>
      <c r="U138" s="265">
        <v>180000</v>
      </c>
      <c r="V138" s="265">
        <v>157500</v>
      </c>
      <c r="W138" s="265">
        <v>225000</v>
      </c>
      <c r="X138" s="265">
        <v>225000</v>
      </c>
      <c r="Y138" s="38">
        <f t="shared" si="2"/>
        <v>0</v>
      </c>
    </row>
    <row r="139" spans="1:25" s="39" customFormat="1" x14ac:dyDescent="0.35">
      <c r="A139" s="37" t="s">
        <v>1784</v>
      </c>
      <c r="B139" s="37" t="s">
        <v>2025</v>
      </c>
      <c r="C139" s="91">
        <v>8470440</v>
      </c>
      <c r="D139" s="37" t="s">
        <v>2001</v>
      </c>
      <c r="E139" s="91">
        <v>425761</v>
      </c>
      <c r="F139" s="37" t="s">
        <v>1383</v>
      </c>
      <c r="G139" s="90">
        <v>847001</v>
      </c>
      <c r="H139" s="37" t="s">
        <v>50</v>
      </c>
      <c r="I139" s="90">
        <v>200179</v>
      </c>
      <c r="J139" s="37" t="s">
        <v>61</v>
      </c>
      <c r="K139" s="265">
        <v>914</v>
      </c>
      <c r="L139" s="265">
        <v>4400</v>
      </c>
      <c r="M139" s="265">
        <v>0</v>
      </c>
      <c r="N139" s="265">
        <v>750000</v>
      </c>
      <c r="O139" s="265">
        <v>750000</v>
      </c>
      <c r="P139" s="265">
        <v>0</v>
      </c>
      <c r="Q139" s="265">
        <v>0</v>
      </c>
      <c r="R139" s="265">
        <v>0</v>
      </c>
      <c r="S139" s="265">
        <v>750000</v>
      </c>
      <c r="T139" s="265">
        <v>675000</v>
      </c>
      <c r="U139" s="265">
        <v>600000</v>
      </c>
      <c r="V139" s="265">
        <v>525000</v>
      </c>
      <c r="W139" s="265">
        <v>750000</v>
      </c>
      <c r="X139" s="265">
        <v>750000</v>
      </c>
      <c r="Y139" s="50">
        <f t="shared" si="2"/>
        <v>0</v>
      </c>
    </row>
    <row r="140" spans="1:25" s="39" customFormat="1" x14ac:dyDescent="0.35">
      <c r="A140" s="37" t="s">
        <v>1784</v>
      </c>
      <c r="B140" s="37" t="s">
        <v>2028</v>
      </c>
      <c r="C140" s="91">
        <v>8470440</v>
      </c>
      <c r="D140" s="37" t="s">
        <v>2001</v>
      </c>
      <c r="E140" s="91">
        <v>425770</v>
      </c>
      <c r="F140" s="37" t="s">
        <v>367</v>
      </c>
      <c r="G140" s="90">
        <v>847001</v>
      </c>
      <c r="H140" s="37" t="s">
        <v>50</v>
      </c>
      <c r="I140" s="90">
        <v>200179</v>
      </c>
      <c r="J140" s="37" t="s">
        <v>61</v>
      </c>
      <c r="K140" s="265">
        <v>137812</v>
      </c>
      <c r="L140" s="265">
        <v>173862</v>
      </c>
      <c r="M140" s="265">
        <v>16120</v>
      </c>
      <c r="N140" s="265">
        <v>300000</v>
      </c>
      <c r="O140" s="265">
        <v>300000</v>
      </c>
      <c r="P140" s="265">
        <v>35900.18</v>
      </c>
      <c r="Q140" s="265">
        <v>0</v>
      </c>
      <c r="R140" s="265">
        <v>0</v>
      </c>
      <c r="S140" s="265">
        <v>300000</v>
      </c>
      <c r="T140" s="265">
        <v>270000</v>
      </c>
      <c r="U140" s="265">
        <v>240000</v>
      </c>
      <c r="V140" s="265">
        <v>210000</v>
      </c>
      <c r="W140" s="265">
        <v>300000</v>
      </c>
      <c r="X140" s="265">
        <v>300000</v>
      </c>
      <c r="Y140" s="50">
        <f t="shared" si="2"/>
        <v>0</v>
      </c>
    </row>
    <row r="141" spans="1:25" s="39" customFormat="1" x14ac:dyDescent="0.35">
      <c r="A141" s="37" t="s">
        <v>1784</v>
      </c>
      <c r="B141" s="37" t="s">
        <v>2032</v>
      </c>
      <c r="C141" s="91">
        <v>8470440</v>
      </c>
      <c r="D141" s="37" t="s">
        <v>2001</v>
      </c>
      <c r="E141" s="91">
        <v>425900</v>
      </c>
      <c r="F141" s="37" t="s">
        <v>266</v>
      </c>
      <c r="G141" s="90">
        <v>847001</v>
      </c>
      <c r="H141" s="37" t="s">
        <v>50</v>
      </c>
      <c r="I141" s="90">
        <v>200179</v>
      </c>
      <c r="J141" s="37" t="s">
        <v>61</v>
      </c>
      <c r="K141" s="265">
        <v>0</v>
      </c>
      <c r="L141" s="265">
        <v>0</v>
      </c>
      <c r="M141" s="265">
        <v>0</v>
      </c>
      <c r="N141" s="265">
        <v>24000</v>
      </c>
      <c r="O141" s="265">
        <v>24000</v>
      </c>
      <c r="P141" s="265">
        <v>0</v>
      </c>
      <c r="Q141" s="265">
        <v>0</v>
      </c>
      <c r="R141" s="265">
        <v>0</v>
      </c>
      <c r="S141" s="265">
        <v>24000</v>
      </c>
      <c r="T141" s="265">
        <v>21600</v>
      </c>
      <c r="U141" s="265">
        <v>19200</v>
      </c>
      <c r="V141" s="265">
        <v>16800</v>
      </c>
      <c r="W141" s="265">
        <v>0</v>
      </c>
      <c r="X141" s="265">
        <v>0</v>
      </c>
      <c r="Y141" s="50">
        <f t="shared" si="2"/>
        <v>0</v>
      </c>
    </row>
    <row r="142" spans="1:25" s="39" customFormat="1" x14ac:dyDescent="0.35">
      <c r="A142" s="37" t="s">
        <v>1784</v>
      </c>
      <c r="B142" s="37" t="s">
        <v>2035</v>
      </c>
      <c r="C142" s="91">
        <v>8470440</v>
      </c>
      <c r="D142" s="37" t="s">
        <v>2001</v>
      </c>
      <c r="E142" s="91">
        <v>426610</v>
      </c>
      <c r="F142" s="37" t="s">
        <v>694</v>
      </c>
      <c r="G142" s="90">
        <v>847001</v>
      </c>
      <c r="H142" s="37" t="s">
        <v>50</v>
      </c>
      <c r="I142" s="90">
        <v>200179</v>
      </c>
      <c r="J142" s="37" t="s">
        <v>61</v>
      </c>
      <c r="K142" s="265">
        <v>2165</v>
      </c>
      <c r="L142" s="265">
        <v>0</v>
      </c>
      <c r="M142" s="265">
        <v>6399</v>
      </c>
      <c r="N142" s="265">
        <v>120000</v>
      </c>
      <c r="O142" s="265">
        <v>120000</v>
      </c>
      <c r="P142" s="265">
        <v>0</v>
      </c>
      <c r="Q142" s="265">
        <v>6398.78</v>
      </c>
      <c r="R142" s="265">
        <v>0</v>
      </c>
      <c r="S142" s="265">
        <v>120000</v>
      </c>
      <c r="T142" s="265">
        <v>108000</v>
      </c>
      <c r="U142" s="265">
        <v>96000</v>
      </c>
      <c r="V142" s="265">
        <v>84000</v>
      </c>
      <c r="W142" s="265">
        <v>120000</v>
      </c>
      <c r="X142" s="265">
        <v>120000</v>
      </c>
      <c r="Y142" s="50">
        <f t="shared" si="2"/>
        <v>0</v>
      </c>
    </row>
    <row r="143" spans="1:25" s="39" customFormat="1" x14ac:dyDescent="0.35">
      <c r="A143" s="37" t="s">
        <v>1784</v>
      </c>
      <c r="B143" s="37" t="s">
        <v>2039</v>
      </c>
      <c r="C143" s="91">
        <v>8470440</v>
      </c>
      <c r="D143" s="37" t="s">
        <v>2001</v>
      </c>
      <c r="E143" s="91">
        <v>427710</v>
      </c>
      <c r="F143" s="37" t="s">
        <v>1090</v>
      </c>
      <c r="G143" s="90">
        <v>847001</v>
      </c>
      <c r="H143" s="37" t="s">
        <v>50</v>
      </c>
      <c r="I143" s="90">
        <v>200179</v>
      </c>
      <c r="J143" s="37" t="s">
        <v>61</v>
      </c>
      <c r="K143" s="265">
        <v>0</v>
      </c>
      <c r="L143" s="265">
        <v>0</v>
      </c>
      <c r="M143" s="265">
        <v>0</v>
      </c>
      <c r="N143" s="265">
        <v>15000</v>
      </c>
      <c r="O143" s="265">
        <v>15000</v>
      </c>
      <c r="P143" s="265">
        <v>0</v>
      </c>
      <c r="Q143" s="265">
        <v>0</v>
      </c>
      <c r="R143" s="265">
        <v>0</v>
      </c>
      <c r="S143" s="265">
        <v>15000</v>
      </c>
      <c r="T143" s="265">
        <v>13500</v>
      </c>
      <c r="U143" s="265">
        <v>12000</v>
      </c>
      <c r="V143" s="265">
        <v>10500</v>
      </c>
      <c r="W143" s="265">
        <v>15000</v>
      </c>
      <c r="X143" s="265">
        <v>15000</v>
      </c>
      <c r="Y143" s="50">
        <f t="shared" si="2"/>
        <v>0</v>
      </c>
    </row>
    <row r="144" spans="1:25" s="39" customFormat="1" x14ac:dyDescent="0.35">
      <c r="A144" s="37" t="s">
        <v>1784</v>
      </c>
      <c r="B144" s="37" t="s">
        <v>2041</v>
      </c>
      <c r="C144" s="91">
        <v>8470440</v>
      </c>
      <c r="D144" s="37" t="s">
        <v>2001</v>
      </c>
      <c r="E144" s="91">
        <v>428090</v>
      </c>
      <c r="F144" s="37" t="s">
        <v>154</v>
      </c>
      <c r="G144" s="90">
        <v>847001</v>
      </c>
      <c r="H144" s="37" t="s">
        <v>50</v>
      </c>
      <c r="I144" s="90">
        <v>200179</v>
      </c>
      <c r="J144" s="37" t="s">
        <v>61</v>
      </c>
      <c r="K144" s="265">
        <v>118543</v>
      </c>
      <c r="L144" s="265">
        <v>0</v>
      </c>
      <c r="M144" s="265">
        <v>0</v>
      </c>
      <c r="N144" s="265">
        <v>225000</v>
      </c>
      <c r="O144" s="265">
        <v>225000</v>
      </c>
      <c r="P144" s="265">
        <v>0</v>
      </c>
      <c r="Q144" s="265">
        <v>0</v>
      </c>
      <c r="R144" s="265">
        <v>0</v>
      </c>
      <c r="S144" s="265">
        <v>225000</v>
      </c>
      <c r="T144" s="265">
        <v>202500</v>
      </c>
      <c r="U144" s="265">
        <v>180000</v>
      </c>
      <c r="V144" s="265">
        <v>157500</v>
      </c>
      <c r="W144" s="265">
        <v>225000</v>
      </c>
      <c r="X144" s="265">
        <v>225000</v>
      </c>
      <c r="Y144" s="50">
        <f t="shared" si="2"/>
        <v>0</v>
      </c>
    </row>
    <row r="145" spans="1:25" s="39" customFormat="1" x14ac:dyDescent="0.35">
      <c r="A145" s="37" t="s">
        <v>1784</v>
      </c>
      <c r="B145" s="37" t="s">
        <v>2045</v>
      </c>
      <c r="C145" s="91">
        <v>8470440</v>
      </c>
      <c r="D145" s="37" t="s">
        <v>2001</v>
      </c>
      <c r="E145" s="91">
        <v>428640</v>
      </c>
      <c r="F145" s="37" t="s">
        <v>279</v>
      </c>
      <c r="G145" s="90">
        <v>847001</v>
      </c>
      <c r="H145" s="37" t="s">
        <v>50</v>
      </c>
      <c r="I145" s="90">
        <v>200179</v>
      </c>
      <c r="J145" s="37" t="s">
        <v>61</v>
      </c>
      <c r="K145" s="265">
        <v>0</v>
      </c>
      <c r="L145" s="265">
        <v>0</v>
      </c>
      <c r="M145" s="265">
        <v>0</v>
      </c>
      <c r="N145" s="265">
        <v>100000</v>
      </c>
      <c r="O145" s="265">
        <v>100000</v>
      </c>
      <c r="P145" s="265">
        <v>0</v>
      </c>
      <c r="Q145" s="265">
        <v>0</v>
      </c>
      <c r="R145" s="265">
        <v>0</v>
      </c>
      <c r="S145" s="265">
        <v>100000</v>
      </c>
      <c r="T145" s="265">
        <v>90000</v>
      </c>
      <c r="U145" s="265">
        <v>80000</v>
      </c>
      <c r="V145" s="265">
        <v>70000</v>
      </c>
      <c r="W145" s="265">
        <v>100000</v>
      </c>
      <c r="X145" s="265">
        <v>100000</v>
      </c>
      <c r="Y145" s="50">
        <f t="shared" si="2"/>
        <v>0</v>
      </c>
    </row>
    <row r="146" spans="1:25" s="39" customFormat="1" x14ac:dyDescent="0.35">
      <c r="A146" s="37" t="s">
        <v>1784</v>
      </c>
      <c r="B146" s="37" t="s">
        <v>2049</v>
      </c>
      <c r="C146" s="91">
        <v>8470440</v>
      </c>
      <c r="D146" s="37" t="s">
        <v>2001</v>
      </c>
      <c r="E146" s="91">
        <v>435340</v>
      </c>
      <c r="F146" s="37" t="s">
        <v>655</v>
      </c>
      <c r="G146" s="90">
        <v>847001</v>
      </c>
      <c r="H146" s="37" t="s">
        <v>50</v>
      </c>
      <c r="I146" s="90">
        <v>200179</v>
      </c>
      <c r="J146" s="37" t="s">
        <v>61</v>
      </c>
      <c r="K146" s="265">
        <v>0</v>
      </c>
      <c r="L146" s="265">
        <v>0</v>
      </c>
      <c r="M146" s="265">
        <v>0</v>
      </c>
      <c r="N146" s="265">
        <v>120000</v>
      </c>
      <c r="O146" s="265">
        <v>120000</v>
      </c>
      <c r="P146" s="265">
        <v>0</v>
      </c>
      <c r="Q146" s="265">
        <v>0</v>
      </c>
      <c r="R146" s="265">
        <v>0</v>
      </c>
      <c r="S146" s="265">
        <v>120000</v>
      </c>
      <c r="T146" s="265">
        <v>108000</v>
      </c>
      <c r="U146" s="265">
        <v>96000</v>
      </c>
      <c r="V146" s="265">
        <v>84000</v>
      </c>
      <c r="W146" s="265">
        <v>120000</v>
      </c>
      <c r="X146" s="265">
        <v>120000</v>
      </c>
      <c r="Y146" s="50">
        <f t="shared" si="2"/>
        <v>0</v>
      </c>
    </row>
    <row r="147" spans="1:25" s="39" customFormat="1" x14ac:dyDescent="0.35">
      <c r="A147" s="37" t="s">
        <v>1784</v>
      </c>
      <c r="B147" s="37" t="s">
        <v>2052</v>
      </c>
      <c r="C147" s="91">
        <v>8470440</v>
      </c>
      <c r="D147" s="37" t="s">
        <v>2001</v>
      </c>
      <c r="E147" s="91">
        <v>435350</v>
      </c>
      <c r="F147" s="37" t="s">
        <v>399</v>
      </c>
      <c r="G147" s="90">
        <v>847001</v>
      </c>
      <c r="H147" s="37" t="s">
        <v>50</v>
      </c>
      <c r="I147" s="90">
        <v>200179</v>
      </c>
      <c r="J147" s="37" t="s">
        <v>61</v>
      </c>
      <c r="K147" s="265">
        <v>0</v>
      </c>
      <c r="L147" s="265">
        <v>0</v>
      </c>
      <c r="M147" s="265">
        <v>11001</v>
      </c>
      <c r="N147" s="265">
        <v>40000</v>
      </c>
      <c r="O147" s="265">
        <v>40000</v>
      </c>
      <c r="P147" s="265">
        <v>29889.1</v>
      </c>
      <c r="Q147" s="265">
        <v>0</v>
      </c>
      <c r="R147" s="265">
        <v>0</v>
      </c>
      <c r="S147" s="265">
        <v>40000</v>
      </c>
      <c r="T147" s="265">
        <v>36000</v>
      </c>
      <c r="U147" s="265">
        <v>32000</v>
      </c>
      <c r="V147" s="265">
        <v>28000</v>
      </c>
      <c r="W147" s="265">
        <v>40000</v>
      </c>
      <c r="X147" s="265">
        <v>40000</v>
      </c>
      <c r="Y147" s="50">
        <f t="shared" si="2"/>
        <v>0</v>
      </c>
    </row>
    <row r="148" spans="1:25" s="39" customFormat="1" x14ac:dyDescent="0.35">
      <c r="A148" s="37" t="s">
        <v>1784</v>
      </c>
      <c r="B148" s="37" t="s">
        <v>2054</v>
      </c>
      <c r="C148" s="91">
        <v>8470440</v>
      </c>
      <c r="D148" s="37" t="s">
        <v>2001</v>
      </c>
      <c r="E148" s="91">
        <v>436600</v>
      </c>
      <c r="F148" s="37" t="s">
        <v>416</v>
      </c>
      <c r="G148" s="90">
        <v>847001</v>
      </c>
      <c r="H148" s="37" t="s">
        <v>50</v>
      </c>
      <c r="I148" s="90">
        <v>200179</v>
      </c>
      <c r="J148" s="37" t="s">
        <v>61</v>
      </c>
      <c r="K148" s="265">
        <v>0</v>
      </c>
      <c r="L148" s="265">
        <v>227</v>
      </c>
      <c r="M148" s="265">
        <v>0</v>
      </c>
      <c r="N148" s="265">
        <v>22500</v>
      </c>
      <c r="O148" s="265">
        <v>22500</v>
      </c>
      <c r="P148" s="265">
        <v>4195</v>
      </c>
      <c r="Q148" s="265">
        <v>0</v>
      </c>
      <c r="R148" s="265">
        <v>0</v>
      </c>
      <c r="S148" s="265">
        <v>22500</v>
      </c>
      <c r="T148" s="265">
        <v>20250</v>
      </c>
      <c r="U148" s="265">
        <v>18000</v>
      </c>
      <c r="V148" s="265">
        <v>15750</v>
      </c>
      <c r="W148" s="265">
        <v>22500</v>
      </c>
      <c r="X148" s="265">
        <v>22500</v>
      </c>
      <c r="Y148" s="50">
        <f t="shared" si="2"/>
        <v>0</v>
      </c>
    </row>
    <row r="149" spans="1:25" s="39" customFormat="1" x14ac:dyDescent="0.35">
      <c r="A149" s="37" t="s">
        <v>1784</v>
      </c>
      <c r="B149" s="37" t="s">
        <v>2087</v>
      </c>
      <c r="C149" s="91">
        <v>8470445</v>
      </c>
      <c r="D149" s="37" t="s">
        <v>2056</v>
      </c>
      <c r="E149" s="91">
        <v>420550</v>
      </c>
      <c r="F149" s="37" t="s">
        <v>225</v>
      </c>
      <c r="G149" s="90">
        <v>847001</v>
      </c>
      <c r="H149" s="37" t="s">
        <v>50</v>
      </c>
      <c r="I149" s="90">
        <v>200179</v>
      </c>
      <c r="J149" s="37" t="s">
        <v>61</v>
      </c>
      <c r="K149" s="265">
        <v>0</v>
      </c>
      <c r="L149" s="265">
        <v>0</v>
      </c>
      <c r="M149" s="265">
        <v>0</v>
      </c>
      <c r="N149" s="265">
        <v>0</v>
      </c>
      <c r="O149" s="265">
        <v>0</v>
      </c>
      <c r="P149" s="265">
        <v>0</v>
      </c>
      <c r="Q149" s="265">
        <v>0</v>
      </c>
      <c r="R149" s="265">
        <v>0</v>
      </c>
      <c r="S149" s="265">
        <v>200000</v>
      </c>
      <c r="T149" s="265">
        <v>180000</v>
      </c>
      <c r="U149" s="265">
        <v>160000</v>
      </c>
      <c r="V149" s="265">
        <v>140000</v>
      </c>
      <c r="W149" s="265">
        <v>400000</v>
      </c>
      <c r="X149" s="265">
        <v>200000</v>
      </c>
      <c r="Y149" s="50">
        <f t="shared" si="2"/>
        <v>200000</v>
      </c>
    </row>
    <row r="150" spans="1:25" s="39" customFormat="1" x14ac:dyDescent="0.35">
      <c r="A150" s="37" t="s">
        <v>1784</v>
      </c>
      <c r="B150" s="37" t="s">
        <v>2057</v>
      </c>
      <c r="C150" s="91">
        <v>8470445</v>
      </c>
      <c r="D150" s="37" t="s">
        <v>2056</v>
      </c>
      <c r="E150" s="91">
        <v>425100</v>
      </c>
      <c r="F150" s="37" t="s">
        <v>1184</v>
      </c>
      <c r="G150" s="90">
        <v>847001</v>
      </c>
      <c r="H150" s="37" t="s">
        <v>50</v>
      </c>
      <c r="I150" s="90">
        <v>200179</v>
      </c>
      <c r="J150" s="37" t="s">
        <v>61</v>
      </c>
      <c r="K150" s="265">
        <v>0</v>
      </c>
      <c r="L150" s="265">
        <v>0</v>
      </c>
      <c r="M150" s="265">
        <v>0</v>
      </c>
      <c r="N150" s="265">
        <v>150000</v>
      </c>
      <c r="O150" s="265">
        <v>150000</v>
      </c>
      <c r="P150" s="265">
        <v>0</v>
      </c>
      <c r="Q150" s="265">
        <v>0</v>
      </c>
      <c r="R150" s="265">
        <v>0</v>
      </c>
      <c r="S150" s="265">
        <v>100000</v>
      </c>
      <c r="T150" s="265">
        <v>90000</v>
      </c>
      <c r="U150" s="265">
        <v>80000</v>
      </c>
      <c r="V150" s="265">
        <v>70000</v>
      </c>
      <c r="W150" s="265">
        <v>0</v>
      </c>
      <c r="X150" s="265">
        <v>100000</v>
      </c>
      <c r="Y150" s="50">
        <f t="shared" si="2"/>
        <v>-50000</v>
      </c>
    </row>
    <row r="151" spans="1:25" s="39" customFormat="1" x14ac:dyDescent="0.35">
      <c r="A151" s="37" t="s">
        <v>1784</v>
      </c>
      <c r="B151" s="37" t="s">
        <v>2090</v>
      </c>
      <c r="C151" s="91">
        <v>8470445</v>
      </c>
      <c r="D151" s="37" t="s">
        <v>2056</v>
      </c>
      <c r="E151" s="91">
        <v>425510</v>
      </c>
      <c r="F151" s="37" t="s">
        <v>247</v>
      </c>
      <c r="G151" s="90">
        <v>847001</v>
      </c>
      <c r="H151" s="37" t="s">
        <v>50</v>
      </c>
      <c r="I151" s="90">
        <v>200179</v>
      </c>
      <c r="J151" s="37" t="s">
        <v>61</v>
      </c>
      <c r="K151" s="265">
        <v>0</v>
      </c>
      <c r="L151" s="265">
        <v>0</v>
      </c>
      <c r="M151" s="265">
        <v>0</v>
      </c>
      <c r="N151" s="38">
        <v>0</v>
      </c>
      <c r="O151" s="265">
        <v>0</v>
      </c>
      <c r="P151" s="265">
        <v>0</v>
      </c>
      <c r="Q151" s="265">
        <v>0</v>
      </c>
      <c r="R151" s="265">
        <v>0</v>
      </c>
      <c r="S151" s="38">
        <v>300000</v>
      </c>
      <c r="T151" s="265">
        <v>270000</v>
      </c>
      <c r="U151" s="265">
        <v>240000</v>
      </c>
      <c r="V151" s="265">
        <v>210000</v>
      </c>
      <c r="W151" s="265">
        <v>450000</v>
      </c>
      <c r="X151" s="265">
        <v>0</v>
      </c>
      <c r="Y151" s="38">
        <f t="shared" si="2"/>
        <v>300000</v>
      </c>
    </row>
    <row r="152" spans="1:25" s="39" customFormat="1" x14ac:dyDescent="0.35">
      <c r="A152" s="37" t="s">
        <v>1784</v>
      </c>
      <c r="B152" s="37" t="s">
        <v>2062</v>
      </c>
      <c r="C152" s="91">
        <v>8470445</v>
      </c>
      <c r="D152" s="37" t="s">
        <v>2056</v>
      </c>
      <c r="E152" s="91">
        <v>425720</v>
      </c>
      <c r="F152" s="37" t="s">
        <v>620</v>
      </c>
      <c r="G152" s="90">
        <v>847001</v>
      </c>
      <c r="H152" s="37" t="s">
        <v>50</v>
      </c>
      <c r="I152" s="90">
        <v>200179</v>
      </c>
      <c r="J152" s="37" t="s">
        <v>61</v>
      </c>
      <c r="K152" s="265">
        <v>0</v>
      </c>
      <c r="L152" s="265">
        <v>0</v>
      </c>
      <c r="M152" s="265">
        <v>0</v>
      </c>
      <c r="N152" s="265">
        <v>19350</v>
      </c>
      <c r="O152" s="265">
        <v>19350</v>
      </c>
      <c r="P152" s="265">
        <v>825</v>
      </c>
      <c r="Q152" s="265">
        <v>0</v>
      </c>
      <c r="R152" s="265">
        <v>0</v>
      </c>
      <c r="S152" s="265">
        <v>36730</v>
      </c>
      <c r="T152" s="265">
        <v>33057</v>
      </c>
      <c r="U152" s="265">
        <v>29384</v>
      </c>
      <c r="V152" s="265">
        <v>25711</v>
      </c>
      <c r="W152" s="265">
        <v>0</v>
      </c>
      <c r="X152" s="265">
        <v>36730</v>
      </c>
      <c r="Y152" s="50">
        <f t="shared" si="2"/>
        <v>17380</v>
      </c>
    </row>
    <row r="153" spans="1:25" s="39" customFormat="1" x14ac:dyDescent="0.35">
      <c r="A153" s="37" t="s">
        <v>1784</v>
      </c>
      <c r="B153" s="37" t="s">
        <v>2065</v>
      </c>
      <c r="C153" s="91">
        <v>8470445</v>
      </c>
      <c r="D153" s="37" t="s">
        <v>2056</v>
      </c>
      <c r="E153" s="91">
        <v>425760</v>
      </c>
      <c r="F153" s="37" t="s">
        <v>352</v>
      </c>
      <c r="G153" s="90">
        <v>847001</v>
      </c>
      <c r="H153" s="37" t="s">
        <v>50</v>
      </c>
      <c r="I153" s="90">
        <v>200179</v>
      </c>
      <c r="J153" s="37" t="s">
        <v>61</v>
      </c>
      <c r="K153" s="265">
        <v>0</v>
      </c>
      <c r="L153" s="265">
        <v>0</v>
      </c>
      <c r="M153" s="265">
        <v>0</v>
      </c>
      <c r="N153" s="265">
        <v>35630</v>
      </c>
      <c r="O153" s="265">
        <v>35630</v>
      </c>
      <c r="P153" s="265">
        <v>0</v>
      </c>
      <c r="Q153" s="265">
        <v>0</v>
      </c>
      <c r="R153" s="265">
        <v>0</v>
      </c>
      <c r="S153" s="265">
        <v>106850</v>
      </c>
      <c r="T153" s="265">
        <v>96165</v>
      </c>
      <c r="U153" s="265">
        <v>85480</v>
      </c>
      <c r="V153" s="265">
        <v>74795</v>
      </c>
      <c r="W153" s="265">
        <v>0</v>
      </c>
      <c r="X153" s="265">
        <v>165000</v>
      </c>
      <c r="Y153" s="50">
        <f t="shared" si="2"/>
        <v>71220</v>
      </c>
    </row>
    <row r="154" spans="1:25" s="39" customFormat="1" x14ac:dyDescent="0.35">
      <c r="A154" s="37" t="s">
        <v>1784</v>
      </c>
      <c r="B154" s="37" t="s">
        <v>2068</v>
      </c>
      <c r="C154" s="91">
        <v>8470445</v>
      </c>
      <c r="D154" s="37" t="s">
        <v>2056</v>
      </c>
      <c r="E154" s="91">
        <v>425763</v>
      </c>
      <c r="F154" s="37" t="s">
        <v>359</v>
      </c>
      <c r="G154" s="90">
        <v>847001</v>
      </c>
      <c r="H154" s="37" t="s">
        <v>50</v>
      </c>
      <c r="I154" s="90">
        <v>200179</v>
      </c>
      <c r="J154" s="37" t="s">
        <v>61</v>
      </c>
      <c r="K154" s="265">
        <v>0</v>
      </c>
      <c r="L154" s="265">
        <v>0</v>
      </c>
      <c r="M154" s="265">
        <v>0</v>
      </c>
      <c r="N154" s="265">
        <v>7590</v>
      </c>
      <c r="O154" s="265">
        <v>7590</v>
      </c>
      <c r="P154" s="265">
        <v>0</v>
      </c>
      <c r="Q154" s="265">
        <v>0</v>
      </c>
      <c r="R154" s="265">
        <v>0</v>
      </c>
      <c r="S154" s="265">
        <v>10000</v>
      </c>
      <c r="T154" s="265">
        <v>9000</v>
      </c>
      <c r="U154" s="265">
        <v>8000</v>
      </c>
      <c r="V154" s="265">
        <v>7000</v>
      </c>
      <c r="W154" s="265">
        <v>0</v>
      </c>
      <c r="X154" s="265">
        <v>15000</v>
      </c>
      <c r="Y154" s="50">
        <f t="shared" si="2"/>
        <v>2410</v>
      </c>
    </row>
    <row r="155" spans="1:25" s="39" customFormat="1" x14ac:dyDescent="0.35">
      <c r="A155" s="37" t="s">
        <v>1784</v>
      </c>
      <c r="B155" s="37" t="s">
        <v>2070</v>
      </c>
      <c r="C155" s="91">
        <v>8470445</v>
      </c>
      <c r="D155" s="37" t="s">
        <v>2056</v>
      </c>
      <c r="E155" s="91">
        <v>425770</v>
      </c>
      <c r="F155" s="37" t="s">
        <v>367</v>
      </c>
      <c r="G155" s="90">
        <v>847001</v>
      </c>
      <c r="H155" s="37" t="s">
        <v>50</v>
      </c>
      <c r="I155" s="90">
        <v>200179</v>
      </c>
      <c r="J155" s="37" t="s">
        <v>61</v>
      </c>
      <c r="K155" s="265">
        <v>301152</v>
      </c>
      <c r="L155" s="265">
        <v>92814</v>
      </c>
      <c r="M155" s="265">
        <v>6600</v>
      </c>
      <c r="N155" s="265">
        <v>570000</v>
      </c>
      <c r="O155" s="265">
        <v>570000</v>
      </c>
      <c r="P155" s="265">
        <v>12955.67</v>
      </c>
      <c r="Q155" s="265">
        <v>0</v>
      </c>
      <c r="R155" s="265">
        <v>0</v>
      </c>
      <c r="S155" s="265">
        <v>600000</v>
      </c>
      <c r="T155" s="265">
        <v>540000</v>
      </c>
      <c r="U155" s="265">
        <v>480000</v>
      </c>
      <c r="V155" s="265">
        <v>420000</v>
      </c>
      <c r="W155" s="265">
        <v>0</v>
      </c>
      <c r="X155" s="265">
        <v>600000</v>
      </c>
      <c r="Y155" s="50">
        <f t="shared" si="2"/>
        <v>30000</v>
      </c>
    </row>
    <row r="156" spans="1:25" s="39" customFormat="1" x14ac:dyDescent="0.35">
      <c r="A156" s="37" t="s">
        <v>1784</v>
      </c>
      <c r="B156" s="37" t="s">
        <v>2084</v>
      </c>
      <c r="C156" s="91">
        <v>8470445</v>
      </c>
      <c r="D156" s="37" t="s">
        <v>2056</v>
      </c>
      <c r="E156" s="91">
        <v>425900</v>
      </c>
      <c r="F156" s="37" t="s">
        <v>266</v>
      </c>
      <c r="G156" s="90">
        <v>847001</v>
      </c>
      <c r="H156" s="37" t="s">
        <v>50</v>
      </c>
      <c r="I156" s="90">
        <v>200179</v>
      </c>
      <c r="J156" s="37" t="s">
        <v>61</v>
      </c>
      <c r="K156" s="265">
        <v>0</v>
      </c>
      <c r="L156" s="265">
        <v>0</v>
      </c>
      <c r="M156" s="265">
        <v>0</v>
      </c>
      <c r="N156" s="265">
        <v>0</v>
      </c>
      <c r="O156" s="265">
        <v>0</v>
      </c>
      <c r="P156" s="265">
        <v>0</v>
      </c>
      <c r="Q156" s="265">
        <v>0</v>
      </c>
      <c r="R156" s="265">
        <v>0</v>
      </c>
      <c r="S156" s="265">
        <v>120000</v>
      </c>
      <c r="T156" s="265">
        <v>108000</v>
      </c>
      <c r="U156" s="265">
        <v>96000</v>
      </c>
      <c r="V156" s="265">
        <v>84000</v>
      </c>
      <c r="W156" s="265">
        <v>120000</v>
      </c>
      <c r="X156" s="265">
        <v>120000</v>
      </c>
      <c r="Y156" s="50">
        <f t="shared" si="2"/>
        <v>120000</v>
      </c>
    </row>
    <row r="157" spans="1:25" s="39" customFormat="1" x14ac:dyDescent="0.35">
      <c r="A157" s="37" t="s">
        <v>1784</v>
      </c>
      <c r="B157" s="37" t="s">
        <v>2075</v>
      </c>
      <c r="C157" s="91">
        <v>8470445</v>
      </c>
      <c r="D157" s="37" t="s">
        <v>2056</v>
      </c>
      <c r="E157" s="91">
        <v>426610</v>
      </c>
      <c r="F157" s="37" t="s">
        <v>694</v>
      </c>
      <c r="G157" s="90">
        <v>847001</v>
      </c>
      <c r="H157" s="37" t="s">
        <v>50</v>
      </c>
      <c r="I157" s="90">
        <v>200179</v>
      </c>
      <c r="J157" s="37" t="s">
        <v>61</v>
      </c>
      <c r="K157" s="265">
        <v>0</v>
      </c>
      <c r="L157" s="265">
        <v>0</v>
      </c>
      <c r="M157" s="265">
        <v>53832</v>
      </c>
      <c r="N157" s="265">
        <v>37650</v>
      </c>
      <c r="O157" s="265">
        <v>37650</v>
      </c>
      <c r="P157" s="265">
        <v>12040.74</v>
      </c>
      <c r="Q157" s="265">
        <v>8983.82</v>
      </c>
      <c r="R157" s="265">
        <v>1774.06</v>
      </c>
      <c r="S157" s="265">
        <v>25000</v>
      </c>
      <c r="T157" s="265">
        <v>22500</v>
      </c>
      <c r="U157" s="265">
        <v>20000</v>
      </c>
      <c r="V157" s="265">
        <v>17500</v>
      </c>
      <c r="W157" s="265">
        <v>0</v>
      </c>
      <c r="X157" s="265">
        <v>25000</v>
      </c>
      <c r="Y157" s="50">
        <f t="shared" si="2"/>
        <v>-12650</v>
      </c>
    </row>
    <row r="158" spans="1:25" s="39" customFormat="1" x14ac:dyDescent="0.35">
      <c r="A158" s="37" t="s">
        <v>1784</v>
      </c>
      <c r="B158" s="37" t="s">
        <v>2081</v>
      </c>
      <c r="C158" s="91">
        <v>8470445</v>
      </c>
      <c r="D158" s="37" t="s">
        <v>2056</v>
      </c>
      <c r="E158" s="91">
        <v>427710</v>
      </c>
      <c r="F158" s="37" t="s">
        <v>1090</v>
      </c>
      <c r="G158" s="90">
        <v>847001</v>
      </c>
      <c r="H158" s="37" t="s">
        <v>50</v>
      </c>
      <c r="I158" s="90">
        <v>200179</v>
      </c>
      <c r="J158" s="37" t="s">
        <v>61</v>
      </c>
      <c r="K158" s="265">
        <v>0</v>
      </c>
      <c r="L158" s="265">
        <v>0</v>
      </c>
      <c r="M158" s="265">
        <v>0</v>
      </c>
      <c r="N158" s="265">
        <v>0</v>
      </c>
      <c r="O158" s="265">
        <v>0</v>
      </c>
      <c r="P158" s="265">
        <v>0</v>
      </c>
      <c r="Q158" s="265">
        <v>0</v>
      </c>
      <c r="R158" s="265">
        <v>0</v>
      </c>
      <c r="S158" s="265">
        <v>12576</v>
      </c>
      <c r="T158" s="265">
        <v>11318</v>
      </c>
      <c r="U158" s="265">
        <v>10061</v>
      </c>
      <c r="V158" s="265">
        <v>8803</v>
      </c>
      <c r="W158" s="265">
        <v>13138</v>
      </c>
      <c r="X158" s="265">
        <v>13700</v>
      </c>
      <c r="Y158" s="50">
        <f t="shared" si="2"/>
        <v>12576</v>
      </c>
    </row>
    <row r="159" spans="1:25" s="39" customFormat="1" x14ac:dyDescent="0.35">
      <c r="A159" s="37" t="s">
        <v>1784</v>
      </c>
      <c r="B159" s="37" t="s">
        <v>2078</v>
      </c>
      <c r="C159" s="91">
        <v>8470445</v>
      </c>
      <c r="D159" s="37" t="s">
        <v>2056</v>
      </c>
      <c r="E159" s="91">
        <v>435350</v>
      </c>
      <c r="F159" s="37" t="s">
        <v>399</v>
      </c>
      <c r="G159" s="90">
        <v>847001</v>
      </c>
      <c r="H159" s="37" t="s">
        <v>50</v>
      </c>
      <c r="I159" s="90">
        <v>200179</v>
      </c>
      <c r="J159" s="37" t="s">
        <v>61</v>
      </c>
      <c r="K159" s="265">
        <v>0</v>
      </c>
      <c r="L159" s="265">
        <v>0</v>
      </c>
      <c r="M159" s="265">
        <v>0</v>
      </c>
      <c r="N159" s="265">
        <v>600000</v>
      </c>
      <c r="O159" s="265">
        <v>600000</v>
      </c>
      <c r="P159" s="265">
        <v>28120.06</v>
      </c>
      <c r="Q159" s="265">
        <v>0</v>
      </c>
      <c r="R159" s="265">
        <v>0</v>
      </c>
      <c r="S159" s="265">
        <v>675000</v>
      </c>
      <c r="T159" s="265">
        <v>607500</v>
      </c>
      <c r="U159" s="265">
        <v>540000</v>
      </c>
      <c r="V159" s="265">
        <v>472500</v>
      </c>
      <c r="W159" s="265">
        <v>0</v>
      </c>
      <c r="X159" s="265">
        <v>880000</v>
      </c>
      <c r="Y159" s="50">
        <f t="shared" si="2"/>
        <v>75000</v>
      </c>
    </row>
    <row r="160" spans="1:25" s="39" customFormat="1" x14ac:dyDescent="0.35">
      <c r="A160" s="37" t="s">
        <v>1784</v>
      </c>
      <c r="B160" s="37" t="s">
        <v>2094</v>
      </c>
      <c r="C160" s="91">
        <v>8470445</v>
      </c>
      <c r="D160" s="37" t="s">
        <v>2056</v>
      </c>
      <c r="E160" s="91">
        <v>492354</v>
      </c>
      <c r="F160" s="37" t="s">
        <v>204</v>
      </c>
      <c r="G160" s="90">
        <v>847001</v>
      </c>
      <c r="H160" s="37" t="s">
        <v>50</v>
      </c>
      <c r="I160" s="90">
        <v>300180</v>
      </c>
      <c r="J160" s="37" t="s">
        <v>192</v>
      </c>
      <c r="K160" s="265">
        <v>0</v>
      </c>
      <c r="L160" s="265">
        <v>0</v>
      </c>
      <c r="M160" s="265">
        <v>0</v>
      </c>
      <c r="N160" s="265">
        <v>0</v>
      </c>
      <c r="O160" s="265">
        <v>0</v>
      </c>
      <c r="P160" s="265">
        <v>0</v>
      </c>
      <c r="Q160" s="265">
        <v>0</v>
      </c>
      <c r="R160" s="265">
        <v>0</v>
      </c>
      <c r="S160" s="265">
        <v>1140000</v>
      </c>
      <c r="T160" s="265">
        <v>810000</v>
      </c>
      <c r="U160" s="265">
        <v>720000</v>
      </c>
      <c r="V160" s="265">
        <v>630000</v>
      </c>
      <c r="W160" s="265">
        <v>600000</v>
      </c>
      <c r="X160" s="265">
        <v>0</v>
      </c>
      <c r="Y160" s="50">
        <f t="shared" si="2"/>
        <v>1140000</v>
      </c>
    </row>
    <row r="161" spans="1:26" s="39" customFormat="1" x14ac:dyDescent="0.35">
      <c r="A161" s="37" t="s">
        <v>1784</v>
      </c>
      <c r="B161" s="37" t="s">
        <v>2101</v>
      </c>
      <c r="C161" s="91">
        <v>8470450</v>
      </c>
      <c r="D161" s="37" t="s">
        <v>2100</v>
      </c>
      <c r="E161" s="91">
        <v>425761</v>
      </c>
      <c r="F161" s="37" t="s">
        <v>1383</v>
      </c>
      <c r="G161" s="90">
        <v>847001</v>
      </c>
      <c r="H161" s="37" t="s">
        <v>50</v>
      </c>
      <c r="I161" s="90">
        <v>200179</v>
      </c>
      <c r="J161" s="37" t="s">
        <v>61</v>
      </c>
      <c r="K161" s="265">
        <v>627375</v>
      </c>
      <c r="L161" s="265">
        <v>69322</v>
      </c>
      <c r="M161" s="265">
        <v>40740</v>
      </c>
      <c r="N161" s="265">
        <v>500000</v>
      </c>
      <c r="O161" s="265">
        <v>500000</v>
      </c>
      <c r="P161" s="265">
        <v>87286.74</v>
      </c>
      <c r="Q161" s="265">
        <v>0</v>
      </c>
      <c r="R161" s="265">
        <v>0</v>
      </c>
      <c r="S161" s="265">
        <v>500000</v>
      </c>
      <c r="T161" s="265">
        <v>450000</v>
      </c>
      <c r="U161" s="265">
        <v>400000</v>
      </c>
      <c r="V161" s="265">
        <v>350000</v>
      </c>
      <c r="W161" s="265">
        <v>0</v>
      </c>
      <c r="X161" s="265">
        <v>600000</v>
      </c>
      <c r="Y161" s="50">
        <f t="shared" si="2"/>
        <v>0</v>
      </c>
    </row>
    <row r="162" spans="1:26" s="39" customFormat="1" x14ac:dyDescent="0.35">
      <c r="A162" s="37" t="s">
        <v>1784</v>
      </c>
      <c r="B162" s="37" t="s">
        <v>2104</v>
      </c>
      <c r="C162" s="91">
        <v>8470450</v>
      </c>
      <c r="D162" s="37" t="s">
        <v>2100</v>
      </c>
      <c r="E162" s="91">
        <v>425770</v>
      </c>
      <c r="F162" s="37" t="s">
        <v>367</v>
      </c>
      <c r="G162" s="90">
        <v>847001</v>
      </c>
      <c r="H162" s="37" t="s">
        <v>50</v>
      </c>
      <c r="I162" s="90">
        <v>200179</v>
      </c>
      <c r="J162" s="37" t="s">
        <v>61</v>
      </c>
      <c r="K162" s="265">
        <v>91583</v>
      </c>
      <c r="L162" s="265">
        <v>-5700</v>
      </c>
      <c r="M162" s="265">
        <v>0</v>
      </c>
      <c r="N162" s="265">
        <v>180000</v>
      </c>
      <c r="O162" s="265">
        <v>180000</v>
      </c>
      <c r="P162" s="265">
        <v>36310</v>
      </c>
      <c r="Q162" s="265">
        <v>0</v>
      </c>
      <c r="R162" s="265">
        <v>0</v>
      </c>
      <c r="S162" s="265">
        <v>210000</v>
      </c>
      <c r="T162" s="265">
        <v>189000</v>
      </c>
      <c r="U162" s="265">
        <v>168000</v>
      </c>
      <c r="V162" s="265">
        <v>147000</v>
      </c>
      <c r="W162" s="265">
        <v>0</v>
      </c>
      <c r="X162" s="265">
        <v>210000</v>
      </c>
      <c r="Y162" s="50">
        <f t="shared" si="2"/>
        <v>30000</v>
      </c>
    </row>
    <row r="163" spans="1:26" s="39" customFormat="1" x14ac:dyDescent="0.35">
      <c r="A163" s="37" t="s">
        <v>1784</v>
      </c>
      <c r="B163" s="37" t="s">
        <v>2107</v>
      </c>
      <c r="C163" s="91">
        <v>8470450</v>
      </c>
      <c r="D163" s="37" t="s">
        <v>2100</v>
      </c>
      <c r="E163" s="91">
        <v>426610</v>
      </c>
      <c r="F163" s="37" t="s">
        <v>694</v>
      </c>
      <c r="G163" s="90">
        <v>847001</v>
      </c>
      <c r="H163" s="37" t="s">
        <v>50</v>
      </c>
      <c r="I163" s="90">
        <v>200179</v>
      </c>
      <c r="J163" s="37" t="s">
        <v>61</v>
      </c>
      <c r="K163" s="265">
        <v>12803</v>
      </c>
      <c r="L163" s="265">
        <v>-4358</v>
      </c>
      <c r="M163" s="265">
        <v>0</v>
      </c>
      <c r="N163" s="265">
        <v>313605</v>
      </c>
      <c r="O163" s="265">
        <v>313605</v>
      </c>
      <c r="P163" s="265">
        <v>0</v>
      </c>
      <c r="Q163" s="265">
        <v>0</v>
      </c>
      <c r="R163" s="265">
        <v>35628.1</v>
      </c>
      <c r="S163" s="265">
        <v>89500</v>
      </c>
      <c r="T163" s="265">
        <v>80550</v>
      </c>
      <c r="U163" s="265">
        <v>71600</v>
      </c>
      <c r="V163" s="265">
        <v>62650</v>
      </c>
      <c r="W163" s="265">
        <v>0</v>
      </c>
      <c r="X163" s="265">
        <v>81000</v>
      </c>
      <c r="Y163" s="50">
        <f t="shared" si="2"/>
        <v>-224105</v>
      </c>
    </row>
    <row r="164" spans="1:26" s="39" customFormat="1" x14ac:dyDescent="0.35">
      <c r="A164" s="37" t="s">
        <v>1784</v>
      </c>
      <c r="B164" s="37" t="s">
        <v>2110</v>
      </c>
      <c r="C164" s="91">
        <v>8470450</v>
      </c>
      <c r="D164" s="37" t="s">
        <v>2100</v>
      </c>
      <c r="E164" s="91">
        <v>428090</v>
      </c>
      <c r="F164" s="37" t="s">
        <v>154</v>
      </c>
      <c r="G164" s="90">
        <v>847001</v>
      </c>
      <c r="H164" s="37" t="s">
        <v>50</v>
      </c>
      <c r="I164" s="90">
        <v>200179</v>
      </c>
      <c r="J164" s="37" t="s">
        <v>61</v>
      </c>
      <c r="K164" s="265">
        <v>0</v>
      </c>
      <c r="L164" s="265">
        <v>0</v>
      </c>
      <c r="M164" s="265">
        <v>0</v>
      </c>
      <c r="N164" s="265">
        <v>20000</v>
      </c>
      <c r="O164" s="265">
        <v>20000</v>
      </c>
      <c r="P164" s="265">
        <v>2200</v>
      </c>
      <c r="Q164" s="265">
        <v>0</v>
      </c>
      <c r="R164" s="265">
        <v>0</v>
      </c>
      <c r="S164" s="265">
        <v>0</v>
      </c>
      <c r="T164" s="265">
        <v>0</v>
      </c>
      <c r="U164" s="265">
        <v>0</v>
      </c>
      <c r="V164" s="265">
        <v>0</v>
      </c>
      <c r="W164" s="265">
        <v>0</v>
      </c>
      <c r="X164" s="265">
        <v>0</v>
      </c>
      <c r="Y164" s="50">
        <f t="shared" si="2"/>
        <v>-20000</v>
      </c>
    </row>
    <row r="165" spans="1:26" s="39" customFormat="1" x14ac:dyDescent="0.35">
      <c r="A165" s="37" t="s">
        <v>1784</v>
      </c>
      <c r="B165" s="37" t="s">
        <v>2111</v>
      </c>
      <c r="C165" s="91">
        <v>8470450</v>
      </c>
      <c r="D165" s="37" t="s">
        <v>2100</v>
      </c>
      <c r="E165" s="91">
        <v>432209</v>
      </c>
      <c r="F165" s="37" t="s">
        <v>393</v>
      </c>
      <c r="G165" s="90">
        <v>847001</v>
      </c>
      <c r="H165" s="37" t="s">
        <v>50</v>
      </c>
      <c r="I165" s="90">
        <v>200179</v>
      </c>
      <c r="J165" s="37" t="s">
        <v>61</v>
      </c>
      <c r="K165" s="265">
        <v>135193</v>
      </c>
      <c r="L165" s="265">
        <v>228008</v>
      </c>
      <c r="M165" s="265">
        <v>-35634</v>
      </c>
      <c r="N165" s="265">
        <v>118157</v>
      </c>
      <c r="O165" s="265">
        <v>118157</v>
      </c>
      <c r="P165" s="265">
        <v>4093.92</v>
      </c>
      <c r="Q165" s="265">
        <v>46480.73</v>
      </c>
      <c r="R165" s="265">
        <v>21900</v>
      </c>
      <c r="S165" s="265">
        <v>0</v>
      </c>
      <c r="T165" s="265">
        <v>0</v>
      </c>
      <c r="U165" s="265">
        <v>0</v>
      </c>
      <c r="V165" s="265">
        <v>0</v>
      </c>
      <c r="W165" s="265">
        <v>0</v>
      </c>
      <c r="X165" s="265">
        <v>0</v>
      </c>
      <c r="Y165" s="50">
        <f t="shared" si="2"/>
        <v>-118157</v>
      </c>
    </row>
    <row r="166" spans="1:26" s="39" customFormat="1" x14ac:dyDescent="0.35">
      <c r="A166" s="37" t="s">
        <v>1784</v>
      </c>
      <c r="B166" s="37" t="s">
        <v>2112</v>
      </c>
      <c r="C166" s="91">
        <v>8470450</v>
      </c>
      <c r="D166" s="37" t="s">
        <v>2100</v>
      </c>
      <c r="E166" s="91">
        <v>435350</v>
      </c>
      <c r="F166" s="37" t="s">
        <v>399</v>
      </c>
      <c r="G166" s="90">
        <v>847001</v>
      </c>
      <c r="H166" s="37" t="s">
        <v>50</v>
      </c>
      <c r="I166" s="90">
        <v>200179</v>
      </c>
      <c r="J166" s="37" t="s">
        <v>61</v>
      </c>
      <c r="K166" s="265">
        <v>16225</v>
      </c>
      <c r="L166" s="265">
        <v>0</v>
      </c>
      <c r="M166" s="265">
        <v>0</v>
      </c>
      <c r="N166" s="265">
        <v>40000</v>
      </c>
      <c r="O166" s="265">
        <v>40000</v>
      </c>
      <c r="P166" s="265">
        <v>0</v>
      </c>
      <c r="Q166" s="265">
        <v>0</v>
      </c>
      <c r="R166" s="265">
        <v>0</v>
      </c>
      <c r="S166" s="265">
        <v>120000</v>
      </c>
      <c r="T166" s="265">
        <v>108000</v>
      </c>
      <c r="U166" s="265">
        <v>96000</v>
      </c>
      <c r="V166" s="265">
        <v>84000</v>
      </c>
      <c r="W166" s="265">
        <v>120000</v>
      </c>
      <c r="X166" s="265">
        <v>140000</v>
      </c>
      <c r="Y166" s="50">
        <f t="shared" si="2"/>
        <v>80000</v>
      </c>
    </row>
    <row r="167" spans="1:26" s="39" customFormat="1" x14ac:dyDescent="0.35">
      <c r="A167" s="37" t="s">
        <v>1784</v>
      </c>
      <c r="B167" s="37" t="s">
        <v>2114</v>
      </c>
      <c r="C167" s="91">
        <v>8470450</v>
      </c>
      <c r="D167" s="37" t="s">
        <v>2100</v>
      </c>
      <c r="E167" s="91">
        <v>435508</v>
      </c>
      <c r="F167" s="37" t="s">
        <v>405</v>
      </c>
      <c r="G167" s="90">
        <v>847001</v>
      </c>
      <c r="H167" s="37" t="s">
        <v>50</v>
      </c>
      <c r="I167" s="90">
        <v>200179</v>
      </c>
      <c r="J167" s="37" t="s">
        <v>61</v>
      </c>
      <c r="K167" s="265">
        <v>21574</v>
      </c>
      <c r="L167" s="265">
        <v>-6793</v>
      </c>
      <c r="M167" s="265">
        <v>4090</v>
      </c>
      <c r="N167" s="265">
        <v>16500</v>
      </c>
      <c r="O167" s="265">
        <v>16500</v>
      </c>
      <c r="P167" s="265">
        <v>0</v>
      </c>
      <c r="Q167" s="265">
        <v>7272.54</v>
      </c>
      <c r="R167" s="265">
        <v>4700</v>
      </c>
      <c r="S167" s="265">
        <v>220000</v>
      </c>
      <c r="T167" s="265">
        <v>198000</v>
      </c>
      <c r="U167" s="265">
        <v>176000</v>
      </c>
      <c r="V167" s="265">
        <v>154000</v>
      </c>
      <c r="W167" s="265">
        <v>280000</v>
      </c>
      <c r="X167" s="265">
        <v>320000</v>
      </c>
      <c r="Y167" s="50">
        <f t="shared" si="2"/>
        <v>203500</v>
      </c>
      <c r="Z167" s="275"/>
    </row>
    <row r="168" spans="1:26" s="39" customFormat="1" x14ac:dyDescent="0.35">
      <c r="A168" s="37" t="s">
        <v>1784</v>
      </c>
      <c r="B168" s="37" t="s">
        <v>2117</v>
      </c>
      <c r="C168" s="91">
        <v>8470450</v>
      </c>
      <c r="D168" s="37" t="s">
        <v>2100</v>
      </c>
      <c r="E168" s="91">
        <v>492310</v>
      </c>
      <c r="F168" s="37" t="s">
        <v>191</v>
      </c>
      <c r="G168" s="90">
        <v>847001</v>
      </c>
      <c r="H168" s="37" t="s">
        <v>50</v>
      </c>
      <c r="I168" s="90">
        <v>300180</v>
      </c>
      <c r="J168" s="37" t="s">
        <v>192</v>
      </c>
      <c r="K168" s="265">
        <v>0</v>
      </c>
      <c r="L168" s="265">
        <v>0</v>
      </c>
      <c r="M168" s="265">
        <v>0</v>
      </c>
      <c r="N168" s="265">
        <v>126346</v>
      </c>
      <c r="O168" s="265">
        <v>126346</v>
      </c>
      <c r="P168" s="265">
        <v>0</v>
      </c>
      <c r="Q168" s="265">
        <v>0</v>
      </c>
      <c r="R168" s="265">
        <v>80205</v>
      </c>
      <c r="S168" s="265">
        <v>100000</v>
      </c>
      <c r="T168" s="265">
        <v>90000</v>
      </c>
      <c r="U168" s="265">
        <v>80000</v>
      </c>
      <c r="V168" s="265">
        <v>70000</v>
      </c>
      <c r="W168" s="265">
        <v>125000</v>
      </c>
      <c r="X168" s="265">
        <v>100000</v>
      </c>
      <c r="Y168" s="50">
        <f t="shared" si="2"/>
        <v>-26346</v>
      </c>
      <c r="Z168" s="74"/>
    </row>
    <row r="169" spans="1:26" s="39" customFormat="1" x14ac:dyDescent="0.35">
      <c r="A169" s="37" t="s">
        <v>1784</v>
      </c>
      <c r="B169" s="37" t="s">
        <v>2119</v>
      </c>
      <c r="C169" s="91">
        <v>8470450</v>
      </c>
      <c r="D169" s="37" t="s">
        <v>2100</v>
      </c>
      <c r="E169" s="91">
        <v>492316</v>
      </c>
      <c r="F169" s="37" t="s">
        <v>221</v>
      </c>
      <c r="G169" s="90">
        <v>847001</v>
      </c>
      <c r="H169" s="37" t="s">
        <v>50</v>
      </c>
      <c r="I169" s="90">
        <v>300180</v>
      </c>
      <c r="J169" s="37" t="s">
        <v>192</v>
      </c>
      <c r="K169" s="265">
        <v>0</v>
      </c>
      <c r="L169" s="265">
        <v>0</v>
      </c>
      <c r="M169" s="265">
        <v>0</v>
      </c>
      <c r="N169" s="265">
        <v>146498</v>
      </c>
      <c r="O169" s="265">
        <v>146498</v>
      </c>
      <c r="P169" s="265">
        <v>309.52</v>
      </c>
      <c r="Q169" s="265">
        <v>117930</v>
      </c>
      <c r="R169" s="265">
        <v>0</v>
      </c>
      <c r="S169" s="265">
        <v>2469000</v>
      </c>
      <c r="T169" s="265">
        <v>54000</v>
      </c>
      <c r="U169" s="265">
        <v>48000</v>
      </c>
      <c r="V169" s="265">
        <v>42000</v>
      </c>
      <c r="W169" s="265">
        <v>250000</v>
      </c>
      <c r="X169" s="265">
        <v>0</v>
      </c>
      <c r="Y169" s="50">
        <f t="shared" si="2"/>
        <v>2322502</v>
      </c>
      <c r="Z169" s="277"/>
    </row>
    <row r="170" spans="1:26" s="39" customFormat="1" x14ac:dyDescent="0.35">
      <c r="A170" s="37" t="s">
        <v>1784</v>
      </c>
      <c r="B170" s="37" t="s">
        <v>2133</v>
      </c>
      <c r="C170" s="91">
        <v>8470455</v>
      </c>
      <c r="D170" s="37" t="s">
        <v>2132</v>
      </c>
      <c r="E170" s="91">
        <v>425760</v>
      </c>
      <c r="F170" s="37" t="s">
        <v>352</v>
      </c>
      <c r="G170" s="90">
        <v>847001</v>
      </c>
      <c r="H170" s="37" t="s">
        <v>50</v>
      </c>
      <c r="I170" s="90">
        <v>200179</v>
      </c>
      <c r="J170" s="37" t="s">
        <v>61</v>
      </c>
      <c r="K170" s="265">
        <v>0</v>
      </c>
      <c r="L170" s="265">
        <v>0</v>
      </c>
      <c r="M170" s="265">
        <v>0</v>
      </c>
      <c r="N170" s="265">
        <v>10000</v>
      </c>
      <c r="O170" s="265">
        <v>10000</v>
      </c>
      <c r="P170" s="265">
        <v>0</v>
      </c>
      <c r="Q170" s="265">
        <v>0</v>
      </c>
      <c r="R170" s="265">
        <v>0</v>
      </c>
      <c r="S170" s="265">
        <v>10500</v>
      </c>
      <c r="T170" s="265">
        <v>9450</v>
      </c>
      <c r="U170" s="265">
        <v>8400</v>
      </c>
      <c r="V170" s="265">
        <v>7350</v>
      </c>
      <c r="W170" s="265">
        <v>12600</v>
      </c>
      <c r="X170" s="265">
        <v>15150</v>
      </c>
      <c r="Y170" s="50">
        <f t="shared" si="2"/>
        <v>500</v>
      </c>
    </row>
    <row r="171" spans="1:26" s="39" customFormat="1" x14ac:dyDescent="0.35">
      <c r="A171" s="37" t="s">
        <v>1784</v>
      </c>
      <c r="B171" s="37" t="s">
        <v>2138</v>
      </c>
      <c r="C171" s="91">
        <v>8470455</v>
      </c>
      <c r="D171" s="37" t="s">
        <v>2132</v>
      </c>
      <c r="E171" s="91">
        <v>425770</v>
      </c>
      <c r="F171" s="37" t="s">
        <v>367</v>
      </c>
      <c r="G171" s="90">
        <v>847001</v>
      </c>
      <c r="H171" s="37" t="s">
        <v>50</v>
      </c>
      <c r="I171" s="90">
        <v>200179</v>
      </c>
      <c r="J171" s="37" t="s">
        <v>61</v>
      </c>
      <c r="K171" s="265">
        <v>0</v>
      </c>
      <c r="L171" s="265">
        <v>0</v>
      </c>
      <c r="M171" s="265">
        <v>0</v>
      </c>
      <c r="N171" s="265">
        <v>80000</v>
      </c>
      <c r="O171" s="265">
        <v>80000</v>
      </c>
      <c r="P171" s="265">
        <v>0</v>
      </c>
      <c r="Q171" s="265">
        <v>0</v>
      </c>
      <c r="R171" s="265">
        <v>0</v>
      </c>
      <c r="S171" s="265">
        <v>112000</v>
      </c>
      <c r="T171" s="265">
        <v>100800</v>
      </c>
      <c r="U171" s="265">
        <v>89600</v>
      </c>
      <c r="V171" s="265">
        <v>78400</v>
      </c>
      <c r="W171" s="265">
        <v>128000</v>
      </c>
      <c r="X171" s="265">
        <v>160000</v>
      </c>
      <c r="Y171" s="50">
        <f t="shared" si="2"/>
        <v>32000</v>
      </c>
    </row>
    <row r="172" spans="1:26" s="39" customFormat="1" x14ac:dyDescent="0.35">
      <c r="A172" s="37" t="s">
        <v>1784</v>
      </c>
      <c r="B172" s="37" t="s">
        <v>2143</v>
      </c>
      <c r="C172" s="91">
        <v>8470455</v>
      </c>
      <c r="D172" s="37" t="s">
        <v>2132</v>
      </c>
      <c r="E172" s="91">
        <v>425900</v>
      </c>
      <c r="F172" s="37" t="s">
        <v>266</v>
      </c>
      <c r="G172" s="90">
        <v>847001</v>
      </c>
      <c r="H172" s="37" t="s">
        <v>50</v>
      </c>
      <c r="I172" s="90">
        <v>200179</v>
      </c>
      <c r="J172" s="37" t="s">
        <v>61</v>
      </c>
      <c r="K172" s="265">
        <v>0</v>
      </c>
      <c r="L172" s="265">
        <v>0</v>
      </c>
      <c r="M172" s="265">
        <v>0</v>
      </c>
      <c r="N172" s="265">
        <v>15000</v>
      </c>
      <c r="O172" s="265">
        <v>15000</v>
      </c>
      <c r="P172" s="265">
        <v>1800</v>
      </c>
      <c r="Q172" s="265">
        <v>0</v>
      </c>
      <c r="R172" s="265">
        <v>0</v>
      </c>
      <c r="S172" s="265">
        <v>30000</v>
      </c>
      <c r="T172" s="265">
        <v>27000</v>
      </c>
      <c r="U172" s="265">
        <v>24000</v>
      </c>
      <c r="V172" s="265">
        <v>21000</v>
      </c>
      <c r="W172" s="265">
        <v>45000</v>
      </c>
      <c r="X172" s="265">
        <v>45000</v>
      </c>
      <c r="Y172" s="50">
        <f t="shared" si="2"/>
        <v>15000</v>
      </c>
    </row>
    <row r="173" spans="1:26" s="39" customFormat="1" x14ac:dyDescent="0.35">
      <c r="A173" s="37" t="s">
        <v>1784</v>
      </c>
      <c r="B173" s="37" t="s">
        <v>2148</v>
      </c>
      <c r="C173" s="91">
        <v>8470455</v>
      </c>
      <c r="D173" s="37" t="s">
        <v>2132</v>
      </c>
      <c r="E173" s="91">
        <v>426610</v>
      </c>
      <c r="F173" s="37" t="s">
        <v>694</v>
      </c>
      <c r="G173" s="90">
        <v>847001</v>
      </c>
      <c r="H173" s="37" t="s">
        <v>50</v>
      </c>
      <c r="I173" s="90">
        <v>200179</v>
      </c>
      <c r="J173" s="37" t="s">
        <v>61</v>
      </c>
      <c r="K173" s="265">
        <v>0</v>
      </c>
      <c r="L173" s="265">
        <v>0</v>
      </c>
      <c r="M173" s="265">
        <v>0</v>
      </c>
      <c r="N173" s="265">
        <v>50000</v>
      </c>
      <c r="O173" s="265">
        <v>50000</v>
      </c>
      <c r="P173" s="265">
        <v>119.56</v>
      </c>
      <c r="Q173" s="265">
        <v>0</v>
      </c>
      <c r="R173" s="265">
        <v>0</v>
      </c>
      <c r="S173" s="265">
        <v>35000</v>
      </c>
      <c r="T173" s="265">
        <v>31500</v>
      </c>
      <c r="U173" s="265">
        <v>28000</v>
      </c>
      <c r="V173" s="265">
        <v>24500</v>
      </c>
      <c r="W173" s="265">
        <v>45000</v>
      </c>
      <c r="X173" s="265">
        <v>50000</v>
      </c>
      <c r="Y173" s="50">
        <f t="shared" si="2"/>
        <v>-15000</v>
      </c>
    </row>
    <row r="174" spans="1:26" s="39" customFormat="1" x14ac:dyDescent="0.35">
      <c r="A174" s="37" t="s">
        <v>1784</v>
      </c>
      <c r="B174" s="37" t="s">
        <v>2153</v>
      </c>
      <c r="C174" s="91">
        <v>8470455</v>
      </c>
      <c r="D174" s="37" t="s">
        <v>2132</v>
      </c>
      <c r="E174" s="91">
        <v>428090</v>
      </c>
      <c r="F174" s="37" t="s">
        <v>154</v>
      </c>
      <c r="G174" s="90">
        <v>847001</v>
      </c>
      <c r="H174" s="37" t="s">
        <v>50</v>
      </c>
      <c r="I174" s="90">
        <v>200179</v>
      </c>
      <c r="J174" s="37" t="s">
        <v>61</v>
      </c>
      <c r="K174" s="265">
        <v>0</v>
      </c>
      <c r="L174" s="265">
        <v>0</v>
      </c>
      <c r="M174" s="265">
        <v>0</v>
      </c>
      <c r="N174" s="265">
        <v>50000</v>
      </c>
      <c r="O174" s="265">
        <v>50000</v>
      </c>
      <c r="P174" s="265">
        <v>0</v>
      </c>
      <c r="Q174" s="265">
        <v>0</v>
      </c>
      <c r="R174" s="265">
        <v>0</v>
      </c>
      <c r="S174" s="265">
        <v>50000</v>
      </c>
      <c r="T174" s="265">
        <v>45000</v>
      </c>
      <c r="U174" s="265">
        <v>40000</v>
      </c>
      <c r="V174" s="265">
        <v>35000</v>
      </c>
      <c r="W174" s="265">
        <v>75000</v>
      </c>
      <c r="X174" s="265">
        <v>75000</v>
      </c>
      <c r="Y174" s="50">
        <f t="shared" si="2"/>
        <v>0</v>
      </c>
    </row>
    <row r="175" spans="1:26" s="39" customFormat="1" x14ac:dyDescent="0.35">
      <c r="A175" s="37" t="s">
        <v>1784</v>
      </c>
      <c r="B175" s="37" t="s">
        <v>2155</v>
      </c>
      <c r="C175" s="91">
        <v>8470455</v>
      </c>
      <c r="D175" s="37" t="s">
        <v>2132</v>
      </c>
      <c r="E175" s="91">
        <v>428640</v>
      </c>
      <c r="F175" s="37" t="s">
        <v>279</v>
      </c>
      <c r="G175" s="90">
        <v>847001</v>
      </c>
      <c r="H175" s="37" t="s">
        <v>50</v>
      </c>
      <c r="I175" s="90">
        <v>200179</v>
      </c>
      <c r="J175" s="37" t="s">
        <v>61</v>
      </c>
      <c r="K175" s="265">
        <v>0</v>
      </c>
      <c r="L175" s="265">
        <v>0</v>
      </c>
      <c r="M175" s="265">
        <v>0</v>
      </c>
      <c r="N175" s="265">
        <v>5000</v>
      </c>
      <c r="O175" s="265">
        <v>5000</v>
      </c>
      <c r="P175" s="265">
        <v>0</v>
      </c>
      <c r="Q175" s="265">
        <v>0</v>
      </c>
      <c r="R175" s="265">
        <v>0</v>
      </c>
      <c r="S175" s="265">
        <v>12500</v>
      </c>
      <c r="T175" s="265">
        <v>11250</v>
      </c>
      <c r="U175" s="265">
        <v>10000</v>
      </c>
      <c r="V175" s="265">
        <v>8750</v>
      </c>
      <c r="W175" s="265">
        <v>15000</v>
      </c>
      <c r="X175" s="265">
        <v>17500</v>
      </c>
      <c r="Y175" s="50">
        <f t="shared" si="2"/>
        <v>7500</v>
      </c>
    </row>
    <row r="176" spans="1:26" s="39" customFormat="1" x14ac:dyDescent="0.35">
      <c r="A176" s="37" t="s">
        <v>1784</v>
      </c>
      <c r="B176" s="37" t="s">
        <v>2157</v>
      </c>
      <c r="C176" s="91">
        <v>8470455</v>
      </c>
      <c r="D176" s="37" t="s">
        <v>2132</v>
      </c>
      <c r="E176" s="91">
        <v>432209</v>
      </c>
      <c r="F176" s="37" t="s">
        <v>393</v>
      </c>
      <c r="G176" s="90">
        <v>847001</v>
      </c>
      <c r="H176" s="37" t="s">
        <v>50</v>
      </c>
      <c r="I176" s="90">
        <v>200179</v>
      </c>
      <c r="J176" s="37" t="s">
        <v>61</v>
      </c>
      <c r="K176" s="265">
        <v>0</v>
      </c>
      <c r="L176" s="265">
        <v>0</v>
      </c>
      <c r="M176" s="265">
        <v>0</v>
      </c>
      <c r="N176" s="265">
        <v>300000</v>
      </c>
      <c r="O176" s="265">
        <v>300000</v>
      </c>
      <c r="P176" s="265">
        <v>0</v>
      </c>
      <c r="Q176" s="265">
        <v>0</v>
      </c>
      <c r="R176" s="265">
        <v>0</v>
      </c>
      <c r="S176" s="265">
        <v>300000</v>
      </c>
      <c r="T176" s="265">
        <v>270000</v>
      </c>
      <c r="U176" s="265">
        <v>240000</v>
      </c>
      <c r="V176" s="265">
        <v>210000</v>
      </c>
      <c r="W176" s="265">
        <v>360000</v>
      </c>
      <c r="X176" s="265">
        <v>600000</v>
      </c>
      <c r="Y176" s="50">
        <f t="shared" si="2"/>
        <v>0</v>
      </c>
    </row>
    <row r="177" spans="1:28" s="39" customFormat="1" x14ac:dyDescent="0.35">
      <c r="A177" s="37" t="s">
        <v>1784</v>
      </c>
      <c r="B177" s="37" t="s">
        <v>2162</v>
      </c>
      <c r="C177" s="91">
        <v>8470455</v>
      </c>
      <c r="D177" s="37" t="s">
        <v>2132</v>
      </c>
      <c r="E177" s="91">
        <v>435350</v>
      </c>
      <c r="F177" s="37" t="s">
        <v>399</v>
      </c>
      <c r="G177" s="90">
        <v>847001</v>
      </c>
      <c r="H177" s="37" t="s">
        <v>50</v>
      </c>
      <c r="I177" s="90">
        <v>200179</v>
      </c>
      <c r="J177" s="37" t="s">
        <v>61</v>
      </c>
      <c r="K177" s="265">
        <v>0</v>
      </c>
      <c r="L177" s="265">
        <v>0</v>
      </c>
      <c r="M177" s="265">
        <v>0</v>
      </c>
      <c r="N177" s="265">
        <v>80000</v>
      </c>
      <c r="O177" s="265">
        <v>80000</v>
      </c>
      <c r="P177" s="265">
        <v>25142.2</v>
      </c>
      <c r="Q177" s="265">
        <v>0</v>
      </c>
      <c r="R177" s="265">
        <v>0</v>
      </c>
      <c r="S177" s="265">
        <v>140000</v>
      </c>
      <c r="T177" s="265">
        <v>126000</v>
      </c>
      <c r="U177" s="265">
        <v>112000</v>
      </c>
      <c r="V177" s="265">
        <v>98000</v>
      </c>
      <c r="W177" s="265">
        <v>170000</v>
      </c>
      <c r="X177" s="265">
        <v>200000</v>
      </c>
      <c r="Y177" s="50">
        <f t="shared" si="2"/>
        <v>60000</v>
      </c>
    </row>
    <row r="178" spans="1:28" s="39" customFormat="1" x14ac:dyDescent="0.35">
      <c r="A178" s="37" t="s">
        <v>1784</v>
      </c>
      <c r="B178" s="37" t="s">
        <v>2167</v>
      </c>
      <c r="C178" s="91">
        <v>8470455</v>
      </c>
      <c r="D178" s="37" t="s">
        <v>2132</v>
      </c>
      <c r="E178" s="91">
        <v>435508</v>
      </c>
      <c r="F178" s="37" t="s">
        <v>405</v>
      </c>
      <c r="G178" s="90">
        <v>847001</v>
      </c>
      <c r="H178" s="37" t="s">
        <v>50</v>
      </c>
      <c r="I178" s="90">
        <v>200179</v>
      </c>
      <c r="J178" s="37" t="s">
        <v>61</v>
      </c>
      <c r="K178" s="265">
        <v>0</v>
      </c>
      <c r="L178" s="265">
        <v>0</v>
      </c>
      <c r="M178" s="265">
        <v>0</v>
      </c>
      <c r="N178" s="265">
        <v>675000</v>
      </c>
      <c r="O178" s="265">
        <v>675000</v>
      </c>
      <c r="P178" s="265">
        <v>9208.4500000000007</v>
      </c>
      <c r="Q178" s="265">
        <v>432250</v>
      </c>
      <c r="R178" s="265">
        <v>0</v>
      </c>
      <c r="S178" s="265">
        <v>781000</v>
      </c>
      <c r="T178" s="265">
        <v>702900</v>
      </c>
      <c r="U178" s="265">
        <v>624800</v>
      </c>
      <c r="V178" s="265">
        <v>546700</v>
      </c>
      <c r="W178" s="265">
        <v>275000</v>
      </c>
      <c r="X178" s="265">
        <v>1122000</v>
      </c>
      <c r="Y178" s="50">
        <f t="shared" si="2"/>
        <v>106000</v>
      </c>
      <c r="Z178" s="274">
        <f>Y92+Y111+Y120+Y128+Y131+Y167+Y178</f>
        <v>1517634</v>
      </c>
      <c r="AA178" s="274">
        <f>N92+N111+N120+N128+N131+N167+N178</f>
        <v>1852666</v>
      </c>
      <c r="AB178" s="275" t="s">
        <v>3448</v>
      </c>
    </row>
    <row r="179" spans="1:28" s="39" customFormat="1" x14ac:dyDescent="0.35">
      <c r="A179" s="37" t="s">
        <v>1784</v>
      </c>
      <c r="B179" s="37" t="s">
        <v>2172</v>
      </c>
      <c r="C179" s="91">
        <v>8470455</v>
      </c>
      <c r="D179" s="37" t="s">
        <v>2132</v>
      </c>
      <c r="E179" s="91">
        <v>436110</v>
      </c>
      <c r="F179" s="37" t="s">
        <v>190</v>
      </c>
      <c r="G179" s="90">
        <v>847001</v>
      </c>
      <c r="H179" s="37" t="s">
        <v>50</v>
      </c>
      <c r="I179" s="90">
        <v>200179</v>
      </c>
      <c r="J179" s="37" t="s">
        <v>61</v>
      </c>
      <c r="K179" s="265">
        <v>0</v>
      </c>
      <c r="L179" s="265">
        <v>0</v>
      </c>
      <c r="M179" s="265">
        <v>0</v>
      </c>
      <c r="N179" s="265">
        <v>5000</v>
      </c>
      <c r="O179" s="265">
        <v>5000</v>
      </c>
      <c r="P179" s="265">
        <v>0</v>
      </c>
      <c r="Q179" s="265">
        <v>0</v>
      </c>
      <c r="R179" s="265">
        <v>0</v>
      </c>
      <c r="S179" s="265">
        <v>7000</v>
      </c>
      <c r="T179" s="265">
        <v>6300</v>
      </c>
      <c r="U179" s="265">
        <v>5600</v>
      </c>
      <c r="V179" s="265">
        <v>4900</v>
      </c>
      <c r="W179" s="265">
        <v>9000</v>
      </c>
      <c r="X179" s="265">
        <v>10000</v>
      </c>
      <c r="Y179" s="50">
        <f t="shared" si="2"/>
        <v>2000</v>
      </c>
    </row>
    <row r="180" spans="1:28" s="39" customFormat="1" x14ac:dyDescent="0.35">
      <c r="A180" s="37" t="s">
        <v>1784</v>
      </c>
      <c r="B180" s="37" t="s">
        <v>2177</v>
      </c>
      <c r="C180" s="91">
        <v>8470455</v>
      </c>
      <c r="D180" s="37" t="s">
        <v>2132</v>
      </c>
      <c r="E180" s="91">
        <v>492316</v>
      </c>
      <c r="F180" s="37" t="s">
        <v>221</v>
      </c>
      <c r="G180" s="90">
        <v>847001</v>
      </c>
      <c r="H180" s="37" t="s">
        <v>50</v>
      </c>
      <c r="I180" s="90">
        <v>300180</v>
      </c>
      <c r="J180" s="37" t="s">
        <v>192</v>
      </c>
      <c r="K180" s="265">
        <v>0</v>
      </c>
      <c r="L180" s="265">
        <v>0</v>
      </c>
      <c r="M180" s="265">
        <v>0</v>
      </c>
      <c r="N180" s="265">
        <v>1754263</v>
      </c>
      <c r="O180" s="265">
        <v>1754263</v>
      </c>
      <c r="P180" s="265">
        <v>0</v>
      </c>
      <c r="Q180" s="265">
        <v>1603654</v>
      </c>
      <c r="R180" s="265">
        <v>106062.5</v>
      </c>
      <c r="S180" s="265">
        <v>2014622</v>
      </c>
      <c r="T180" s="265">
        <v>1813160</v>
      </c>
      <c r="U180" s="265">
        <v>1611698</v>
      </c>
      <c r="V180" s="265">
        <v>1410235</v>
      </c>
      <c r="W180" s="265">
        <v>2700000</v>
      </c>
      <c r="X180" s="265">
        <v>3000000</v>
      </c>
      <c r="Y180" s="50">
        <f t="shared" si="2"/>
        <v>260359</v>
      </c>
      <c r="Z180" s="274">
        <f>Y82+Y112+Y122+Y169+Y180</f>
        <v>4763255</v>
      </c>
      <c r="AA180" s="274">
        <f>N82+N112+N122+N169+N180</f>
        <v>5350397</v>
      </c>
      <c r="AB180" s="279">
        <f>Z180/AA180</f>
        <v>0.89026197495251291</v>
      </c>
    </row>
    <row r="181" spans="1:28" s="39" customFormat="1" x14ac:dyDescent="0.35">
      <c r="A181" s="37" t="s">
        <v>334</v>
      </c>
      <c r="B181" s="37" t="s">
        <v>599</v>
      </c>
      <c r="C181" s="91">
        <v>8470305</v>
      </c>
      <c r="D181" s="37" t="s">
        <v>598</v>
      </c>
      <c r="E181" s="91">
        <v>420550</v>
      </c>
      <c r="F181" s="37" t="s">
        <v>225</v>
      </c>
      <c r="G181" s="90">
        <v>847001</v>
      </c>
      <c r="H181" s="37" t="s">
        <v>50</v>
      </c>
      <c r="I181" s="90">
        <v>200179</v>
      </c>
      <c r="J181" s="37" t="s">
        <v>61</v>
      </c>
      <c r="K181" s="265">
        <v>0</v>
      </c>
      <c r="L181" s="265">
        <v>0</v>
      </c>
      <c r="M181" s="265">
        <v>0</v>
      </c>
      <c r="N181" s="265">
        <v>100000</v>
      </c>
      <c r="O181" s="265">
        <v>100000</v>
      </c>
      <c r="P181" s="265">
        <v>92165.34</v>
      </c>
      <c r="Q181" s="265">
        <v>0</v>
      </c>
      <c r="R181" s="265">
        <v>0</v>
      </c>
      <c r="S181" s="265">
        <v>100000</v>
      </c>
      <c r="T181" s="265">
        <v>90000</v>
      </c>
      <c r="U181" s="265">
        <v>0</v>
      </c>
      <c r="V181" s="265">
        <v>70000</v>
      </c>
      <c r="W181" s="265">
        <v>100000</v>
      </c>
      <c r="X181" s="265">
        <v>100000</v>
      </c>
      <c r="Y181" s="50">
        <f t="shared" si="2"/>
        <v>0</v>
      </c>
    </row>
    <row r="182" spans="1:28" s="39" customFormat="1" x14ac:dyDescent="0.35">
      <c r="A182" s="37" t="s">
        <v>334</v>
      </c>
      <c r="B182" s="37" t="s">
        <v>605</v>
      </c>
      <c r="C182" s="91">
        <v>8470305</v>
      </c>
      <c r="D182" s="37" t="s">
        <v>598</v>
      </c>
      <c r="E182" s="91">
        <v>420570</v>
      </c>
      <c r="F182" s="37" t="s">
        <v>231</v>
      </c>
      <c r="G182" s="90">
        <v>847001</v>
      </c>
      <c r="H182" s="37" t="s">
        <v>50</v>
      </c>
      <c r="I182" s="90">
        <v>200179</v>
      </c>
      <c r="J182" s="37" t="s">
        <v>61</v>
      </c>
      <c r="K182" s="265">
        <v>4591</v>
      </c>
      <c r="L182" s="265">
        <v>4591</v>
      </c>
      <c r="M182" s="265">
        <v>4591</v>
      </c>
      <c r="N182" s="265">
        <v>10000</v>
      </c>
      <c r="O182" s="265">
        <v>10000</v>
      </c>
      <c r="P182" s="265">
        <v>0</v>
      </c>
      <c r="Q182" s="265">
        <v>0</v>
      </c>
      <c r="R182" s="265">
        <v>0</v>
      </c>
      <c r="S182" s="265">
        <v>10000</v>
      </c>
      <c r="T182" s="265">
        <v>9000</v>
      </c>
      <c r="U182" s="265">
        <v>0</v>
      </c>
      <c r="V182" s="265">
        <v>7000</v>
      </c>
      <c r="W182" s="265">
        <v>10000</v>
      </c>
      <c r="X182" s="265">
        <v>15000</v>
      </c>
      <c r="Y182" s="50">
        <f t="shared" si="2"/>
        <v>0</v>
      </c>
    </row>
    <row r="183" spans="1:28" s="39" customFormat="1" x14ac:dyDescent="0.35">
      <c r="A183" s="37" t="s">
        <v>334</v>
      </c>
      <c r="B183" s="37" t="s">
        <v>611</v>
      </c>
      <c r="C183" s="91">
        <v>8470305</v>
      </c>
      <c r="D183" s="37" t="s">
        <v>598</v>
      </c>
      <c r="E183" s="91">
        <v>421700</v>
      </c>
      <c r="F183" s="37" t="s">
        <v>2438</v>
      </c>
      <c r="G183" s="90">
        <v>847001</v>
      </c>
      <c r="H183" s="37" t="s">
        <v>50</v>
      </c>
      <c r="I183" s="90">
        <v>200179</v>
      </c>
      <c r="J183" s="37" t="s">
        <v>61</v>
      </c>
      <c r="K183" s="265">
        <v>391361</v>
      </c>
      <c r="L183" s="265">
        <v>597851</v>
      </c>
      <c r="M183" s="265">
        <v>123489</v>
      </c>
      <c r="N183" s="265">
        <v>506004</v>
      </c>
      <c r="O183" s="265">
        <v>506004</v>
      </c>
      <c r="P183" s="265">
        <v>32000</v>
      </c>
      <c r="Q183" s="265">
        <v>0</v>
      </c>
      <c r="R183" s="265">
        <v>0</v>
      </c>
      <c r="S183" s="38">
        <v>300000</v>
      </c>
      <c r="T183" s="265">
        <v>270000</v>
      </c>
      <c r="U183" s="265">
        <v>0</v>
      </c>
      <c r="V183" s="265">
        <v>210000</v>
      </c>
      <c r="W183" s="265">
        <v>90000</v>
      </c>
      <c r="X183" s="265">
        <v>150000</v>
      </c>
      <c r="Y183" s="50">
        <f t="shared" si="2"/>
        <v>-206004</v>
      </c>
    </row>
    <row r="184" spans="1:28" s="39" customFormat="1" x14ac:dyDescent="0.35">
      <c r="A184" s="37" t="s">
        <v>334</v>
      </c>
      <c r="B184" s="37" t="s">
        <v>614</v>
      </c>
      <c r="C184" s="91">
        <v>8470305</v>
      </c>
      <c r="D184" s="37" t="s">
        <v>598</v>
      </c>
      <c r="E184" s="91">
        <v>425510</v>
      </c>
      <c r="F184" s="37" t="s">
        <v>247</v>
      </c>
      <c r="G184" s="90">
        <v>847001</v>
      </c>
      <c r="H184" s="37" t="s">
        <v>50</v>
      </c>
      <c r="I184" s="90">
        <v>200179</v>
      </c>
      <c r="J184" s="37" t="s">
        <v>61</v>
      </c>
      <c r="K184" s="265">
        <v>38554</v>
      </c>
      <c r="L184" s="265">
        <v>10444</v>
      </c>
      <c r="M184" s="265">
        <v>-252</v>
      </c>
      <c r="N184" s="38">
        <v>20000</v>
      </c>
      <c r="O184" s="265">
        <v>20000</v>
      </c>
      <c r="P184" s="265">
        <v>5286</v>
      </c>
      <c r="Q184" s="265">
        <v>0</v>
      </c>
      <c r="R184" s="265">
        <v>0</v>
      </c>
      <c r="S184" s="38">
        <v>20000</v>
      </c>
      <c r="T184" s="265">
        <v>18000</v>
      </c>
      <c r="U184" s="265">
        <v>0</v>
      </c>
      <c r="V184" s="265">
        <v>14000</v>
      </c>
      <c r="W184" s="265">
        <v>30000</v>
      </c>
      <c r="X184" s="265">
        <v>60000</v>
      </c>
      <c r="Y184" s="38">
        <f t="shared" si="2"/>
        <v>0</v>
      </c>
    </row>
    <row r="185" spans="1:28" s="39" customFormat="1" x14ac:dyDescent="0.35">
      <c r="A185" s="37" t="s">
        <v>334</v>
      </c>
      <c r="B185" s="37" t="s">
        <v>621</v>
      </c>
      <c r="C185" s="91">
        <v>8470305</v>
      </c>
      <c r="D185" s="37" t="s">
        <v>598</v>
      </c>
      <c r="E185" s="91">
        <v>425720</v>
      </c>
      <c r="F185" s="37" t="s">
        <v>620</v>
      </c>
      <c r="G185" s="90">
        <v>847001</v>
      </c>
      <c r="H185" s="37" t="s">
        <v>50</v>
      </c>
      <c r="I185" s="90">
        <v>200179</v>
      </c>
      <c r="J185" s="37" t="s">
        <v>61</v>
      </c>
      <c r="K185" s="265">
        <v>29384</v>
      </c>
      <c r="L185" s="265">
        <v>0</v>
      </c>
      <c r="M185" s="265">
        <v>-3416</v>
      </c>
      <c r="N185" s="265">
        <v>0</v>
      </c>
      <c r="O185" s="265">
        <v>0</v>
      </c>
      <c r="P185" s="265">
        <v>0</v>
      </c>
      <c r="Q185" s="265">
        <v>0</v>
      </c>
      <c r="R185" s="265">
        <v>0</v>
      </c>
      <c r="S185" s="265">
        <v>40000</v>
      </c>
      <c r="T185" s="265">
        <v>36000</v>
      </c>
      <c r="U185" s="265">
        <v>0</v>
      </c>
      <c r="V185" s="265">
        <v>28000</v>
      </c>
      <c r="W185" s="265">
        <v>80000</v>
      </c>
      <c r="X185" s="265">
        <v>40000</v>
      </c>
      <c r="Y185" s="50">
        <f t="shared" si="2"/>
        <v>40000</v>
      </c>
    </row>
    <row r="186" spans="1:28" s="39" customFormat="1" x14ac:dyDescent="0.35">
      <c r="A186" s="37" t="s">
        <v>334</v>
      </c>
      <c r="B186" s="37" t="s">
        <v>627</v>
      </c>
      <c r="C186" s="91">
        <v>8470305</v>
      </c>
      <c r="D186" s="37" t="s">
        <v>598</v>
      </c>
      <c r="E186" s="91">
        <v>425763</v>
      </c>
      <c r="F186" s="37" t="s">
        <v>359</v>
      </c>
      <c r="G186" s="90">
        <v>847001</v>
      </c>
      <c r="H186" s="37" t="s">
        <v>50</v>
      </c>
      <c r="I186" s="90">
        <v>200179</v>
      </c>
      <c r="J186" s="37" t="s">
        <v>61</v>
      </c>
      <c r="K186" s="265">
        <v>19184</v>
      </c>
      <c r="L186" s="265">
        <v>617638</v>
      </c>
      <c r="M186" s="265">
        <v>55390</v>
      </c>
      <c r="N186" s="265">
        <v>170000</v>
      </c>
      <c r="O186" s="265">
        <v>170000</v>
      </c>
      <c r="P186" s="265">
        <v>20000</v>
      </c>
      <c r="Q186" s="265">
        <v>112260.3</v>
      </c>
      <c r="R186" s="265">
        <v>0</v>
      </c>
      <c r="S186" s="265">
        <v>120000</v>
      </c>
      <c r="T186" s="265">
        <v>108000</v>
      </c>
      <c r="U186" s="265">
        <v>0</v>
      </c>
      <c r="V186" s="265">
        <v>84000</v>
      </c>
      <c r="W186" s="265">
        <v>120000</v>
      </c>
      <c r="X186" s="265">
        <v>120000</v>
      </c>
      <c r="Y186" s="50">
        <f t="shared" si="2"/>
        <v>-50000</v>
      </c>
    </row>
    <row r="187" spans="1:28" s="39" customFormat="1" x14ac:dyDescent="0.35">
      <c r="A187" s="37" t="s">
        <v>334</v>
      </c>
      <c r="B187" s="37" t="s">
        <v>630</v>
      </c>
      <c r="C187" s="91">
        <v>8470305</v>
      </c>
      <c r="D187" s="37" t="s">
        <v>598</v>
      </c>
      <c r="E187" s="91">
        <v>425770</v>
      </c>
      <c r="F187" s="37" t="s">
        <v>367</v>
      </c>
      <c r="G187" s="90">
        <v>847001</v>
      </c>
      <c r="H187" s="37" t="s">
        <v>50</v>
      </c>
      <c r="I187" s="90">
        <v>200179</v>
      </c>
      <c r="J187" s="37" t="s">
        <v>61</v>
      </c>
      <c r="K187" s="265">
        <v>96239</v>
      </c>
      <c r="L187" s="265">
        <v>7219</v>
      </c>
      <c r="M187" s="265">
        <v>22015</v>
      </c>
      <c r="N187" s="265">
        <v>579499</v>
      </c>
      <c r="O187" s="265">
        <v>579499</v>
      </c>
      <c r="P187" s="265">
        <v>51565</v>
      </c>
      <c r="Q187" s="265">
        <v>0</v>
      </c>
      <c r="R187" s="265">
        <v>0</v>
      </c>
      <c r="S187" s="265">
        <v>1000000</v>
      </c>
      <c r="T187" s="265">
        <v>900000</v>
      </c>
      <c r="U187" s="265">
        <v>0</v>
      </c>
      <c r="V187" s="265">
        <v>700000</v>
      </c>
      <c r="W187" s="265">
        <v>1160000</v>
      </c>
      <c r="X187" s="265">
        <v>1100000</v>
      </c>
      <c r="Y187" s="50">
        <f t="shared" si="2"/>
        <v>420501</v>
      </c>
    </row>
    <row r="188" spans="1:28" s="39" customFormat="1" x14ac:dyDescent="0.35">
      <c r="A188" s="37" t="s">
        <v>334</v>
      </c>
      <c r="B188" s="37" t="s">
        <v>633</v>
      </c>
      <c r="C188" s="91">
        <v>8470305</v>
      </c>
      <c r="D188" s="37" t="s">
        <v>598</v>
      </c>
      <c r="E188" s="91">
        <v>425900</v>
      </c>
      <c r="F188" s="37" t="s">
        <v>266</v>
      </c>
      <c r="G188" s="90">
        <v>847001</v>
      </c>
      <c r="H188" s="37" t="s">
        <v>50</v>
      </c>
      <c r="I188" s="90">
        <v>200179</v>
      </c>
      <c r="J188" s="37" t="s">
        <v>61</v>
      </c>
      <c r="K188" s="265">
        <v>19369</v>
      </c>
      <c r="L188" s="265">
        <v>-10521</v>
      </c>
      <c r="M188" s="265">
        <v>-131</v>
      </c>
      <c r="N188" s="265">
        <v>18000</v>
      </c>
      <c r="O188" s="265">
        <v>18000</v>
      </c>
      <c r="P188" s="265">
        <v>2625</v>
      </c>
      <c r="Q188" s="265">
        <v>0</v>
      </c>
      <c r="R188" s="265">
        <v>0</v>
      </c>
      <c r="S188" s="265">
        <v>30000</v>
      </c>
      <c r="T188" s="265">
        <v>27000</v>
      </c>
      <c r="U188" s="265">
        <v>0</v>
      </c>
      <c r="V188" s="265">
        <v>21000</v>
      </c>
      <c r="W188" s="265">
        <v>40000</v>
      </c>
      <c r="X188" s="265">
        <v>30000</v>
      </c>
      <c r="Y188" s="50">
        <f t="shared" si="2"/>
        <v>12000</v>
      </c>
    </row>
    <row r="189" spans="1:28" s="39" customFormat="1" x14ac:dyDescent="0.35">
      <c r="A189" s="37" t="s">
        <v>334</v>
      </c>
      <c r="B189" s="37" t="s">
        <v>637</v>
      </c>
      <c r="C189" s="91">
        <v>8470305</v>
      </c>
      <c r="D189" s="37" t="s">
        <v>598</v>
      </c>
      <c r="E189" s="91">
        <v>426610</v>
      </c>
      <c r="F189" s="37" t="s">
        <v>694</v>
      </c>
      <c r="G189" s="90">
        <v>847001</v>
      </c>
      <c r="H189" s="37" t="s">
        <v>50</v>
      </c>
      <c r="I189" s="90">
        <v>200179</v>
      </c>
      <c r="J189" s="37" t="s">
        <v>61</v>
      </c>
      <c r="K189" s="265">
        <v>185613</v>
      </c>
      <c r="L189" s="265">
        <v>236658</v>
      </c>
      <c r="M189" s="265">
        <v>62198</v>
      </c>
      <c r="N189" s="265">
        <v>100000</v>
      </c>
      <c r="O189" s="265">
        <v>100000</v>
      </c>
      <c r="P189" s="265">
        <v>3874.85</v>
      </c>
      <c r="Q189" s="265">
        <v>0</v>
      </c>
      <c r="R189" s="265">
        <v>39668.400000000001</v>
      </c>
      <c r="S189" s="265">
        <v>120000</v>
      </c>
      <c r="T189" s="265">
        <v>108000</v>
      </c>
      <c r="U189" s="265">
        <v>0</v>
      </c>
      <c r="V189" s="265">
        <v>84000</v>
      </c>
      <c r="W189" s="265">
        <v>150000</v>
      </c>
      <c r="X189" s="265">
        <v>120000</v>
      </c>
      <c r="Y189" s="50">
        <f t="shared" si="2"/>
        <v>20000</v>
      </c>
    </row>
    <row r="190" spans="1:28" s="39" customFormat="1" x14ac:dyDescent="0.35">
      <c r="A190" s="37" t="s">
        <v>334</v>
      </c>
      <c r="B190" s="37" t="s">
        <v>640</v>
      </c>
      <c r="C190" s="91">
        <v>8470305</v>
      </c>
      <c r="D190" s="37" t="s">
        <v>598</v>
      </c>
      <c r="E190" s="91">
        <v>428090</v>
      </c>
      <c r="F190" s="37" t="s">
        <v>154</v>
      </c>
      <c r="G190" s="90">
        <v>847001</v>
      </c>
      <c r="H190" s="37" t="s">
        <v>50</v>
      </c>
      <c r="I190" s="90">
        <v>200179</v>
      </c>
      <c r="J190" s="37" t="s">
        <v>61</v>
      </c>
      <c r="K190" s="265">
        <v>0</v>
      </c>
      <c r="L190" s="265">
        <v>0</v>
      </c>
      <c r="M190" s="265">
        <v>0</v>
      </c>
      <c r="N190" s="265">
        <v>35000</v>
      </c>
      <c r="O190" s="265">
        <v>35000</v>
      </c>
      <c r="P190" s="265">
        <v>0</v>
      </c>
      <c r="Q190" s="265">
        <v>0</v>
      </c>
      <c r="R190" s="265">
        <v>0</v>
      </c>
      <c r="S190" s="265">
        <v>90000</v>
      </c>
      <c r="T190" s="265">
        <v>81000</v>
      </c>
      <c r="U190" s="265">
        <v>0</v>
      </c>
      <c r="V190" s="265">
        <v>63000</v>
      </c>
      <c r="W190" s="265">
        <v>90000</v>
      </c>
      <c r="X190" s="265">
        <v>60000</v>
      </c>
      <c r="Y190" s="50">
        <f t="shared" si="2"/>
        <v>55000</v>
      </c>
    </row>
    <row r="191" spans="1:28" s="39" customFormat="1" x14ac:dyDescent="0.35">
      <c r="A191" s="37" t="s">
        <v>334</v>
      </c>
      <c r="B191" s="37" t="s">
        <v>644</v>
      </c>
      <c r="C191" s="91">
        <v>8470305</v>
      </c>
      <c r="D191" s="37" t="s">
        <v>598</v>
      </c>
      <c r="E191" s="91">
        <v>428640</v>
      </c>
      <c r="F191" s="37" t="s">
        <v>279</v>
      </c>
      <c r="G191" s="90">
        <v>847001</v>
      </c>
      <c r="H191" s="37" t="s">
        <v>50</v>
      </c>
      <c r="I191" s="90">
        <v>200179</v>
      </c>
      <c r="J191" s="37" t="s">
        <v>61</v>
      </c>
      <c r="K191" s="265">
        <v>11200</v>
      </c>
      <c r="L191" s="265">
        <v>-3637</v>
      </c>
      <c r="M191" s="265">
        <v>0</v>
      </c>
      <c r="N191" s="265">
        <v>45000</v>
      </c>
      <c r="O191" s="265">
        <v>45000</v>
      </c>
      <c r="P191" s="265">
        <v>0</v>
      </c>
      <c r="Q191" s="265">
        <v>0</v>
      </c>
      <c r="R191" s="265">
        <v>0</v>
      </c>
      <c r="S191" s="265">
        <v>30000</v>
      </c>
      <c r="T191" s="265">
        <v>27000</v>
      </c>
      <c r="U191" s="265">
        <v>0</v>
      </c>
      <c r="V191" s="265">
        <v>21000</v>
      </c>
      <c r="W191" s="265">
        <v>36000</v>
      </c>
      <c r="X191" s="265">
        <v>30000</v>
      </c>
      <c r="Y191" s="50">
        <f t="shared" si="2"/>
        <v>-15000</v>
      </c>
    </row>
    <row r="192" spans="1:28" s="39" customFormat="1" x14ac:dyDescent="0.35">
      <c r="A192" s="37" t="s">
        <v>334</v>
      </c>
      <c r="B192" s="37" t="s">
        <v>648</v>
      </c>
      <c r="C192" s="91">
        <v>8470305</v>
      </c>
      <c r="D192" s="37" t="s">
        <v>598</v>
      </c>
      <c r="E192" s="91">
        <v>432209</v>
      </c>
      <c r="F192" s="37" t="s">
        <v>393</v>
      </c>
      <c r="G192" s="90">
        <v>847001</v>
      </c>
      <c r="H192" s="37" t="s">
        <v>50</v>
      </c>
      <c r="I192" s="90">
        <v>200179</v>
      </c>
      <c r="J192" s="37" t="s">
        <v>61</v>
      </c>
      <c r="K192" s="265">
        <v>979024</v>
      </c>
      <c r="L192" s="265">
        <v>786039</v>
      </c>
      <c r="M192" s="265">
        <v>201150</v>
      </c>
      <c r="N192" s="265">
        <v>45292</v>
      </c>
      <c r="O192" s="265">
        <v>45292</v>
      </c>
      <c r="P192" s="265">
        <v>35796.32</v>
      </c>
      <c r="Q192" s="265">
        <v>0</v>
      </c>
      <c r="R192" s="265">
        <v>8000</v>
      </c>
      <c r="S192" s="265">
        <v>220000</v>
      </c>
      <c r="T192" s="265">
        <v>198000</v>
      </c>
      <c r="U192" s="265">
        <v>0</v>
      </c>
      <c r="V192" s="265">
        <v>154000</v>
      </c>
      <c r="W192" s="265">
        <v>319000</v>
      </c>
      <c r="X192" s="265">
        <v>297000</v>
      </c>
      <c r="Y192" s="50">
        <f t="shared" si="2"/>
        <v>174708</v>
      </c>
    </row>
    <row r="193" spans="1:25" s="39" customFormat="1" x14ac:dyDescent="0.35">
      <c r="A193" s="37" t="s">
        <v>334</v>
      </c>
      <c r="B193" s="37" t="s">
        <v>652</v>
      </c>
      <c r="C193" s="91">
        <v>8470305</v>
      </c>
      <c r="D193" s="37" t="s">
        <v>598</v>
      </c>
      <c r="E193" s="91">
        <v>432690</v>
      </c>
      <c r="F193" s="37" t="s">
        <v>651</v>
      </c>
      <c r="G193" s="90">
        <v>847001</v>
      </c>
      <c r="H193" s="37" t="s">
        <v>50</v>
      </c>
      <c r="I193" s="90">
        <v>200179</v>
      </c>
      <c r="J193" s="37" t="s">
        <v>61</v>
      </c>
      <c r="K193" s="265">
        <v>6925</v>
      </c>
      <c r="L193" s="265">
        <v>-2820</v>
      </c>
      <c r="M193" s="265">
        <v>5000</v>
      </c>
      <c r="N193" s="265">
        <v>0</v>
      </c>
      <c r="O193" s="265">
        <v>0</v>
      </c>
      <c r="P193" s="265">
        <v>0</v>
      </c>
      <c r="Q193" s="265">
        <v>0</v>
      </c>
      <c r="R193" s="265">
        <v>0</v>
      </c>
      <c r="S193" s="265">
        <v>0</v>
      </c>
      <c r="T193" s="265">
        <v>0</v>
      </c>
      <c r="U193" s="265">
        <v>0</v>
      </c>
      <c r="V193" s="265">
        <v>0</v>
      </c>
      <c r="W193" s="265">
        <v>0</v>
      </c>
      <c r="X193" s="265">
        <v>0</v>
      </c>
      <c r="Y193" s="50">
        <f t="shared" si="2"/>
        <v>0</v>
      </c>
    </row>
    <row r="194" spans="1:25" s="39" customFormat="1" x14ac:dyDescent="0.35">
      <c r="A194" s="37" t="s">
        <v>334</v>
      </c>
      <c r="B194" s="37" t="s">
        <v>656</v>
      </c>
      <c r="C194" s="91">
        <v>8470305</v>
      </c>
      <c r="D194" s="37" t="s">
        <v>598</v>
      </c>
      <c r="E194" s="91">
        <v>435340</v>
      </c>
      <c r="F194" s="37" t="s">
        <v>655</v>
      </c>
      <c r="G194" s="90">
        <v>847001</v>
      </c>
      <c r="H194" s="37" t="s">
        <v>50</v>
      </c>
      <c r="I194" s="90">
        <v>200179</v>
      </c>
      <c r="J194" s="37" t="s">
        <v>61</v>
      </c>
      <c r="K194" s="265">
        <v>0</v>
      </c>
      <c r="L194" s="265">
        <v>0</v>
      </c>
      <c r="M194" s="265">
        <v>-13614</v>
      </c>
      <c r="N194" s="265">
        <v>0</v>
      </c>
      <c r="O194" s="265">
        <v>0</v>
      </c>
      <c r="P194" s="265">
        <v>0</v>
      </c>
      <c r="Q194" s="265">
        <v>0</v>
      </c>
      <c r="R194" s="265">
        <v>0</v>
      </c>
      <c r="S194" s="265">
        <v>0</v>
      </c>
      <c r="T194" s="265">
        <v>0</v>
      </c>
      <c r="U194" s="265">
        <v>0</v>
      </c>
      <c r="V194" s="265">
        <v>0</v>
      </c>
      <c r="W194" s="265">
        <v>0</v>
      </c>
      <c r="X194" s="265">
        <v>0</v>
      </c>
      <c r="Y194" s="50">
        <f t="shared" si="2"/>
        <v>0</v>
      </c>
    </row>
    <row r="195" spans="1:25" s="39" customFormat="1" x14ac:dyDescent="0.35">
      <c r="A195" s="37" t="s">
        <v>334</v>
      </c>
      <c r="B195" s="37" t="s">
        <v>658</v>
      </c>
      <c r="C195" s="91">
        <v>8470305</v>
      </c>
      <c r="D195" s="37" t="s">
        <v>598</v>
      </c>
      <c r="E195" s="91">
        <v>435350</v>
      </c>
      <c r="F195" s="37" t="s">
        <v>399</v>
      </c>
      <c r="G195" s="90">
        <v>847001</v>
      </c>
      <c r="H195" s="37" t="s">
        <v>50</v>
      </c>
      <c r="I195" s="90">
        <v>200179</v>
      </c>
      <c r="J195" s="37" t="s">
        <v>61</v>
      </c>
      <c r="K195" s="265">
        <v>0</v>
      </c>
      <c r="L195" s="265">
        <v>2389</v>
      </c>
      <c r="M195" s="265">
        <v>0</v>
      </c>
      <c r="N195" s="265">
        <v>260000</v>
      </c>
      <c r="O195" s="265">
        <v>260000</v>
      </c>
      <c r="P195" s="265">
        <v>20510.169999999998</v>
      </c>
      <c r="Q195" s="265">
        <v>0</v>
      </c>
      <c r="R195" s="265">
        <v>0</v>
      </c>
      <c r="S195" s="265">
        <v>270000</v>
      </c>
      <c r="T195" s="265">
        <v>243000</v>
      </c>
      <c r="U195" s="265">
        <v>0</v>
      </c>
      <c r="V195" s="265">
        <v>189000</v>
      </c>
      <c r="W195" s="265">
        <v>360000</v>
      </c>
      <c r="X195" s="265">
        <v>315000</v>
      </c>
      <c r="Y195" s="50">
        <f t="shared" ref="Y195:Y258" si="3">S195-N195</f>
        <v>10000</v>
      </c>
    </row>
    <row r="196" spans="1:25" s="39" customFormat="1" x14ac:dyDescent="0.35">
      <c r="A196" s="37" t="s">
        <v>334</v>
      </c>
      <c r="B196" s="37" t="s">
        <v>662</v>
      </c>
      <c r="C196" s="91">
        <v>8470305</v>
      </c>
      <c r="D196" s="37" t="s">
        <v>598</v>
      </c>
      <c r="E196" s="91">
        <v>435508</v>
      </c>
      <c r="F196" s="37" t="s">
        <v>405</v>
      </c>
      <c r="G196" s="90">
        <v>847001</v>
      </c>
      <c r="H196" s="37" t="s">
        <v>50</v>
      </c>
      <c r="I196" s="90">
        <v>200179</v>
      </c>
      <c r="J196" s="37" t="s">
        <v>61</v>
      </c>
      <c r="K196" s="265">
        <v>148739</v>
      </c>
      <c r="L196" s="265">
        <v>22872</v>
      </c>
      <c r="M196" s="265">
        <v>35692</v>
      </c>
      <c r="N196" s="265">
        <v>65000</v>
      </c>
      <c r="O196" s="265">
        <v>65000</v>
      </c>
      <c r="P196" s="265">
        <v>20000</v>
      </c>
      <c r="Q196" s="265">
        <v>0</v>
      </c>
      <c r="R196" s="265">
        <v>0</v>
      </c>
      <c r="S196" s="265">
        <v>120000</v>
      </c>
      <c r="T196" s="265">
        <v>108000</v>
      </c>
      <c r="U196" s="265">
        <v>0</v>
      </c>
      <c r="V196" s="265">
        <v>84000</v>
      </c>
      <c r="W196" s="265">
        <v>180000</v>
      </c>
      <c r="X196" s="265">
        <v>120000</v>
      </c>
      <c r="Y196" s="50">
        <f t="shared" si="3"/>
        <v>55000</v>
      </c>
    </row>
    <row r="197" spans="1:25" s="39" customFormat="1" x14ac:dyDescent="0.35">
      <c r="A197" s="37" t="s">
        <v>334</v>
      </c>
      <c r="B197" s="37" t="s">
        <v>664</v>
      </c>
      <c r="C197" s="91">
        <v>8470305</v>
      </c>
      <c r="D197" s="37" t="s">
        <v>598</v>
      </c>
      <c r="E197" s="91">
        <v>436600</v>
      </c>
      <c r="F197" s="37" t="s">
        <v>416</v>
      </c>
      <c r="G197" s="90">
        <v>847001</v>
      </c>
      <c r="H197" s="37" t="s">
        <v>50</v>
      </c>
      <c r="I197" s="90">
        <v>200179</v>
      </c>
      <c r="J197" s="37" t="s">
        <v>61</v>
      </c>
      <c r="K197" s="265">
        <v>0</v>
      </c>
      <c r="L197" s="265">
        <v>0</v>
      </c>
      <c r="M197" s="265">
        <v>0</v>
      </c>
      <c r="N197" s="265">
        <v>25000</v>
      </c>
      <c r="O197" s="265">
        <v>25000</v>
      </c>
      <c r="P197" s="265">
        <v>0</v>
      </c>
      <c r="Q197" s="265">
        <v>0</v>
      </c>
      <c r="R197" s="265">
        <v>0</v>
      </c>
      <c r="S197" s="265">
        <v>40000</v>
      </c>
      <c r="T197" s="265">
        <v>36000</v>
      </c>
      <c r="U197" s="265">
        <v>0</v>
      </c>
      <c r="V197" s="265">
        <v>28000</v>
      </c>
      <c r="W197" s="265">
        <v>60000</v>
      </c>
      <c r="X197" s="265">
        <v>40000</v>
      </c>
      <c r="Y197" s="50">
        <f t="shared" si="3"/>
        <v>15000</v>
      </c>
    </row>
    <row r="198" spans="1:25" s="39" customFormat="1" x14ac:dyDescent="0.35">
      <c r="A198" s="37" t="s">
        <v>334</v>
      </c>
      <c r="B198" s="37" t="s">
        <v>337</v>
      </c>
      <c r="C198" s="91">
        <v>8470310</v>
      </c>
      <c r="D198" s="37" t="s">
        <v>335</v>
      </c>
      <c r="E198" s="91">
        <v>420550</v>
      </c>
      <c r="F198" s="37" t="s">
        <v>225</v>
      </c>
      <c r="G198" s="90">
        <v>847001</v>
      </c>
      <c r="H198" s="37" t="s">
        <v>50</v>
      </c>
      <c r="I198" s="90">
        <v>200179</v>
      </c>
      <c r="J198" s="37" t="s">
        <v>61</v>
      </c>
      <c r="K198" s="265">
        <v>0</v>
      </c>
      <c r="L198" s="265">
        <v>0</v>
      </c>
      <c r="M198" s="265">
        <v>0</v>
      </c>
      <c r="N198" s="265">
        <v>20000</v>
      </c>
      <c r="O198" s="265">
        <v>20000</v>
      </c>
      <c r="P198" s="265">
        <v>0</v>
      </c>
      <c r="Q198" s="265">
        <v>0</v>
      </c>
      <c r="R198" s="265">
        <v>0</v>
      </c>
      <c r="S198" s="265">
        <v>20000</v>
      </c>
      <c r="T198" s="265">
        <v>18000</v>
      </c>
      <c r="U198" s="265">
        <v>0</v>
      </c>
      <c r="V198" s="265">
        <v>14000</v>
      </c>
      <c r="W198" s="265">
        <v>20000</v>
      </c>
      <c r="X198" s="265">
        <v>20000</v>
      </c>
      <c r="Y198" s="50">
        <f t="shared" si="3"/>
        <v>0</v>
      </c>
    </row>
    <row r="199" spans="1:25" s="39" customFormat="1" x14ac:dyDescent="0.35">
      <c r="A199" s="37" t="s">
        <v>334</v>
      </c>
      <c r="B199" s="37" t="s">
        <v>343</v>
      </c>
      <c r="C199" s="91">
        <v>8470310</v>
      </c>
      <c r="D199" s="37" t="s">
        <v>335</v>
      </c>
      <c r="E199" s="91">
        <v>425510</v>
      </c>
      <c r="F199" s="37" t="s">
        <v>247</v>
      </c>
      <c r="G199" s="90">
        <v>847001</v>
      </c>
      <c r="H199" s="37" t="s">
        <v>50</v>
      </c>
      <c r="I199" s="90">
        <v>200179</v>
      </c>
      <c r="J199" s="37" t="s">
        <v>61</v>
      </c>
      <c r="K199" s="265">
        <v>2815</v>
      </c>
      <c r="L199" s="265">
        <v>0</v>
      </c>
      <c r="M199" s="265">
        <v>0</v>
      </c>
      <c r="N199" s="38">
        <v>15000</v>
      </c>
      <c r="O199" s="265">
        <v>15000</v>
      </c>
      <c r="P199" s="265">
        <v>5330</v>
      </c>
      <c r="Q199" s="265">
        <v>0</v>
      </c>
      <c r="R199" s="265">
        <v>0</v>
      </c>
      <c r="S199" s="38">
        <v>30000</v>
      </c>
      <c r="T199" s="265">
        <v>27000</v>
      </c>
      <c r="U199" s="265">
        <v>0</v>
      </c>
      <c r="V199" s="265">
        <v>21000</v>
      </c>
      <c r="W199" s="265">
        <v>30000</v>
      </c>
      <c r="X199" s="265">
        <v>30000</v>
      </c>
      <c r="Y199" s="38">
        <f t="shared" si="3"/>
        <v>15000</v>
      </c>
    </row>
    <row r="200" spans="1:25" s="39" customFormat="1" x14ac:dyDescent="0.35">
      <c r="A200" s="37" t="s">
        <v>334</v>
      </c>
      <c r="B200" s="37" t="s">
        <v>353</v>
      </c>
      <c r="C200" s="91">
        <v>8470310</v>
      </c>
      <c r="D200" s="37" t="s">
        <v>335</v>
      </c>
      <c r="E200" s="91">
        <v>425760</v>
      </c>
      <c r="F200" s="37" t="s">
        <v>352</v>
      </c>
      <c r="G200" s="90">
        <v>847001</v>
      </c>
      <c r="H200" s="37" t="s">
        <v>50</v>
      </c>
      <c r="I200" s="90">
        <v>200179</v>
      </c>
      <c r="J200" s="37" t="s">
        <v>61</v>
      </c>
      <c r="K200" s="265">
        <v>44454</v>
      </c>
      <c r="L200" s="265">
        <v>0</v>
      </c>
      <c r="M200" s="265">
        <v>0</v>
      </c>
      <c r="N200" s="265">
        <v>150000</v>
      </c>
      <c r="O200" s="265">
        <v>150000</v>
      </c>
      <c r="P200" s="265">
        <v>0</v>
      </c>
      <c r="Q200" s="265">
        <v>0</v>
      </c>
      <c r="R200" s="265">
        <v>0</v>
      </c>
      <c r="S200" s="265">
        <v>150000</v>
      </c>
      <c r="T200" s="265">
        <v>135000</v>
      </c>
      <c r="U200" s="265">
        <v>0</v>
      </c>
      <c r="V200" s="265">
        <v>105000</v>
      </c>
      <c r="W200" s="265">
        <v>150000</v>
      </c>
      <c r="X200" s="265">
        <v>150000</v>
      </c>
      <c r="Y200" s="50">
        <f t="shared" si="3"/>
        <v>0</v>
      </c>
    </row>
    <row r="201" spans="1:25" s="39" customFormat="1" x14ac:dyDescent="0.35">
      <c r="A201" s="37" t="s">
        <v>334</v>
      </c>
      <c r="B201" s="37" t="s">
        <v>360</v>
      </c>
      <c r="C201" s="91">
        <v>8470310</v>
      </c>
      <c r="D201" s="37" t="s">
        <v>335</v>
      </c>
      <c r="E201" s="91">
        <v>425763</v>
      </c>
      <c r="F201" s="37" t="s">
        <v>359</v>
      </c>
      <c r="G201" s="90">
        <v>847001</v>
      </c>
      <c r="H201" s="37" t="s">
        <v>50</v>
      </c>
      <c r="I201" s="90">
        <v>200179</v>
      </c>
      <c r="J201" s="37" t="s">
        <v>61</v>
      </c>
      <c r="K201" s="265">
        <v>155851</v>
      </c>
      <c r="L201" s="265">
        <v>62464</v>
      </c>
      <c r="M201" s="265">
        <v>113543</v>
      </c>
      <c r="N201" s="265">
        <v>350000</v>
      </c>
      <c r="O201" s="265">
        <v>350000</v>
      </c>
      <c r="P201" s="265">
        <v>160000</v>
      </c>
      <c r="Q201" s="265">
        <v>0</v>
      </c>
      <c r="R201" s="265">
        <v>0</v>
      </c>
      <c r="S201" s="265">
        <v>360000</v>
      </c>
      <c r="T201" s="265">
        <v>324000</v>
      </c>
      <c r="U201" s="265">
        <v>0</v>
      </c>
      <c r="V201" s="265">
        <v>252000</v>
      </c>
      <c r="W201" s="265">
        <v>360000</v>
      </c>
      <c r="X201" s="265">
        <v>360000</v>
      </c>
      <c r="Y201" s="50">
        <f t="shared" si="3"/>
        <v>10000</v>
      </c>
    </row>
    <row r="202" spans="1:25" s="39" customFormat="1" x14ac:dyDescent="0.35">
      <c r="A202" s="37" t="s">
        <v>334</v>
      </c>
      <c r="B202" s="37" t="s">
        <v>368</v>
      </c>
      <c r="C202" s="91">
        <v>8470310</v>
      </c>
      <c r="D202" s="37" t="s">
        <v>335</v>
      </c>
      <c r="E202" s="91">
        <v>425770</v>
      </c>
      <c r="F202" s="37" t="s">
        <v>367</v>
      </c>
      <c r="G202" s="90">
        <v>847001</v>
      </c>
      <c r="H202" s="37" t="s">
        <v>50</v>
      </c>
      <c r="I202" s="90">
        <v>200179</v>
      </c>
      <c r="J202" s="37" t="s">
        <v>61</v>
      </c>
      <c r="K202" s="265">
        <v>50028</v>
      </c>
      <c r="L202" s="265">
        <v>2890</v>
      </c>
      <c r="M202" s="265">
        <v>0</v>
      </c>
      <c r="N202" s="265">
        <v>210000</v>
      </c>
      <c r="O202" s="265">
        <v>210000</v>
      </c>
      <c r="P202" s="265">
        <v>14375.27</v>
      </c>
      <c r="Q202" s="265">
        <v>0</v>
      </c>
      <c r="R202" s="265">
        <v>0</v>
      </c>
      <c r="S202" s="265">
        <v>340000</v>
      </c>
      <c r="T202" s="265">
        <v>306000</v>
      </c>
      <c r="U202" s="265">
        <v>0</v>
      </c>
      <c r="V202" s="265">
        <v>238000</v>
      </c>
      <c r="W202" s="265">
        <v>340000</v>
      </c>
      <c r="X202" s="265">
        <v>340000</v>
      </c>
      <c r="Y202" s="50">
        <f t="shared" si="3"/>
        <v>130000</v>
      </c>
    </row>
    <row r="203" spans="1:25" s="39" customFormat="1" x14ac:dyDescent="0.35">
      <c r="A203" s="37" t="s">
        <v>334</v>
      </c>
      <c r="B203" s="37" t="s">
        <v>376</v>
      </c>
      <c r="C203" s="91">
        <v>8470310</v>
      </c>
      <c r="D203" s="37" t="s">
        <v>335</v>
      </c>
      <c r="E203" s="91">
        <v>425900</v>
      </c>
      <c r="F203" s="37" t="s">
        <v>266</v>
      </c>
      <c r="G203" s="90">
        <v>847001</v>
      </c>
      <c r="H203" s="37" t="s">
        <v>50</v>
      </c>
      <c r="I203" s="90">
        <v>200179</v>
      </c>
      <c r="J203" s="37" t="s">
        <v>61</v>
      </c>
      <c r="K203" s="265">
        <v>8829</v>
      </c>
      <c r="L203" s="265">
        <v>392</v>
      </c>
      <c r="M203" s="265">
        <v>0</v>
      </c>
      <c r="N203" s="265">
        <v>8500</v>
      </c>
      <c r="O203" s="265">
        <v>8500</v>
      </c>
      <c r="P203" s="265">
        <v>0</v>
      </c>
      <c r="Q203" s="265">
        <v>0</v>
      </c>
      <c r="R203" s="265">
        <v>0</v>
      </c>
      <c r="S203" s="265">
        <v>8500</v>
      </c>
      <c r="T203" s="265">
        <v>7650</v>
      </c>
      <c r="U203" s="265">
        <v>0</v>
      </c>
      <c r="V203" s="265">
        <v>5950</v>
      </c>
      <c r="W203" s="265">
        <v>8500</v>
      </c>
      <c r="X203" s="265">
        <v>8500</v>
      </c>
      <c r="Y203" s="50">
        <f t="shared" si="3"/>
        <v>0</v>
      </c>
    </row>
    <row r="204" spans="1:25" s="39" customFormat="1" x14ac:dyDescent="0.35">
      <c r="A204" s="37" t="s">
        <v>334</v>
      </c>
      <c r="B204" s="37" t="s">
        <v>381</v>
      </c>
      <c r="C204" s="91">
        <v>8470310</v>
      </c>
      <c r="D204" s="37" t="s">
        <v>335</v>
      </c>
      <c r="E204" s="91">
        <v>426610</v>
      </c>
      <c r="F204" s="37" t="s">
        <v>694</v>
      </c>
      <c r="G204" s="90">
        <v>847001</v>
      </c>
      <c r="H204" s="37" t="s">
        <v>50</v>
      </c>
      <c r="I204" s="90">
        <v>200179</v>
      </c>
      <c r="J204" s="37" t="s">
        <v>61</v>
      </c>
      <c r="K204" s="265">
        <v>16763</v>
      </c>
      <c r="L204" s="265">
        <v>8348</v>
      </c>
      <c r="M204" s="265">
        <v>0</v>
      </c>
      <c r="N204" s="265">
        <v>9114</v>
      </c>
      <c r="O204" s="265">
        <v>9114</v>
      </c>
      <c r="P204" s="265">
        <v>8895.2800000000007</v>
      </c>
      <c r="Q204" s="265">
        <v>0</v>
      </c>
      <c r="R204" s="265">
        <v>0</v>
      </c>
      <c r="S204" s="265">
        <v>10000</v>
      </c>
      <c r="T204" s="265">
        <v>9000</v>
      </c>
      <c r="U204" s="265">
        <v>0</v>
      </c>
      <c r="V204" s="265">
        <v>7000</v>
      </c>
      <c r="W204" s="265">
        <v>10000</v>
      </c>
      <c r="X204" s="265">
        <v>10000</v>
      </c>
      <c r="Y204" s="50">
        <f t="shared" si="3"/>
        <v>886</v>
      </c>
    </row>
    <row r="205" spans="1:25" s="39" customFormat="1" x14ac:dyDescent="0.35">
      <c r="A205" s="37" t="s">
        <v>334</v>
      </c>
      <c r="B205" s="37" t="s">
        <v>386</v>
      </c>
      <c r="C205" s="91">
        <v>8470310</v>
      </c>
      <c r="D205" s="37" t="s">
        <v>335</v>
      </c>
      <c r="E205" s="91">
        <v>428090</v>
      </c>
      <c r="F205" s="37" t="s">
        <v>154</v>
      </c>
      <c r="G205" s="90">
        <v>847001</v>
      </c>
      <c r="H205" s="37" t="s">
        <v>50</v>
      </c>
      <c r="I205" s="90">
        <v>200179</v>
      </c>
      <c r="J205" s="37" t="s">
        <v>61</v>
      </c>
      <c r="K205" s="265">
        <v>0</v>
      </c>
      <c r="L205" s="265">
        <v>0</v>
      </c>
      <c r="M205" s="265">
        <v>0</v>
      </c>
      <c r="N205" s="265">
        <v>40000</v>
      </c>
      <c r="O205" s="265">
        <v>40000</v>
      </c>
      <c r="P205" s="265">
        <v>0</v>
      </c>
      <c r="Q205" s="265">
        <v>0</v>
      </c>
      <c r="R205" s="265">
        <v>0</v>
      </c>
      <c r="S205" s="265">
        <v>40000</v>
      </c>
      <c r="T205" s="265">
        <v>36000</v>
      </c>
      <c r="U205" s="265">
        <v>0</v>
      </c>
      <c r="V205" s="265">
        <v>28000</v>
      </c>
      <c r="W205" s="265">
        <v>340000</v>
      </c>
      <c r="X205" s="265">
        <v>340000</v>
      </c>
      <c r="Y205" s="50">
        <f t="shared" si="3"/>
        <v>0</v>
      </c>
    </row>
    <row r="206" spans="1:25" s="39" customFormat="1" x14ac:dyDescent="0.35">
      <c r="A206" s="37" t="s">
        <v>334</v>
      </c>
      <c r="B206" s="37" t="s">
        <v>394</v>
      </c>
      <c r="C206" s="91">
        <v>8470310</v>
      </c>
      <c r="D206" s="37" t="s">
        <v>335</v>
      </c>
      <c r="E206" s="91">
        <v>432209</v>
      </c>
      <c r="F206" s="37" t="s">
        <v>393</v>
      </c>
      <c r="G206" s="90">
        <v>847001</v>
      </c>
      <c r="H206" s="37" t="s">
        <v>50</v>
      </c>
      <c r="I206" s="90">
        <v>200179</v>
      </c>
      <c r="J206" s="37" t="s">
        <v>61</v>
      </c>
      <c r="K206" s="265">
        <v>0</v>
      </c>
      <c r="L206" s="265">
        <v>0</v>
      </c>
      <c r="M206" s="265">
        <v>0</v>
      </c>
      <c r="N206" s="265">
        <v>5000</v>
      </c>
      <c r="O206" s="265">
        <v>5000</v>
      </c>
      <c r="P206" s="265">
        <v>0</v>
      </c>
      <c r="Q206" s="265">
        <v>0</v>
      </c>
      <c r="R206" s="265">
        <v>0</v>
      </c>
      <c r="S206" s="265">
        <v>85000</v>
      </c>
      <c r="T206" s="265">
        <v>76500</v>
      </c>
      <c r="U206" s="265">
        <v>0</v>
      </c>
      <c r="V206" s="265">
        <v>59500</v>
      </c>
      <c r="W206" s="265">
        <v>85000</v>
      </c>
      <c r="X206" s="265">
        <v>85000</v>
      </c>
      <c r="Y206" s="50">
        <f t="shared" si="3"/>
        <v>80000</v>
      </c>
    </row>
    <row r="207" spans="1:25" s="39" customFormat="1" x14ac:dyDescent="0.35">
      <c r="A207" s="37" t="s">
        <v>334</v>
      </c>
      <c r="B207" s="37" t="s">
        <v>400</v>
      </c>
      <c r="C207" s="91">
        <v>8470310</v>
      </c>
      <c r="D207" s="37" t="s">
        <v>335</v>
      </c>
      <c r="E207" s="91">
        <v>435350</v>
      </c>
      <c r="F207" s="37" t="s">
        <v>399</v>
      </c>
      <c r="G207" s="90">
        <v>847001</v>
      </c>
      <c r="H207" s="37" t="s">
        <v>50</v>
      </c>
      <c r="I207" s="90">
        <v>200179</v>
      </c>
      <c r="J207" s="37" t="s">
        <v>61</v>
      </c>
      <c r="K207" s="265">
        <v>3243</v>
      </c>
      <c r="L207" s="265">
        <v>0</v>
      </c>
      <c r="M207" s="265">
        <v>48732</v>
      </c>
      <c r="N207" s="265">
        <v>182000</v>
      </c>
      <c r="O207" s="265">
        <v>182000</v>
      </c>
      <c r="P207" s="265">
        <v>23762.18</v>
      </c>
      <c r="Q207" s="265">
        <v>0</v>
      </c>
      <c r="R207" s="265">
        <v>0</v>
      </c>
      <c r="S207" s="265">
        <v>221000</v>
      </c>
      <c r="T207" s="265">
        <v>198900</v>
      </c>
      <c r="U207" s="265">
        <v>0</v>
      </c>
      <c r="V207" s="265">
        <v>154700</v>
      </c>
      <c r="W207" s="265">
        <v>221000</v>
      </c>
      <c r="X207" s="265">
        <v>221000</v>
      </c>
      <c r="Y207" s="50">
        <f t="shared" si="3"/>
        <v>39000</v>
      </c>
    </row>
    <row r="208" spans="1:25" s="39" customFormat="1" x14ac:dyDescent="0.35">
      <c r="A208" s="37" t="s">
        <v>334</v>
      </c>
      <c r="B208" s="37" t="s">
        <v>406</v>
      </c>
      <c r="C208" s="91">
        <v>8470310</v>
      </c>
      <c r="D208" s="37" t="s">
        <v>335</v>
      </c>
      <c r="E208" s="91">
        <v>435508</v>
      </c>
      <c r="F208" s="37" t="s">
        <v>405</v>
      </c>
      <c r="G208" s="90">
        <v>847001</v>
      </c>
      <c r="H208" s="37" t="s">
        <v>50</v>
      </c>
      <c r="I208" s="90">
        <v>200179</v>
      </c>
      <c r="J208" s="37" t="s">
        <v>61</v>
      </c>
      <c r="K208" s="265">
        <v>61347</v>
      </c>
      <c r="L208" s="265">
        <v>119604</v>
      </c>
      <c r="M208" s="265">
        <v>52948</v>
      </c>
      <c r="N208" s="265">
        <v>155000</v>
      </c>
      <c r="O208" s="265">
        <v>155000</v>
      </c>
      <c r="P208" s="265">
        <v>31585</v>
      </c>
      <c r="Q208" s="265">
        <v>122810</v>
      </c>
      <c r="R208" s="265">
        <v>0</v>
      </c>
      <c r="S208" s="265">
        <v>133008</v>
      </c>
      <c r="T208" s="265">
        <v>119707</v>
      </c>
      <c r="U208" s="265">
        <v>0</v>
      </c>
      <c r="V208" s="265">
        <v>93106</v>
      </c>
      <c r="W208" s="265">
        <v>255000</v>
      </c>
      <c r="X208" s="265">
        <v>289000</v>
      </c>
      <c r="Y208" s="50">
        <f t="shared" si="3"/>
        <v>-21992</v>
      </c>
    </row>
    <row r="209" spans="1:27" s="39" customFormat="1" x14ac:dyDescent="0.35">
      <c r="A209" s="37" t="s">
        <v>334</v>
      </c>
      <c r="B209" s="37" t="s">
        <v>410</v>
      </c>
      <c r="C209" s="91">
        <v>8470310</v>
      </c>
      <c r="D209" s="37" t="s">
        <v>335</v>
      </c>
      <c r="E209" s="91">
        <v>436110</v>
      </c>
      <c r="F209" s="37" t="s">
        <v>190</v>
      </c>
      <c r="G209" s="90">
        <v>847001</v>
      </c>
      <c r="H209" s="37" t="s">
        <v>50</v>
      </c>
      <c r="I209" s="90">
        <v>200179</v>
      </c>
      <c r="J209" s="37" t="s">
        <v>61</v>
      </c>
      <c r="K209" s="265">
        <v>0</v>
      </c>
      <c r="L209" s="265">
        <v>0</v>
      </c>
      <c r="M209" s="265">
        <v>0</v>
      </c>
      <c r="N209" s="265">
        <v>4000</v>
      </c>
      <c r="O209" s="265">
        <v>4000</v>
      </c>
      <c r="P209" s="265">
        <v>0</v>
      </c>
      <c r="Q209" s="265">
        <v>0</v>
      </c>
      <c r="R209" s="265">
        <v>0</v>
      </c>
      <c r="S209" s="265">
        <v>5100</v>
      </c>
      <c r="T209" s="265">
        <v>4590</v>
      </c>
      <c r="U209" s="265">
        <v>0</v>
      </c>
      <c r="V209" s="265">
        <v>3570</v>
      </c>
      <c r="W209" s="265">
        <v>5100</v>
      </c>
      <c r="X209" s="265">
        <v>5100</v>
      </c>
      <c r="Y209" s="50">
        <f t="shared" si="3"/>
        <v>1100</v>
      </c>
    </row>
    <row r="210" spans="1:27" s="39" customFormat="1" x14ac:dyDescent="0.35">
      <c r="A210" s="37" t="s">
        <v>334</v>
      </c>
      <c r="B210" s="37" t="s">
        <v>417</v>
      </c>
      <c r="C210" s="91">
        <v>8470310</v>
      </c>
      <c r="D210" s="37" t="s">
        <v>335</v>
      </c>
      <c r="E210" s="91">
        <v>436600</v>
      </c>
      <c r="F210" s="37" t="s">
        <v>416</v>
      </c>
      <c r="G210" s="90">
        <v>847001</v>
      </c>
      <c r="H210" s="37" t="s">
        <v>50</v>
      </c>
      <c r="I210" s="90">
        <v>200179</v>
      </c>
      <c r="J210" s="37" t="s">
        <v>61</v>
      </c>
      <c r="K210" s="265">
        <v>0</v>
      </c>
      <c r="L210" s="265">
        <v>0</v>
      </c>
      <c r="M210" s="265">
        <v>505</v>
      </c>
      <c r="N210" s="265">
        <v>5000</v>
      </c>
      <c r="O210" s="265">
        <v>5000</v>
      </c>
      <c r="P210" s="265">
        <v>0</v>
      </c>
      <c r="Q210" s="265">
        <v>0</v>
      </c>
      <c r="R210" s="265">
        <v>0</v>
      </c>
      <c r="S210" s="265">
        <v>5950</v>
      </c>
      <c r="T210" s="265">
        <v>5355</v>
      </c>
      <c r="U210" s="265">
        <v>0</v>
      </c>
      <c r="V210" s="265">
        <v>4165</v>
      </c>
      <c r="W210" s="265">
        <v>5950</v>
      </c>
      <c r="X210" s="265">
        <v>5950</v>
      </c>
      <c r="Y210" s="50">
        <f t="shared" si="3"/>
        <v>950</v>
      </c>
    </row>
    <row r="211" spans="1:27" s="39" customFormat="1" x14ac:dyDescent="0.35">
      <c r="A211" s="37" t="s">
        <v>334</v>
      </c>
      <c r="B211" s="37" t="s">
        <v>421</v>
      </c>
      <c r="C211" s="91">
        <v>8470310</v>
      </c>
      <c r="D211" s="37" t="s">
        <v>335</v>
      </c>
      <c r="E211" s="91">
        <v>492316</v>
      </c>
      <c r="F211" s="37" t="s">
        <v>221</v>
      </c>
      <c r="G211" s="90">
        <v>847001</v>
      </c>
      <c r="H211" s="37" t="s">
        <v>50</v>
      </c>
      <c r="I211" s="90">
        <v>300180</v>
      </c>
      <c r="J211" s="37" t="s">
        <v>192</v>
      </c>
      <c r="K211" s="265">
        <v>0</v>
      </c>
      <c r="L211" s="265">
        <v>433999</v>
      </c>
      <c r="M211" s="265">
        <v>658396</v>
      </c>
      <c r="N211" s="265">
        <v>1174460</v>
      </c>
      <c r="O211" s="265">
        <v>1174460</v>
      </c>
      <c r="P211" s="265">
        <v>269624.7</v>
      </c>
      <c r="Q211" s="265">
        <v>805100</v>
      </c>
      <c r="R211" s="265">
        <v>95078.62</v>
      </c>
      <c r="S211" s="265">
        <v>2526100</v>
      </c>
      <c r="T211" s="265">
        <v>2273490</v>
      </c>
      <c r="U211" s="265">
        <v>0</v>
      </c>
      <c r="V211" s="265">
        <v>1768270</v>
      </c>
      <c r="W211" s="265">
        <v>2500000</v>
      </c>
      <c r="X211" s="265">
        <v>2750000</v>
      </c>
      <c r="Y211" s="50">
        <f t="shared" si="3"/>
        <v>1351640</v>
      </c>
      <c r="AA211" s="275"/>
    </row>
    <row r="212" spans="1:27" s="39" customFormat="1" x14ac:dyDescent="0.35">
      <c r="A212" s="37" t="s">
        <v>334</v>
      </c>
      <c r="B212" s="37" t="s">
        <v>427</v>
      </c>
      <c r="C212" s="91">
        <v>8470315</v>
      </c>
      <c r="D212" s="37" t="s">
        <v>426</v>
      </c>
      <c r="E212" s="91">
        <v>420550</v>
      </c>
      <c r="F212" s="37" t="s">
        <v>225</v>
      </c>
      <c r="G212" s="90">
        <v>847001</v>
      </c>
      <c r="H212" s="37" t="s">
        <v>50</v>
      </c>
      <c r="I212" s="90">
        <v>200179</v>
      </c>
      <c r="J212" s="37" t="s">
        <v>61</v>
      </c>
      <c r="K212" s="265">
        <v>0</v>
      </c>
      <c r="L212" s="265">
        <v>0</v>
      </c>
      <c r="M212" s="265">
        <v>0</v>
      </c>
      <c r="N212" s="265">
        <v>1000</v>
      </c>
      <c r="O212" s="265">
        <v>1000</v>
      </c>
      <c r="P212" s="265">
        <v>0</v>
      </c>
      <c r="Q212" s="265">
        <v>0</v>
      </c>
      <c r="R212" s="265">
        <v>0</v>
      </c>
      <c r="S212" s="265">
        <v>7000</v>
      </c>
      <c r="T212" s="265">
        <v>6300</v>
      </c>
      <c r="U212" s="265">
        <v>0</v>
      </c>
      <c r="V212" s="265">
        <v>4900</v>
      </c>
      <c r="W212" s="265">
        <v>7000</v>
      </c>
      <c r="X212" s="265">
        <v>7000</v>
      </c>
      <c r="Y212" s="50">
        <f t="shared" si="3"/>
        <v>6000</v>
      </c>
    </row>
    <row r="213" spans="1:27" s="39" customFormat="1" x14ac:dyDescent="0.35">
      <c r="A213" s="37" t="s">
        <v>334</v>
      </c>
      <c r="B213" s="37" t="s">
        <v>432</v>
      </c>
      <c r="C213" s="91">
        <v>8470315</v>
      </c>
      <c r="D213" s="37" t="s">
        <v>426</v>
      </c>
      <c r="E213" s="91">
        <v>425510</v>
      </c>
      <c r="F213" s="37" t="s">
        <v>247</v>
      </c>
      <c r="G213" s="90">
        <v>847001</v>
      </c>
      <c r="H213" s="37" t="s">
        <v>50</v>
      </c>
      <c r="I213" s="90">
        <v>200179</v>
      </c>
      <c r="J213" s="37" t="s">
        <v>61</v>
      </c>
      <c r="K213" s="265">
        <v>5000</v>
      </c>
      <c r="L213" s="265">
        <v>1502</v>
      </c>
      <c r="M213" s="265">
        <v>100</v>
      </c>
      <c r="N213" s="38">
        <v>4000</v>
      </c>
      <c r="O213" s="265">
        <v>4000</v>
      </c>
      <c r="P213" s="265">
        <v>0</v>
      </c>
      <c r="Q213" s="265">
        <v>0</v>
      </c>
      <c r="R213" s="265">
        <v>0</v>
      </c>
      <c r="S213" s="38">
        <v>9000</v>
      </c>
      <c r="T213" s="265">
        <v>8100</v>
      </c>
      <c r="U213" s="265">
        <v>0</v>
      </c>
      <c r="V213" s="265">
        <v>6300</v>
      </c>
      <c r="W213" s="265">
        <v>10000</v>
      </c>
      <c r="X213" s="265">
        <v>12000</v>
      </c>
      <c r="Y213" s="38">
        <f t="shared" si="3"/>
        <v>5000</v>
      </c>
    </row>
    <row r="214" spans="1:27" s="39" customFormat="1" x14ac:dyDescent="0.35">
      <c r="A214" s="37" t="s">
        <v>334</v>
      </c>
      <c r="B214" s="37" t="s">
        <v>439</v>
      </c>
      <c r="C214" s="91">
        <v>8470315</v>
      </c>
      <c r="D214" s="37" t="s">
        <v>426</v>
      </c>
      <c r="E214" s="91">
        <v>425760</v>
      </c>
      <c r="F214" s="37" t="s">
        <v>352</v>
      </c>
      <c r="G214" s="90">
        <v>847001</v>
      </c>
      <c r="H214" s="37" t="s">
        <v>50</v>
      </c>
      <c r="I214" s="90">
        <v>200179</v>
      </c>
      <c r="J214" s="37" t="s">
        <v>61</v>
      </c>
      <c r="K214" s="265">
        <v>0</v>
      </c>
      <c r="L214" s="265">
        <v>875</v>
      </c>
      <c r="M214" s="265">
        <v>0</v>
      </c>
      <c r="N214" s="265">
        <v>20000</v>
      </c>
      <c r="O214" s="265">
        <v>20000</v>
      </c>
      <c r="P214" s="265">
        <v>1496.04</v>
      </c>
      <c r="Q214" s="265">
        <v>0</v>
      </c>
      <c r="R214" s="265">
        <v>0</v>
      </c>
      <c r="S214" s="265">
        <v>20000</v>
      </c>
      <c r="T214" s="265">
        <v>18000</v>
      </c>
      <c r="U214" s="265">
        <v>0</v>
      </c>
      <c r="V214" s="265">
        <v>14000</v>
      </c>
      <c r="W214" s="265">
        <v>24000</v>
      </c>
      <c r="X214" s="265">
        <v>35000</v>
      </c>
      <c r="Y214" s="50">
        <f t="shared" si="3"/>
        <v>0</v>
      </c>
    </row>
    <row r="215" spans="1:27" s="39" customFormat="1" x14ac:dyDescent="0.35">
      <c r="A215" s="37" t="s">
        <v>334</v>
      </c>
      <c r="B215" s="37" t="s">
        <v>446</v>
      </c>
      <c r="C215" s="91">
        <v>8470315</v>
      </c>
      <c r="D215" s="37" t="s">
        <v>426</v>
      </c>
      <c r="E215" s="91">
        <v>425763</v>
      </c>
      <c r="F215" s="37" t="s">
        <v>359</v>
      </c>
      <c r="G215" s="90">
        <v>847001</v>
      </c>
      <c r="H215" s="37" t="s">
        <v>50</v>
      </c>
      <c r="I215" s="90">
        <v>200179</v>
      </c>
      <c r="J215" s="37" t="s">
        <v>61</v>
      </c>
      <c r="K215" s="265">
        <v>18774</v>
      </c>
      <c r="L215" s="265">
        <v>54243</v>
      </c>
      <c r="M215" s="265">
        <v>56577</v>
      </c>
      <c r="N215" s="265">
        <v>180000</v>
      </c>
      <c r="O215" s="265">
        <v>180000</v>
      </c>
      <c r="P215" s="265">
        <v>44702.59</v>
      </c>
      <c r="Q215" s="265">
        <v>0</v>
      </c>
      <c r="R215" s="265">
        <v>0</v>
      </c>
      <c r="S215" s="265">
        <v>204000</v>
      </c>
      <c r="T215" s="265">
        <v>183600</v>
      </c>
      <c r="U215" s="265">
        <v>0</v>
      </c>
      <c r="V215" s="265">
        <v>142800</v>
      </c>
      <c r="W215" s="265">
        <v>204000</v>
      </c>
      <c r="X215" s="265">
        <v>210000</v>
      </c>
      <c r="Y215" s="50">
        <f t="shared" si="3"/>
        <v>24000</v>
      </c>
    </row>
    <row r="216" spans="1:27" s="39" customFormat="1" x14ac:dyDescent="0.35">
      <c r="A216" s="37" t="s">
        <v>334</v>
      </c>
      <c r="B216" s="37" t="s">
        <v>451</v>
      </c>
      <c r="C216" s="91">
        <v>8470315</v>
      </c>
      <c r="D216" s="37" t="s">
        <v>426</v>
      </c>
      <c r="E216" s="91">
        <v>425770</v>
      </c>
      <c r="F216" s="37" t="s">
        <v>367</v>
      </c>
      <c r="G216" s="90">
        <v>847001</v>
      </c>
      <c r="H216" s="37" t="s">
        <v>50</v>
      </c>
      <c r="I216" s="90">
        <v>200179</v>
      </c>
      <c r="J216" s="37" t="s">
        <v>61</v>
      </c>
      <c r="K216" s="265">
        <v>64039</v>
      </c>
      <c r="L216" s="265">
        <v>30570</v>
      </c>
      <c r="M216" s="265">
        <v>1102</v>
      </c>
      <c r="N216" s="265">
        <v>180000</v>
      </c>
      <c r="O216" s="265">
        <v>180000</v>
      </c>
      <c r="P216" s="265">
        <v>14384.66</v>
      </c>
      <c r="Q216" s="265">
        <v>0</v>
      </c>
      <c r="R216" s="265">
        <v>0</v>
      </c>
      <c r="S216" s="265">
        <v>300000</v>
      </c>
      <c r="T216" s="265">
        <v>270000</v>
      </c>
      <c r="U216" s="265">
        <v>0</v>
      </c>
      <c r="V216" s="265">
        <v>210000</v>
      </c>
      <c r="W216" s="265">
        <v>320000</v>
      </c>
      <c r="X216" s="265">
        <v>360000</v>
      </c>
      <c r="Y216" s="50">
        <f t="shared" si="3"/>
        <v>120000</v>
      </c>
    </row>
    <row r="217" spans="1:27" s="39" customFormat="1" x14ac:dyDescent="0.35">
      <c r="A217" s="37" t="s">
        <v>334</v>
      </c>
      <c r="B217" s="37" t="s">
        <v>456</v>
      </c>
      <c r="C217" s="91">
        <v>8470315</v>
      </c>
      <c r="D217" s="37" t="s">
        <v>426</v>
      </c>
      <c r="E217" s="91">
        <v>425900</v>
      </c>
      <c r="F217" s="37" t="s">
        <v>266</v>
      </c>
      <c r="G217" s="90">
        <v>847001</v>
      </c>
      <c r="H217" s="37" t="s">
        <v>50</v>
      </c>
      <c r="I217" s="90">
        <v>200179</v>
      </c>
      <c r="J217" s="37" t="s">
        <v>61</v>
      </c>
      <c r="K217" s="265">
        <v>9582</v>
      </c>
      <c r="L217" s="265">
        <v>1024</v>
      </c>
      <c r="M217" s="265">
        <v>315</v>
      </c>
      <c r="N217" s="265">
        <v>10000</v>
      </c>
      <c r="O217" s="265">
        <v>10000</v>
      </c>
      <c r="P217" s="265">
        <v>8004</v>
      </c>
      <c r="Q217" s="265">
        <v>0</v>
      </c>
      <c r="R217" s="265">
        <v>0</v>
      </c>
      <c r="S217" s="265">
        <v>19200</v>
      </c>
      <c r="T217" s="265">
        <v>17280</v>
      </c>
      <c r="U217" s="265">
        <v>0</v>
      </c>
      <c r="V217" s="265">
        <v>13440</v>
      </c>
      <c r="W217" s="265">
        <v>24000</v>
      </c>
      <c r="X217" s="265">
        <v>32000</v>
      </c>
      <c r="Y217" s="50">
        <f t="shared" si="3"/>
        <v>9200</v>
      </c>
    </row>
    <row r="218" spans="1:27" s="39" customFormat="1" x14ac:dyDescent="0.35">
      <c r="A218" s="37" t="s">
        <v>334</v>
      </c>
      <c r="B218" s="37" t="s">
        <v>460</v>
      </c>
      <c r="C218" s="91">
        <v>8470315</v>
      </c>
      <c r="D218" s="37" t="s">
        <v>426</v>
      </c>
      <c r="E218" s="91">
        <v>426610</v>
      </c>
      <c r="F218" s="37" t="s">
        <v>694</v>
      </c>
      <c r="G218" s="90">
        <v>847001</v>
      </c>
      <c r="H218" s="37" t="s">
        <v>50</v>
      </c>
      <c r="I218" s="90">
        <v>200179</v>
      </c>
      <c r="J218" s="37" t="s">
        <v>61</v>
      </c>
      <c r="K218" s="265">
        <v>0</v>
      </c>
      <c r="L218" s="265">
        <v>8705</v>
      </c>
      <c r="M218" s="265">
        <v>3816</v>
      </c>
      <c r="N218" s="265">
        <v>99576</v>
      </c>
      <c r="O218" s="265">
        <v>99576</v>
      </c>
      <c r="P218" s="265">
        <v>6253.28</v>
      </c>
      <c r="Q218" s="265">
        <v>0</v>
      </c>
      <c r="R218" s="265">
        <v>0</v>
      </c>
      <c r="S218" s="265">
        <v>104554</v>
      </c>
      <c r="T218" s="265">
        <v>94099</v>
      </c>
      <c r="U218" s="265">
        <v>0</v>
      </c>
      <c r="V218" s="265">
        <v>73188</v>
      </c>
      <c r="W218" s="265">
        <v>105000</v>
      </c>
      <c r="X218" s="265">
        <v>107000</v>
      </c>
      <c r="Y218" s="50">
        <f t="shared" si="3"/>
        <v>4978</v>
      </c>
    </row>
    <row r="219" spans="1:27" s="39" customFormat="1" x14ac:dyDescent="0.35">
      <c r="A219" s="37" t="s">
        <v>334</v>
      </c>
      <c r="B219" s="37" t="s">
        <v>465</v>
      </c>
      <c r="C219" s="91">
        <v>8470315</v>
      </c>
      <c r="D219" s="37" t="s">
        <v>426</v>
      </c>
      <c r="E219" s="91">
        <v>428090</v>
      </c>
      <c r="F219" s="37" t="s">
        <v>154</v>
      </c>
      <c r="G219" s="90">
        <v>847001</v>
      </c>
      <c r="H219" s="37" t="s">
        <v>50</v>
      </c>
      <c r="I219" s="90">
        <v>200179</v>
      </c>
      <c r="J219" s="37" t="s">
        <v>61</v>
      </c>
      <c r="K219" s="265">
        <v>8000</v>
      </c>
      <c r="L219" s="265">
        <v>0</v>
      </c>
      <c r="M219" s="265">
        <v>0</v>
      </c>
      <c r="N219" s="265">
        <v>10000</v>
      </c>
      <c r="O219" s="265">
        <v>10000</v>
      </c>
      <c r="P219" s="265">
        <v>0</v>
      </c>
      <c r="Q219" s="265">
        <v>0</v>
      </c>
      <c r="R219" s="265">
        <v>0</v>
      </c>
      <c r="S219" s="265">
        <v>20000</v>
      </c>
      <c r="T219" s="265">
        <v>18000</v>
      </c>
      <c r="U219" s="265">
        <v>0</v>
      </c>
      <c r="V219" s="265">
        <v>14000</v>
      </c>
      <c r="W219" s="265">
        <v>20000</v>
      </c>
      <c r="X219" s="265">
        <v>20000</v>
      </c>
      <c r="Y219" s="50">
        <f t="shared" si="3"/>
        <v>10000</v>
      </c>
    </row>
    <row r="220" spans="1:27" s="39" customFormat="1" x14ac:dyDescent="0.35">
      <c r="A220" s="37" t="s">
        <v>334</v>
      </c>
      <c r="B220" s="37" t="s">
        <v>469</v>
      </c>
      <c r="C220" s="91">
        <v>8470315</v>
      </c>
      <c r="D220" s="37" t="s">
        <v>426</v>
      </c>
      <c r="E220" s="91">
        <v>432209</v>
      </c>
      <c r="F220" s="37" t="s">
        <v>393</v>
      </c>
      <c r="G220" s="90">
        <v>847001</v>
      </c>
      <c r="H220" s="37" t="s">
        <v>50</v>
      </c>
      <c r="I220" s="90">
        <v>200179</v>
      </c>
      <c r="J220" s="37" t="s">
        <v>61</v>
      </c>
      <c r="K220" s="265">
        <v>64961</v>
      </c>
      <c r="L220" s="265">
        <v>0</v>
      </c>
      <c r="M220" s="265">
        <v>5900</v>
      </c>
      <c r="N220" s="265">
        <v>90250</v>
      </c>
      <c r="O220" s="265">
        <v>90250</v>
      </c>
      <c r="P220" s="265">
        <v>0</v>
      </c>
      <c r="Q220" s="265">
        <v>0</v>
      </c>
      <c r="R220" s="265">
        <v>71500</v>
      </c>
      <c r="S220" s="265">
        <v>200000</v>
      </c>
      <c r="T220" s="265">
        <v>180000</v>
      </c>
      <c r="U220" s="265">
        <v>0</v>
      </c>
      <c r="V220" s="265">
        <v>140000</v>
      </c>
      <c r="W220" s="265">
        <v>150000</v>
      </c>
      <c r="X220" s="265">
        <v>18000</v>
      </c>
      <c r="Y220" s="50">
        <f t="shared" si="3"/>
        <v>109750</v>
      </c>
    </row>
    <row r="221" spans="1:27" s="39" customFormat="1" x14ac:dyDescent="0.35">
      <c r="A221" s="37" t="s">
        <v>334</v>
      </c>
      <c r="B221" s="37" t="s">
        <v>475</v>
      </c>
      <c r="C221" s="91">
        <v>8470315</v>
      </c>
      <c r="D221" s="37" t="s">
        <v>426</v>
      </c>
      <c r="E221" s="91">
        <v>435350</v>
      </c>
      <c r="F221" s="37" t="s">
        <v>399</v>
      </c>
      <c r="G221" s="90">
        <v>847001</v>
      </c>
      <c r="H221" s="37" t="s">
        <v>50</v>
      </c>
      <c r="I221" s="90">
        <v>200179</v>
      </c>
      <c r="J221" s="37" t="s">
        <v>61</v>
      </c>
      <c r="K221" s="265">
        <v>0</v>
      </c>
      <c r="L221" s="265">
        <v>0</v>
      </c>
      <c r="M221" s="265">
        <v>9804</v>
      </c>
      <c r="N221" s="265">
        <v>38400</v>
      </c>
      <c r="O221" s="265">
        <v>38400</v>
      </c>
      <c r="P221" s="265">
        <v>24646.04</v>
      </c>
      <c r="Q221" s="265">
        <v>0</v>
      </c>
      <c r="R221" s="265">
        <v>0</v>
      </c>
      <c r="S221" s="265">
        <v>75000</v>
      </c>
      <c r="T221" s="265">
        <v>67500</v>
      </c>
      <c r="U221" s="265">
        <v>0</v>
      </c>
      <c r="V221" s="265">
        <v>52500</v>
      </c>
      <c r="W221" s="265">
        <v>80000</v>
      </c>
      <c r="X221" s="265">
        <v>80000</v>
      </c>
      <c r="Y221" s="50">
        <f t="shared" si="3"/>
        <v>36600</v>
      </c>
    </row>
    <row r="222" spans="1:27" s="39" customFormat="1" x14ac:dyDescent="0.35">
      <c r="A222" s="37" t="s">
        <v>334</v>
      </c>
      <c r="B222" s="37" t="s">
        <v>481</v>
      </c>
      <c r="C222" s="91">
        <v>8470315</v>
      </c>
      <c r="D222" s="37" t="s">
        <v>426</v>
      </c>
      <c r="E222" s="91">
        <v>435508</v>
      </c>
      <c r="F222" s="37" t="s">
        <v>405</v>
      </c>
      <c r="G222" s="90">
        <v>847001</v>
      </c>
      <c r="H222" s="37" t="s">
        <v>50</v>
      </c>
      <c r="I222" s="90">
        <v>200179</v>
      </c>
      <c r="J222" s="37" t="s">
        <v>61</v>
      </c>
      <c r="K222" s="265">
        <v>271761</v>
      </c>
      <c r="L222" s="265">
        <v>186107</v>
      </c>
      <c r="M222" s="265">
        <v>120668</v>
      </c>
      <c r="N222" s="265">
        <v>150000</v>
      </c>
      <c r="O222" s="265">
        <v>150000</v>
      </c>
      <c r="P222" s="265">
        <v>103819.54</v>
      </c>
      <c r="Q222" s="265">
        <v>7511.12</v>
      </c>
      <c r="R222" s="265">
        <v>39416.46</v>
      </c>
      <c r="S222" s="265">
        <v>220000</v>
      </c>
      <c r="T222" s="265">
        <v>198000</v>
      </c>
      <c r="U222" s="265">
        <v>0</v>
      </c>
      <c r="V222" s="265">
        <v>154000</v>
      </c>
      <c r="W222" s="265">
        <v>220000</v>
      </c>
      <c r="X222" s="265">
        <v>250000</v>
      </c>
      <c r="Y222" s="50">
        <f t="shared" si="3"/>
        <v>70000</v>
      </c>
    </row>
    <row r="223" spans="1:27" s="39" customFormat="1" x14ac:dyDescent="0.35">
      <c r="A223" s="37" t="s">
        <v>334</v>
      </c>
      <c r="B223" s="37" t="s">
        <v>487</v>
      </c>
      <c r="C223" s="91">
        <v>8470315</v>
      </c>
      <c r="D223" s="37" t="s">
        <v>426</v>
      </c>
      <c r="E223" s="91">
        <v>436110</v>
      </c>
      <c r="F223" s="37" t="s">
        <v>190</v>
      </c>
      <c r="G223" s="90">
        <v>847001</v>
      </c>
      <c r="H223" s="37" t="s">
        <v>50</v>
      </c>
      <c r="I223" s="90">
        <v>200179</v>
      </c>
      <c r="J223" s="37" t="s">
        <v>61</v>
      </c>
      <c r="K223" s="265">
        <v>0</v>
      </c>
      <c r="L223" s="265">
        <v>0</v>
      </c>
      <c r="M223" s="265">
        <v>0</v>
      </c>
      <c r="N223" s="265">
        <v>2000</v>
      </c>
      <c r="O223" s="265">
        <v>2000</v>
      </c>
      <c r="P223" s="265">
        <v>0</v>
      </c>
      <c r="Q223" s="265">
        <v>0</v>
      </c>
      <c r="R223" s="265">
        <v>0</v>
      </c>
      <c r="S223" s="265">
        <v>2500</v>
      </c>
      <c r="T223" s="265">
        <v>2250</v>
      </c>
      <c r="U223" s="265">
        <v>0</v>
      </c>
      <c r="V223" s="265">
        <v>1750</v>
      </c>
      <c r="W223" s="265">
        <v>2500</v>
      </c>
      <c r="X223" s="265">
        <v>2500</v>
      </c>
      <c r="Y223" s="50">
        <f t="shared" si="3"/>
        <v>500</v>
      </c>
    </row>
    <row r="224" spans="1:27" s="39" customFormat="1" x14ac:dyDescent="0.35">
      <c r="A224" s="37" t="s">
        <v>334</v>
      </c>
      <c r="B224" s="37" t="s">
        <v>491</v>
      </c>
      <c r="C224" s="91">
        <v>8470315</v>
      </c>
      <c r="D224" s="37" t="s">
        <v>426</v>
      </c>
      <c r="E224" s="91">
        <v>436600</v>
      </c>
      <c r="F224" s="37" t="s">
        <v>416</v>
      </c>
      <c r="G224" s="90">
        <v>847001</v>
      </c>
      <c r="H224" s="37" t="s">
        <v>50</v>
      </c>
      <c r="I224" s="90">
        <v>200179</v>
      </c>
      <c r="J224" s="37" t="s">
        <v>61</v>
      </c>
      <c r="K224" s="265">
        <v>0</v>
      </c>
      <c r="L224" s="265">
        <v>0</v>
      </c>
      <c r="M224" s="265">
        <v>0</v>
      </c>
      <c r="N224" s="265">
        <v>3000</v>
      </c>
      <c r="O224" s="265">
        <v>3000</v>
      </c>
      <c r="P224" s="265">
        <v>0</v>
      </c>
      <c r="Q224" s="265">
        <v>0</v>
      </c>
      <c r="R224" s="265">
        <v>0</v>
      </c>
      <c r="S224" s="265">
        <v>22500</v>
      </c>
      <c r="T224" s="265">
        <v>20250</v>
      </c>
      <c r="U224" s="265">
        <v>0</v>
      </c>
      <c r="V224" s="265">
        <v>15750</v>
      </c>
      <c r="W224" s="265">
        <v>32000</v>
      </c>
      <c r="X224" s="265">
        <v>16000</v>
      </c>
      <c r="Y224" s="50">
        <f t="shared" si="3"/>
        <v>19500</v>
      </c>
    </row>
    <row r="225" spans="1:27" s="39" customFormat="1" x14ac:dyDescent="0.35">
      <c r="A225" s="37" t="s">
        <v>334</v>
      </c>
      <c r="B225" s="37" t="s">
        <v>494</v>
      </c>
      <c r="C225" s="91">
        <v>8470315</v>
      </c>
      <c r="D225" s="37" t="s">
        <v>426</v>
      </c>
      <c r="E225" s="91">
        <v>492316</v>
      </c>
      <c r="F225" s="37" t="s">
        <v>221</v>
      </c>
      <c r="G225" s="90">
        <v>847001</v>
      </c>
      <c r="H225" s="37" t="s">
        <v>50</v>
      </c>
      <c r="I225" s="90">
        <v>300180</v>
      </c>
      <c r="J225" s="37" t="s">
        <v>192</v>
      </c>
      <c r="K225" s="265">
        <v>113194</v>
      </c>
      <c r="L225" s="265">
        <v>187000</v>
      </c>
      <c r="M225" s="265">
        <v>106915</v>
      </c>
      <c r="N225" s="265">
        <v>700693</v>
      </c>
      <c r="O225" s="265">
        <v>700693</v>
      </c>
      <c r="P225" s="265">
        <v>210696</v>
      </c>
      <c r="Q225" s="265">
        <v>22325.13</v>
      </c>
      <c r="R225" s="265">
        <v>441097.9</v>
      </c>
      <c r="S225" s="265">
        <v>2088520</v>
      </c>
      <c r="T225" s="265">
        <v>29700</v>
      </c>
      <c r="U225" s="265">
        <v>0</v>
      </c>
      <c r="V225" s="265">
        <v>23100</v>
      </c>
      <c r="W225" s="265">
        <v>2137302</v>
      </c>
      <c r="X225" s="265">
        <v>2706002</v>
      </c>
      <c r="Y225" s="50">
        <f t="shared" si="3"/>
        <v>1387827</v>
      </c>
      <c r="AA225" s="275"/>
    </row>
    <row r="226" spans="1:27" s="39" customFormat="1" x14ac:dyDescent="0.35">
      <c r="A226" s="37" t="s">
        <v>334</v>
      </c>
      <c r="B226" s="37" t="s">
        <v>508</v>
      </c>
      <c r="C226" s="91">
        <v>8470320</v>
      </c>
      <c r="D226" s="37" t="s">
        <v>507</v>
      </c>
      <c r="E226" s="91">
        <v>420550</v>
      </c>
      <c r="F226" s="37" t="s">
        <v>225</v>
      </c>
      <c r="G226" s="90">
        <v>847001</v>
      </c>
      <c r="H226" s="37" t="s">
        <v>50</v>
      </c>
      <c r="I226" s="90">
        <v>200179</v>
      </c>
      <c r="J226" s="37" t="s">
        <v>61</v>
      </c>
      <c r="K226" s="265">
        <v>0</v>
      </c>
      <c r="L226" s="265">
        <v>0</v>
      </c>
      <c r="M226" s="265">
        <v>0</v>
      </c>
      <c r="N226" s="265">
        <v>20000</v>
      </c>
      <c r="O226" s="265">
        <v>20000</v>
      </c>
      <c r="P226" s="265">
        <v>0</v>
      </c>
      <c r="Q226" s="265">
        <v>0</v>
      </c>
      <c r="R226" s="265">
        <v>0</v>
      </c>
      <c r="S226" s="265">
        <v>60000</v>
      </c>
      <c r="T226" s="265">
        <v>54000</v>
      </c>
      <c r="U226" s="265">
        <v>0</v>
      </c>
      <c r="V226" s="265">
        <v>42000</v>
      </c>
      <c r="W226" s="265">
        <v>60000</v>
      </c>
      <c r="X226" s="265">
        <v>60000</v>
      </c>
      <c r="Y226" s="50">
        <f t="shared" si="3"/>
        <v>40000</v>
      </c>
    </row>
    <row r="227" spans="1:27" s="39" customFormat="1" x14ac:dyDescent="0.35">
      <c r="A227" s="37" t="s">
        <v>334</v>
      </c>
      <c r="B227" s="37" t="s">
        <v>513</v>
      </c>
      <c r="C227" s="91">
        <v>8470320</v>
      </c>
      <c r="D227" s="37" t="s">
        <v>507</v>
      </c>
      <c r="E227" s="91">
        <v>425510</v>
      </c>
      <c r="F227" s="37" t="s">
        <v>247</v>
      </c>
      <c r="G227" s="90">
        <v>847001</v>
      </c>
      <c r="H227" s="37" t="s">
        <v>50</v>
      </c>
      <c r="I227" s="90">
        <v>200179</v>
      </c>
      <c r="J227" s="37" t="s">
        <v>61</v>
      </c>
      <c r="K227" s="265">
        <v>0</v>
      </c>
      <c r="L227" s="265">
        <v>0</v>
      </c>
      <c r="M227" s="265">
        <v>0</v>
      </c>
      <c r="N227" s="38">
        <v>30000</v>
      </c>
      <c r="O227" s="265">
        <v>30000</v>
      </c>
      <c r="P227" s="265">
        <v>0</v>
      </c>
      <c r="Q227" s="265">
        <v>0</v>
      </c>
      <c r="R227" s="265">
        <v>0</v>
      </c>
      <c r="S227" s="38">
        <v>30000</v>
      </c>
      <c r="T227" s="265">
        <v>27000</v>
      </c>
      <c r="U227" s="265">
        <v>0</v>
      </c>
      <c r="V227" s="265">
        <v>21000</v>
      </c>
      <c r="W227" s="265">
        <v>30000</v>
      </c>
      <c r="X227" s="265">
        <v>30000</v>
      </c>
      <c r="Y227" s="38">
        <f t="shared" si="3"/>
        <v>0</v>
      </c>
    </row>
    <row r="228" spans="1:27" s="39" customFormat="1" x14ac:dyDescent="0.35">
      <c r="A228" s="37" t="s">
        <v>334</v>
      </c>
      <c r="B228" s="37" t="s">
        <v>517</v>
      </c>
      <c r="C228" s="91">
        <v>8470320</v>
      </c>
      <c r="D228" s="37" t="s">
        <v>507</v>
      </c>
      <c r="E228" s="91">
        <v>425760</v>
      </c>
      <c r="F228" s="37" t="s">
        <v>352</v>
      </c>
      <c r="G228" s="90">
        <v>847001</v>
      </c>
      <c r="H228" s="37" t="s">
        <v>50</v>
      </c>
      <c r="I228" s="90">
        <v>200179</v>
      </c>
      <c r="J228" s="37" t="s">
        <v>61</v>
      </c>
      <c r="K228" s="265">
        <v>0</v>
      </c>
      <c r="L228" s="265">
        <v>0</v>
      </c>
      <c r="M228" s="265">
        <v>0</v>
      </c>
      <c r="N228" s="265">
        <v>25000</v>
      </c>
      <c r="O228" s="265">
        <v>25000</v>
      </c>
      <c r="P228" s="265">
        <v>0</v>
      </c>
      <c r="Q228" s="265">
        <v>0</v>
      </c>
      <c r="R228" s="265">
        <v>0</v>
      </c>
      <c r="S228" s="265">
        <v>25000</v>
      </c>
      <c r="T228" s="265">
        <v>22500</v>
      </c>
      <c r="U228" s="265">
        <v>0</v>
      </c>
      <c r="V228" s="265">
        <v>17500</v>
      </c>
      <c r="W228" s="265">
        <v>25000</v>
      </c>
      <c r="X228" s="265">
        <v>25000</v>
      </c>
      <c r="Y228" s="50">
        <f t="shared" si="3"/>
        <v>0</v>
      </c>
    </row>
    <row r="229" spans="1:27" s="39" customFormat="1" x14ac:dyDescent="0.35">
      <c r="A229" s="37" t="s">
        <v>334</v>
      </c>
      <c r="B229" s="37" t="s">
        <v>520</v>
      </c>
      <c r="C229" s="91">
        <v>8470320</v>
      </c>
      <c r="D229" s="37" t="s">
        <v>507</v>
      </c>
      <c r="E229" s="91">
        <v>425763</v>
      </c>
      <c r="F229" s="37" t="s">
        <v>359</v>
      </c>
      <c r="G229" s="90">
        <v>847001</v>
      </c>
      <c r="H229" s="37" t="s">
        <v>50</v>
      </c>
      <c r="I229" s="90">
        <v>200179</v>
      </c>
      <c r="J229" s="37" t="s">
        <v>61</v>
      </c>
      <c r="K229" s="265">
        <v>0</v>
      </c>
      <c r="L229" s="265">
        <v>95178</v>
      </c>
      <c r="M229" s="265">
        <v>19694</v>
      </c>
      <c r="N229" s="265">
        <v>100000</v>
      </c>
      <c r="O229" s="265">
        <v>100000</v>
      </c>
      <c r="P229" s="265">
        <v>65000</v>
      </c>
      <c r="Q229" s="265">
        <v>0</v>
      </c>
      <c r="R229" s="265">
        <v>1226.5</v>
      </c>
      <c r="S229" s="265">
        <v>120000</v>
      </c>
      <c r="T229" s="265">
        <v>108000</v>
      </c>
      <c r="U229" s="265">
        <v>0</v>
      </c>
      <c r="V229" s="265">
        <v>84000</v>
      </c>
      <c r="W229" s="265">
        <v>120000</v>
      </c>
      <c r="X229" s="265">
        <v>120000</v>
      </c>
      <c r="Y229" s="50">
        <f t="shared" si="3"/>
        <v>20000</v>
      </c>
    </row>
    <row r="230" spans="1:27" s="39" customFormat="1" x14ac:dyDescent="0.35">
      <c r="A230" s="37" t="s">
        <v>334</v>
      </c>
      <c r="B230" s="37" t="s">
        <v>522</v>
      </c>
      <c r="C230" s="91">
        <v>8470320</v>
      </c>
      <c r="D230" s="37" t="s">
        <v>507</v>
      </c>
      <c r="E230" s="91">
        <v>425770</v>
      </c>
      <c r="F230" s="37" t="s">
        <v>367</v>
      </c>
      <c r="G230" s="90">
        <v>847001</v>
      </c>
      <c r="H230" s="37" t="s">
        <v>50</v>
      </c>
      <c r="I230" s="90">
        <v>200179</v>
      </c>
      <c r="J230" s="37" t="s">
        <v>61</v>
      </c>
      <c r="K230" s="265">
        <v>198877</v>
      </c>
      <c r="L230" s="265">
        <v>1494</v>
      </c>
      <c r="M230" s="265">
        <v>0</v>
      </c>
      <c r="N230" s="265">
        <v>450000</v>
      </c>
      <c r="O230" s="265">
        <v>450000</v>
      </c>
      <c r="P230" s="265">
        <v>16654</v>
      </c>
      <c r="Q230" s="265">
        <v>0</v>
      </c>
      <c r="R230" s="265">
        <v>0</v>
      </c>
      <c r="S230" s="265">
        <v>450000</v>
      </c>
      <c r="T230" s="265">
        <v>405000</v>
      </c>
      <c r="U230" s="265">
        <v>0</v>
      </c>
      <c r="V230" s="265">
        <v>315000</v>
      </c>
      <c r="W230" s="265">
        <v>450000</v>
      </c>
      <c r="X230" s="265">
        <v>450000</v>
      </c>
      <c r="Y230" s="50">
        <f t="shared" si="3"/>
        <v>0</v>
      </c>
    </row>
    <row r="231" spans="1:27" s="39" customFormat="1" x14ac:dyDescent="0.35">
      <c r="A231" s="37" t="s">
        <v>334</v>
      </c>
      <c r="B231" s="37" t="s">
        <v>524</v>
      </c>
      <c r="C231" s="91">
        <v>8470320</v>
      </c>
      <c r="D231" s="37" t="s">
        <v>507</v>
      </c>
      <c r="E231" s="91">
        <v>425900</v>
      </c>
      <c r="F231" s="37" t="s">
        <v>266</v>
      </c>
      <c r="G231" s="90">
        <v>847001</v>
      </c>
      <c r="H231" s="37" t="s">
        <v>50</v>
      </c>
      <c r="I231" s="90">
        <v>200179</v>
      </c>
      <c r="J231" s="37" t="s">
        <v>61</v>
      </c>
      <c r="K231" s="265">
        <v>8823</v>
      </c>
      <c r="L231" s="265">
        <v>1890</v>
      </c>
      <c r="M231" s="265">
        <v>0</v>
      </c>
      <c r="N231" s="265">
        <v>20000</v>
      </c>
      <c r="O231" s="265">
        <v>20000</v>
      </c>
      <c r="P231" s="265">
        <v>4750</v>
      </c>
      <c r="Q231" s="265">
        <v>0</v>
      </c>
      <c r="R231" s="265">
        <v>0</v>
      </c>
      <c r="S231" s="265">
        <v>25000</v>
      </c>
      <c r="T231" s="265">
        <v>22500</v>
      </c>
      <c r="U231" s="265">
        <v>0</v>
      </c>
      <c r="V231" s="265">
        <v>17500</v>
      </c>
      <c r="W231" s="265">
        <v>25000</v>
      </c>
      <c r="X231" s="265">
        <v>25000</v>
      </c>
      <c r="Y231" s="50">
        <f t="shared" si="3"/>
        <v>5000</v>
      </c>
    </row>
    <row r="232" spans="1:27" s="39" customFormat="1" x14ac:dyDescent="0.35">
      <c r="A232" s="37" t="s">
        <v>334</v>
      </c>
      <c r="B232" s="37" t="s">
        <v>526</v>
      </c>
      <c r="C232" s="91">
        <v>8470320</v>
      </c>
      <c r="D232" s="37" t="s">
        <v>507</v>
      </c>
      <c r="E232" s="91">
        <v>426610</v>
      </c>
      <c r="F232" s="37" t="s">
        <v>694</v>
      </c>
      <c r="G232" s="90">
        <v>847001</v>
      </c>
      <c r="H232" s="37" t="s">
        <v>50</v>
      </c>
      <c r="I232" s="90">
        <v>200179</v>
      </c>
      <c r="J232" s="37" t="s">
        <v>61</v>
      </c>
      <c r="K232" s="265">
        <v>18938</v>
      </c>
      <c r="L232" s="265">
        <v>8099</v>
      </c>
      <c r="M232" s="265">
        <v>32332</v>
      </c>
      <c r="N232" s="265">
        <v>75000</v>
      </c>
      <c r="O232" s="265">
        <v>75000</v>
      </c>
      <c r="P232" s="265">
        <v>54466.92</v>
      </c>
      <c r="Q232" s="265">
        <v>0</v>
      </c>
      <c r="R232" s="265">
        <v>5917.2</v>
      </c>
      <c r="S232" s="265">
        <v>115000</v>
      </c>
      <c r="T232" s="265">
        <v>103500</v>
      </c>
      <c r="U232" s="265">
        <v>0</v>
      </c>
      <c r="V232" s="265">
        <v>80500</v>
      </c>
      <c r="W232" s="265">
        <v>115000</v>
      </c>
      <c r="X232" s="265">
        <v>120000</v>
      </c>
      <c r="Y232" s="50">
        <f t="shared" si="3"/>
        <v>40000</v>
      </c>
    </row>
    <row r="233" spans="1:27" s="39" customFormat="1" x14ac:dyDescent="0.35">
      <c r="A233" s="37" t="s">
        <v>334</v>
      </c>
      <c r="B233" s="37" t="s">
        <v>528</v>
      </c>
      <c r="C233" s="91">
        <v>8470320</v>
      </c>
      <c r="D233" s="37" t="s">
        <v>507</v>
      </c>
      <c r="E233" s="91">
        <v>428090</v>
      </c>
      <c r="F233" s="37" t="s">
        <v>154</v>
      </c>
      <c r="G233" s="90">
        <v>847001</v>
      </c>
      <c r="H233" s="37" t="s">
        <v>50</v>
      </c>
      <c r="I233" s="90">
        <v>200179</v>
      </c>
      <c r="J233" s="37" t="s">
        <v>61</v>
      </c>
      <c r="K233" s="265">
        <v>7262</v>
      </c>
      <c r="L233" s="265">
        <v>0</v>
      </c>
      <c r="M233" s="265">
        <v>0</v>
      </c>
      <c r="N233" s="265">
        <v>35000</v>
      </c>
      <c r="O233" s="265">
        <v>35000</v>
      </c>
      <c r="P233" s="265">
        <v>0</v>
      </c>
      <c r="Q233" s="265">
        <v>0</v>
      </c>
      <c r="R233" s="265">
        <v>0</v>
      </c>
      <c r="S233" s="265">
        <v>35000</v>
      </c>
      <c r="T233" s="265">
        <v>31500</v>
      </c>
      <c r="U233" s="265">
        <v>0</v>
      </c>
      <c r="V233" s="265">
        <v>24500</v>
      </c>
      <c r="W233" s="265">
        <v>35000</v>
      </c>
      <c r="X233" s="265">
        <v>35000</v>
      </c>
      <c r="Y233" s="50">
        <f t="shared" si="3"/>
        <v>0</v>
      </c>
    </row>
    <row r="234" spans="1:27" s="39" customFormat="1" x14ac:dyDescent="0.35">
      <c r="A234" s="37" t="s">
        <v>334</v>
      </c>
      <c r="B234" s="37" t="s">
        <v>530</v>
      </c>
      <c r="C234" s="91">
        <v>8470320</v>
      </c>
      <c r="D234" s="37" t="s">
        <v>507</v>
      </c>
      <c r="E234" s="91">
        <v>435350</v>
      </c>
      <c r="F234" s="37" t="s">
        <v>399</v>
      </c>
      <c r="G234" s="90">
        <v>847001</v>
      </c>
      <c r="H234" s="37" t="s">
        <v>50</v>
      </c>
      <c r="I234" s="90">
        <v>200179</v>
      </c>
      <c r="J234" s="37" t="s">
        <v>61</v>
      </c>
      <c r="K234" s="265">
        <v>6174</v>
      </c>
      <c r="L234" s="265">
        <v>0</v>
      </c>
      <c r="M234" s="265">
        <v>0</v>
      </c>
      <c r="N234" s="265">
        <v>50000</v>
      </c>
      <c r="O234" s="265">
        <v>50000</v>
      </c>
      <c r="P234" s="265">
        <v>13797.64</v>
      </c>
      <c r="Q234" s="265">
        <v>0</v>
      </c>
      <c r="R234" s="265">
        <v>0</v>
      </c>
      <c r="S234" s="265">
        <v>60000</v>
      </c>
      <c r="T234" s="265">
        <v>54000</v>
      </c>
      <c r="U234" s="265">
        <v>0</v>
      </c>
      <c r="V234" s="265">
        <v>42000</v>
      </c>
      <c r="W234" s="265">
        <v>60000</v>
      </c>
      <c r="X234" s="265">
        <v>60000</v>
      </c>
      <c r="Y234" s="50">
        <f t="shared" si="3"/>
        <v>10000</v>
      </c>
    </row>
    <row r="235" spans="1:27" s="39" customFormat="1" x14ac:dyDescent="0.35">
      <c r="A235" s="37" t="s">
        <v>334</v>
      </c>
      <c r="B235" s="37" t="s">
        <v>532</v>
      </c>
      <c r="C235" s="91">
        <v>8470320</v>
      </c>
      <c r="D235" s="37" t="s">
        <v>507</v>
      </c>
      <c r="E235" s="91">
        <v>435508</v>
      </c>
      <c r="F235" s="37" t="s">
        <v>405</v>
      </c>
      <c r="G235" s="90">
        <v>847001</v>
      </c>
      <c r="H235" s="37" t="s">
        <v>50</v>
      </c>
      <c r="I235" s="90">
        <v>200179</v>
      </c>
      <c r="J235" s="37" t="s">
        <v>61</v>
      </c>
      <c r="K235" s="265">
        <v>191336</v>
      </c>
      <c r="L235" s="265">
        <v>161059</v>
      </c>
      <c r="M235" s="265">
        <v>100846</v>
      </c>
      <c r="N235" s="265">
        <v>200000</v>
      </c>
      <c r="O235" s="265">
        <v>200000</v>
      </c>
      <c r="P235" s="265">
        <v>0</v>
      </c>
      <c r="Q235" s="265">
        <v>199588</v>
      </c>
      <c r="R235" s="265">
        <v>0</v>
      </c>
      <c r="S235" s="265">
        <v>150000</v>
      </c>
      <c r="T235" s="265">
        <v>135000</v>
      </c>
      <c r="U235" s="265">
        <v>0</v>
      </c>
      <c r="V235" s="265">
        <v>105000</v>
      </c>
      <c r="W235" s="265">
        <v>175000</v>
      </c>
      <c r="X235" s="265">
        <v>175000</v>
      </c>
      <c r="Y235" s="50">
        <f t="shared" si="3"/>
        <v>-50000</v>
      </c>
    </row>
    <row r="236" spans="1:27" s="39" customFormat="1" x14ac:dyDescent="0.35">
      <c r="A236" s="37" t="s">
        <v>334</v>
      </c>
      <c r="B236" s="37" t="s">
        <v>534</v>
      </c>
      <c r="C236" s="91">
        <v>8470320</v>
      </c>
      <c r="D236" s="37" t="s">
        <v>507</v>
      </c>
      <c r="E236" s="91">
        <v>436110</v>
      </c>
      <c r="F236" s="37" t="s">
        <v>190</v>
      </c>
      <c r="G236" s="90">
        <v>847001</v>
      </c>
      <c r="H236" s="37" t="s">
        <v>50</v>
      </c>
      <c r="I236" s="90">
        <v>200179</v>
      </c>
      <c r="J236" s="37" t="s">
        <v>61</v>
      </c>
      <c r="K236" s="265">
        <v>0</v>
      </c>
      <c r="L236" s="265">
        <v>0</v>
      </c>
      <c r="M236" s="265">
        <v>0</v>
      </c>
      <c r="N236" s="265">
        <v>35000</v>
      </c>
      <c r="O236" s="265">
        <v>35000</v>
      </c>
      <c r="P236" s="265">
        <v>0</v>
      </c>
      <c r="Q236" s="265">
        <v>0</v>
      </c>
      <c r="R236" s="265">
        <v>0</v>
      </c>
      <c r="S236" s="265">
        <v>35000</v>
      </c>
      <c r="T236" s="265">
        <v>31500</v>
      </c>
      <c r="U236" s="265">
        <v>0</v>
      </c>
      <c r="V236" s="265">
        <v>24500</v>
      </c>
      <c r="W236" s="265">
        <v>35000</v>
      </c>
      <c r="X236" s="265">
        <v>35000</v>
      </c>
      <c r="Y236" s="50">
        <f t="shared" si="3"/>
        <v>0</v>
      </c>
    </row>
    <row r="237" spans="1:27" s="39" customFormat="1" x14ac:dyDescent="0.35">
      <c r="A237" s="37" t="s">
        <v>334</v>
      </c>
      <c r="B237" s="37" t="s">
        <v>536</v>
      </c>
      <c r="C237" s="91">
        <v>8470320</v>
      </c>
      <c r="D237" s="37" t="s">
        <v>507</v>
      </c>
      <c r="E237" s="91">
        <v>436600</v>
      </c>
      <c r="F237" s="37" t="s">
        <v>416</v>
      </c>
      <c r="G237" s="90">
        <v>847001</v>
      </c>
      <c r="H237" s="37" t="s">
        <v>50</v>
      </c>
      <c r="I237" s="90">
        <v>200179</v>
      </c>
      <c r="J237" s="37" t="s">
        <v>61</v>
      </c>
      <c r="K237" s="265">
        <v>0</v>
      </c>
      <c r="L237" s="265">
        <v>0</v>
      </c>
      <c r="M237" s="265">
        <v>0</v>
      </c>
      <c r="N237" s="265">
        <v>45000</v>
      </c>
      <c r="O237" s="265">
        <v>45000</v>
      </c>
      <c r="P237" s="265">
        <v>12485</v>
      </c>
      <c r="Q237" s="265">
        <v>0</v>
      </c>
      <c r="R237" s="265">
        <v>0</v>
      </c>
      <c r="S237" s="265">
        <v>45000</v>
      </c>
      <c r="T237" s="265">
        <v>40500</v>
      </c>
      <c r="U237" s="265">
        <v>0</v>
      </c>
      <c r="V237" s="265">
        <v>31500</v>
      </c>
      <c r="W237" s="265">
        <v>45000</v>
      </c>
      <c r="X237" s="265">
        <v>45000</v>
      </c>
      <c r="Y237" s="50">
        <f t="shared" si="3"/>
        <v>0</v>
      </c>
    </row>
    <row r="238" spans="1:27" s="39" customFormat="1" x14ac:dyDescent="0.35">
      <c r="A238" s="37" t="s">
        <v>334</v>
      </c>
      <c r="B238" s="37" t="s">
        <v>538</v>
      </c>
      <c r="C238" s="91">
        <v>8470320</v>
      </c>
      <c r="D238" s="37" t="s">
        <v>507</v>
      </c>
      <c r="E238" s="91">
        <v>492316</v>
      </c>
      <c r="F238" s="37" t="s">
        <v>221</v>
      </c>
      <c r="G238" s="90">
        <v>847001</v>
      </c>
      <c r="H238" s="37" t="s">
        <v>50</v>
      </c>
      <c r="I238" s="90">
        <v>300180</v>
      </c>
      <c r="J238" s="37" t="s">
        <v>192</v>
      </c>
      <c r="K238" s="265">
        <v>844169</v>
      </c>
      <c r="L238" s="265">
        <v>0</v>
      </c>
      <c r="M238" s="265">
        <v>0</v>
      </c>
      <c r="N238" s="265">
        <v>1813427</v>
      </c>
      <c r="O238" s="265">
        <v>1813427</v>
      </c>
      <c r="P238" s="265">
        <v>0</v>
      </c>
      <c r="Q238" s="265">
        <v>1748015.1</v>
      </c>
      <c r="R238" s="265">
        <v>39000</v>
      </c>
      <c r="S238" s="265">
        <v>1272000</v>
      </c>
      <c r="T238" s="265">
        <v>34200</v>
      </c>
      <c r="U238" s="265">
        <v>0</v>
      </c>
      <c r="V238" s="265">
        <v>26600</v>
      </c>
      <c r="W238" s="265">
        <v>544000</v>
      </c>
      <c r="X238" s="265">
        <v>835000</v>
      </c>
      <c r="Y238" s="50">
        <f t="shared" si="3"/>
        <v>-541427</v>
      </c>
    </row>
    <row r="239" spans="1:27" s="39" customFormat="1" x14ac:dyDescent="0.35">
      <c r="A239" s="37" t="s">
        <v>334</v>
      </c>
      <c r="B239" s="37" t="s">
        <v>542</v>
      </c>
      <c r="C239" s="91">
        <v>8470320</v>
      </c>
      <c r="D239" s="37" t="s">
        <v>507</v>
      </c>
      <c r="E239" s="91">
        <v>495140</v>
      </c>
      <c r="F239" s="37" t="s">
        <v>541</v>
      </c>
      <c r="G239" s="90">
        <v>847001</v>
      </c>
      <c r="H239" s="37" t="s">
        <v>50</v>
      </c>
      <c r="I239" s="90">
        <v>300180</v>
      </c>
      <c r="J239" s="37" t="s">
        <v>192</v>
      </c>
      <c r="K239" s="265">
        <v>0</v>
      </c>
      <c r="L239" s="265">
        <v>0</v>
      </c>
      <c r="M239" s="265">
        <v>0</v>
      </c>
      <c r="N239" s="265">
        <v>16097</v>
      </c>
      <c r="O239" s="265">
        <v>16097</v>
      </c>
      <c r="P239" s="265">
        <v>0</v>
      </c>
      <c r="Q239" s="265">
        <v>0</v>
      </c>
      <c r="R239" s="265">
        <v>0</v>
      </c>
      <c r="S239" s="265">
        <v>18000</v>
      </c>
      <c r="T239" s="265">
        <v>16200</v>
      </c>
      <c r="U239" s="265">
        <v>0</v>
      </c>
      <c r="V239" s="265">
        <v>12600</v>
      </c>
      <c r="W239" s="265">
        <v>18000</v>
      </c>
      <c r="X239" s="265">
        <v>18000</v>
      </c>
      <c r="Y239" s="50">
        <f t="shared" si="3"/>
        <v>1903</v>
      </c>
    </row>
    <row r="240" spans="1:27" s="39" customFormat="1" x14ac:dyDescent="0.35">
      <c r="A240" s="37" t="s">
        <v>334</v>
      </c>
      <c r="B240" s="37" t="s">
        <v>561</v>
      </c>
      <c r="C240" s="91">
        <v>8470325</v>
      </c>
      <c r="D240" s="37" t="s">
        <v>560</v>
      </c>
      <c r="E240" s="91">
        <v>420550</v>
      </c>
      <c r="F240" s="37" t="s">
        <v>225</v>
      </c>
      <c r="G240" s="90">
        <v>847001</v>
      </c>
      <c r="H240" s="37" t="s">
        <v>50</v>
      </c>
      <c r="I240" s="90">
        <v>200179</v>
      </c>
      <c r="J240" s="37" t="s">
        <v>61</v>
      </c>
      <c r="K240" s="265">
        <v>1000</v>
      </c>
      <c r="L240" s="265">
        <v>0</v>
      </c>
      <c r="M240" s="265">
        <v>0</v>
      </c>
      <c r="N240" s="265">
        <v>4000</v>
      </c>
      <c r="O240" s="265">
        <v>4000</v>
      </c>
      <c r="P240" s="265">
        <v>0</v>
      </c>
      <c r="Q240" s="265">
        <v>0</v>
      </c>
      <c r="R240" s="265">
        <v>0</v>
      </c>
      <c r="S240" s="265">
        <v>2000</v>
      </c>
      <c r="T240" s="265">
        <v>1800</v>
      </c>
      <c r="U240" s="265">
        <v>0</v>
      </c>
      <c r="V240" s="265">
        <v>1400</v>
      </c>
      <c r="W240" s="265">
        <v>4000</v>
      </c>
      <c r="X240" s="265">
        <v>4000</v>
      </c>
      <c r="Y240" s="50">
        <f t="shared" si="3"/>
        <v>-2000</v>
      </c>
    </row>
    <row r="241" spans="1:27" s="39" customFormat="1" x14ac:dyDescent="0.35">
      <c r="A241" s="37" t="s">
        <v>334</v>
      </c>
      <c r="B241" s="37" t="s">
        <v>564</v>
      </c>
      <c r="C241" s="91">
        <v>8470325</v>
      </c>
      <c r="D241" s="37" t="s">
        <v>560</v>
      </c>
      <c r="E241" s="91">
        <v>425510</v>
      </c>
      <c r="F241" s="37" t="s">
        <v>247</v>
      </c>
      <c r="G241" s="90">
        <v>847001</v>
      </c>
      <c r="H241" s="37" t="s">
        <v>50</v>
      </c>
      <c r="I241" s="90">
        <v>200179</v>
      </c>
      <c r="J241" s="37" t="s">
        <v>61</v>
      </c>
      <c r="K241" s="265">
        <v>2055</v>
      </c>
      <c r="L241" s="265">
        <v>0</v>
      </c>
      <c r="M241" s="265">
        <v>0</v>
      </c>
      <c r="N241" s="38">
        <v>6600</v>
      </c>
      <c r="O241" s="265">
        <v>6600</v>
      </c>
      <c r="P241" s="265">
        <v>2550</v>
      </c>
      <c r="Q241" s="265">
        <v>0</v>
      </c>
      <c r="R241" s="265">
        <v>0</v>
      </c>
      <c r="S241" s="38">
        <v>6600</v>
      </c>
      <c r="T241" s="265">
        <v>5940</v>
      </c>
      <c r="U241" s="265">
        <v>0</v>
      </c>
      <c r="V241" s="265">
        <v>4620</v>
      </c>
      <c r="W241" s="265">
        <v>6600</v>
      </c>
      <c r="X241" s="265">
        <v>6600</v>
      </c>
      <c r="Y241" s="38">
        <f t="shared" si="3"/>
        <v>0</v>
      </c>
    </row>
    <row r="242" spans="1:27" s="39" customFormat="1" x14ac:dyDescent="0.35">
      <c r="A242" s="37" t="s">
        <v>334</v>
      </c>
      <c r="B242" s="37" t="s">
        <v>568</v>
      </c>
      <c r="C242" s="91">
        <v>8470325</v>
      </c>
      <c r="D242" s="37" t="s">
        <v>560</v>
      </c>
      <c r="E242" s="91">
        <v>425760</v>
      </c>
      <c r="F242" s="37" t="s">
        <v>352</v>
      </c>
      <c r="G242" s="90">
        <v>847001</v>
      </c>
      <c r="H242" s="37" t="s">
        <v>50</v>
      </c>
      <c r="I242" s="90">
        <v>200179</v>
      </c>
      <c r="J242" s="37" t="s">
        <v>61</v>
      </c>
      <c r="K242" s="265">
        <v>2175</v>
      </c>
      <c r="L242" s="265">
        <v>0</v>
      </c>
      <c r="M242" s="265">
        <v>0</v>
      </c>
      <c r="N242" s="265">
        <v>5000</v>
      </c>
      <c r="O242" s="265">
        <v>5000</v>
      </c>
      <c r="P242" s="265">
        <v>0</v>
      </c>
      <c r="Q242" s="265">
        <v>0</v>
      </c>
      <c r="R242" s="265">
        <v>0</v>
      </c>
      <c r="S242" s="265">
        <v>5000</v>
      </c>
      <c r="T242" s="265">
        <v>4500</v>
      </c>
      <c r="U242" s="265">
        <v>0</v>
      </c>
      <c r="V242" s="265">
        <v>3500</v>
      </c>
      <c r="W242" s="265">
        <v>5000</v>
      </c>
      <c r="X242" s="265">
        <v>5000</v>
      </c>
      <c r="Y242" s="50">
        <f t="shared" si="3"/>
        <v>0</v>
      </c>
    </row>
    <row r="243" spans="1:27" s="39" customFormat="1" x14ac:dyDescent="0.35">
      <c r="A243" s="37" t="s">
        <v>334</v>
      </c>
      <c r="B243" s="37" t="s">
        <v>574</v>
      </c>
      <c r="C243" s="91">
        <v>8470325</v>
      </c>
      <c r="D243" s="37" t="s">
        <v>560</v>
      </c>
      <c r="E243" s="91">
        <v>425762</v>
      </c>
      <c r="F243" s="37" t="s">
        <v>573</v>
      </c>
      <c r="G243" s="90">
        <v>847001</v>
      </c>
      <c r="H243" s="37" t="s">
        <v>50</v>
      </c>
      <c r="I243" s="90">
        <v>200179</v>
      </c>
      <c r="J243" s="37" t="s">
        <v>61</v>
      </c>
      <c r="K243" s="265">
        <v>0</v>
      </c>
      <c r="L243" s="265">
        <v>0</v>
      </c>
      <c r="M243" s="265">
        <v>0</v>
      </c>
      <c r="N243" s="265">
        <v>0</v>
      </c>
      <c r="O243" s="265">
        <v>0</v>
      </c>
      <c r="P243" s="265">
        <v>0</v>
      </c>
      <c r="Q243" s="265">
        <v>0</v>
      </c>
      <c r="R243" s="265">
        <v>0</v>
      </c>
      <c r="S243" s="265">
        <v>40000</v>
      </c>
      <c r="T243" s="265">
        <v>36000</v>
      </c>
      <c r="U243" s="265">
        <v>0</v>
      </c>
      <c r="V243" s="265">
        <v>28000</v>
      </c>
      <c r="W243" s="265">
        <v>40000</v>
      </c>
      <c r="X243" s="265">
        <v>40000</v>
      </c>
      <c r="Y243" s="50">
        <f t="shared" si="3"/>
        <v>40000</v>
      </c>
    </row>
    <row r="244" spans="1:27" s="39" customFormat="1" x14ac:dyDescent="0.35">
      <c r="A244" s="37" t="s">
        <v>334</v>
      </c>
      <c r="B244" s="37" t="s">
        <v>570</v>
      </c>
      <c r="C244" s="91">
        <v>8470325</v>
      </c>
      <c r="D244" s="37" t="s">
        <v>560</v>
      </c>
      <c r="E244" s="91">
        <v>425763</v>
      </c>
      <c r="F244" s="37" t="s">
        <v>359</v>
      </c>
      <c r="G244" s="90">
        <v>847001</v>
      </c>
      <c r="H244" s="37" t="s">
        <v>50</v>
      </c>
      <c r="I244" s="90">
        <v>200179</v>
      </c>
      <c r="J244" s="37" t="s">
        <v>61</v>
      </c>
      <c r="K244" s="265">
        <v>15677</v>
      </c>
      <c r="L244" s="265">
        <v>89792</v>
      </c>
      <c r="M244" s="265">
        <v>3020203</v>
      </c>
      <c r="N244" s="265">
        <v>370000</v>
      </c>
      <c r="O244" s="265">
        <v>370000</v>
      </c>
      <c r="P244" s="265">
        <v>202824.33</v>
      </c>
      <c r="Q244" s="265">
        <v>0</v>
      </c>
      <c r="R244" s="265">
        <v>0</v>
      </c>
      <c r="S244" s="265">
        <v>60000</v>
      </c>
      <c r="T244" s="265">
        <v>54000</v>
      </c>
      <c r="U244" s="265">
        <v>0</v>
      </c>
      <c r="V244" s="265">
        <v>42000</v>
      </c>
      <c r="W244" s="265">
        <v>60000</v>
      </c>
      <c r="X244" s="265">
        <v>60000</v>
      </c>
      <c r="Y244" s="50">
        <f t="shared" si="3"/>
        <v>-310000</v>
      </c>
    </row>
    <row r="245" spans="1:27" s="39" customFormat="1" x14ac:dyDescent="0.35">
      <c r="A245" s="37" t="s">
        <v>334</v>
      </c>
      <c r="B245" s="37" t="s">
        <v>578</v>
      </c>
      <c r="C245" s="91">
        <v>8470325</v>
      </c>
      <c r="D245" s="37" t="s">
        <v>560</v>
      </c>
      <c r="E245" s="91">
        <v>425770</v>
      </c>
      <c r="F245" s="37" t="s">
        <v>367</v>
      </c>
      <c r="G245" s="90">
        <v>847001</v>
      </c>
      <c r="H245" s="37" t="s">
        <v>50</v>
      </c>
      <c r="I245" s="90">
        <v>200179</v>
      </c>
      <c r="J245" s="37" t="s">
        <v>61</v>
      </c>
      <c r="K245" s="265">
        <v>54382</v>
      </c>
      <c r="L245" s="265">
        <v>12268</v>
      </c>
      <c r="M245" s="265">
        <v>0</v>
      </c>
      <c r="N245" s="265">
        <v>165000</v>
      </c>
      <c r="O245" s="265">
        <v>165000</v>
      </c>
      <c r="P245" s="265">
        <v>11251</v>
      </c>
      <c r="Q245" s="265">
        <v>0</v>
      </c>
      <c r="R245" s="265">
        <v>0</v>
      </c>
      <c r="S245" s="265">
        <v>220000</v>
      </c>
      <c r="T245" s="265">
        <v>198000</v>
      </c>
      <c r="U245" s="265">
        <v>0</v>
      </c>
      <c r="V245" s="265">
        <v>154000</v>
      </c>
      <c r="W245" s="265">
        <v>220000</v>
      </c>
      <c r="X245" s="265">
        <v>220000</v>
      </c>
      <c r="Y245" s="50">
        <f t="shared" si="3"/>
        <v>55000</v>
      </c>
    </row>
    <row r="246" spans="1:27" s="39" customFormat="1" x14ac:dyDescent="0.35">
      <c r="A246" s="37" t="s">
        <v>334</v>
      </c>
      <c r="B246" s="37" t="s">
        <v>580</v>
      </c>
      <c r="C246" s="91">
        <v>8470325</v>
      </c>
      <c r="D246" s="37" t="s">
        <v>560</v>
      </c>
      <c r="E246" s="91">
        <v>426610</v>
      </c>
      <c r="F246" s="37" t="s">
        <v>694</v>
      </c>
      <c r="G246" s="90">
        <v>847001</v>
      </c>
      <c r="H246" s="37" t="s">
        <v>50</v>
      </c>
      <c r="I246" s="90">
        <v>200179</v>
      </c>
      <c r="J246" s="37" t="s">
        <v>61</v>
      </c>
      <c r="K246" s="265">
        <v>16473</v>
      </c>
      <c r="L246" s="265">
        <v>28272</v>
      </c>
      <c r="M246" s="265">
        <v>0</v>
      </c>
      <c r="N246" s="265">
        <v>34910</v>
      </c>
      <c r="O246" s="265">
        <v>34910</v>
      </c>
      <c r="P246" s="265">
        <v>0</v>
      </c>
      <c r="Q246" s="265">
        <v>0</v>
      </c>
      <c r="R246" s="265">
        <v>17263.099999999999</v>
      </c>
      <c r="S246" s="265">
        <v>45000</v>
      </c>
      <c r="T246" s="265">
        <v>40500</v>
      </c>
      <c r="U246" s="265">
        <v>0</v>
      </c>
      <c r="V246" s="265">
        <v>31500</v>
      </c>
      <c r="W246" s="265">
        <v>45000</v>
      </c>
      <c r="X246" s="265">
        <v>45000</v>
      </c>
      <c r="Y246" s="50">
        <f t="shared" si="3"/>
        <v>10090</v>
      </c>
    </row>
    <row r="247" spans="1:27" s="39" customFormat="1" x14ac:dyDescent="0.35">
      <c r="A247" s="37" t="s">
        <v>334</v>
      </c>
      <c r="B247" s="37" t="s">
        <v>582</v>
      </c>
      <c r="C247" s="91">
        <v>8470325</v>
      </c>
      <c r="D247" s="37" t="s">
        <v>560</v>
      </c>
      <c r="E247" s="91">
        <v>428090</v>
      </c>
      <c r="F247" s="37" t="s">
        <v>154</v>
      </c>
      <c r="G247" s="90">
        <v>847001</v>
      </c>
      <c r="H247" s="37" t="s">
        <v>50</v>
      </c>
      <c r="I247" s="90">
        <v>200179</v>
      </c>
      <c r="J247" s="37" t="s">
        <v>61</v>
      </c>
      <c r="K247" s="265">
        <v>88610</v>
      </c>
      <c r="L247" s="265">
        <v>26477</v>
      </c>
      <c r="M247" s="265">
        <v>0</v>
      </c>
      <c r="N247" s="265">
        <v>0</v>
      </c>
      <c r="O247" s="265">
        <v>0</v>
      </c>
      <c r="P247" s="265">
        <v>0</v>
      </c>
      <c r="Q247" s="265">
        <v>0</v>
      </c>
      <c r="R247" s="265">
        <v>0</v>
      </c>
      <c r="S247" s="265">
        <v>20000</v>
      </c>
      <c r="T247" s="265">
        <v>18000</v>
      </c>
      <c r="U247" s="265">
        <v>0</v>
      </c>
      <c r="V247" s="265">
        <v>14000</v>
      </c>
      <c r="W247" s="265">
        <v>20000</v>
      </c>
      <c r="X247" s="265">
        <v>20000</v>
      </c>
      <c r="Y247" s="50">
        <f t="shared" si="3"/>
        <v>20000</v>
      </c>
    </row>
    <row r="248" spans="1:27" s="39" customFormat="1" x14ac:dyDescent="0.35">
      <c r="A248" s="37" t="s">
        <v>334</v>
      </c>
      <c r="B248" s="37" t="s">
        <v>584</v>
      </c>
      <c r="C248" s="91">
        <v>8470325</v>
      </c>
      <c r="D248" s="37" t="s">
        <v>560</v>
      </c>
      <c r="E248" s="91">
        <v>432209</v>
      </c>
      <c r="F248" s="37" t="s">
        <v>393</v>
      </c>
      <c r="G248" s="90">
        <v>847001</v>
      </c>
      <c r="H248" s="37" t="s">
        <v>50</v>
      </c>
      <c r="I248" s="90">
        <v>200179</v>
      </c>
      <c r="J248" s="37" t="s">
        <v>61</v>
      </c>
      <c r="K248" s="265">
        <v>0</v>
      </c>
      <c r="L248" s="265">
        <v>0</v>
      </c>
      <c r="M248" s="265">
        <v>0</v>
      </c>
      <c r="N248" s="265">
        <v>201550</v>
      </c>
      <c r="O248" s="265">
        <v>201550</v>
      </c>
      <c r="P248" s="265">
        <v>92722</v>
      </c>
      <c r="Q248" s="265">
        <v>0</v>
      </c>
      <c r="R248" s="265">
        <v>80950</v>
      </c>
      <c r="S248" s="265">
        <v>175000</v>
      </c>
      <c r="T248" s="265">
        <v>157500</v>
      </c>
      <c r="U248" s="265">
        <v>0</v>
      </c>
      <c r="V248" s="265">
        <v>122500</v>
      </c>
      <c r="W248" s="265">
        <v>200000</v>
      </c>
      <c r="X248" s="265">
        <v>200000</v>
      </c>
      <c r="Y248" s="50">
        <f t="shared" si="3"/>
        <v>-26550</v>
      </c>
    </row>
    <row r="249" spans="1:27" s="39" customFormat="1" x14ac:dyDescent="0.35">
      <c r="A249" s="37" t="s">
        <v>334</v>
      </c>
      <c r="B249" s="37" t="s">
        <v>586</v>
      </c>
      <c r="C249" s="91">
        <v>8470325</v>
      </c>
      <c r="D249" s="37" t="s">
        <v>560</v>
      </c>
      <c r="E249" s="91">
        <v>435350</v>
      </c>
      <c r="F249" s="37" t="s">
        <v>399</v>
      </c>
      <c r="G249" s="90">
        <v>847001</v>
      </c>
      <c r="H249" s="37" t="s">
        <v>50</v>
      </c>
      <c r="I249" s="90">
        <v>200179</v>
      </c>
      <c r="J249" s="37" t="s">
        <v>61</v>
      </c>
      <c r="K249" s="265">
        <v>0</v>
      </c>
      <c r="L249" s="265">
        <v>0</v>
      </c>
      <c r="M249" s="265">
        <v>0</v>
      </c>
      <c r="N249" s="265">
        <v>80000</v>
      </c>
      <c r="O249" s="265">
        <v>80000</v>
      </c>
      <c r="P249" s="265">
        <v>8517</v>
      </c>
      <c r="Q249" s="265">
        <v>0</v>
      </c>
      <c r="R249" s="265">
        <v>0</v>
      </c>
      <c r="S249" s="265">
        <v>80000</v>
      </c>
      <c r="T249" s="265">
        <v>72000</v>
      </c>
      <c r="U249" s="265">
        <v>0</v>
      </c>
      <c r="V249" s="265">
        <v>56000</v>
      </c>
      <c r="W249" s="265">
        <v>80000</v>
      </c>
      <c r="X249" s="265">
        <v>80000</v>
      </c>
      <c r="Y249" s="50">
        <f t="shared" si="3"/>
        <v>0</v>
      </c>
    </row>
    <row r="250" spans="1:27" s="39" customFormat="1" x14ac:dyDescent="0.35">
      <c r="A250" s="37" t="s">
        <v>334</v>
      </c>
      <c r="B250" s="37" t="s">
        <v>588</v>
      </c>
      <c r="C250" s="91">
        <v>8470325</v>
      </c>
      <c r="D250" s="37" t="s">
        <v>560</v>
      </c>
      <c r="E250" s="91">
        <v>435508</v>
      </c>
      <c r="F250" s="37" t="s">
        <v>405</v>
      </c>
      <c r="G250" s="90">
        <v>847001</v>
      </c>
      <c r="H250" s="37" t="s">
        <v>50</v>
      </c>
      <c r="I250" s="90">
        <v>200179</v>
      </c>
      <c r="J250" s="37" t="s">
        <v>61</v>
      </c>
      <c r="K250" s="265">
        <v>165659</v>
      </c>
      <c r="L250" s="265">
        <v>54573</v>
      </c>
      <c r="M250" s="265">
        <v>35833</v>
      </c>
      <c r="N250" s="265">
        <v>92573</v>
      </c>
      <c r="O250" s="265">
        <v>92573</v>
      </c>
      <c r="P250" s="265">
        <v>11489.42</v>
      </c>
      <c r="Q250" s="265">
        <v>0</v>
      </c>
      <c r="R250" s="265">
        <v>60944.26</v>
      </c>
      <c r="S250" s="265">
        <v>95000</v>
      </c>
      <c r="T250" s="265">
        <v>85500</v>
      </c>
      <c r="U250" s="265">
        <v>0</v>
      </c>
      <c r="V250" s="265">
        <v>66500</v>
      </c>
      <c r="W250" s="265">
        <v>110000</v>
      </c>
      <c r="X250" s="265">
        <v>110000</v>
      </c>
      <c r="Y250" s="50">
        <f t="shared" si="3"/>
        <v>2427</v>
      </c>
    </row>
    <row r="251" spans="1:27" s="39" customFormat="1" x14ac:dyDescent="0.35">
      <c r="A251" s="37" t="s">
        <v>334</v>
      </c>
      <c r="B251" s="37" t="s">
        <v>590</v>
      </c>
      <c r="C251" s="91">
        <v>8470325</v>
      </c>
      <c r="D251" s="37" t="s">
        <v>560</v>
      </c>
      <c r="E251" s="91">
        <v>492316</v>
      </c>
      <c r="F251" s="37" t="s">
        <v>221</v>
      </c>
      <c r="G251" s="90">
        <v>847001</v>
      </c>
      <c r="H251" s="37" t="s">
        <v>50</v>
      </c>
      <c r="I251" s="90">
        <v>300180</v>
      </c>
      <c r="J251" s="37" t="s">
        <v>192</v>
      </c>
      <c r="K251" s="265">
        <v>-3138</v>
      </c>
      <c r="L251" s="265">
        <v>707801</v>
      </c>
      <c r="M251" s="265">
        <v>190263</v>
      </c>
      <c r="N251" s="265">
        <v>611783</v>
      </c>
      <c r="O251" s="265">
        <v>611783</v>
      </c>
      <c r="P251" s="265">
        <v>136875</v>
      </c>
      <c r="Q251" s="265">
        <v>0</v>
      </c>
      <c r="R251" s="265">
        <v>435945</v>
      </c>
      <c r="S251" s="265">
        <v>1208362</v>
      </c>
      <c r="T251" s="265">
        <v>157286</v>
      </c>
      <c r="U251" s="265">
        <v>0</v>
      </c>
      <c r="V251" s="265">
        <v>122333</v>
      </c>
      <c r="W251" s="265">
        <v>1285000</v>
      </c>
      <c r="X251" s="265">
        <v>775000</v>
      </c>
      <c r="Y251" s="50">
        <f t="shared" si="3"/>
        <v>596579</v>
      </c>
      <c r="AA251" s="275"/>
    </row>
    <row r="252" spans="1:27" s="39" customFormat="1" x14ac:dyDescent="0.35">
      <c r="A252" s="37" t="s">
        <v>334</v>
      </c>
      <c r="B252" s="37" t="s">
        <v>667</v>
      </c>
      <c r="C252" s="91">
        <v>8470330</v>
      </c>
      <c r="D252" s="37" t="s">
        <v>666</v>
      </c>
      <c r="E252" s="91">
        <v>420550</v>
      </c>
      <c r="F252" s="37" t="s">
        <v>225</v>
      </c>
      <c r="G252" s="90">
        <v>847001</v>
      </c>
      <c r="H252" s="37" t="s">
        <v>50</v>
      </c>
      <c r="I252" s="90">
        <v>200179</v>
      </c>
      <c r="J252" s="37" t="s">
        <v>61</v>
      </c>
      <c r="K252" s="265">
        <v>0</v>
      </c>
      <c r="L252" s="265">
        <v>0</v>
      </c>
      <c r="M252" s="265">
        <v>0</v>
      </c>
      <c r="N252" s="265">
        <v>3000</v>
      </c>
      <c r="O252" s="265">
        <v>3000</v>
      </c>
      <c r="P252" s="265">
        <v>0</v>
      </c>
      <c r="Q252" s="265">
        <v>0</v>
      </c>
      <c r="R252" s="265">
        <v>0</v>
      </c>
      <c r="S252" s="265">
        <v>3000</v>
      </c>
      <c r="T252" s="265">
        <v>2700</v>
      </c>
      <c r="U252" s="265">
        <v>0</v>
      </c>
      <c r="V252" s="265">
        <v>2100</v>
      </c>
      <c r="W252" s="265">
        <v>3000</v>
      </c>
      <c r="X252" s="265">
        <v>3000</v>
      </c>
      <c r="Y252" s="50">
        <f t="shared" si="3"/>
        <v>0</v>
      </c>
    </row>
    <row r="253" spans="1:27" s="39" customFormat="1" x14ac:dyDescent="0.35">
      <c r="A253" s="37" t="s">
        <v>334</v>
      </c>
      <c r="B253" s="37" t="s">
        <v>671</v>
      </c>
      <c r="C253" s="91">
        <v>8470330</v>
      </c>
      <c r="D253" s="37" t="s">
        <v>666</v>
      </c>
      <c r="E253" s="91">
        <v>425510</v>
      </c>
      <c r="F253" s="37" t="s">
        <v>247</v>
      </c>
      <c r="G253" s="90">
        <v>847001</v>
      </c>
      <c r="H253" s="37" t="s">
        <v>50</v>
      </c>
      <c r="I253" s="90">
        <v>200179</v>
      </c>
      <c r="J253" s="37" t="s">
        <v>61</v>
      </c>
      <c r="K253" s="265">
        <v>8058</v>
      </c>
      <c r="L253" s="265">
        <v>2185</v>
      </c>
      <c r="M253" s="265">
        <v>0</v>
      </c>
      <c r="N253" s="38">
        <v>42000</v>
      </c>
      <c r="O253" s="265">
        <v>42000</v>
      </c>
      <c r="P253" s="265">
        <v>4400</v>
      </c>
      <c r="Q253" s="265">
        <v>0</v>
      </c>
      <c r="R253" s="265">
        <v>0</v>
      </c>
      <c r="S253" s="38">
        <v>10000</v>
      </c>
      <c r="T253" s="265">
        <v>9000</v>
      </c>
      <c r="U253" s="265">
        <v>0</v>
      </c>
      <c r="V253" s="265">
        <v>7000</v>
      </c>
      <c r="W253" s="265">
        <v>10000</v>
      </c>
      <c r="X253" s="265">
        <v>10000</v>
      </c>
      <c r="Y253" s="38">
        <f t="shared" si="3"/>
        <v>-32000</v>
      </c>
    </row>
    <row r="254" spans="1:27" s="39" customFormat="1" x14ac:dyDescent="0.35">
      <c r="A254" s="37" t="s">
        <v>334</v>
      </c>
      <c r="B254" s="37" t="s">
        <v>677</v>
      </c>
      <c r="C254" s="91">
        <v>8470330</v>
      </c>
      <c r="D254" s="37" t="s">
        <v>666</v>
      </c>
      <c r="E254" s="91">
        <v>425760</v>
      </c>
      <c r="F254" s="37" t="s">
        <v>352</v>
      </c>
      <c r="G254" s="90">
        <v>847001</v>
      </c>
      <c r="H254" s="37" t="s">
        <v>50</v>
      </c>
      <c r="I254" s="90">
        <v>200179</v>
      </c>
      <c r="J254" s="37" t="s">
        <v>61</v>
      </c>
      <c r="K254" s="265">
        <v>272484</v>
      </c>
      <c r="L254" s="265">
        <v>0</v>
      </c>
      <c r="M254" s="265">
        <v>0</v>
      </c>
      <c r="N254" s="265">
        <v>72000</v>
      </c>
      <c r="O254" s="265">
        <v>72000</v>
      </c>
      <c r="P254" s="265">
        <v>0</v>
      </c>
      <c r="Q254" s="265">
        <v>0</v>
      </c>
      <c r="R254" s="265">
        <v>0</v>
      </c>
      <c r="S254" s="265">
        <v>75000</v>
      </c>
      <c r="T254" s="265">
        <v>67500</v>
      </c>
      <c r="U254" s="265">
        <v>0</v>
      </c>
      <c r="V254" s="265">
        <v>52500</v>
      </c>
      <c r="W254" s="265">
        <v>75000</v>
      </c>
      <c r="X254" s="265">
        <v>75000</v>
      </c>
      <c r="Y254" s="50">
        <f t="shared" si="3"/>
        <v>3000</v>
      </c>
    </row>
    <row r="255" spans="1:27" s="39" customFormat="1" x14ac:dyDescent="0.35">
      <c r="A255" s="37" t="s">
        <v>334</v>
      </c>
      <c r="B255" s="37" t="s">
        <v>680</v>
      </c>
      <c r="C255" s="91">
        <v>8470330</v>
      </c>
      <c r="D255" s="37" t="s">
        <v>666</v>
      </c>
      <c r="E255" s="91">
        <v>425763</v>
      </c>
      <c r="F255" s="37" t="s">
        <v>359</v>
      </c>
      <c r="G255" s="90">
        <v>847001</v>
      </c>
      <c r="H255" s="37" t="s">
        <v>50</v>
      </c>
      <c r="I255" s="90">
        <v>200179</v>
      </c>
      <c r="J255" s="37" t="s">
        <v>61</v>
      </c>
      <c r="K255" s="265">
        <v>190324</v>
      </c>
      <c r="L255" s="265">
        <v>217038</v>
      </c>
      <c r="M255" s="265">
        <v>216899</v>
      </c>
      <c r="N255" s="265">
        <v>405000</v>
      </c>
      <c r="O255" s="265">
        <v>405000</v>
      </c>
      <c r="P255" s="265">
        <v>50000</v>
      </c>
      <c r="Q255" s="265">
        <v>0</v>
      </c>
      <c r="R255" s="265">
        <v>0</v>
      </c>
      <c r="S255" s="265">
        <v>435000</v>
      </c>
      <c r="T255" s="265">
        <v>391500</v>
      </c>
      <c r="U255" s="265">
        <v>0</v>
      </c>
      <c r="V255" s="265">
        <v>304500</v>
      </c>
      <c r="W255" s="265">
        <v>435000</v>
      </c>
      <c r="X255" s="265">
        <v>435000</v>
      </c>
      <c r="Y255" s="50">
        <f t="shared" si="3"/>
        <v>30000</v>
      </c>
    </row>
    <row r="256" spans="1:27" s="39" customFormat="1" x14ac:dyDescent="0.35">
      <c r="A256" s="37" t="s">
        <v>334</v>
      </c>
      <c r="B256" s="37" t="s">
        <v>684</v>
      </c>
      <c r="C256" s="91">
        <v>8470330</v>
      </c>
      <c r="D256" s="37" t="s">
        <v>666</v>
      </c>
      <c r="E256" s="91">
        <v>425770</v>
      </c>
      <c r="F256" s="37" t="s">
        <v>367</v>
      </c>
      <c r="G256" s="90">
        <v>847001</v>
      </c>
      <c r="H256" s="37" t="s">
        <v>50</v>
      </c>
      <c r="I256" s="90">
        <v>200179</v>
      </c>
      <c r="J256" s="37" t="s">
        <v>61</v>
      </c>
      <c r="K256" s="265">
        <v>338379</v>
      </c>
      <c r="L256" s="265">
        <v>89564</v>
      </c>
      <c r="M256" s="265">
        <v>12190</v>
      </c>
      <c r="N256" s="265">
        <v>650000</v>
      </c>
      <c r="O256" s="265">
        <v>650000</v>
      </c>
      <c r="P256" s="265">
        <v>23648.639999999999</v>
      </c>
      <c r="Q256" s="265">
        <v>0</v>
      </c>
      <c r="R256" s="265">
        <v>0</v>
      </c>
      <c r="S256" s="265">
        <v>1260000</v>
      </c>
      <c r="T256" s="265">
        <v>1134000</v>
      </c>
      <c r="U256" s="265">
        <v>0</v>
      </c>
      <c r="V256" s="265">
        <v>882000</v>
      </c>
      <c r="W256" s="265">
        <v>1260000</v>
      </c>
      <c r="X256" s="265">
        <v>1260000</v>
      </c>
      <c r="Y256" s="50">
        <f t="shared" si="3"/>
        <v>610000</v>
      </c>
    </row>
    <row r="257" spans="1:25" s="39" customFormat="1" x14ac:dyDescent="0.35">
      <c r="A257" s="37" t="s">
        <v>334</v>
      </c>
      <c r="B257" s="37" t="s">
        <v>690</v>
      </c>
      <c r="C257" s="91">
        <v>8470330</v>
      </c>
      <c r="D257" s="37" t="s">
        <v>666</v>
      </c>
      <c r="E257" s="91">
        <v>425900</v>
      </c>
      <c r="F257" s="37" t="s">
        <v>266</v>
      </c>
      <c r="G257" s="90">
        <v>847001</v>
      </c>
      <c r="H257" s="37" t="s">
        <v>50</v>
      </c>
      <c r="I257" s="90">
        <v>200179</v>
      </c>
      <c r="J257" s="37" t="s">
        <v>61</v>
      </c>
      <c r="K257" s="265">
        <v>15320</v>
      </c>
      <c r="L257" s="265">
        <v>6983</v>
      </c>
      <c r="M257" s="265">
        <v>0</v>
      </c>
      <c r="N257" s="265">
        <v>16000</v>
      </c>
      <c r="O257" s="265">
        <v>16000</v>
      </c>
      <c r="P257" s="265">
        <v>0</v>
      </c>
      <c r="Q257" s="265">
        <v>0</v>
      </c>
      <c r="R257" s="265">
        <v>0</v>
      </c>
      <c r="S257" s="265">
        <v>30000</v>
      </c>
      <c r="T257" s="265">
        <v>27000</v>
      </c>
      <c r="U257" s="265">
        <v>0</v>
      </c>
      <c r="V257" s="265">
        <v>21000</v>
      </c>
      <c r="W257" s="265">
        <v>30000</v>
      </c>
      <c r="X257" s="265">
        <v>30000</v>
      </c>
      <c r="Y257" s="50">
        <f t="shared" si="3"/>
        <v>14000</v>
      </c>
    </row>
    <row r="258" spans="1:25" s="39" customFormat="1" x14ac:dyDescent="0.35">
      <c r="A258" s="37" t="s">
        <v>334</v>
      </c>
      <c r="B258" s="37" t="s">
        <v>695</v>
      </c>
      <c r="C258" s="91">
        <v>8470330</v>
      </c>
      <c r="D258" s="37" t="s">
        <v>666</v>
      </c>
      <c r="E258" s="91">
        <v>426610</v>
      </c>
      <c r="F258" s="37" t="s">
        <v>694</v>
      </c>
      <c r="G258" s="90">
        <v>847001</v>
      </c>
      <c r="H258" s="37" t="s">
        <v>50</v>
      </c>
      <c r="I258" s="90">
        <v>200179</v>
      </c>
      <c r="J258" s="37" t="s">
        <v>61</v>
      </c>
      <c r="K258" s="265">
        <v>0</v>
      </c>
      <c r="L258" s="265">
        <v>224906</v>
      </c>
      <c r="M258" s="265">
        <v>122132</v>
      </c>
      <c r="N258" s="265">
        <v>720500</v>
      </c>
      <c r="O258" s="265">
        <v>720500</v>
      </c>
      <c r="P258" s="265">
        <v>17333.8</v>
      </c>
      <c r="Q258" s="265">
        <v>0</v>
      </c>
      <c r="R258" s="265">
        <v>366838</v>
      </c>
      <c r="S258" s="265">
        <v>710622</v>
      </c>
      <c r="T258" s="265">
        <v>639560</v>
      </c>
      <c r="U258" s="265">
        <v>0</v>
      </c>
      <c r="V258" s="265">
        <v>497435</v>
      </c>
      <c r="W258" s="265">
        <v>710622</v>
      </c>
      <c r="X258" s="265">
        <v>870620</v>
      </c>
      <c r="Y258" s="50">
        <f t="shared" si="3"/>
        <v>-9878</v>
      </c>
    </row>
    <row r="259" spans="1:25" s="39" customFormat="1" x14ac:dyDescent="0.35">
      <c r="A259" s="37" t="s">
        <v>334</v>
      </c>
      <c r="B259" s="37" t="s">
        <v>699</v>
      </c>
      <c r="C259" s="91">
        <v>8470330</v>
      </c>
      <c r="D259" s="37" t="s">
        <v>666</v>
      </c>
      <c r="E259" s="91">
        <v>428640</v>
      </c>
      <c r="F259" s="37" t="s">
        <v>279</v>
      </c>
      <c r="G259" s="90">
        <v>847001</v>
      </c>
      <c r="H259" s="37" t="s">
        <v>50</v>
      </c>
      <c r="I259" s="90">
        <v>200179</v>
      </c>
      <c r="J259" s="37" t="s">
        <v>61</v>
      </c>
      <c r="K259" s="265">
        <v>0</v>
      </c>
      <c r="L259" s="265">
        <v>0</v>
      </c>
      <c r="M259" s="265">
        <v>4488</v>
      </c>
      <c r="N259" s="265">
        <v>302000</v>
      </c>
      <c r="O259" s="265">
        <v>302000</v>
      </c>
      <c r="P259" s="265">
        <v>0</v>
      </c>
      <c r="Q259" s="265">
        <v>0</v>
      </c>
      <c r="R259" s="265">
        <v>0</v>
      </c>
      <c r="S259" s="265">
        <v>302000</v>
      </c>
      <c r="T259" s="265">
        <v>271800</v>
      </c>
      <c r="U259" s="265">
        <v>0</v>
      </c>
      <c r="V259" s="265">
        <v>211400</v>
      </c>
      <c r="W259" s="265">
        <v>302000</v>
      </c>
      <c r="X259" s="265">
        <v>302000</v>
      </c>
      <c r="Y259" s="50">
        <f t="shared" ref="Y259:Y322" si="4">S259-N259</f>
        <v>0</v>
      </c>
    </row>
    <row r="260" spans="1:25" s="39" customFormat="1" x14ac:dyDescent="0.35">
      <c r="A260" s="37" t="s">
        <v>334</v>
      </c>
      <c r="B260" s="37" t="s">
        <v>703</v>
      </c>
      <c r="C260" s="91">
        <v>8470330</v>
      </c>
      <c r="D260" s="37" t="s">
        <v>666</v>
      </c>
      <c r="E260" s="91">
        <v>432209</v>
      </c>
      <c r="F260" s="37" t="s">
        <v>393</v>
      </c>
      <c r="G260" s="90">
        <v>847001</v>
      </c>
      <c r="H260" s="37" t="s">
        <v>50</v>
      </c>
      <c r="I260" s="90">
        <v>200179</v>
      </c>
      <c r="J260" s="37" t="s">
        <v>61</v>
      </c>
      <c r="K260" s="265">
        <v>0</v>
      </c>
      <c r="L260" s="265">
        <v>0</v>
      </c>
      <c r="M260" s="265">
        <v>0</v>
      </c>
      <c r="N260" s="265">
        <v>67400</v>
      </c>
      <c r="O260" s="265">
        <v>67400</v>
      </c>
      <c r="P260" s="265">
        <v>0</v>
      </c>
      <c r="Q260" s="265">
        <v>0</v>
      </c>
      <c r="R260" s="265">
        <v>0</v>
      </c>
      <c r="S260" s="265">
        <v>50000</v>
      </c>
      <c r="T260" s="265">
        <v>45000</v>
      </c>
      <c r="U260" s="265">
        <v>0</v>
      </c>
      <c r="V260" s="265">
        <v>35000</v>
      </c>
      <c r="W260" s="265">
        <v>50000</v>
      </c>
      <c r="X260" s="265">
        <v>50000</v>
      </c>
      <c r="Y260" s="50">
        <f t="shared" si="4"/>
        <v>-17400</v>
      </c>
    </row>
    <row r="261" spans="1:25" s="39" customFormat="1" x14ac:dyDescent="0.35">
      <c r="A261" s="37" t="s">
        <v>334</v>
      </c>
      <c r="B261" s="37" t="s">
        <v>708</v>
      </c>
      <c r="C261" s="91">
        <v>8470330</v>
      </c>
      <c r="D261" s="37" t="s">
        <v>666</v>
      </c>
      <c r="E261" s="91">
        <v>435350</v>
      </c>
      <c r="F261" s="37" t="s">
        <v>399</v>
      </c>
      <c r="G261" s="90">
        <v>847001</v>
      </c>
      <c r="H261" s="37" t="s">
        <v>50</v>
      </c>
      <c r="I261" s="90">
        <v>200179</v>
      </c>
      <c r="J261" s="37" t="s">
        <v>61</v>
      </c>
      <c r="K261" s="265">
        <v>98310</v>
      </c>
      <c r="L261" s="265">
        <v>269679</v>
      </c>
      <c r="M261" s="265">
        <v>49195</v>
      </c>
      <c r="N261" s="265">
        <v>420000</v>
      </c>
      <c r="O261" s="265">
        <v>420000</v>
      </c>
      <c r="P261" s="265">
        <v>45465.919999999998</v>
      </c>
      <c r="Q261" s="265">
        <v>0</v>
      </c>
      <c r="R261" s="265">
        <v>0</v>
      </c>
      <c r="S261" s="265">
        <v>441000</v>
      </c>
      <c r="T261" s="265">
        <v>396900</v>
      </c>
      <c r="U261" s="265">
        <v>0</v>
      </c>
      <c r="V261" s="265">
        <v>308700</v>
      </c>
      <c r="W261" s="265">
        <v>441000</v>
      </c>
      <c r="X261" s="265">
        <v>441000</v>
      </c>
      <c r="Y261" s="50">
        <f t="shared" si="4"/>
        <v>21000</v>
      </c>
    </row>
    <row r="262" spans="1:25" s="39" customFormat="1" x14ac:dyDescent="0.35">
      <c r="A262" s="37" t="s">
        <v>334</v>
      </c>
      <c r="B262" s="37" t="s">
        <v>712</v>
      </c>
      <c r="C262" s="91">
        <v>8470330</v>
      </c>
      <c r="D262" s="37" t="s">
        <v>666</v>
      </c>
      <c r="E262" s="91">
        <v>435508</v>
      </c>
      <c r="F262" s="37" t="s">
        <v>405</v>
      </c>
      <c r="G262" s="90">
        <v>847001</v>
      </c>
      <c r="H262" s="37" t="s">
        <v>50</v>
      </c>
      <c r="I262" s="90">
        <v>200179</v>
      </c>
      <c r="J262" s="37" t="s">
        <v>61</v>
      </c>
      <c r="K262" s="265">
        <v>13926</v>
      </c>
      <c r="L262" s="265">
        <v>19880</v>
      </c>
      <c r="M262" s="265">
        <v>82455</v>
      </c>
      <c r="N262" s="265">
        <v>20000</v>
      </c>
      <c r="O262" s="265">
        <v>20000</v>
      </c>
      <c r="P262" s="265">
        <v>0</v>
      </c>
      <c r="Q262" s="265">
        <v>17347.59</v>
      </c>
      <c r="R262" s="265">
        <v>0</v>
      </c>
      <c r="S262" s="265">
        <v>80000</v>
      </c>
      <c r="T262" s="265">
        <v>72000</v>
      </c>
      <c r="U262" s="265">
        <v>0</v>
      </c>
      <c r="V262" s="265">
        <v>56000</v>
      </c>
      <c r="W262" s="265">
        <v>80000</v>
      </c>
      <c r="X262" s="265">
        <v>80000</v>
      </c>
      <c r="Y262" s="50">
        <f t="shared" si="4"/>
        <v>60000</v>
      </c>
    </row>
    <row r="263" spans="1:25" s="39" customFormat="1" x14ac:dyDescent="0.35">
      <c r="A263" s="37" t="s">
        <v>334</v>
      </c>
      <c r="B263" s="37" t="s">
        <v>716</v>
      </c>
      <c r="C263" s="91">
        <v>8470330</v>
      </c>
      <c r="D263" s="37" t="s">
        <v>666</v>
      </c>
      <c r="E263" s="91">
        <v>436600</v>
      </c>
      <c r="F263" s="37" t="s">
        <v>416</v>
      </c>
      <c r="G263" s="90">
        <v>847001</v>
      </c>
      <c r="H263" s="37" t="s">
        <v>50</v>
      </c>
      <c r="I263" s="90">
        <v>200179</v>
      </c>
      <c r="J263" s="37" t="s">
        <v>61</v>
      </c>
      <c r="K263" s="265">
        <v>0</v>
      </c>
      <c r="L263" s="265">
        <v>0</v>
      </c>
      <c r="M263" s="265">
        <v>0</v>
      </c>
      <c r="N263" s="265">
        <v>60000</v>
      </c>
      <c r="O263" s="265">
        <v>60000</v>
      </c>
      <c r="P263" s="265">
        <v>0</v>
      </c>
      <c r="Q263" s="265">
        <v>0</v>
      </c>
      <c r="R263" s="265">
        <v>15740</v>
      </c>
      <c r="S263" s="265">
        <v>16000</v>
      </c>
      <c r="T263" s="265">
        <v>14400</v>
      </c>
      <c r="U263" s="265">
        <v>0</v>
      </c>
      <c r="V263" s="265">
        <v>11200</v>
      </c>
      <c r="W263" s="265">
        <v>16000</v>
      </c>
      <c r="X263" s="265">
        <v>16000</v>
      </c>
      <c r="Y263" s="50">
        <f t="shared" si="4"/>
        <v>-44000</v>
      </c>
    </row>
    <row r="264" spans="1:25" s="39" customFormat="1" x14ac:dyDescent="0.35">
      <c r="A264" s="37" t="s">
        <v>334</v>
      </c>
      <c r="B264" s="37" t="s">
        <v>719</v>
      </c>
      <c r="C264" s="91">
        <v>8470330</v>
      </c>
      <c r="D264" s="37" t="s">
        <v>666</v>
      </c>
      <c r="E264" s="91">
        <v>492316</v>
      </c>
      <c r="F264" s="37" t="s">
        <v>221</v>
      </c>
      <c r="G264" s="90">
        <v>847001</v>
      </c>
      <c r="H264" s="37" t="s">
        <v>50</v>
      </c>
      <c r="I264" s="90">
        <v>300180</v>
      </c>
      <c r="J264" s="37" t="s">
        <v>192</v>
      </c>
      <c r="K264" s="265">
        <v>441732</v>
      </c>
      <c r="L264" s="265">
        <v>585059</v>
      </c>
      <c r="M264" s="265">
        <v>228093</v>
      </c>
      <c r="N264" s="265">
        <v>456796</v>
      </c>
      <c r="O264" s="265">
        <v>456796</v>
      </c>
      <c r="P264" s="265">
        <v>0</v>
      </c>
      <c r="Q264" s="265">
        <v>412250</v>
      </c>
      <c r="R264" s="265">
        <v>38500</v>
      </c>
      <c r="S264" s="265">
        <v>1041552</v>
      </c>
      <c r="T264" s="265">
        <v>937397</v>
      </c>
      <c r="U264" s="265">
        <v>0</v>
      </c>
      <c r="V264" s="265">
        <v>729086</v>
      </c>
      <c r="W264" s="265">
        <v>500000</v>
      </c>
      <c r="X264" s="265">
        <v>500000</v>
      </c>
      <c r="Y264" s="50">
        <f t="shared" si="4"/>
        <v>584756</v>
      </c>
    </row>
    <row r="265" spans="1:25" s="39" customFormat="1" x14ac:dyDescent="0.35">
      <c r="A265" s="37" t="s">
        <v>334</v>
      </c>
      <c r="B265" s="37" t="s">
        <v>722</v>
      </c>
      <c r="C265" s="91">
        <v>8470335</v>
      </c>
      <c r="D265" s="37" t="s">
        <v>721</v>
      </c>
      <c r="E265" s="91">
        <v>420550</v>
      </c>
      <c r="F265" s="37" t="s">
        <v>225</v>
      </c>
      <c r="G265" s="90">
        <v>847001</v>
      </c>
      <c r="H265" s="37" t="s">
        <v>50</v>
      </c>
      <c r="I265" s="90">
        <v>200179</v>
      </c>
      <c r="J265" s="37" t="s">
        <v>61</v>
      </c>
      <c r="K265" s="265">
        <v>0</v>
      </c>
      <c r="L265" s="265">
        <v>0</v>
      </c>
      <c r="M265" s="265">
        <v>0</v>
      </c>
      <c r="N265" s="265">
        <v>10000</v>
      </c>
      <c r="O265" s="265">
        <v>10000</v>
      </c>
      <c r="P265" s="265">
        <v>0</v>
      </c>
      <c r="Q265" s="265">
        <v>0</v>
      </c>
      <c r="R265" s="265">
        <v>0</v>
      </c>
      <c r="S265" s="265">
        <v>12000</v>
      </c>
      <c r="T265" s="265">
        <v>10800</v>
      </c>
      <c r="U265" s="265">
        <v>0</v>
      </c>
      <c r="V265" s="265">
        <v>8400</v>
      </c>
      <c r="W265" s="265">
        <v>13000</v>
      </c>
      <c r="X265" s="265">
        <v>13600</v>
      </c>
      <c r="Y265" s="50">
        <f t="shared" si="4"/>
        <v>2000</v>
      </c>
    </row>
    <row r="266" spans="1:25" s="39" customFormat="1" x14ac:dyDescent="0.35">
      <c r="A266" s="37" t="s">
        <v>334</v>
      </c>
      <c r="B266" s="37" t="s">
        <v>724</v>
      </c>
      <c r="C266" s="91">
        <v>8470335</v>
      </c>
      <c r="D266" s="37" t="s">
        <v>721</v>
      </c>
      <c r="E266" s="91">
        <v>425510</v>
      </c>
      <c r="F266" s="37" t="s">
        <v>247</v>
      </c>
      <c r="G266" s="90">
        <v>847001</v>
      </c>
      <c r="H266" s="37" t="s">
        <v>50</v>
      </c>
      <c r="I266" s="90">
        <v>200179</v>
      </c>
      <c r="J266" s="37" t="s">
        <v>61</v>
      </c>
      <c r="K266" s="265">
        <v>6385</v>
      </c>
      <c r="L266" s="265">
        <v>0</v>
      </c>
      <c r="M266" s="265">
        <v>0</v>
      </c>
      <c r="N266" s="38">
        <v>20000</v>
      </c>
      <c r="O266" s="265">
        <v>20000</v>
      </c>
      <c r="P266" s="265">
        <v>0</v>
      </c>
      <c r="Q266" s="265">
        <v>0</v>
      </c>
      <c r="R266" s="265">
        <v>0</v>
      </c>
      <c r="S266" s="38">
        <v>20000</v>
      </c>
      <c r="T266" s="265">
        <v>18000</v>
      </c>
      <c r="U266" s="265">
        <v>0</v>
      </c>
      <c r="V266" s="265">
        <v>14000</v>
      </c>
      <c r="W266" s="265">
        <v>22000</v>
      </c>
      <c r="X266" s="265">
        <v>22000</v>
      </c>
      <c r="Y266" s="38">
        <f t="shared" si="4"/>
        <v>0</v>
      </c>
    </row>
    <row r="267" spans="1:25" s="39" customFormat="1" x14ac:dyDescent="0.35">
      <c r="A267" s="37" t="s">
        <v>334</v>
      </c>
      <c r="B267" s="37" t="s">
        <v>726</v>
      </c>
      <c r="C267" s="91">
        <v>8470335</v>
      </c>
      <c r="D267" s="37" t="s">
        <v>721</v>
      </c>
      <c r="E267" s="91">
        <v>425760</v>
      </c>
      <c r="F267" s="37" t="s">
        <v>352</v>
      </c>
      <c r="G267" s="90">
        <v>847001</v>
      </c>
      <c r="H267" s="37" t="s">
        <v>50</v>
      </c>
      <c r="I267" s="90">
        <v>200179</v>
      </c>
      <c r="J267" s="37" t="s">
        <v>61</v>
      </c>
      <c r="K267" s="265">
        <v>2520</v>
      </c>
      <c r="L267" s="265">
        <v>2400</v>
      </c>
      <c r="M267" s="265">
        <v>0</v>
      </c>
      <c r="N267" s="265">
        <v>10000</v>
      </c>
      <c r="O267" s="265">
        <v>10000</v>
      </c>
      <c r="P267" s="265">
        <v>0</v>
      </c>
      <c r="Q267" s="265">
        <v>0</v>
      </c>
      <c r="R267" s="265">
        <v>0</v>
      </c>
      <c r="S267" s="265">
        <v>10000</v>
      </c>
      <c r="T267" s="265">
        <v>9000</v>
      </c>
      <c r="U267" s="265">
        <v>0</v>
      </c>
      <c r="V267" s="265">
        <v>7000</v>
      </c>
      <c r="W267" s="265">
        <v>10000</v>
      </c>
      <c r="X267" s="265">
        <v>12500</v>
      </c>
      <c r="Y267" s="50">
        <f t="shared" si="4"/>
        <v>0</v>
      </c>
    </row>
    <row r="268" spans="1:25" s="39" customFormat="1" x14ac:dyDescent="0.35">
      <c r="A268" s="37" t="s">
        <v>334</v>
      </c>
      <c r="B268" s="37" t="s">
        <v>730</v>
      </c>
      <c r="C268" s="91">
        <v>8470335</v>
      </c>
      <c r="D268" s="37" t="s">
        <v>721</v>
      </c>
      <c r="E268" s="91">
        <v>425763</v>
      </c>
      <c r="F268" s="37" t="s">
        <v>359</v>
      </c>
      <c r="G268" s="90">
        <v>847001</v>
      </c>
      <c r="H268" s="37" t="s">
        <v>50</v>
      </c>
      <c r="I268" s="90">
        <v>200179</v>
      </c>
      <c r="J268" s="37" t="s">
        <v>61</v>
      </c>
      <c r="K268" s="265">
        <v>23595</v>
      </c>
      <c r="L268" s="265">
        <v>40126</v>
      </c>
      <c r="M268" s="265">
        <v>24128</v>
      </c>
      <c r="N268" s="265">
        <v>50000</v>
      </c>
      <c r="O268" s="265">
        <v>50000</v>
      </c>
      <c r="P268" s="265">
        <v>30000</v>
      </c>
      <c r="Q268" s="265">
        <v>0</v>
      </c>
      <c r="R268" s="265">
        <v>0</v>
      </c>
      <c r="S268" s="265">
        <v>80000</v>
      </c>
      <c r="T268" s="265">
        <v>72000</v>
      </c>
      <c r="U268" s="265">
        <v>0</v>
      </c>
      <c r="V268" s="265">
        <v>56000</v>
      </c>
      <c r="W268" s="265">
        <v>90000</v>
      </c>
      <c r="X268" s="265">
        <v>96000</v>
      </c>
      <c r="Y268" s="50">
        <f t="shared" si="4"/>
        <v>30000</v>
      </c>
    </row>
    <row r="269" spans="1:25" s="39" customFormat="1" x14ac:dyDescent="0.35">
      <c r="A269" s="37" t="s">
        <v>334</v>
      </c>
      <c r="B269" s="37" t="s">
        <v>732</v>
      </c>
      <c r="C269" s="91">
        <v>8470335</v>
      </c>
      <c r="D269" s="37" t="s">
        <v>721</v>
      </c>
      <c r="E269" s="91">
        <v>425770</v>
      </c>
      <c r="F269" s="37" t="s">
        <v>367</v>
      </c>
      <c r="G269" s="90">
        <v>847001</v>
      </c>
      <c r="H269" s="37" t="s">
        <v>50</v>
      </c>
      <c r="I269" s="90">
        <v>200179</v>
      </c>
      <c r="J269" s="37" t="s">
        <v>61</v>
      </c>
      <c r="K269" s="265">
        <v>124463</v>
      </c>
      <c r="L269" s="265">
        <v>54555</v>
      </c>
      <c r="M269" s="265">
        <v>-3762</v>
      </c>
      <c r="N269" s="265">
        <v>166000</v>
      </c>
      <c r="O269" s="265">
        <v>166000</v>
      </c>
      <c r="P269" s="265">
        <v>27284.28</v>
      </c>
      <c r="Q269" s="265">
        <v>0</v>
      </c>
      <c r="R269" s="265">
        <v>0</v>
      </c>
      <c r="S269" s="265">
        <v>400000</v>
      </c>
      <c r="T269" s="265">
        <v>360000</v>
      </c>
      <c r="U269" s="265">
        <v>0</v>
      </c>
      <c r="V269" s="265">
        <v>280000</v>
      </c>
      <c r="W269" s="265">
        <v>440000</v>
      </c>
      <c r="X269" s="265">
        <v>440000</v>
      </c>
      <c r="Y269" s="50">
        <f t="shared" si="4"/>
        <v>234000</v>
      </c>
    </row>
    <row r="270" spans="1:25" s="39" customFormat="1" x14ac:dyDescent="0.35">
      <c r="A270" s="37" t="s">
        <v>334</v>
      </c>
      <c r="B270" s="37" t="s">
        <v>735</v>
      </c>
      <c r="C270" s="91">
        <v>8470335</v>
      </c>
      <c r="D270" s="37" t="s">
        <v>721</v>
      </c>
      <c r="E270" s="91">
        <v>425900</v>
      </c>
      <c r="F270" s="37" t="s">
        <v>266</v>
      </c>
      <c r="G270" s="90">
        <v>847001</v>
      </c>
      <c r="H270" s="37" t="s">
        <v>50</v>
      </c>
      <c r="I270" s="90">
        <v>200179</v>
      </c>
      <c r="J270" s="37" t="s">
        <v>61</v>
      </c>
      <c r="K270" s="265">
        <v>931</v>
      </c>
      <c r="L270" s="265">
        <v>4447</v>
      </c>
      <c r="M270" s="265">
        <v>0</v>
      </c>
      <c r="N270" s="265">
        <v>20000</v>
      </c>
      <c r="O270" s="265">
        <v>20000</v>
      </c>
      <c r="P270" s="265">
        <v>0</v>
      </c>
      <c r="Q270" s="265">
        <v>0</v>
      </c>
      <c r="R270" s="265">
        <v>0</v>
      </c>
      <c r="S270" s="265">
        <v>36000</v>
      </c>
      <c r="T270" s="265">
        <v>32400</v>
      </c>
      <c r="U270" s="265">
        <v>0</v>
      </c>
      <c r="V270" s="265">
        <v>25200</v>
      </c>
      <c r="W270" s="265">
        <v>36000</v>
      </c>
      <c r="X270" s="265">
        <v>36000</v>
      </c>
      <c r="Y270" s="50">
        <f t="shared" si="4"/>
        <v>16000</v>
      </c>
    </row>
    <row r="271" spans="1:25" s="39" customFormat="1" x14ac:dyDescent="0.35">
      <c r="A271" s="37" t="s">
        <v>334</v>
      </c>
      <c r="B271" s="37" t="s">
        <v>737</v>
      </c>
      <c r="C271" s="91">
        <v>8470335</v>
      </c>
      <c r="D271" s="37" t="s">
        <v>721</v>
      </c>
      <c r="E271" s="91">
        <v>426610</v>
      </c>
      <c r="F271" s="37" t="s">
        <v>694</v>
      </c>
      <c r="G271" s="90">
        <v>847001</v>
      </c>
      <c r="H271" s="37" t="s">
        <v>50</v>
      </c>
      <c r="I271" s="90">
        <v>200179</v>
      </c>
      <c r="J271" s="37" t="s">
        <v>61</v>
      </c>
      <c r="K271" s="265">
        <v>111804</v>
      </c>
      <c r="L271" s="265">
        <v>124805</v>
      </c>
      <c r="M271" s="265">
        <v>134362</v>
      </c>
      <c r="N271" s="265">
        <v>150257</v>
      </c>
      <c r="O271" s="265">
        <v>150257</v>
      </c>
      <c r="P271" s="265">
        <v>68753.19</v>
      </c>
      <c r="Q271" s="265">
        <v>15473.61</v>
      </c>
      <c r="R271" s="265">
        <v>64773.69</v>
      </c>
      <c r="S271" s="265">
        <v>198000</v>
      </c>
      <c r="T271" s="265">
        <v>178200</v>
      </c>
      <c r="U271" s="265">
        <v>0</v>
      </c>
      <c r="V271" s="265">
        <v>138600</v>
      </c>
      <c r="W271" s="265">
        <v>210000</v>
      </c>
      <c r="X271" s="265">
        <v>222000</v>
      </c>
      <c r="Y271" s="50">
        <f t="shared" si="4"/>
        <v>47743</v>
      </c>
    </row>
    <row r="272" spans="1:25" s="39" customFormat="1" x14ac:dyDescent="0.35">
      <c r="A272" s="37" t="s">
        <v>334</v>
      </c>
      <c r="B272" s="37" t="s">
        <v>739</v>
      </c>
      <c r="C272" s="91">
        <v>8470335</v>
      </c>
      <c r="D272" s="37" t="s">
        <v>721</v>
      </c>
      <c r="E272" s="91">
        <v>428090</v>
      </c>
      <c r="F272" s="37" t="s">
        <v>154</v>
      </c>
      <c r="G272" s="90">
        <v>847001</v>
      </c>
      <c r="H272" s="37" t="s">
        <v>50</v>
      </c>
      <c r="I272" s="90">
        <v>200179</v>
      </c>
      <c r="J272" s="37" t="s">
        <v>61</v>
      </c>
      <c r="K272" s="265">
        <v>44774</v>
      </c>
      <c r="L272" s="265">
        <v>0</v>
      </c>
      <c r="M272" s="265">
        <v>0</v>
      </c>
      <c r="N272" s="265">
        <v>40000</v>
      </c>
      <c r="O272" s="265">
        <v>40000</v>
      </c>
      <c r="P272" s="265">
        <v>0</v>
      </c>
      <c r="Q272" s="265">
        <v>0</v>
      </c>
      <c r="R272" s="265">
        <v>0</v>
      </c>
      <c r="S272" s="265">
        <v>45000</v>
      </c>
      <c r="T272" s="265">
        <v>40500</v>
      </c>
      <c r="U272" s="265">
        <v>0</v>
      </c>
      <c r="V272" s="265">
        <v>31500</v>
      </c>
      <c r="W272" s="265">
        <v>45000</v>
      </c>
      <c r="X272" s="265">
        <v>45000</v>
      </c>
      <c r="Y272" s="50">
        <f t="shared" si="4"/>
        <v>5000</v>
      </c>
    </row>
    <row r="273" spans="1:27" s="39" customFormat="1" x14ac:dyDescent="0.35">
      <c r="A273" s="37" t="s">
        <v>334</v>
      </c>
      <c r="B273" s="37" t="s">
        <v>742</v>
      </c>
      <c r="C273" s="91">
        <v>8470335</v>
      </c>
      <c r="D273" s="37" t="s">
        <v>721</v>
      </c>
      <c r="E273" s="91">
        <v>435350</v>
      </c>
      <c r="F273" s="37" t="s">
        <v>399</v>
      </c>
      <c r="G273" s="90">
        <v>847001</v>
      </c>
      <c r="H273" s="37" t="s">
        <v>50</v>
      </c>
      <c r="I273" s="90">
        <v>200179</v>
      </c>
      <c r="J273" s="37" t="s">
        <v>61</v>
      </c>
      <c r="K273" s="265">
        <v>5626</v>
      </c>
      <c r="L273" s="265">
        <v>38004</v>
      </c>
      <c r="M273" s="265">
        <v>22480</v>
      </c>
      <c r="N273" s="265">
        <v>51520</v>
      </c>
      <c r="O273" s="265">
        <v>51520</v>
      </c>
      <c r="P273" s="265">
        <v>5617.51</v>
      </c>
      <c r="Q273" s="265">
        <v>0</v>
      </c>
      <c r="R273" s="265">
        <v>0</v>
      </c>
      <c r="S273" s="265">
        <v>65000</v>
      </c>
      <c r="T273" s="265">
        <v>58500</v>
      </c>
      <c r="U273" s="265">
        <v>0</v>
      </c>
      <c r="V273" s="265">
        <v>45500</v>
      </c>
      <c r="W273" s="265">
        <v>65000</v>
      </c>
      <c r="X273" s="265">
        <v>71500</v>
      </c>
      <c r="Y273" s="50">
        <f t="shared" si="4"/>
        <v>13480</v>
      </c>
    </row>
    <row r="274" spans="1:27" s="39" customFormat="1" x14ac:dyDescent="0.35">
      <c r="A274" s="37" t="s">
        <v>334</v>
      </c>
      <c r="B274" s="37" t="s">
        <v>745</v>
      </c>
      <c r="C274" s="91">
        <v>8470335</v>
      </c>
      <c r="D274" s="37" t="s">
        <v>721</v>
      </c>
      <c r="E274" s="91">
        <v>435508</v>
      </c>
      <c r="F274" s="37" t="s">
        <v>405</v>
      </c>
      <c r="G274" s="90">
        <v>847001</v>
      </c>
      <c r="H274" s="37" t="s">
        <v>50</v>
      </c>
      <c r="I274" s="90">
        <v>200179</v>
      </c>
      <c r="J274" s="37" t="s">
        <v>61</v>
      </c>
      <c r="K274" s="265">
        <v>156426</v>
      </c>
      <c r="L274" s="265">
        <v>99044</v>
      </c>
      <c r="M274" s="265">
        <v>66172</v>
      </c>
      <c r="N274" s="265">
        <v>243000</v>
      </c>
      <c r="O274" s="265">
        <v>243000</v>
      </c>
      <c r="P274" s="265">
        <v>73398.899999999994</v>
      </c>
      <c r="Q274" s="265">
        <v>11037.37</v>
      </c>
      <c r="R274" s="265">
        <v>156924.71</v>
      </c>
      <c r="S274" s="265">
        <v>205500</v>
      </c>
      <c r="T274" s="265">
        <v>184950</v>
      </c>
      <c r="U274" s="265">
        <v>0</v>
      </c>
      <c r="V274" s="265">
        <v>143850</v>
      </c>
      <c r="W274" s="265">
        <v>220000</v>
      </c>
      <c r="X274" s="265">
        <v>120000</v>
      </c>
      <c r="Y274" s="50">
        <f t="shared" si="4"/>
        <v>-37500</v>
      </c>
    </row>
    <row r="275" spans="1:27" s="39" customFormat="1" x14ac:dyDescent="0.35">
      <c r="A275" s="37" t="s">
        <v>334</v>
      </c>
      <c r="B275" s="37" t="s">
        <v>747</v>
      </c>
      <c r="C275" s="91">
        <v>8470335</v>
      </c>
      <c r="D275" s="37" t="s">
        <v>721</v>
      </c>
      <c r="E275" s="91">
        <v>436110</v>
      </c>
      <c r="F275" s="37" t="s">
        <v>190</v>
      </c>
      <c r="G275" s="90">
        <v>847001</v>
      </c>
      <c r="H275" s="37" t="s">
        <v>50</v>
      </c>
      <c r="I275" s="90">
        <v>200179</v>
      </c>
      <c r="J275" s="37" t="s">
        <v>61</v>
      </c>
      <c r="K275" s="265">
        <v>3577</v>
      </c>
      <c r="L275" s="265">
        <v>3778</v>
      </c>
      <c r="M275" s="265">
        <v>0</v>
      </c>
      <c r="N275" s="265">
        <v>4000</v>
      </c>
      <c r="O275" s="265">
        <v>4000</v>
      </c>
      <c r="P275" s="265">
        <v>0</v>
      </c>
      <c r="Q275" s="265">
        <v>0</v>
      </c>
      <c r="R275" s="265">
        <v>0</v>
      </c>
      <c r="S275" s="265">
        <v>8750</v>
      </c>
      <c r="T275" s="265">
        <v>7875</v>
      </c>
      <c r="U275" s="265">
        <v>0</v>
      </c>
      <c r="V275" s="265">
        <v>6125</v>
      </c>
      <c r="W275" s="265">
        <v>8750</v>
      </c>
      <c r="X275" s="265">
        <v>9000</v>
      </c>
      <c r="Y275" s="50">
        <f t="shared" si="4"/>
        <v>4750</v>
      </c>
    </row>
    <row r="276" spans="1:27" s="39" customFormat="1" x14ac:dyDescent="0.35">
      <c r="A276" s="37" t="s">
        <v>334</v>
      </c>
      <c r="B276" s="37" t="s">
        <v>751</v>
      </c>
      <c r="C276" s="91">
        <v>8470335</v>
      </c>
      <c r="D276" s="37" t="s">
        <v>721</v>
      </c>
      <c r="E276" s="91">
        <v>436600</v>
      </c>
      <c r="F276" s="37" t="s">
        <v>416</v>
      </c>
      <c r="G276" s="90">
        <v>847001</v>
      </c>
      <c r="H276" s="37" t="s">
        <v>50</v>
      </c>
      <c r="I276" s="90">
        <v>200179</v>
      </c>
      <c r="J276" s="37" t="s">
        <v>61</v>
      </c>
      <c r="K276" s="265">
        <v>0</v>
      </c>
      <c r="L276" s="265">
        <v>12141</v>
      </c>
      <c r="M276" s="265">
        <v>11193</v>
      </c>
      <c r="N276" s="265">
        <v>12000</v>
      </c>
      <c r="O276" s="265">
        <v>12000</v>
      </c>
      <c r="P276" s="265">
        <v>11500</v>
      </c>
      <c r="Q276" s="265">
        <v>0</v>
      </c>
      <c r="R276" s="265">
        <v>0</v>
      </c>
      <c r="S276" s="265">
        <v>12000</v>
      </c>
      <c r="T276" s="265">
        <v>10800</v>
      </c>
      <c r="U276" s="265">
        <v>0</v>
      </c>
      <c r="V276" s="265">
        <v>8400</v>
      </c>
      <c r="W276" s="265">
        <v>12000</v>
      </c>
      <c r="X276" s="265">
        <v>12600</v>
      </c>
      <c r="Y276" s="50">
        <f t="shared" si="4"/>
        <v>0</v>
      </c>
    </row>
    <row r="277" spans="1:27" s="39" customFormat="1" x14ac:dyDescent="0.35">
      <c r="A277" s="37" t="s">
        <v>334</v>
      </c>
      <c r="B277" s="37" t="s">
        <v>754</v>
      </c>
      <c r="C277" s="91">
        <v>8470335</v>
      </c>
      <c r="D277" s="37" t="s">
        <v>721</v>
      </c>
      <c r="E277" s="91">
        <v>492316</v>
      </c>
      <c r="F277" s="37" t="s">
        <v>221</v>
      </c>
      <c r="G277" s="90">
        <v>847001</v>
      </c>
      <c r="H277" s="37" t="s">
        <v>50</v>
      </c>
      <c r="I277" s="90">
        <v>300180</v>
      </c>
      <c r="J277" s="37" t="s">
        <v>192</v>
      </c>
      <c r="K277" s="265">
        <v>0</v>
      </c>
      <c r="L277" s="265">
        <v>283271</v>
      </c>
      <c r="M277" s="265">
        <v>31330</v>
      </c>
      <c r="N277" s="265">
        <v>234334</v>
      </c>
      <c r="O277" s="265">
        <v>234334</v>
      </c>
      <c r="P277" s="265">
        <v>11026.05</v>
      </c>
      <c r="Q277" s="265">
        <v>177000</v>
      </c>
      <c r="R277" s="265">
        <v>46277</v>
      </c>
      <c r="S277" s="265">
        <v>290000</v>
      </c>
      <c r="T277" s="265">
        <v>261000</v>
      </c>
      <c r="U277" s="265">
        <v>0</v>
      </c>
      <c r="V277" s="265">
        <v>203000</v>
      </c>
      <c r="W277" s="265">
        <v>520000</v>
      </c>
      <c r="X277" s="265">
        <v>0</v>
      </c>
      <c r="Y277" s="50">
        <f t="shared" si="4"/>
        <v>55666</v>
      </c>
      <c r="AA277" s="275"/>
    </row>
    <row r="278" spans="1:27" s="39" customFormat="1" x14ac:dyDescent="0.35">
      <c r="A278" s="37" t="s">
        <v>334</v>
      </c>
      <c r="B278" s="37" t="s">
        <v>759</v>
      </c>
      <c r="C278" s="91">
        <v>8470340</v>
      </c>
      <c r="D278" s="37" t="s">
        <v>758</v>
      </c>
      <c r="E278" s="91">
        <v>420550</v>
      </c>
      <c r="F278" s="37" t="s">
        <v>225</v>
      </c>
      <c r="G278" s="90">
        <v>847001</v>
      </c>
      <c r="H278" s="37" t="s">
        <v>50</v>
      </c>
      <c r="I278" s="90">
        <v>200179</v>
      </c>
      <c r="J278" s="37" t="s">
        <v>61</v>
      </c>
      <c r="K278" s="265">
        <v>0</v>
      </c>
      <c r="L278" s="265">
        <v>0</v>
      </c>
      <c r="M278" s="265">
        <v>0</v>
      </c>
      <c r="N278" s="265">
        <v>3000</v>
      </c>
      <c r="O278" s="265">
        <v>3000</v>
      </c>
      <c r="P278" s="265">
        <v>0</v>
      </c>
      <c r="Q278" s="265">
        <v>0</v>
      </c>
      <c r="R278" s="265">
        <v>0</v>
      </c>
      <c r="S278" s="265">
        <v>3000</v>
      </c>
      <c r="T278" s="265">
        <v>2700</v>
      </c>
      <c r="U278" s="265">
        <v>0</v>
      </c>
      <c r="V278" s="265">
        <v>2100</v>
      </c>
      <c r="W278" s="265">
        <v>3000</v>
      </c>
      <c r="X278" s="265">
        <v>3000</v>
      </c>
      <c r="Y278" s="50">
        <f t="shared" si="4"/>
        <v>0</v>
      </c>
    </row>
    <row r="279" spans="1:27" s="39" customFormat="1" x14ac:dyDescent="0.35">
      <c r="A279" s="37" t="s">
        <v>334</v>
      </c>
      <c r="B279" s="37" t="s">
        <v>762</v>
      </c>
      <c r="C279" s="91">
        <v>8470340</v>
      </c>
      <c r="D279" s="37" t="s">
        <v>758</v>
      </c>
      <c r="E279" s="91">
        <v>425510</v>
      </c>
      <c r="F279" s="37" t="s">
        <v>247</v>
      </c>
      <c r="G279" s="90">
        <v>847001</v>
      </c>
      <c r="H279" s="37" t="s">
        <v>50</v>
      </c>
      <c r="I279" s="90">
        <v>200179</v>
      </c>
      <c r="J279" s="37" t="s">
        <v>61</v>
      </c>
      <c r="K279" s="265">
        <v>7200</v>
      </c>
      <c r="L279" s="265">
        <v>2080</v>
      </c>
      <c r="M279" s="265">
        <v>0</v>
      </c>
      <c r="N279" s="38">
        <v>10000</v>
      </c>
      <c r="O279" s="265">
        <v>10000</v>
      </c>
      <c r="P279" s="265">
        <v>0</v>
      </c>
      <c r="Q279" s="265">
        <v>0</v>
      </c>
      <c r="R279" s="265">
        <v>0</v>
      </c>
      <c r="S279" s="38">
        <v>10000</v>
      </c>
      <c r="T279" s="265">
        <v>9000</v>
      </c>
      <c r="U279" s="265">
        <v>0</v>
      </c>
      <c r="V279" s="265">
        <v>7000</v>
      </c>
      <c r="W279" s="265">
        <v>10000</v>
      </c>
      <c r="X279" s="265">
        <v>10000</v>
      </c>
      <c r="Y279" s="38">
        <f t="shared" si="4"/>
        <v>0</v>
      </c>
    </row>
    <row r="280" spans="1:27" s="39" customFormat="1" x14ac:dyDescent="0.35">
      <c r="A280" s="37" t="s">
        <v>334</v>
      </c>
      <c r="B280" s="37" t="s">
        <v>764</v>
      </c>
      <c r="C280" s="91">
        <v>8470340</v>
      </c>
      <c r="D280" s="37" t="s">
        <v>758</v>
      </c>
      <c r="E280" s="91">
        <v>425720</v>
      </c>
      <c r="F280" s="37" t="s">
        <v>620</v>
      </c>
      <c r="G280" s="90">
        <v>847001</v>
      </c>
      <c r="H280" s="37" t="s">
        <v>50</v>
      </c>
      <c r="I280" s="90">
        <v>200179</v>
      </c>
      <c r="J280" s="37" t="s">
        <v>61</v>
      </c>
      <c r="K280" s="265">
        <v>0</v>
      </c>
      <c r="L280" s="265">
        <v>0</v>
      </c>
      <c r="M280" s="265">
        <v>0</v>
      </c>
      <c r="N280" s="265">
        <v>30000</v>
      </c>
      <c r="O280" s="265">
        <v>30000</v>
      </c>
      <c r="P280" s="265">
        <v>0</v>
      </c>
      <c r="Q280" s="265">
        <v>0</v>
      </c>
      <c r="R280" s="265">
        <v>0</v>
      </c>
      <c r="S280" s="265">
        <v>10000</v>
      </c>
      <c r="T280" s="265">
        <v>9000</v>
      </c>
      <c r="U280" s="265">
        <v>0</v>
      </c>
      <c r="V280" s="265">
        <v>7000</v>
      </c>
      <c r="W280" s="265">
        <v>10000</v>
      </c>
      <c r="X280" s="265">
        <v>10000</v>
      </c>
      <c r="Y280" s="50">
        <f t="shared" si="4"/>
        <v>-20000</v>
      </c>
    </row>
    <row r="281" spans="1:27" s="39" customFormat="1" x14ac:dyDescent="0.35">
      <c r="A281" s="37" t="s">
        <v>334</v>
      </c>
      <c r="B281" s="37" t="s">
        <v>767</v>
      </c>
      <c r="C281" s="91">
        <v>8470340</v>
      </c>
      <c r="D281" s="37" t="s">
        <v>758</v>
      </c>
      <c r="E281" s="91">
        <v>425760</v>
      </c>
      <c r="F281" s="37" t="s">
        <v>352</v>
      </c>
      <c r="G281" s="90">
        <v>847001</v>
      </c>
      <c r="H281" s="37" t="s">
        <v>50</v>
      </c>
      <c r="I281" s="90">
        <v>200179</v>
      </c>
      <c r="J281" s="37" t="s">
        <v>61</v>
      </c>
      <c r="K281" s="265">
        <v>4762</v>
      </c>
      <c r="L281" s="265">
        <v>2750</v>
      </c>
      <c r="M281" s="265">
        <v>0</v>
      </c>
      <c r="N281" s="265">
        <v>12000</v>
      </c>
      <c r="O281" s="265">
        <v>12000</v>
      </c>
      <c r="P281" s="265">
        <v>0</v>
      </c>
      <c r="Q281" s="265">
        <v>0</v>
      </c>
      <c r="R281" s="265">
        <v>0</v>
      </c>
      <c r="S281" s="265">
        <v>12000</v>
      </c>
      <c r="T281" s="265">
        <v>10800</v>
      </c>
      <c r="U281" s="265">
        <v>0</v>
      </c>
      <c r="V281" s="265">
        <v>8400</v>
      </c>
      <c r="W281" s="265">
        <v>12000</v>
      </c>
      <c r="X281" s="265">
        <v>12000</v>
      </c>
      <c r="Y281" s="50">
        <f t="shared" si="4"/>
        <v>0</v>
      </c>
    </row>
    <row r="282" spans="1:27" s="39" customFormat="1" x14ac:dyDescent="0.35">
      <c r="A282" s="37" t="s">
        <v>334</v>
      </c>
      <c r="B282" s="37" t="s">
        <v>769</v>
      </c>
      <c r="C282" s="91">
        <v>8470340</v>
      </c>
      <c r="D282" s="37" t="s">
        <v>758</v>
      </c>
      <c r="E282" s="91">
        <v>425763</v>
      </c>
      <c r="F282" s="37" t="s">
        <v>359</v>
      </c>
      <c r="G282" s="90">
        <v>847001</v>
      </c>
      <c r="H282" s="37" t="s">
        <v>50</v>
      </c>
      <c r="I282" s="90">
        <v>200179</v>
      </c>
      <c r="J282" s="37" t="s">
        <v>61</v>
      </c>
      <c r="K282" s="265">
        <v>208321</v>
      </c>
      <c r="L282" s="265">
        <v>225403</v>
      </c>
      <c r="M282" s="265">
        <v>252926</v>
      </c>
      <c r="N282" s="265">
        <v>460000</v>
      </c>
      <c r="O282" s="265">
        <v>460000</v>
      </c>
      <c r="P282" s="265">
        <v>190000</v>
      </c>
      <c r="Q282" s="265">
        <v>0</v>
      </c>
      <c r="R282" s="265">
        <v>0</v>
      </c>
      <c r="S282" s="265">
        <v>500000</v>
      </c>
      <c r="T282" s="265">
        <v>450000</v>
      </c>
      <c r="U282" s="265">
        <v>0</v>
      </c>
      <c r="V282" s="265">
        <v>350000</v>
      </c>
      <c r="W282" s="265">
        <v>550000</v>
      </c>
      <c r="X282" s="265">
        <v>600000</v>
      </c>
      <c r="Y282" s="50">
        <f t="shared" si="4"/>
        <v>40000</v>
      </c>
    </row>
    <row r="283" spans="1:27" s="39" customFormat="1" x14ac:dyDescent="0.35">
      <c r="A283" s="37" t="s">
        <v>334</v>
      </c>
      <c r="B283" s="37" t="s">
        <v>773</v>
      </c>
      <c r="C283" s="91">
        <v>8470340</v>
      </c>
      <c r="D283" s="37" t="s">
        <v>758</v>
      </c>
      <c r="E283" s="91">
        <v>425770</v>
      </c>
      <c r="F283" s="37" t="s">
        <v>367</v>
      </c>
      <c r="G283" s="90">
        <v>847001</v>
      </c>
      <c r="H283" s="37" t="s">
        <v>50</v>
      </c>
      <c r="I283" s="90">
        <v>200179</v>
      </c>
      <c r="J283" s="37" t="s">
        <v>61</v>
      </c>
      <c r="K283" s="265">
        <v>276102</v>
      </c>
      <c r="L283" s="265">
        <v>54007</v>
      </c>
      <c r="M283" s="265">
        <v>30018</v>
      </c>
      <c r="N283" s="265">
        <v>630000</v>
      </c>
      <c r="O283" s="265">
        <v>630000</v>
      </c>
      <c r="P283" s="265">
        <v>43966.75</v>
      </c>
      <c r="Q283" s="265">
        <v>0</v>
      </c>
      <c r="R283" s="265">
        <v>0</v>
      </c>
      <c r="S283" s="265">
        <v>700000</v>
      </c>
      <c r="T283" s="265">
        <v>630000</v>
      </c>
      <c r="U283" s="265">
        <v>0</v>
      </c>
      <c r="V283" s="265">
        <v>490000</v>
      </c>
      <c r="W283" s="265">
        <v>740000</v>
      </c>
      <c r="X283" s="265">
        <v>880000</v>
      </c>
      <c r="Y283" s="50">
        <f t="shared" si="4"/>
        <v>70000</v>
      </c>
    </row>
    <row r="284" spans="1:27" s="39" customFormat="1" x14ac:dyDescent="0.35">
      <c r="A284" s="37" t="s">
        <v>334</v>
      </c>
      <c r="B284" s="37" t="s">
        <v>775</v>
      </c>
      <c r="C284" s="91">
        <v>8470340</v>
      </c>
      <c r="D284" s="37" t="s">
        <v>758</v>
      </c>
      <c r="E284" s="91">
        <v>425900</v>
      </c>
      <c r="F284" s="37" t="s">
        <v>266</v>
      </c>
      <c r="G284" s="90">
        <v>847001</v>
      </c>
      <c r="H284" s="37" t="s">
        <v>50</v>
      </c>
      <c r="I284" s="90">
        <v>200179</v>
      </c>
      <c r="J284" s="37" t="s">
        <v>61</v>
      </c>
      <c r="K284" s="265">
        <v>16813</v>
      </c>
      <c r="L284" s="265">
        <v>7287</v>
      </c>
      <c r="M284" s="265">
        <v>0</v>
      </c>
      <c r="N284" s="265">
        <v>54000</v>
      </c>
      <c r="O284" s="265">
        <v>54000</v>
      </c>
      <c r="P284" s="265">
        <v>8800</v>
      </c>
      <c r="Q284" s="265">
        <v>8800</v>
      </c>
      <c r="R284" s="265">
        <v>0</v>
      </c>
      <c r="S284" s="265">
        <v>20000</v>
      </c>
      <c r="T284" s="265">
        <v>18000</v>
      </c>
      <c r="U284" s="265">
        <v>0</v>
      </c>
      <c r="V284" s="265">
        <v>14000</v>
      </c>
      <c r="W284" s="265">
        <v>20000</v>
      </c>
      <c r="X284" s="265">
        <v>0</v>
      </c>
      <c r="Y284" s="50">
        <f t="shared" si="4"/>
        <v>-34000</v>
      </c>
    </row>
    <row r="285" spans="1:27" s="39" customFormat="1" x14ac:dyDescent="0.35">
      <c r="A285" s="37" t="s">
        <v>334</v>
      </c>
      <c r="B285" s="37" t="s">
        <v>777</v>
      </c>
      <c r="C285" s="91">
        <v>8470340</v>
      </c>
      <c r="D285" s="37" t="s">
        <v>758</v>
      </c>
      <c r="E285" s="91">
        <v>426610</v>
      </c>
      <c r="F285" s="37" t="s">
        <v>694</v>
      </c>
      <c r="G285" s="90">
        <v>847001</v>
      </c>
      <c r="H285" s="37" t="s">
        <v>50</v>
      </c>
      <c r="I285" s="90">
        <v>200179</v>
      </c>
      <c r="J285" s="37" t="s">
        <v>61</v>
      </c>
      <c r="K285" s="265">
        <v>93818</v>
      </c>
      <c r="L285" s="265">
        <v>173961</v>
      </c>
      <c r="M285" s="265">
        <v>167257</v>
      </c>
      <c r="N285" s="265">
        <v>210000</v>
      </c>
      <c r="O285" s="265">
        <v>210000</v>
      </c>
      <c r="P285" s="265">
        <v>48399.35</v>
      </c>
      <c r="Q285" s="265">
        <v>75567.38</v>
      </c>
      <c r="R285" s="265">
        <v>41508.99</v>
      </c>
      <c r="S285" s="265">
        <v>230000</v>
      </c>
      <c r="T285" s="265">
        <v>207000</v>
      </c>
      <c r="U285" s="265">
        <v>0</v>
      </c>
      <c r="V285" s="265">
        <v>161000</v>
      </c>
      <c r="W285" s="265">
        <v>240000</v>
      </c>
      <c r="X285" s="265">
        <v>240000</v>
      </c>
      <c r="Y285" s="50">
        <f t="shared" si="4"/>
        <v>20000</v>
      </c>
    </row>
    <row r="286" spans="1:27" s="39" customFormat="1" x14ac:dyDescent="0.35">
      <c r="A286" s="37" t="s">
        <v>334</v>
      </c>
      <c r="B286" s="37" t="s">
        <v>779</v>
      </c>
      <c r="C286" s="91">
        <v>8470340</v>
      </c>
      <c r="D286" s="37" t="s">
        <v>758</v>
      </c>
      <c r="E286" s="91">
        <v>432209</v>
      </c>
      <c r="F286" s="37" t="s">
        <v>393</v>
      </c>
      <c r="G286" s="90">
        <v>847001</v>
      </c>
      <c r="H286" s="37" t="s">
        <v>50</v>
      </c>
      <c r="I286" s="90">
        <v>200179</v>
      </c>
      <c r="J286" s="37" t="s">
        <v>61</v>
      </c>
      <c r="K286" s="265">
        <v>0</v>
      </c>
      <c r="L286" s="265">
        <v>0</v>
      </c>
      <c r="M286" s="265">
        <v>44819</v>
      </c>
      <c r="N286" s="265">
        <v>100000</v>
      </c>
      <c r="O286" s="265">
        <v>100000</v>
      </c>
      <c r="P286" s="265">
        <v>0</v>
      </c>
      <c r="Q286" s="265">
        <v>80000</v>
      </c>
      <c r="R286" s="265">
        <v>20000</v>
      </c>
      <c r="S286" s="265">
        <v>80000</v>
      </c>
      <c r="T286" s="265">
        <v>72000</v>
      </c>
      <c r="U286" s="265">
        <v>0</v>
      </c>
      <c r="V286" s="265">
        <v>56000</v>
      </c>
      <c r="W286" s="265">
        <v>80000</v>
      </c>
      <c r="X286" s="265">
        <v>80000</v>
      </c>
      <c r="Y286" s="50">
        <f t="shared" si="4"/>
        <v>-20000</v>
      </c>
    </row>
    <row r="287" spans="1:27" s="39" customFormat="1" x14ac:dyDescent="0.35">
      <c r="A287" s="37" t="s">
        <v>334</v>
      </c>
      <c r="B287" s="37" t="s">
        <v>782</v>
      </c>
      <c r="C287" s="91">
        <v>8470340</v>
      </c>
      <c r="D287" s="37" t="s">
        <v>758</v>
      </c>
      <c r="E287" s="91">
        <v>435350</v>
      </c>
      <c r="F287" s="37" t="s">
        <v>399</v>
      </c>
      <c r="G287" s="90">
        <v>847001</v>
      </c>
      <c r="H287" s="37" t="s">
        <v>50</v>
      </c>
      <c r="I287" s="90">
        <v>200179</v>
      </c>
      <c r="J287" s="37" t="s">
        <v>61</v>
      </c>
      <c r="K287" s="265">
        <v>0</v>
      </c>
      <c r="L287" s="265">
        <v>50303</v>
      </c>
      <c r="M287" s="265">
        <v>98141</v>
      </c>
      <c r="N287" s="265">
        <v>336000</v>
      </c>
      <c r="O287" s="265">
        <v>336000</v>
      </c>
      <c r="P287" s="265">
        <v>88904.72</v>
      </c>
      <c r="Q287" s="265">
        <v>0</v>
      </c>
      <c r="R287" s="265">
        <v>0</v>
      </c>
      <c r="S287" s="265">
        <v>350000</v>
      </c>
      <c r="T287" s="265">
        <v>315000</v>
      </c>
      <c r="U287" s="265">
        <v>0</v>
      </c>
      <c r="V287" s="265">
        <v>245000</v>
      </c>
      <c r="W287" s="265">
        <v>407000</v>
      </c>
      <c r="X287" s="265">
        <v>480000</v>
      </c>
      <c r="Y287" s="50">
        <f t="shared" si="4"/>
        <v>14000</v>
      </c>
    </row>
    <row r="288" spans="1:27" s="39" customFormat="1" x14ac:dyDescent="0.35">
      <c r="A288" s="37" t="s">
        <v>334</v>
      </c>
      <c r="B288" s="37" t="s">
        <v>784</v>
      </c>
      <c r="C288" s="91">
        <v>8470340</v>
      </c>
      <c r="D288" s="37" t="s">
        <v>758</v>
      </c>
      <c r="E288" s="91">
        <v>435508</v>
      </c>
      <c r="F288" s="37" t="s">
        <v>405</v>
      </c>
      <c r="G288" s="90">
        <v>847001</v>
      </c>
      <c r="H288" s="37" t="s">
        <v>50</v>
      </c>
      <c r="I288" s="90">
        <v>200179</v>
      </c>
      <c r="J288" s="37" t="s">
        <v>61</v>
      </c>
      <c r="K288" s="265">
        <v>177480</v>
      </c>
      <c r="L288" s="265">
        <v>252646</v>
      </c>
      <c r="M288" s="265">
        <v>71574</v>
      </c>
      <c r="N288" s="265">
        <v>264000</v>
      </c>
      <c r="O288" s="265">
        <v>264000</v>
      </c>
      <c r="P288" s="265">
        <v>140267.41</v>
      </c>
      <c r="Q288" s="265">
        <v>0</v>
      </c>
      <c r="R288" s="265">
        <v>94645.3</v>
      </c>
      <c r="S288" s="265">
        <v>240000</v>
      </c>
      <c r="T288" s="265">
        <v>216000</v>
      </c>
      <c r="U288" s="265">
        <v>0</v>
      </c>
      <c r="V288" s="265">
        <v>168000</v>
      </c>
      <c r="W288" s="265">
        <v>240000</v>
      </c>
      <c r="X288" s="265">
        <v>240000</v>
      </c>
      <c r="Y288" s="50">
        <f t="shared" si="4"/>
        <v>-24000</v>
      </c>
    </row>
    <row r="289" spans="1:27" s="39" customFormat="1" x14ac:dyDescent="0.35">
      <c r="A289" s="37" t="s">
        <v>334</v>
      </c>
      <c r="B289" s="37" t="s">
        <v>786</v>
      </c>
      <c r="C289" s="91">
        <v>8470340</v>
      </c>
      <c r="D289" s="37" t="s">
        <v>758</v>
      </c>
      <c r="E289" s="91">
        <v>492316</v>
      </c>
      <c r="F289" s="37" t="s">
        <v>221</v>
      </c>
      <c r="G289" s="90">
        <v>847001</v>
      </c>
      <c r="H289" s="37" t="s">
        <v>50</v>
      </c>
      <c r="I289" s="90">
        <v>300180</v>
      </c>
      <c r="J289" s="37" t="s">
        <v>192</v>
      </c>
      <c r="K289" s="265">
        <v>519069</v>
      </c>
      <c r="L289" s="265">
        <v>815546</v>
      </c>
      <c r="M289" s="265">
        <v>267712</v>
      </c>
      <c r="N289" s="265">
        <v>533159</v>
      </c>
      <c r="O289" s="265">
        <v>533159</v>
      </c>
      <c r="P289" s="265">
        <v>0</v>
      </c>
      <c r="Q289" s="265">
        <v>0</v>
      </c>
      <c r="R289" s="265">
        <v>532460</v>
      </c>
      <c r="S289" s="265">
        <v>515000</v>
      </c>
      <c r="T289" s="265">
        <v>166500</v>
      </c>
      <c r="U289" s="265">
        <v>0</v>
      </c>
      <c r="V289" s="265">
        <v>129500</v>
      </c>
      <c r="W289" s="265">
        <v>295000</v>
      </c>
      <c r="X289" s="265">
        <v>700000</v>
      </c>
      <c r="Y289" s="50">
        <f t="shared" si="4"/>
        <v>-18159</v>
      </c>
    </row>
    <row r="290" spans="1:27" s="39" customFormat="1" x14ac:dyDescent="0.35">
      <c r="A290" s="37" t="s">
        <v>334</v>
      </c>
      <c r="B290" s="37" t="s">
        <v>792</v>
      </c>
      <c r="C290" s="91">
        <v>8470345</v>
      </c>
      <c r="D290" s="37" t="s">
        <v>791</v>
      </c>
      <c r="E290" s="91">
        <v>420550</v>
      </c>
      <c r="F290" s="37" t="s">
        <v>225</v>
      </c>
      <c r="G290" s="90">
        <v>847001</v>
      </c>
      <c r="H290" s="37" t="s">
        <v>50</v>
      </c>
      <c r="I290" s="90">
        <v>200179</v>
      </c>
      <c r="J290" s="37" t="s">
        <v>61</v>
      </c>
      <c r="K290" s="265">
        <v>71607</v>
      </c>
      <c r="L290" s="265">
        <v>41000</v>
      </c>
      <c r="M290" s="265">
        <v>0</v>
      </c>
      <c r="N290" s="265">
        <v>20000</v>
      </c>
      <c r="O290" s="265">
        <v>20000</v>
      </c>
      <c r="P290" s="265">
        <v>0</v>
      </c>
      <c r="Q290" s="265">
        <v>0</v>
      </c>
      <c r="R290" s="265">
        <v>0</v>
      </c>
      <c r="S290" s="265">
        <v>20000</v>
      </c>
      <c r="T290" s="265">
        <v>18000</v>
      </c>
      <c r="U290" s="265">
        <v>0</v>
      </c>
      <c r="V290" s="265">
        <v>14000</v>
      </c>
      <c r="W290" s="265">
        <v>20000</v>
      </c>
      <c r="X290" s="265">
        <v>20000</v>
      </c>
      <c r="Y290" s="50">
        <f t="shared" si="4"/>
        <v>0</v>
      </c>
    </row>
    <row r="291" spans="1:27" s="39" customFormat="1" x14ac:dyDescent="0.35">
      <c r="A291" s="37" t="s">
        <v>334</v>
      </c>
      <c r="B291" s="37" t="s">
        <v>797</v>
      </c>
      <c r="C291" s="91">
        <v>8470345</v>
      </c>
      <c r="D291" s="37" t="s">
        <v>791</v>
      </c>
      <c r="E291" s="91">
        <v>425510</v>
      </c>
      <c r="F291" s="37" t="s">
        <v>247</v>
      </c>
      <c r="G291" s="90">
        <v>847001</v>
      </c>
      <c r="H291" s="37" t="s">
        <v>50</v>
      </c>
      <c r="I291" s="90">
        <v>200179</v>
      </c>
      <c r="J291" s="37" t="s">
        <v>61</v>
      </c>
      <c r="K291" s="265">
        <v>0</v>
      </c>
      <c r="L291" s="265">
        <v>0</v>
      </c>
      <c r="M291" s="265">
        <v>65000</v>
      </c>
      <c r="N291" s="38">
        <v>30000</v>
      </c>
      <c r="O291" s="265">
        <v>30000</v>
      </c>
      <c r="P291" s="265">
        <v>6485</v>
      </c>
      <c r="Q291" s="265">
        <v>0</v>
      </c>
      <c r="R291" s="265">
        <v>0</v>
      </c>
      <c r="S291" s="38">
        <v>35000</v>
      </c>
      <c r="T291" s="265">
        <v>31500</v>
      </c>
      <c r="U291" s="265">
        <v>0</v>
      </c>
      <c r="V291" s="265">
        <v>24500</v>
      </c>
      <c r="W291" s="265">
        <v>35000</v>
      </c>
      <c r="X291" s="265">
        <v>35000</v>
      </c>
      <c r="Y291" s="38">
        <f t="shared" si="4"/>
        <v>5000</v>
      </c>
    </row>
    <row r="292" spans="1:27" s="39" customFormat="1" x14ac:dyDescent="0.35">
      <c r="A292" s="37" t="s">
        <v>334</v>
      </c>
      <c r="B292" s="37" t="s">
        <v>800</v>
      </c>
      <c r="C292" s="91">
        <v>8470345</v>
      </c>
      <c r="D292" s="37" t="s">
        <v>791</v>
      </c>
      <c r="E292" s="91">
        <v>425760</v>
      </c>
      <c r="F292" s="37" t="s">
        <v>352</v>
      </c>
      <c r="G292" s="90">
        <v>847001</v>
      </c>
      <c r="H292" s="37" t="s">
        <v>50</v>
      </c>
      <c r="I292" s="90">
        <v>200179</v>
      </c>
      <c r="J292" s="37" t="s">
        <v>61</v>
      </c>
      <c r="K292" s="265">
        <v>0</v>
      </c>
      <c r="L292" s="265">
        <v>0</v>
      </c>
      <c r="M292" s="265">
        <v>0</v>
      </c>
      <c r="N292" s="265">
        <v>120000</v>
      </c>
      <c r="O292" s="265">
        <v>120000</v>
      </c>
      <c r="P292" s="265">
        <v>0</v>
      </c>
      <c r="Q292" s="265">
        <v>0</v>
      </c>
      <c r="R292" s="265">
        <v>0</v>
      </c>
      <c r="S292" s="265">
        <v>160000</v>
      </c>
      <c r="T292" s="265">
        <v>144000</v>
      </c>
      <c r="U292" s="265">
        <v>0</v>
      </c>
      <c r="V292" s="265">
        <v>112000</v>
      </c>
      <c r="W292" s="265">
        <v>160000</v>
      </c>
      <c r="X292" s="265">
        <v>160000</v>
      </c>
      <c r="Y292" s="50">
        <f t="shared" si="4"/>
        <v>40000</v>
      </c>
    </row>
    <row r="293" spans="1:27" s="39" customFormat="1" x14ac:dyDescent="0.35">
      <c r="A293" s="37" t="s">
        <v>334</v>
      </c>
      <c r="B293" s="37" t="s">
        <v>805</v>
      </c>
      <c r="C293" s="91">
        <v>8470345</v>
      </c>
      <c r="D293" s="37" t="s">
        <v>791</v>
      </c>
      <c r="E293" s="91">
        <v>425770</v>
      </c>
      <c r="F293" s="37" t="s">
        <v>367</v>
      </c>
      <c r="G293" s="90">
        <v>847001</v>
      </c>
      <c r="H293" s="37" t="s">
        <v>50</v>
      </c>
      <c r="I293" s="90">
        <v>200179</v>
      </c>
      <c r="J293" s="37" t="s">
        <v>61</v>
      </c>
      <c r="K293" s="265">
        <v>149937</v>
      </c>
      <c r="L293" s="265">
        <v>-2805</v>
      </c>
      <c r="M293" s="265">
        <v>20865</v>
      </c>
      <c r="N293" s="265">
        <v>105000</v>
      </c>
      <c r="O293" s="265">
        <v>105000</v>
      </c>
      <c r="P293" s="265">
        <v>4972.7700000000004</v>
      </c>
      <c r="Q293" s="265">
        <v>0</v>
      </c>
      <c r="R293" s="265">
        <v>0</v>
      </c>
      <c r="S293" s="265">
        <v>140000</v>
      </c>
      <c r="T293" s="265">
        <v>126000</v>
      </c>
      <c r="U293" s="265">
        <v>0</v>
      </c>
      <c r="V293" s="265">
        <v>98000</v>
      </c>
      <c r="W293" s="265">
        <v>140000</v>
      </c>
      <c r="X293" s="265">
        <v>199217</v>
      </c>
      <c r="Y293" s="50">
        <f t="shared" si="4"/>
        <v>35000</v>
      </c>
    </row>
    <row r="294" spans="1:27" s="39" customFormat="1" x14ac:dyDescent="0.35">
      <c r="A294" s="37" t="s">
        <v>334</v>
      </c>
      <c r="B294" s="37" t="s">
        <v>808</v>
      </c>
      <c r="C294" s="91">
        <v>8470345</v>
      </c>
      <c r="D294" s="37" t="s">
        <v>791</v>
      </c>
      <c r="E294" s="91">
        <v>425900</v>
      </c>
      <c r="F294" s="37" t="s">
        <v>266</v>
      </c>
      <c r="G294" s="90">
        <v>847001</v>
      </c>
      <c r="H294" s="37" t="s">
        <v>50</v>
      </c>
      <c r="I294" s="90">
        <v>200179</v>
      </c>
      <c r="J294" s="37" t="s">
        <v>61</v>
      </c>
      <c r="K294" s="265">
        <v>686</v>
      </c>
      <c r="L294" s="265">
        <v>0</v>
      </c>
      <c r="M294" s="265">
        <v>0</v>
      </c>
      <c r="N294" s="265">
        <v>3000</v>
      </c>
      <c r="O294" s="265">
        <v>3000</v>
      </c>
      <c r="P294" s="265">
        <v>0</v>
      </c>
      <c r="Q294" s="265">
        <v>0</v>
      </c>
      <c r="R294" s="265">
        <v>0</v>
      </c>
      <c r="S294" s="265">
        <v>3000</v>
      </c>
      <c r="T294" s="265">
        <v>2700</v>
      </c>
      <c r="U294" s="265">
        <v>0</v>
      </c>
      <c r="V294" s="265">
        <v>2100</v>
      </c>
      <c r="W294" s="265">
        <v>3000</v>
      </c>
      <c r="X294" s="265">
        <v>53000</v>
      </c>
      <c r="Y294" s="50">
        <f t="shared" si="4"/>
        <v>0</v>
      </c>
    </row>
    <row r="295" spans="1:27" s="39" customFormat="1" x14ac:dyDescent="0.35">
      <c r="A295" s="37" t="s">
        <v>334</v>
      </c>
      <c r="B295" s="37" t="s">
        <v>813</v>
      </c>
      <c r="C295" s="91">
        <v>8470345</v>
      </c>
      <c r="D295" s="37" t="s">
        <v>791</v>
      </c>
      <c r="E295" s="91">
        <v>426610</v>
      </c>
      <c r="F295" s="37" t="s">
        <v>694</v>
      </c>
      <c r="G295" s="90">
        <v>847001</v>
      </c>
      <c r="H295" s="37" t="s">
        <v>50</v>
      </c>
      <c r="I295" s="90">
        <v>200179</v>
      </c>
      <c r="J295" s="37" t="s">
        <v>61</v>
      </c>
      <c r="K295" s="265">
        <v>94303</v>
      </c>
      <c r="L295" s="265">
        <v>-7076</v>
      </c>
      <c r="M295" s="265">
        <v>-38268</v>
      </c>
      <c r="N295" s="265">
        <v>146983</v>
      </c>
      <c r="O295" s="265">
        <v>146983</v>
      </c>
      <c r="P295" s="265">
        <v>25723.59</v>
      </c>
      <c r="Q295" s="265">
        <v>7346</v>
      </c>
      <c r="R295" s="265">
        <v>49585.5</v>
      </c>
      <c r="S295" s="265">
        <v>59217</v>
      </c>
      <c r="T295" s="265">
        <v>53295</v>
      </c>
      <c r="U295" s="265">
        <v>0</v>
      </c>
      <c r="V295" s="265">
        <v>41452</v>
      </c>
      <c r="W295" s="265">
        <v>59217</v>
      </c>
      <c r="X295" s="265">
        <v>168000</v>
      </c>
      <c r="Y295" s="50">
        <f t="shared" si="4"/>
        <v>-87766</v>
      </c>
    </row>
    <row r="296" spans="1:27" s="39" customFormat="1" x14ac:dyDescent="0.35">
      <c r="A296" s="37" t="s">
        <v>334</v>
      </c>
      <c r="B296" s="37" t="s">
        <v>817</v>
      </c>
      <c r="C296" s="91">
        <v>8470345</v>
      </c>
      <c r="D296" s="37" t="s">
        <v>791</v>
      </c>
      <c r="E296" s="91">
        <v>428090</v>
      </c>
      <c r="F296" s="37" t="s">
        <v>154</v>
      </c>
      <c r="G296" s="90">
        <v>847001</v>
      </c>
      <c r="H296" s="37" t="s">
        <v>50</v>
      </c>
      <c r="I296" s="90">
        <v>200179</v>
      </c>
      <c r="J296" s="37" t="s">
        <v>61</v>
      </c>
      <c r="K296" s="265">
        <v>35959</v>
      </c>
      <c r="L296" s="265">
        <v>5109</v>
      </c>
      <c r="M296" s="265">
        <v>3908</v>
      </c>
      <c r="N296" s="265">
        <v>44592</v>
      </c>
      <c r="O296" s="265">
        <v>44592</v>
      </c>
      <c r="P296" s="265">
        <v>992.62</v>
      </c>
      <c r="Q296" s="265">
        <v>0</v>
      </c>
      <c r="R296" s="265">
        <v>0</v>
      </c>
      <c r="S296" s="265">
        <v>50000</v>
      </c>
      <c r="T296" s="265">
        <v>45000</v>
      </c>
      <c r="U296" s="265">
        <v>0</v>
      </c>
      <c r="V296" s="265">
        <v>35000</v>
      </c>
      <c r="W296" s="265">
        <v>50000</v>
      </c>
      <c r="X296" s="265">
        <v>549184</v>
      </c>
      <c r="Y296" s="50">
        <f t="shared" si="4"/>
        <v>5408</v>
      </c>
    </row>
    <row r="297" spans="1:27" s="39" customFormat="1" x14ac:dyDescent="0.35">
      <c r="A297" s="37" t="s">
        <v>334</v>
      </c>
      <c r="B297" s="37" t="s">
        <v>822</v>
      </c>
      <c r="C297" s="91">
        <v>8470345</v>
      </c>
      <c r="D297" s="37" t="s">
        <v>791</v>
      </c>
      <c r="E297" s="91">
        <v>435350</v>
      </c>
      <c r="F297" s="37" t="s">
        <v>399</v>
      </c>
      <c r="G297" s="90">
        <v>847001</v>
      </c>
      <c r="H297" s="37" t="s">
        <v>50</v>
      </c>
      <c r="I297" s="90">
        <v>200179</v>
      </c>
      <c r="J297" s="37" t="s">
        <v>61</v>
      </c>
      <c r="K297" s="265">
        <v>900</v>
      </c>
      <c r="L297" s="265">
        <v>0</v>
      </c>
      <c r="M297" s="265">
        <v>17036</v>
      </c>
      <c r="N297" s="265">
        <v>70000</v>
      </c>
      <c r="O297" s="265">
        <v>70000</v>
      </c>
      <c r="P297" s="265">
        <v>22395.83</v>
      </c>
      <c r="Q297" s="265">
        <v>0</v>
      </c>
      <c r="R297" s="265">
        <v>0</v>
      </c>
      <c r="S297" s="265">
        <v>168000</v>
      </c>
      <c r="T297" s="265">
        <v>151200</v>
      </c>
      <c r="U297" s="265">
        <v>0</v>
      </c>
      <c r="V297" s="265">
        <v>117600</v>
      </c>
      <c r="W297" s="265">
        <v>168000</v>
      </c>
      <c r="X297" s="265">
        <v>6000</v>
      </c>
      <c r="Y297" s="50">
        <f t="shared" si="4"/>
        <v>98000</v>
      </c>
    </row>
    <row r="298" spans="1:27" s="39" customFormat="1" x14ac:dyDescent="0.35">
      <c r="A298" s="37" t="s">
        <v>334</v>
      </c>
      <c r="B298" s="37" t="s">
        <v>825</v>
      </c>
      <c r="C298" s="91">
        <v>8470345</v>
      </c>
      <c r="D298" s="37" t="s">
        <v>791</v>
      </c>
      <c r="E298" s="91">
        <v>435508</v>
      </c>
      <c r="F298" s="37" t="s">
        <v>405</v>
      </c>
      <c r="G298" s="90">
        <v>847001</v>
      </c>
      <c r="H298" s="37" t="s">
        <v>50</v>
      </c>
      <c r="I298" s="90">
        <v>200179</v>
      </c>
      <c r="J298" s="37" t="s">
        <v>61</v>
      </c>
      <c r="K298" s="265">
        <v>136686</v>
      </c>
      <c r="L298" s="265">
        <v>85883</v>
      </c>
      <c r="M298" s="265">
        <v>52976</v>
      </c>
      <c r="N298" s="265">
        <v>197477</v>
      </c>
      <c r="O298" s="265">
        <v>197477</v>
      </c>
      <c r="P298" s="265">
        <v>1859.35</v>
      </c>
      <c r="Q298" s="265">
        <v>1156</v>
      </c>
      <c r="R298" s="265">
        <v>60119.77</v>
      </c>
      <c r="S298" s="265">
        <v>549184</v>
      </c>
      <c r="T298" s="265">
        <v>494266</v>
      </c>
      <c r="U298" s="265">
        <v>0</v>
      </c>
      <c r="V298" s="265">
        <v>384429</v>
      </c>
      <c r="W298" s="265">
        <v>549184</v>
      </c>
      <c r="X298" s="265">
        <v>0</v>
      </c>
      <c r="Y298" s="50">
        <f t="shared" si="4"/>
        <v>351707</v>
      </c>
    </row>
    <row r="299" spans="1:27" s="39" customFormat="1" x14ac:dyDescent="0.35">
      <c r="A299" s="37" t="s">
        <v>334</v>
      </c>
      <c r="B299" s="37" t="s">
        <v>828</v>
      </c>
      <c r="C299" s="91">
        <v>8470345</v>
      </c>
      <c r="D299" s="37" t="s">
        <v>791</v>
      </c>
      <c r="E299" s="91">
        <v>436110</v>
      </c>
      <c r="F299" s="37" t="s">
        <v>190</v>
      </c>
      <c r="G299" s="90">
        <v>847001</v>
      </c>
      <c r="H299" s="37" t="s">
        <v>50</v>
      </c>
      <c r="I299" s="90">
        <v>200179</v>
      </c>
      <c r="J299" s="37" t="s">
        <v>61</v>
      </c>
      <c r="K299" s="265">
        <v>120</v>
      </c>
      <c r="L299" s="265">
        <v>0</v>
      </c>
      <c r="M299" s="265">
        <v>0</v>
      </c>
      <c r="N299" s="265">
        <v>5742</v>
      </c>
      <c r="O299" s="265">
        <v>5742</v>
      </c>
      <c r="P299" s="265">
        <v>3328</v>
      </c>
      <c r="Q299" s="265">
        <v>0</v>
      </c>
      <c r="R299" s="265">
        <v>0</v>
      </c>
      <c r="S299" s="265">
        <v>6000</v>
      </c>
      <c r="T299" s="265">
        <v>5400</v>
      </c>
      <c r="U299" s="265">
        <v>0</v>
      </c>
      <c r="V299" s="265">
        <v>4200</v>
      </c>
      <c r="W299" s="265">
        <v>6000</v>
      </c>
      <c r="X299" s="265">
        <v>0</v>
      </c>
      <c r="Y299" s="50">
        <f t="shared" si="4"/>
        <v>258</v>
      </c>
    </row>
    <row r="300" spans="1:27" s="39" customFormat="1" x14ac:dyDescent="0.35">
      <c r="A300" s="37" t="s">
        <v>334</v>
      </c>
      <c r="B300" s="37" t="s">
        <v>835</v>
      </c>
      <c r="C300" s="91">
        <v>8470345</v>
      </c>
      <c r="D300" s="37" t="s">
        <v>791</v>
      </c>
      <c r="E300" s="91">
        <v>436600</v>
      </c>
      <c r="F300" s="37" t="s">
        <v>416</v>
      </c>
      <c r="G300" s="90">
        <v>847001</v>
      </c>
      <c r="H300" s="37" t="s">
        <v>50</v>
      </c>
      <c r="I300" s="90">
        <v>200179</v>
      </c>
      <c r="J300" s="37" t="s">
        <v>61</v>
      </c>
      <c r="K300" s="265">
        <v>0</v>
      </c>
      <c r="L300" s="265">
        <v>0</v>
      </c>
      <c r="M300" s="265">
        <v>0</v>
      </c>
      <c r="N300" s="265">
        <v>9640</v>
      </c>
      <c r="O300" s="265">
        <v>9640</v>
      </c>
      <c r="P300" s="265">
        <v>0</v>
      </c>
      <c r="Q300" s="265">
        <v>0</v>
      </c>
      <c r="R300" s="265">
        <v>0</v>
      </c>
      <c r="S300" s="265">
        <v>578400</v>
      </c>
      <c r="T300" s="265">
        <v>520560</v>
      </c>
      <c r="U300" s="265">
        <v>0</v>
      </c>
      <c r="V300" s="265">
        <v>404880</v>
      </c>
      <c r="W300" s="265">
        <v>0</v>
      </c>
      <c r="X300" s="265">
        <v>0</v>
      </c>
      <c r="Y300" s="50">
        <f t="shared" si="4"/>
        <v>568760</v>
      </c>
    </row>
    <row r="301" spans="1:27" s="39" customFormat="1" x14ac:dyDescent="0.35">
      <c r="A301" s="37" t="s">
        <v>334</v>
      </c>
      <c r="B301" s="37" t="s">
        <v>839</v>
      </c>
      <c r="C301" s="91">
        <v>8470345</v>
      </c>
      <c r="D301" s="37" t="s">
        <v>791</v>
      </c>
      <c r="E301" s="91">
        <v>492316</v>
      </c>
      <c r="F301" s="37" t="s">
        <v>221</v>
      </c>
      <c r="G301" s="90">
        <v>847001</v>
      </c>
      <c r="H301" s="37" t="s">
        <v>50</v>
      </c>
      <c r="I301" s="90">
        <v>300180</v>
      </c>
      <c r="J301" s="37" t="s">
        <v>192</v>
      </c>
      <c r="K301" s="265">
        <v>465000</v>
      </c>
      <c r="L301" s="265">
        <v>0</v>
      </c>
      <c r="M301" s="265">
        <v>77504</v>
      </c>
      <c r="N301" s="265">
        <v>551330</v>
      </c>
      <c r="O301" s="265">
        <v>551330</v>
      </c>
      <c r="P301" s="265">
        <v>62000</v>
      </c>
      <c r="Q301" s="265">
        <v>95000</v>
      </c>
      <c r="R301" s="265">
        <v>370670</v>
      </c>
      <c r="S301" s="265">
        <v>2090046</v>
      </c>
      <c r="T301" s="265">
        <v>1881041</v>
      </c>
      <c r="U301" s="265">
        <v>0</v>
      </c>
      <c r="V301" s="265">
        <v>1463032</v>
      </c>
      <c r="W301" s="265">
        <v>780474</v>
      </c>
      <c r="X301" s="265">
        <v>578400</v>
      </c>
      <c r="Y301" s="50">
        <f t="shared" si="4"/>
        <v>1538716</v>
      </c>
      <c r="AA301" s="275"/>
    </row>
    <row r="302" spans="1:27" s="39" customFormat="1" x14ac:dyDescent="0.35">
      <c r="A302" s="37" t="s">
        <v>334</v>
      </c>
      <c r="B302" s="37" t="s">
        <v>844</v>
      </c>
      <c r="C302" s="91">
        <v>8470350</v>
      </c>
      <c r="D302" s="37" t="s">
        <v>843</v>
      </c>
      <c r="E302" s="91">
        <v>425510</v>
      </c>
      <c r="F302" s="37" t="s">
        <v>247</v>
      </c>
      <c r="G302" s="90">
        <v>847001</v>
      </c>
      <c r="H302" s="37" t="s">
        <v>50</v>
      </c>
      <c r="I302" s="90">
        <v>200179</v>
      </c>
      <c r="J302" s="37" t="s">
        <v>61</v>
      </c>
      <c r="K302" s="265">
        <v>2894</v>
      </c>
      <c r="L302" s="265">
        <v>8528</v>
      </c>
      <c r="M302" s="265">
        <v>2679</v>
      </c>
      <c r="N302" s="38">
        <v>16000</v>
      </c>
      <c r="O302" s="265">
        <v>16000</v>
      </c>
      <c r="P302" s="265">
        <v>4017</v>
      </c>
      <c r="Q302" s="265">
        <v>0</v>
      </c>
      <c r="R302" s="265">
        <v>0</v>
      </c>
      <c r="S302" s="38">
        <v>20000</v>
      </c>
      <c r="T302" s="265">
        <v>18000</v>
      </c>
      <c r="U302" s="265">
        <v>0</v>
      </c>
      <c r="V302" s="265">
        <v>14000</v>
      </c>
      <c r="W302" s="265">
        <v>25000</v>
      </c>
      <c r="X302" s="265">
        <v>27500</v>
      </c>
      <c r="Y302" s="38">
        <f t="shared" si="4"/>
        <v>4000</v>
      </c>
    </row>
    <row r="303" spans="1:27" s="39" customFormat="1" x14ac:dyDescent="0.35">
      <c r="A303" s="37" t="s">
        <v>334</v>
      </c>
      <c r="B303" s="37" t="s">
        <v>849</v>
      </c>
      <c r="C303" s="91">
        <v>8470350</v>
      </c>
      <c r="D303" s="37" t="s">
        <v>843</v>
      </c>
      <c r="E303" s="91">
        <v>425760</v>
      </c>
      <c r="F303" s="37" t="s">
        <v>352</v>
      </c>
      <c r="G303" s="90">
        <v>847001</v>
      </c>
      <c r="H303" s="37" t="s">
        <v>50</v>
      </c>
      <c r="I303" s="90">
        <v>200179</v>
      </c>
      <c r="J303" s="37" t="s">
        <v>61</v>
      </c>
      <c r="K303" s="265">
        <v>107425</v>
      </c>
      <c r="L303" s="265">
        <v>1248</v>
      </c>
      <c r="M303" s="265">
        <v>0</v>
      </c>
      <c r="N303" s="265">
        <v>25000</v>
      </c>
      <c r="O303" s="265">
        <v>25000</v>
      </c>
      <c r="P303" s="265">
        <v>682</v>
      </c>
      <c r="Q303" s="265">
        <v>0</v>
      </c>
      <c r="R303" s="265">
        <v>0</v>
      </c>
      <c r="S303" s="265">
        <v>25000</v>
      </c>
      <c r="T303" s="265">
        <v>22500</v>
      </c>
      <c r="U303" s="265">
        <v>0</v>
      </c>
      <c r="V303" s="265">
        <v>17500</v>
      </c>
      <c r="W303" s="265">
        <v>30000</v>
      </c>
      <c r="X303" s="265">
        <v>35000</v>
      </c>
      <c r="Y303" s="50">
        <f t="shared" si="4"/>
        <v>0</v>
      </c>
    </row>
    <row r="304" spans="1:27" s="39" customFormat="1" x14ac:dyDescent="0.35">
      <c r="A304" s="37" t="s">
        <v>334</v>
      </c>
      <c r="B304" s="37" t="s">
        <v>851</v>
      </c>
      <c r="C304" s="91">
        <v>8470350</v>
      </c>
      <c r="D304" s="37" t="s">
        <v>843</v>
      </c>
      <c r="E304" s="91">
        <v>425763</v>
      </c>
      <c r="F304" s="37" t="s">
        <v>359</v>
      </c>
      <c r="G304" s="90">
        <v>847001</v>
      </c>
      <c r="H304" s="37" t="s">
        <v>50</v>
      </c>
      <c r="I304" s="90">
        <v>200179</v>
      </c>
      <c r="J304" s="37" t="s">
        <v>61</v>
      </c>
      <c r="K304" s="265">
        <v>116788</v>
      </c>
      <c r="L304" s="265">
        <v>0</v>
      </c>
      <c r="M304" s="265">
        <v>0</v>
      </c>
      <c r="N304" s="265">
        <v>30000</v>
      </c>
      <c r="O304" s="265">
        <v>30000</v>
      </c>
      <c r="P304" s="265">
        <v>0</v>
      </c>
      <c r="Q304" s="265">
        <v>0</v>
      </c>
      <c r="R304" s="265">
        <v>0</v>
      </c>
      <c r="S304" s="265">
        <v>10000</v>
      </c>
      <c r="T304" s="265">
        <v>9000</v>
      </c>
      <c r="U304" s="265">
        <v>0</v>
      </c>
      <c r="V304" s="265">
        <v>7000</v>
      </c>
      <c r="W304" s="265">
        <v>15000</v>
      </c>
      <c r="X304" s="265">
        <v>20000</v>
      </c>
      <c r="Y304" s="50">
        <f t="shared" si="4"/>
        <v>-20000</v>
      </c>
    </row>
    <row r="305" spans="1:28" s="39" customFormat="1" x14ac:dyDescent="0.35">
      <c r="A305" s="37" t="s">
        <v>334</v>
      </c>
      <c r="B305" s="37" t="s">
        <v>853</v>
      </c>
      <c r="C305" s="91">
        <v>8470350</v>
      </c>
      <c r="D305" s="37" t="s">
        <v>843</v>
      </c>
      <c r="E305" s="91">
        <v>425770</v>
      </c>
      <c r="F305" s="37" t="s">
        <v>367</v>
      </c>
      <c r="G305" s="90">
        <v>847001</v>
      </c>
      <c r="H305" s="37" t="s">
        <v>50</v>
      </c>
      <c r="I305" s="90">
        <v>200179</v>
      </c>
      <c r="J305" s="37" t="s">
        <v>61</v>
      </c>
      <c r="K305" s="265">
        <v>101152</v>
      </c>
      <c r="L305" s="265">
        <v>48725</v>
      </c>
      <c r="M305" s="265">
        <v>30383</v>
      </c>
      <c r="N305" s="265">
        <v>150000</v>
      </c>
      <c r="O305" s="265">
        <v>150000</v>
      </c>
      <c r="P305" s="265">
        <v>24060.78</v>
      </c>
      <c r="Q305" s="265">
        <v>0</v>
      </c>
      <c r="R305" s="265">
        <v>0</v>
      </c>
      <c r="S305" s="265">
        <v>220000</v>
      </c>
      <c r="T305" s="265">
        <v>198000</v>
      </c>
      <c r="U305" s="265">
        <v>0</v>
      </c>
      <c r="V305" s="265">
        <v>154000</v>
      </c>
      <c r="W305" s="265">
        <v>264000</v>
      </c>
      <c r="X305" s="265">
        <v>325000</v>
      </c>
      <c r="Y305" s="50">
        <f t="shared" si="4"/>
        <v>70000</v>
      </c>
    </row>
    <row r="306" spans="1:28" s="39" customFormat="1" x14ac:dyDescent="0.35">
      <c r="A306" s="37" t="s">
        <v>334</v>
      </c>
      <c r="B306" s="37" t="s">
        <v>858</v>
      </c>
      <c r="C306" s="91">
        <v>8470350</v>
      </c>
      <c r="D306" s="37" t="s">
        <v>843</v>
      </c>
      <c r="E306" s="91">
        <v>425900</v>
      </c>
      <c r="F306" s="37" t="s">
        <v>266</v>
      </c>
      <c r="G306" s="90">
        <v>847001</v>
      </c>
      <c r="H306" s="37" t="s">
        <v>50</v>
      </c>
      <c r="I306" s="90">
        <v>200179</v>
      </c>
      <c r="J306" s="37" t="s">
        <v>61</v>
      </c>
      <c r="K306" s="265">
        <v>14101</v>
      </c>
      <c r="L306" s="265">
        <v>9656</v>
      </c>
      <c r="M306" s="265">
        <v>0</v>
      </c>
      <c r="N306" s="265">
        <v>8500</v>
      </c>
      <c r="O306" s="265">
        <v>8500</v>
      </c>
      <c r="P306" s="265">
        <v>1782</v>
      </c>
      <c r="Q306" s="265">
        <v>0</v>
      </c>
      <c r="R306" s="265">
        <v>0</v>
      </c>
      <c r="S306" s="265">
        <v>20000</v>
      </c>
      <c r="T306" s="265">
        <v>18000</v>
      </c>
      <c r="U306" s="265">
        <v>0</v>
      </c>
      <c r="V306" s="265">
        <v>14000</v>
      </c>
      <c r="W306" s="265">
        <v>30000</v>
      </c>
      <c r="X306" s="265">
        <v>40000</v>
      </c>
      <c r="Y306" s="50">
        <f t="shared" si="4"/>
        <v>11500</v>
      </c>
    </row>
    <row r="307" spans="1:28" s="39" customFormat="1" x14ac:dyDescent="0.35">
      <c r="A307" s="37" t="s">
        <v>334</v>
      </c>
      <c r="B307" s="37" t="s">
        <v>863</v>
      </c>
      <c r="C307" s="91">
        <v>8470350</v>
      </c>
      <c r="D307" s="37" t="s">
        <v>843</v>
      </c>
      <c r="E307" s="91">
        <v>426610</v>
      </c>
      <c r="F307" s="37" t="s">
        <v>694</v>
      </c>
      <c r="G307" s="90">
        <v>847001</v>
      </c>
      <c r="H307" s="37" t="s">
        <v>50</v>
      </c>
      <c r="I307" s="90">
        <v>200179</v>
      </c>
      <c r="J307" s="37" t="s">
        <v>61</v>
      </c>
      <c r="K307" s="265">
        <v>61238</v>
      </c>
      <c r="L307" s="265">
        <v>10055</v>
      </c>
      <c r="M307" s="265">
        <v>114405</v>
      </c>
      <c r="N307" s="265">
        <v>210200</v>
      </c>
      <c r="O307" s="265">
        <v>210200</v>
      </c>
      <c r="P307" s="265">
        <v>23675.11</v>
      </c>
      <c r="Q307" s="265">
        <v>0</v>
      </c>
      <c r="R307" s="265">
        <v>172888.11</v>
      </c>
      <c r="S307" s="265">
        <v>280200</v>
      </c>
      <c r="T307" s="265">
        <v>4680</v>
      </c>
      <c r="U307" s="265">
        <v>0</v>
      </c>
      <c r="V307" s="265">
        <v>3640</v>
      </c>
      <c r="W307" s="265">
        <v>413000</v>
      </c>
      <c r="X307" s="265">
        <v>323000</v>
      </c>
      <c r="Y307" s="50">
        <f t="shared" si="4"/>
        <v>70000</v>
      </c>
    </row>
    <row r="308" spans="1:28" s="39" customFormat="1" x14ac:dyDescent="0.35">
      <c r="A308" s="37" t="s">
        <v>334</v>
      </c>
      <c r="B308" s="37" t="s">
        <v>870</v>
      </c>
      <c r="C308" s="91">
        <v>8470350</v>
      </c>
      <c r="D308" s="37" t="s">
        <v>843</v>
      </c>
      <c r="E308" s="91">
        <v>432209</v>
      </c>
      <c r="F308" s="37" t="s">
        <v>393</v>
      </c>
      <c r="G308" s="90">
        <v>847001</v>
      </c>
      <c r="H308" s="37" t="s">
        <v>50</v>
      </c>
      <c r="I308" s="90">
        <v>200179</v>
      </c>
      <c r="J308" s="37" t="s">
        <v>61</v>
      </c>
      <c r="K308" s="265">
        <v>352318</v>
      </c>
      <c r="L308" s="265">
        <v>413126</v>
      </c>
      <c r="M308" s="265">
        <v>215417</v>
      </c>
      <c r="N308" s="265">
        <v>305000</v>
      </c>
      <c r="O308" s="265">
        <v>305000</v>
      </c>
      <c r="P308" s="265">
        <v>0</v>
      </c>
      <c r="Q308" s="265">
        <v>0</v>
      </c>
      <c r="R308" s="265">
        <v>143841.45000000001</v>
      </c>
      <c r="S308" s="265">
        <v>979000</v>
      </c>
      <c r="T308" s="265">
        <v>315000</v>
      </c>
      <c r="U308" s="265">
        <v>0</v>
      </c>
      <c r="V308" s="265">
        <v>245000</v>
      </c>
      <c r="W308" s="265">
        <v>510000</v>
      </c>
      <c r="X308" s="265">
        <v>425000</v>
      </c>
      <c r="Y308" s="50">
        <f t="shared" si="4"/>
        <v>674000</v>
      </c>
      <c r="Z308" s="275">
        <f>Y308/N308</f>
        <v>2.2098360655737705</v>
      </c>
    </row>
    <row r="309" spans="1:28" s="39" customFormat="1" x14ac:dyDescent="0.35">
      <c r="A309" s="37" t="s">
        <v>334</v>
      </c>
      <c r="B309" s="37" t="s">
        <v>881</v>
      </c>
      <c r="C309" s="91">
        <v>8470350</v>
      </c>
      <c r="D309" s="37" t="s">
        <v>843</v>
      </c>
      <c r="E309" s="91">
        <v>435340</v>
      </c>
      <c r="F309" s="37" t="s">
        <v>655</v>
      </c>
      <c r="G309" s="90">
        <v>847001</v>
      </c>
      <c r="H309" s="37" t="s">
        <v>50</v>
      </c>
      <c r="I309" s="90">
        <v>200179</v>
      </c>
      <c r="J309" s="37" t="s">
        <v>61</v>
      </c>
      <c r="K309" s="265">
        <v>0</v>
      </c>
      <c r="L309" s="265">
        <v>0</v>
      </c>
      <c r="M309" s="265">
        <v>0</v>
      </c>
      <c r="N309" s="265">
        <v>10000</v>
      </c>
      <c r="O309" s="265">
        <v>10000</v>
      </c>
      <c r="P309" s="265">
        <v>0</v>
      </c>
      <c r="Q309" s="265">
        <v>0</v>
      </c>
      <c r="R309" s="265">
        <v>0</v>
      </c>
      <c r="S309" s="265">
        <v>10000</v>
      </c>
      <c r="T309" s="265">
        <v>9000</v>
      </c>
      <c r="U309" s="265">
        <v>0</v>
      </c>
      <c r="V309" s="265">
        <v>7000</v>
      </c>
      <c r="W309" s="265">
        <v>20000</v>
      </c>
      <c r="X309" s="265">
        <v>30000</v>
      </c>
      <c r="Y309" s="50">
        <f t="shared" si="4"/>
        <v>0</v>
      </c>
    </row>
    <row r="310" spans="1:28" s="39" customFormat="1" x14ac:dyDescent="0.35">
      <c r="A310" s="37" t="s">
        <v>334</v>
      </c>
      <c r="B310" s="37" t="s">
        <v>888</v>
      </c>
      <c r="C310" s="91">
        <v>8470350</v>
      </c>
      <c r="D310" s="37" t="s">
        <v>843</v>
      </c>
      <c r="E310" s="91">
        <v>435350</v>
      </c>
      <c r="F310" s="37" t="s">
        <v>399</v>
      </c>
      <c r="G310" s="90">
        <v>847001</v>
      </c>
      <c r="H310" s="37" t="s">
        <v>50</v>
      </c>
      <c r="I310" s="90">
        <v>200179</v>
      </c>
      <c r="J310" s="37" t="s">
        <v>61</v>
      </c>
      <c r="K310" s="265">
        <v>8202</v>
      </c>
      <c r="L310" s="265">
        <v>18571</v>
      </c>
      <c r="M310" s="265">
        <v>31762</v>
      </c>
      <c r="N310" s="265">
        <v>50000</v>
      </c>
      <c r="O310" s="265">
        <v>50000</v>
      </c>
      <c r="P310" s="265">
        <v>0</v>
      </c>
      <c r="Q310" s="265">
        <v>0</v>
      </c>
      <c r="R310" s="265">
        <v>0</v>
      </c>
      <c r="S310" s="265">
        <v>90000</v>
      </c>
      <c r="T310" s="265">
        <v>81000</v>
      </c>
      <c r="U310" s="265">
        <v>0</v>
      </c>
      <c r="V310" s="265">
        <v>63000</v>
      </c>
      <c r="W310" s="265">
        <v>120000</v>
      </c>
      <c r="X310" s="265">
        <v>156000</v>
      </c>
      <c r="Y310" s="50">
        <f t="shared" si="4"/>
        <v>40000</v>
      </c>
    </row>
    <row r="311" spans="1:28" s="39" customFormat="1" x14ac:dyDescent="0.35">
      <c r="A311" s="37" t="s">
        <v>334</v>
      </c>
      <c r="B311" s="37" t="s">
        <v>892</v>
      </c>
      <c r="C311" s="91">
        <v>8470350</v>
      </c>
      <c r="D311" s="37" t="s">
        <v>843</v>
      </c>
      <c r="E311" s="91">
        <v>435508</v>
      </c>
      <c r="F311" s="37" t="s">
        <v>405</v>
      </c>
      <c r="G311" s="90">
        <v>847001</v>
      </c>
      <c r="H311" s="37" t="s">
        <v>50</v>
      </c>
      <c r="I311" s="90">
        <v>200179</v>
      </c>
      <c r="J311" s="37" t="s">
        <v>61</v>
      </c>
      <c r="K311" s="265">
        <v>142169</v>
      </c>
      <c r="L311" s="265">
        <v>25049</v>
      </c>
      <c r="M311" s="265">
        <v>29960</v>
      </c>
      <c r="N311" s="265">
        <v>100000</v>
      </c>
      <c r="O311" s="265">
        <v>100000</v>
      </c>
      <c r="P311" s="265">
        <v>14966.9</v>
      </c>
      <c r="Q311" s="265">
        <v>0</v>
      </c>
      <c r="R311" s="265">
        <v>13002.42</v>
      </c>
      <c r="S311" s="265">
        <v>110000</v>
      </c>
      <c r="T311" s="265">
        <v>22500</v>
      </c>
      <c r="U311" s="265">
        <v>0</v>
      </c>
      <c r="V311" s="265">
        <v>17500</v>
      </c>
      <c r="W311" s="265">
        <v>132000</v>
      </c>
      <c r="X311" s="265">
        <v>132000</v>
      </c>
      <c r="Y311" s="50">
        <f t="shared" si="4"/>
        <v>10000</v>
      </c>
      <c r="Z311" s="274">
        <f>Y178+Y196+Y208+Y222+Y235+Y250+Y262+Y274+Y288+Y298+Y311</f>
        <v>521642</v>
      </c>
      <c r="AA311" s="274">
        <f>N178+N196+N208+N222+N235+N250+N262+N274+N288+N298+N311</f>
        <v>2162050</v>
      </c>
      <c r="AB311" s="275">
        <f>Z311/AA311</f>
        <v>0.24127194098193844</v>
      </c>
    </row>
    <row r="312" spans="1:28" s="39" customFormat="1" x14ac:dyDescent="0.35">
      <c r="A312" s="37" t="s">
        <v>334</v>
      </c>
      <c r="B312" s="37" t="s">
        <v>896</v>
      </c>
      <c r="C312" s="91">
        <v>8470350</v>
      </c>
      <c r="D312" s="37" t="s">
        <v>843</v>
      </c>
      <c r="E312" s="91">
        <v>436110</v>
      </c>
      <c r="F312" s="37" t="s">
        <v>190</v>
      </c>
      <c r="G312" s="90">
        <v>847001</v>
      </c>
      <c r="H312" s="37" t="s">
        <v>50</v>
      </c>
      <c r="I312" s="90">
        <v>200179</v>
      </c>
      <c r="J312" s="37" t="s">
        <v>61</v>
      </c>
      <c r="K312" s="265">
        <v>700</v>
      </c>
      <c r="L312" s="265">
        <v>0</v>
      </c>
      <c r="M312" s="265">
        <v>0</v>
      </c>
      <c r="N312" s="265">
        <v>7500</v>
      </c>
      <c r="O312" s="265">
        <v>7500</v>
      </c>
      <c r="P312" s="265">
        <v>0</v>
      </c>
      <c r="Q312" s="265">
        <v>0</v>
      </c>
      <c r="R312" s="265">
        <v>0</v>
      </c>
      <c r="S312" s="265">
        <v>7500</v>
      </c>
      <c r="T312" s="265">
        <v>6750</v>
      </c>
      <c r="U312" s="265">
        <v>0</v>
      </c>
      <c r="V312" s="265">
        <v>5250</v>
      </c>
      <c r="W312" s="265">
        <v>5000</v>
      </c>
      <c r="X312" s="265">
        <v>5000</v>
      </c>
      <c r="Y312" s="50">
        <f t="shared" si="4"/>
        <v>0</v>
      </c>
    </row>
    <row r="313" spans="1:28" s="39" customFormat="1" x14ac:dyDescent="0.35">
      <c r="A313" s="37" t="s">
        <v>334</v>
      </c>
      <c r="B313" s="37" t="s">
        <v>897</v>
      </c>
      <c r="C313" s="91">
        <v>8470350</v>
      </c>
      <c r="D313" s="37" t="s">
        <v>843</v>
      </c>
      <c r="E313" s="91">
        <v>436600</v>
      </c>
      <c r="F313" s="37" t="s">
        <v>416</v>
      </c>
      <c r="G313" s="90">
        <v>847001</v>
      </c>
      <c r="H313" s="37" t="s">
        <v>50</v>
      </c>
      <c r="I313" s="90">
        <v>200179</v>
      </c>
      <c r="J313" s="37" t="s">
        <v>61</v>
      </c>
      <c r="K313" s="265">
        <v>0</v>
      </c>
      <c r="L313" s="265">
        <v>0</v>
      </c>
      <c r="M313" s="265">
        <v>0</v>
      </c>
      <c r="N313" s="265">
        <v>60000</v>
      </c>
      <c r="O313" s="265">
        <v>60000</v>
      </c>
      <c r="P313" s="265">
        <v>0</v>
      </c>
      <c r="Q313" s="265">
        <v>0</v>
      </c>
      <c r="R313" s="265">
        <v>0</v>
      </c>
      <c r="S313" s="265">
        <v>100000</v>
      </c>
      <c r="T313" s="265">
        <v>90000</v>
      </c>
      <c r="U313" s="265">
        <v>0</v>
      </c>
      <c r="V313" s="265">
        <v>70000</v>
      </c>
      <c r="W313" s="265">
        <v>100000</v>
      </c>
      <c r="X313" s="265">
        <v>108000</v>
      </c>
      <c r="Y313" s="50">
        <f t="shared" si="4"/>
        <v>40000</v>
      </c>
      <c r="Z313" s="74"/>
    </row>
    <row r="314" spans="1:28" s="39" customFormat="1" x14ac:dyDescent="0.35">
      <c r="A314" s="37" t="s">
        <v>334</v>
      </c>
      <c r="B314" s="37" t="s">
        <v>899</v>
      </c>
      <c r="C314" s="91">
        <v>8470350</v>
      </c>
      <c r="D314" s="37" t="s">
        <v>843</v>
      </c>
      <c r="E314" s="91">
        <v>492316</v>
      </c>
      <c r="F314" s="37" t="s">
        <v>221</v>
      </c>
      <c r="G314" s="90">
        <v>847001</v>
      </c>
      <c r="H314" s="37" t="s">
        <v>50</v>
      </c>
      <c r="I314" s="90">
        <v>300180</v>
      </c>
      <c r="J314" s="37" t="s">
        <v>192</v>
      </c>
      <c r="K314" s="265">
        <v>191760</v>
      </c>
      <c r="L314" s="265">
        <v>584893</v>
      </c>
      <c r="M314" s="265">
        <v>0</v>
      </c>
      <c r="N314" s="265">
        <v>1446520</v>
      </c>
      <c r="O314" s="265">
        <v>1446520</v>
      </c>
      <c r="P314" s="265">
        <v>862373.2</v>
      </c>
      <c r="Q314" s="265">
        <v>578702.18000000005</v>
      </c>
      <c r="R314" s="265">
        <v>0</v>
      </c>
      <c r="S314" s="265">
        <v>1969500</v>
      </c>
      <c r="T314" s="265">
        <v>146250</v>
      </c>
      <c r="U314" s="265">
        <v>0</v>
      </c>
      <c r="V314" s="265">
        <v>113750</v>
      </c>
      <c r="W314" s="265">
        <v>2200000</v>
      </c>
      <c r="X314" s="265">
        <v>3190000</v>
      </c>
      <c r="Y314" s="50">
        <f t="shared" si="4"/>
        <v>522980</v>
      </c>
      <c r="Z314" s="277">
        <f>Y211+Y225+Y251+Y277+Y301+Y314</f>
        <v>5453408</v>
      </c>
      <c r="AA314" s="275">
        <f>Z314/N314</f>
        <v>3.7700190802754197</v>
      </c>
      <c r="AB314" s="275">
        <f>Z314/(S211+S225+S251+S277+S301)</f>
        <v>0.66480426496167022</v>
      </c>
    </row>
    <row r="315" spans="1:28" s="39" customFormat="1" x14ac:dyDescent="0.35">
      <c r="A315" s="37" t="s">
        <v>334</v>
      </c>
      <c r="B315" s="37" t="s">
        <v>906</v>
      </c>
      <c r="C315" s="91">
        <v>8470350</v>
      </c>
      <c r="D315" s="37" t="s">
        <v>843</v>
      </c>
      <c r="E315" s="91">
        <v>495110</v>
      </c>
      <c r="F315" s="37" t="s">
        <v>213</v>
      </c>
      <c r="G315" s="90">
        <v>847001</v>
      </c>
      <c r="H315" s="37" t="s">
        <v>50</v>
      </c>
      <c r="I315" s="90">
        <v>300180</v>
      </c>
      <c r="J315" s="37" t="s">
        <v>192</v>
      </c>
      <c r="K315" s="265">
        <v>0</v>
      </c>
      <c r="L315" s="265">
        <v>0</v>
      </c>
      <c r="M315" s="265">
        <v>0</v>
      </c>
      <c r="N315" s="265">
        <v>0</v>
      </c>
      <c r="O315" s="265">
        <v>0</v>
      </c>
      <c r="P315" s="265">
        <v>0</v>
      </c>
      <c r="Q315" s="265">
        <v>0</v>
      </c>
      <c r="R315" s="265">
        <v>0</v>
      </c>
      <c r="S315" s="265">
        <v>59500</v>
      </c>
      <c r="T315" s="265">
        <v>40500</v>
      </c>
      <c r="U315" s="265">
        <v>0</v>
      </c>
      <c r="V315" s="265">
        <v>31500</v>
      </c>
      <c r="W315" s="265">
        <v>0</v>
      </c>
      <c r="X315" s="265">
        <v>0</v>
      </c>
      <c r="Y315" s="50">
        <f t="shared" si="4"/>
        <v>59500</v>
      </c>
    </row>
    <row r="316" spans="1:28" s="39" customFormat="1" x14ac:dyDescent="0.35">
      <c r="A316" s="37" t="s">
        <v>1000</v>
      </c>
      <c r="B316" s="37" t="s">
        <v>1002</v>
      </c>
      <c r="C316" s="91">
        <v>8471305</v>
      </c>
      <c r="D316" s="37" t="s">
        <v>1001</v>
      </c>
      <c r="E316" s="91">
        <v>420570</v>
      </c>
      <c r="F316" s="37" t="s">
        <v>231</v>
      </c>
      <c r="G316" s="90">
        <v>847001</v>
      </c>
      <c r="H316" s="37" t="s">
        <v>50</v>
      </c>
      <c r="I316" s="90">
        <v>200179</v>
      </c>
      <c r="J316" s="37" t="s">
        <v>61</v>
      </c>
      <c r="K316" s="265">
        <v>0</v>
      </c>
      <c r="L316" s="265">
        <v>0</v>
      </c>
      <c r="M316" s="265">
        <v>16778285</v>
      </c>
      <c r="N316" s="265">
        <v>21895944</v>
      </c>
      <c r="O316" s="265">
        <v>21895944</v>
      </c>
      <c r="P316" s="265">
        <v>0</v>
      </c>
      <c r="Q316" s="265">
        <v>0</v>
      </c>
      <c r="R316" s="265">
        <v>0</v>
      </c>
      <c r="S316" s="265">
        <v>33130272</v>
      </c>
      <c r="T316" s="265">
        <v>29817245</v>
      </c>
      <c r="U316" s="265">
        <v>0</v>
      </c>
      <c r="V316" s="265">
        <v>23191190</v>
      </c>
      <c r="W316" s="265">
        <v>34786786</v>
      </c>
      <c r="X316" s="265">
        <v>36443299</v>
      </c>
      <c r="Y316" s="50">
        <f t="shared" si="4"/>
        <v>11234328</v>
      </c>
      <c r="AA316" s="275">
        <f>Y316/S316</f>
        <v>0.33909555587107765</v>
      </c>
    </row>
    <row r="317" spans="1:28" s="39" customFormat="1" x14ac:dyDescent="0.35">
      <c r="A317" s="37" t="s">
        <v>1000</v>
      </c>
      <c r="B317" s="37" t="s">
        <v>1006</v>
      </c>
      <c r="C317" s="91">
        <v>8471305</v>
      </c>
      <c r="D317" s="37" t="s">
        <v>1001</v>
      </c>
      <c r="E317" s="91">
        <v>420811</v>
      </c>
      <c r="F317" s="37" t="s">
        <v>65</v>
      </c>
      <c r="G317" s="90">
        <v>847001</v>
      </c>
      <c r="H317" s="37" t="s">
        <v>50</v>
      </c>
      <c r="I317" s="90">
        <v>200179</v>
      </c>
      <c r="J317" s="37" t="s">
        <v>61</v>
      </c>
      <c r="K317" s="265">
        <v>0</v>
      </c>
      <c r="L317" s="265">
        <v>0</v>
      </c>
      <c r="M317" s="265">
        <v>0</v>
      </c>
      <c r="N317" s="265">
        <v>0</v>
      </c>
      <c r="O317" s="265">
        <v>0</v>
      </c>
      <c r="P317" s="265">
        <v>0</v>
      </c>
      <c r="Q317" s="265">
        <v>0</v>
      </c>
      <c r="R317" s="265">
        <v>0</v>
      </c>
      <c r="S317" s="265">
        <v>408900</v>
      </c>
      <c r="T317" s="265">
        <v>368010</v>
      </c>
      <c r="U317" s="265">
        <v>0</v>
      </c>
      <c r="V317" s="265">
        <v>286230</v>
      </c>
      <c r="W317" s="265">
        <v>429356</v>
      </c>
      <c r="X317" s="265">
        <v>449801</v>
      </c>
      <c r="Y317" s="50">
        <f t="shared" si="4"/>
        <v>408900</v>
      </c>
    </row>
    <row r="318" spans="1:28" s="39" customFormat="1" x14ac:dyDescent="0.35">
      <c r="A318" s="37" t="s">
        <v>1000</v>
      </c>
      <c r="B318" s="37" t="s">
        <v>1012</v>
      </c>
      <c r="C318" s="91">
        <v>8471305</v>
      </c>
      <c r="D318" s="37" t="s">
        <v>1001</v>
      </c>
      <c r="E318" s="91">
        <v>421000</v>
      </c>
      <c r="F318" s="37" t="s">
        <v>1011</v>
      </c>
      <c r="G318" s="90">
        <v>847001</v>
      </c>
      <c r="H318" s="37" t="s">
        <v>50</v>
      </c>
      <c r="I318" s="90">
        <v>200179</v>
      </c>
      <c r="J318" s="37" t="s">
        <v>61</v>
      </c>
      <c r="K318" s="265">
        <v>74170</v>
      </c>
      <c r="L318" s="265">
        <v>332159</v>
      </c>
      <c r="M318" s="265">
        <v>0</v>
      </c>
      <c r="N318" s="265">
        <v>271000</v>
      </c>
      <c r="O318" s="265">
        <v>271000</v>
      </c>
      <c r="P318" s="265">
        <v>100000</v>
      </c>
      <c r="Q318" s="265">
        <v>0</v>
      </c>
      <c r="R318" s="265">
        <v>0</v>
      </c>
      <c r="S318" s="265">
        <v>400000</v>
      </c>
      <c r="T318" s="265">
        <v>360000</v>
      </c>
      <c r="U318" s="265">
        <v>0</v>
      </c>
      <c r="V318" s="265">
        <v>280000</v>
      </c>
      <c r="W318" s="265">
        <v>420000</v>
      </c>
      <c r="X318" s="265">
        <v>500000</v>
      </c>
      <c r="Y318" s="50">
        <f t="shared" si="4"/>
        <v>129000</v>
      </c>
    </row>
    <row r="319" spans="1:28" s="39" customFormat="1" x14ac:dyDescent="0.35">
      <c r="A319" s="37" t="s">
        <v>1000</v>
      </c>
      <c r="B319" s="37" t="s">
        <v>1016</v>
      </c>
      <c r="C319" s="91">
        <v>8471305</v>
      </c>
      <c r="D319" s="37" t="s">
        <v>1001</v>
      </c>
      <c r="E319" s="91">
        <v>421700</v>
      </c>
      <c r="F319" s="37" t="s">
        <v>2438</v>
      </c>
      <c r="G319" s="90">
        <v>847001</v>
      </c>
      <c r="H319" s="37" t="s">
        <v>50</v>
      </c>
      <c r="I319" s="90">
        <v>200179</v>
      </c>
      <c r="J319" s="37" t="s">
        <v>61</v>
      </c>
      <c r="K319" s="265">
        <v>156500</v>
      </c>
      <c r="L319" s="265">
        <v>196900</v>
      </c>
      <c r="M319" s="265">
        <v>85014</v>
      </c>
      <c r="N319" s="265">
        <v>170000</v>
      </c>
      <c r="O319" s="265">
        <v>170000</v>
      </c>
      <c r="P319" s="265">
        <v>43531.6</v>
      </c>
      <c r="Q319" s="265">
        <v>0</v>
      </c>
      <c r="R319" s="265">
        <v>0</v>
      </c>
      <c r="S319" s="38">
        <v>360000</v>
      </c>
      <c r="T319" s="265">
        <v>324000</v>
      </c>
      <c r="U319" s="265">
        <v>0</v>
      </c>
      <c r="V319" s="265">
        <v>252000</v>
      </c>
      <c r="W319" s="265">
        <v>378000</v>
      </c>
      <c r="X319" s="265">
        <v>440000</v>
      </c>
      <c r="Y319" s="50">
        <f t="shared" si="4"/>
        <v>190000</v>
      </c>
    </row>
    <row r="320" spans="1:28" s="39" customFormat="1" x14ac:dyDescent="0.35">
      <c r="A320" s="37" t="s">
        <v>1000</v>
      </c>
      <c r="B320" s="37" t="s">
        <v>1022</v>
      </c>
      <c r="C320" s="91">
        <v>8471305</v>
      </c>
      <c r="D320" s="37" t="s">
        <v>1001</v>
      </c>
      <c r="E320" s="91">
        <v>422100</v>
      </c>
      <c r="F320" s="37" t="s">
        <v>1021</v>
      </c>
      <c r="G320" s="90">
        <v>847001</v>
      </c>
      <c r="H320" s="37" t="s">
        <v>50</v>
      </c>
      <c r="I320" s="90">
        <v>200179</v>
      </c>
      <c r="J320" s="37" t="s">
        <v>61</v>
      </c>
      <c r="K320" s="265">
        <v>0</v>
      </c>
      <c r="L320" s="265">
        <v>0</v>
      </c>
      <c r="M320" s="265">
        <v>31000</v>
      </c>
      <c r="N320" s="265">
        <v>12000</v>
      </c>
      <c r="O320" s="265">
        <v>12000</v>
      </c>
      <c r="P320" s="265">
        <v>0</v>
      </c>
      <c r="Q320" s="265">
        <v>0</v>
      </c>
      <c r="R320" s="265">
        <v>0</v>
      </c>
      <c r="S320" s="265">
        <v>12000</v>
      </c>
      <c r="T320" s="265">
        <v>10800</v>
      </c>
      <c r="U320" s="265">
        <v>0</v>
      </c>
      <c r="V320" s="265">
        <v>8400</v>
      </c>
      <c r="W320" s="265">
        <v>12600</v>
      </c>
      <c r="X320" s="265">
        <v>396000</v>
      </c>
      <c r="Y320" s="50">
        <f t="shared" si="4"/>
        <v>0</v>
      </c>
    </row>
    <row r="321" spans="1:25" s="39" customFormat="1" x14ac:dyDescent="0.35">
      <c r="A321" s="37" t="s">
        <v>1000</v>
      </c>
      <c r="B321" s="37" t="s">
        <v>1140</v>
      </c>
      <c r="C321" s="91">
        <v>8471305</v>
      </c>
      <c r="D321" s="37" t="s">
        <v>1001</v>
      </c>
      <c r="E321" s="91">
        <v>422900</v>
      </c>
      <c r="F321" s="37" t="s">
        <v>1139</v>
      </c>
      <c r="G321" s="90">
        <v>847001</v>
      </c>
      <c r="H321" s="37" t="s">
        <v>50</v>
      </c>
      <c r="I321" s="90">
        <v>200179</v>
      </c>
      <c r="J321" s="37" t="s">
        <v>61</v>
      </c>
      <c r="K321" s="265">
        <v>0</v>
      </c>
      <c r="L321" s="265">
        <v>15989</v>
      </c>
      <c r="M321" s="265">
        <v>53742</v>
      </c>
      <c r="N321" s="265">
        <v>0</v>
      </c>
      <c r="O321" s="265">
        <v>0</v>
      </c>
      <c r="P321" s="265">
        <v>0</v>
      </c>
      <c r="Q321" s="265">
        <v>0</v>
      </c>
      <c r="R321" s="265">
        <v>0</v>
      </c>
      <c r="S321" s="265">
        <v>225000</v>
      </c>
      <c r="T321" s="265">
        <v>202500</v>
      </c>
      <c r="U321" s="265">
        <v>0</v>
      </c>
      <c r="V321" s="265">
        <v>157500</v>
      </c>
      <c r="W321" s="265">
        <v>236250</v>
      </c>
      <c r="X321" s="265">
        <v>275000</v>
      </c>
      <c r="Y321" s="50">
        <f t="shared" si="4"/>
        <v>225000</v>
      </c>
    </row>
    <row r="322" spans="1:25" s="39" customFormat="1" x14ac:dyDescent="0.35">
      <c r="A322" s="37" t="s">
        <v>1000</v>
      </c>
      <c r="B322" s="37" t="s">
        <v>1147</v>
      </c>
      <c r="C322" s="91">
        <v>8471305</v>
      </c>
      <c r="D322" s="37" t="s">
        <v>1001</v>
      </c>
      <c r="E322" s="91">
        <v>425100</v>
      </c>
      <c r="F322" s="37" t="s">
        <v>1184</v>
      </c>
      <c r="G322" s="90">
        <v>847001</v>
      </c>
      <c r="H322" s="37" t="s">
        <v>50</v>
      </c>
      <c r="I322" s="90">
        <v>200179</v>
      </c>
      <c r="J322" s="37" t="s">
        <v>61</v>
      </c>
      <c r="K322" s="265">
        <v>0</v>
      </c>
      <c r="L322" s="265">
        <v>129219</v>
      </c>
      <c r="M322" s="265">
        <v>258</v>
      </c>
      <c r="N322" s="265">
        <v>0</v>
      </c>
      <c r="O322" s="265">
        <v>0</v>
      </c>
      <c r="P322" s="265">
        <v>0</v>
      </c>
      <c r="Q322" s="265">
        <v>0</v>
      </c>
      <c r="R322" s="265">
        <v>0</v>
      </c>
      <c r="S322" s="265">
        <v>250000</v>
      </c>
      <c r="T322" s="265">
        <v>225000</v>
      </c>
      <c r="U322" s="265">
        <v>0</v>
      </c>
      <c r="V322" s="265">
        <v>175000</v>
      </c>
      <c r="W322" s="265">
        <v>315000</v>
      </c>
      <c r="X322" s="265">
        <v>1122000</v>
      </c>
      <c r="Y322" s="50">
        <f t="shared" si="4"/>
        <v>250000</v>
      </c>
    </row>
    <row r="323" spans="1:25" s="39" customFormat="1" x14ac:dyDescent="0.35">
      <c r="A323" s="37" t="s">
        <v>1000</v>
      </c>
      <c r="B323" s="37" t="s">
        <v>1026</v>
      </c>
      <c r="C323" s="91">
        <v>8471305</v>
      </c>
      <c r="D323" s="37" t="s">
        <v>1001</v>
      </c>
      <c r="E323" s="91">
        <v>425510</v>
      </c>
      <c r="F323" s="37" t="s">
        <v>247</v>
      </c>
      <c r="G323" s="90">
        <v>847001</v>
      </c>
      <c r="H323" s="37" t="s">
        <v>50</v>
      </c>
      <c r="I323" s="90">
        <v>200179</v>
      </c>
      <c r="J323" s="37" t="s">
        <v>61</v>
      </c>
      <c r="K323" s="265">
        <v>4713</v>
      </c>
      <c r="L323" s="265">
        <v>114960</v>
      </c>
      <c r="M323" s="265">
        <v>83486</v>
      </c>
      <c r="N323" s="38">
        <v>670000</v>
      </c>
      <c r="O323" s="265">
        <v>670000</v>
      </c>
      <c r="P323" s="265">
        <v>45221</v>
      </c>
      <c r="Q323" s="265">
        <v>0</v>
      </c>
      <c r="R323" s="265">
        <v>15500</v>
      </c>
      <c r="S323" s="38">
        <v>1020000</v>
      </c>
      <c r="T323" s="265">
        <v>918000</v>
      </c>
      <c r="U323" s="265">
        <v>0</v>
      </c>
      <c r="V323" s="265">
        <v>714000</v>
      </c>
      <c r="W323" s="265">
        <v>1071000</v>
      </c>
      <c r="X323" s="265">
        <v>1020000</v>
      </c>
      <c r="Y323" s="38">
        <f t="shared" ref="Y323:Y386" si="5">S323-N323</f>
        <v>350000</v>
      </c>
    </row>
    <row r="324" spans="1:25" s="39" customFormat="1" x14ac:dyDescent="0.35">
      <c r="A324" s="37" t="s">
        <v>1000</v>
      </c>
      <c r="B324" s="37" t="s">
        <v>1030</v>
      </c>
      <c r="C324" s="91">
        <v>8471305</v>
      </c>
      <c r="D324" s="37" t="s">
        <v>1001</v>
      </c>
      <c r="E324" s="91">
        <v>425550</v>
      </c>
      <c r="F324" s="37" t="s">
        <v>253</v>
      </c>
      <c r="G324" s="90">
        <v>847001</v>
      </c>
      <c r="H324" s="37" t="s">
        <v>50</v>
      </c>
      <c r="I324" s="90">
        <v>200179</v>
      </c>
      <c r="J324" s="37" t="s">
        <v>61</v>
      </c>
      <c r="K324" s="265">
        <v>45316</v>
      </c>
      <c r="L324" s="265">
        <v>38256</v>
      </c>
      <c r="M324" s="265">
        <v>47147</v>
      </c>
      <c r="N324" s="38">
        <v>622000</v>
      </c>
      <c r="O324" s="265">
        <v>622000</v>
      </c>
      <c r="P324" s="265">
        <v>32900</v>
      </c>
      <c r="Q324" s="265">
        <v>0</v>
      </c>
      <c r="R324" s="265">
        <v>0</v>
      </c>
      <c r="S324" s="38">
        <v>1140000</v>
      </c>
      <c r="T324" s="265">
        <v>1026000</v>
      </c>
      <c r="U324" s="265">
        <v>0</v>
      </c>
      <c r="V324" s="265">
        <v>798000</v>
      </c>
      <c r="W324" s="265">
        <v>1197000</v>
      </c>
      <c r="X324" s="265">
        <v>1140000</v>
      </c>
      <c r="Y324" s="38">
        <f t="shared" si="5"/>
        <v>518000</v>
      </c>
    </row>
    <row r="325" spans="1:25" s="39" customFormat="1" x14ac:dyDescent="0.35">
      <c r="A325" s="37" t="s">
        <v>1000</v>
      </c>
      <c r="B325" s="37" t="s">
        <v>1033</v>
      </c>
      <c r="C325" s="91">
        <v>8471305</v>
      </c>
      <c r="D325" s="37" t="s">
        <v>1001</v>
      </c>
      <c r="E325" s="91">
        <v>425720</v>
      </c>
      <c r="F325" s="37" t="s">
        <v>620</v>
      </c>
      <c r="G325" s="90">
        <v>847001</v>
      </c>
      <c r="H325" s="37" t="s">
        <v>50</v>
      </c>
      <c r="I325" s="90">
        <v>200179</v>
      </c>
      <c r="J325" s="37" t="s">
        <v>61</v>
      </c>
      <c r="K325" s="265">
        <v>739107</v>
      </c>
      <c r="L325" s="265">
        <v>1194435</v>
      </c>
      <c r="M325" s="265">
        <v>1377538</v>
      </c>
      <c r="N325" s="265">
        <v>2424345</v>
      </c>
      <c r="O325" s="265">
        <v>2424345</v>
      </c>
      <c r="P325" s="265">
        <v>682810.28</v>
      </c>
      <c r="Q325" s="265">
        <v>0</v>
      </c>
      <c r="R325" s="265">
        <v>1130000</v>
      </c>
      <c r="S325" s="265">
        <v>3000000</v>
      </c>
      <c r="T325" s="265">
        <v>2700000</v>
      </c>
      <c r="U325" s="265">
        <v>0</v>
      </c>
      <c r="V325" s="265">
        <v>2100000</v>
      </c>
      <c r="W325" s="265">
        <v>3150000</v>
      </c>
      <c r="X325" s="265">
        <v>3100000</v>
      </c>
      <c r="Y325" s="50">
        <f t="shared" si="5"/>
        <v>575655</v>
      </c>
    </row>
    <row r="326" spans="1:25" s="39" customFormat="1" x14ac:dyDescent="0.35">
      <c r="A326" s="37" t="s">
        <v>1000</v>
      </c>
      <c r="B326" s="37" t="s">
        <v>1037</v>
      </c>
      <c r="C326" s="91">
        <v>8471305</v>
      </c>
      <c r="D326" s="37" t="s">
        <v>1001</v>
      </c>
      <c r="E326" s="91">
        <v>425742</v>
      </c>
      <c r="F326" s="37" t="s">
        <v>1036</v>
      </c>
      <c r="G326" s="90">
        <v>847001</v>
      </c>
      <c r="H326" s="37" t="s">
        <v>50</v>
      </c>
      <c r="I326" s="90">
        <v>200179</v>
      </c>
      <c r="J326" s="37" t="s">
        <v>61</v>
      </c>
      <c r="K326" s="265">
        <v>0</v>
      </c>
      <c r="L326" s="265">
        <v>0</v>
      </c>
      <c r="M326" s="265">
        <v>74620</v>
      </c>
      <c r="N326" s="265">
        <v>180000</v>
      </c>
      <c r="O326" s="265">
        <v>180000</v>
      </c>
      <c r="P326" s="265">
        <v>78512.25</v>
      </c>
      <c r="Q326" s="265">
        <v>0</v>
      </c>
      <c r="R326" s="265">
        <v>0</v>
      </c>
      <c r="S326" s="265">
        <v>297975</v>
      </c>
      <c r="T326" s="265">
        <v>268178</v>
      </c>
      <c r="U326" s="265">
        <v>0</v>
      </c>
      <c r="V326" s="265">
        <v>208583</v>
      </c>
      <c r="W326" s="265">
        <v>312874</v>
      </c>
      <c r="X326" s="265">
        <v>304500</v>
      </c>
      <c r="Y326" s="50">
        <f t="shared" si="5"/>
        <v>117975</v>
      </c>
    </row>
    <row r="327" spans="1:25" s="39" customFormat="1" x14ac:dyDescent="0.35">
      <c r="A327" s="37" t="s">
        <v>1000</v>
      </c>
      <c r="B327" s="37" t="s">
        <v>1042</v>
      </c>
      <c r="C327" s="91">
        <v>8471305</v>
      </c>
      <c r="D327" s="37" t="s">
        <v>1001</v>
      </c>
      <c r="E327" s="91">
        <v>425745</v>
      </c>
      <c r="F327" s="37" t="s">
        <v>1041</v>
      </c>
      <c r="G327" s="90">
        <v>847001</v>
      </c>
      <c r="H327" s="37" t="s">
        <v>50</v>
      </c>
      <c r="I327" s="90">
        <v>200179</v>
      </c>
      <c r="J327" s="37" t="s">
        <v>61</v>
      </c>
      <c r="K327" s="265">
        <v>225790</v>
      </c>
      <c r="L327" s="265">
        <v>23762</v>
      </c>
      <c r="M327" s="265">
        <v>16828</v>
      </c>
      <c r="N327" s="265">
        <v>24400</v>
      </c>
      <c r="O327" s="265">
        <v>24400</v>
      </c>
      <c r="P327" s="265">
        <v>24000</v>
      </c>
      <c r="Q327" s="265">
        <v>0</v>
      </c>
      <c r="R327" s="265">
        <v>0</v>
      </c>
      <c r="S327" s="265">
        <v>825000</v>
      </c>
      <c r="T327" s="265">
        <v>742500</v>
      </c>
      <c r="U327" s="265">
        <v>0</v>
      </c>
      <c r="V327" s="265">
        <v>577500</v>
      </c>
      <c r="W327" s="265">
        <v>866250</v>
      </c>
      <c r="X327" s="265">
        <v>825000</v>
      </c>
      <c r="Y327" s="50">
        <f t="shared" si="5"/>
        <v>800600</v>
      </c>
    </row>
    <row r="328" spans="1:25" s="39" customFormat="1" x14ac:dyDescent="0.35">
      <c r="A328" s="37" t="s">
        <v>1000</v>
      </c>
      <c r="B328" s="37" t="s">
        <v>1048</v>
      </c>
      <c r="C328" s="91">
        <v>8471305</v>
      </c>
      <c r="D328" s="37" t="s">
        <v>1001</v>
      </c>
      <c r="E328" s="91">
        <v>425746</v>
      </c>
      <c r="F328" s="37" t="s">
        <v>1047</v>
      </c>
      <c r="G328" s="90">
        <v>847001</v>
      </c>
      <c r="H328" s="37" t="s">
        <v>50</v>
      </c>
      <c r="I328" s="90">
        <v>200179</v>
      </c>
      <c r="J328" s="37" t="s">
        <v>61</v>
      </c>
      <c r="K328" s="265">
        <v>0</v>
      </c>
      <c r="L328" s="265">
        <v>0</v>
      </c>
      <c r="M328" s="265">
        <v>0</v>
      </c>
      <c r="N328" s="265">
        <v>292600</v>
      </c>
      <c r="O328" s="265">
        <v>292600</v>
      </c>
      <c r="P328" s="265">
        <v>0</v>
      </c>
      <c r="Q328" s="265">
        <v>0</v>
      </c>
      <c r="R328" s="265">
        <v>0</v>
      </c>
      <c r="S328" s="265">
        <v>376200</v>
      </c>
      <c r="T328" s="265">
        <v>338580</v>
      </c>
      <c r="U328" s="265">
        <v>0</v>
      </c>
      <c r="V328" s="265">
        <v>263340</v>
      </c>
      <c r="W328" s="265">
        <v>395010</v>
      </c>
      <c r="X328" s="265">
        <v>378000</v>
      </c>
      <c r="Y328" s="50">
        <f t="shared" si="5"/>
        <v>83600</v>
      </c>
    </row>
    <row r="329" spans="1:25" s="39" customFormat="1" x14ac:dyDescent="0.35">
      <c r="A329" s="37" t="s">
        <v>1000</v>
      </c>
      <c r="B329" s="37" t="s">
        <v>1053</v>
      </c>
      <c r="C329" s="91">
        <v>8471305</v>
      </c>
      <c r="D329" s="37" t="s">
        <v>1001</v>
      </c>
      <c r="E329" s="91">
        <v>425749</v>
      </c>
      <c r="F329" s="37" t="s">
        <v>1052</v>
      </c>
      <c r="G329" s="90">
        <v>847001</v>
      </c>
      <c r="H329" s="37" t="s">
        <v>50</v>
      </c>
      <c r="I329" s="90">
        <v>200179</v>
      </c>
      <c r="J329" s="37" t="s">
        <v>61</v>
      </c>
      <c r="K329" s="265">
        <v>0</v>
      </c>
      <c r="L329" s="265">
        <v>3826667</v>
      </c>
      <c r="M329" s="265">
        <v>14604066</v>
      </c>
      <c r="N329" s="265">
        <v>24213178</v>
      </c>
      <c r="O329" s="265">
        <v>24213178</v>
      </c>
      <c r="P329" s="265">
        <v>10862000.02</v>
      </c>
      <c r="Q329" s="265">
        <v>0</v>
      </c>
      <c r="R329" s="265">
        <v>0</v>
      </c>
      <c r="S329" s="265">
        <v>40876000</v>
      </c>
      <c r="T329" s="265">
        <v>36788400</v>
      </c>
      <c r="U329" s="265">
        <v>0</v>
      </c>
      <c r="V329" s="265">
        <v>28613200</v>
      </c>
      <c r="W329" s="265">
        <v>42919800</v>
      </c>
      <c r="X329" s="265">
        <v>44963600</v>
      </c>
      <c r="Y329" s="50">
        <f t="shared" si="5"/>
        <v>16662822</v>
      </c>
    </row>
    <row r="330" spans="1:25" s="39" customFormat="1" x14ac:dyDescent="0.35">
      <c r="A330" s="37" t="s">
        <v>1000</v>
      </c>
      <c r="B330" s="37" t="s">
        <v>1058</v>
      </c>
      <c r="C330" s="91">
        <v>8471305</v>
      </c>
      <c r="D330" s="37" t="s">
        <v>1001</v>
      </c>
      <c r="E330" s="91">
        <v>425750</v>
      </c>
      <c r="F330" s="37" t="s">
        <v>1057</v>
      </c>
      <c r="G330" s="90">
        <v>847001</v>
      </c>
      <c r="H330" s="37" t="s">
        <v>50</v>
      </c>
      <c r="I330" s="90">
        <v>200179</v>
      </c>
      <c r="J330" s="37" t="s">
        <v>61</v>
      </c>
      <c r="K330" s="265">
        <v>4185</v>
      </c>
      <c r="L330" s="265">
        <v>0</v>
      </c>
      <c r="M330" s="265">
        <v>0</v>
      </c>
      <c r="N330" s="265">
        <v>864069</v>
      </c>
      <c r="O330" s="265">
        <v>864069</v>
      </c>
      <c r="P330" s="265">
        <v>92850.06</v>
      </c>
      <c r="Q330" s="265">
        <v>0</v>
      </c>
      <c r="R330" s="265">
        <v>0</v>
      </c>
      <c r="S330" s="265">
        <v>2681485</v>
      </c>
      <c r="T330" s="265">
        <v>2413337</v>
      </c>
      <c r="U330" s="265">
        <v>0</v>
      </c>
      <c r="V330" s="265">
        <v>1877040</v>
      </c>
      <c r="W330" s="265">
        <v>2815559</v>
      </c>
      <c r="X330" s="265">
        <v>2949634</v>
      </c>
      <c r="Y330" s="50">
        <f t="shared" si="5"/>
        <v>1817416</v>
      </c>
    </row>
    <row r="331" spans="1:25" s="39" customFormat="1" x14ac:dyDescent="0.35">
      <c r="A331" s="37" t="s">
        <v>1000</v>
      </c>
      <c r="B331" s="37" t="s">
        <v>1061</v>
      </c>
      <c r="C331" s="91">
        <v>8471305</v>
      </c>
      <c r="D331" s="37" t="s">
        <v>1001</v>
      </c>
      <c r="E331" s="91">
        <v>425762</v>
      </c>
      <c r="F331" s="37" t="s">
        <v>573</v>
      </c>
      <c r="G331" s="90">
        <v>847001</v>
      </c>
      <c r="H331" s="37" t="s">
        <v>50</v>
      </c>
      <c r="I331" s="90">
        <v>200179</v>
      </c>
      <c r="J331" s="37" t="s">
        <v>61</v>
      </c>
      <c r="K331" s="265">
        <v>0</v>
      </c>
      <c r="L331" s="265">
        <v>19800</v>
      </c>
      <c r="M331" s="265">
        <v>0</v>
      </c>
      <c r="N331" s="265">
        <v>2759974</v>
      </c>
      <c r="O331" s="265">
        <v>2759974</v>
      </c>
      <c r="P331" s="265">
        <v>0</v>
      </c>
      <c r="Q331" s="265">
        <v>0</v>
      </c>
      <c r="R331" s="265">
        <v>0</v>
      </c>
      <c r="S331" s="265">
        <v>3311974</v>
      </c>
      <c r="T331" s="265">
        <v>2980777</v>
      </c>
      <c r="U331" s="265">
        <v>0</v>
      </c>
      <c r="V331" s="265">
        <v>2318382</v>
      </c>
      <c r="W331" s="265">
        <v>3477573</v>
      </c>
      <c r="X331" s="265">
        <v>3643171</v>
      </c>
      <c r="Y331" s="50">
        <f t="shared" si="5"/>
        <v>552000</v>
      </c>
    </row>
    <row r="332" spans="1:25" s="39" customFormat="1" x14ac:dyDescent="0.35">
      <c r="A332" s="37" t="s">
        <v>1000</v>
      </c>
      <c r="B332" s="37" t="s">
        <v>1065</v>
      </c>
      <c r="C332" s="91">
        <v>8471305</v>
      </c>
      <c r="D332" s="37" t="s">
        <v>1001</v>
      </c>
      <c r="E332" s="91">
        <v>425763</v>
      </c>
      <c r="F332" s="37" t="s">
        <v>359</v>
      </c>
      <c r="G332" s="90">
        <v>847001</v>
      </c>
      <c r="H332" s="37" t="s">
        <v>50</v>
      </c>
      <c r="I332" s="90">
        <v>200179</v>
      </c>
      <c r="J332" s="37" t="s">
        <v>61</v>
      </c>
      <c r="K332" s="265">
        <v>0</v>
      </c>
      <c r="L332" s="265">
        <v>38873</v>
      </c>
      <c r="M332" s="265">
        <v>32580</v>
      </c>
      <c r="N332" s="265">
        <v>200000</v>
      </c>
      <c r="O332" s="265">
        <v>200000</v>
      </c>
      <c r="P332" s="265">
        <v>2940</v>
      </c>
      <c r="Q332" s="265">
        <v>0</v>
      </c>
      <c r="R332" s="265">
        <v>0</v>
      </c>
      <c r="S332" s="265">
        <v>256795</v>
      </c>
      <c r="T332" s="265">
        <v>231116</v>
      </c>
      <c r="U332" s="265">
        <v>0</v>
      </c>
      <c r="V332" s="265">
        <v>179757</v>
      </c>
      <c r="W332" s="265">
        <v>269635</v>
      </c>
      <c r="X332" s="265">
        <v>282475</v>
      </c>
      <c r="Y332" s="50">
        <f t="shared" si="5"/>
        <v>56795</v>
      </c>
    </row>
    <row r="333" spans="1:25" s="39" customFormat="1" x14ac:dyDescent="0.35">
      <c r="A333" s="37" t="s">
        <v>1000</v>
      </c>
      <c r="B333" s="37" t="s">
        <v>1068</v>
      </c>
      <c r="C333" s="91">
        <v>8471305</v>
      </c>
      <c r="D333" s="37" t="s">
        <v>1001</v>
      </c>
      <c r="E333" s="91">
        <v>425900</v>
      </c>
      <c r="F333" s="37" t="s">
        <v>266</v>
      </c>
      <c r="G333" s="90">
        <v>847001</v>
      </c>
      <c r="H333" s="37" t="s">
        <v>50</v>
      </c>
      <c r="I333" s="90">
        <v>200179</v>
      </c>
      <c r="J333" s="37" t="s">
        <v>61</v>
      </c>
      <c r="K333" s="265">
        <v>61724</v>
      </c>
      <c r="L333" s="265">
        <v>14964</v>
      </c>
      <c r="M333" s="265">
        <v>20411</v>
      </c>
      <c r="N333" s="265">
        <v>185000</v>
      </c>
      <c r="O333" s="265">
        <v>185000</v>
      </c>
      <c r="P333" s="265">
        <v>9397.15</v>
      </c>
      <c r="Q333" s="265">
        <v>0</v>
      </c>
      <c r="R333" s="265">
        <v>0</v>
      </c>
      <c r="S333" s="265">
        <v>368650</v>
      </c>
      <c r="T333" s="265">
        <v>331785</v>
      </c>
      <c r="U333" s="265">
        <v>0</v>
      </c>
      <c r="V333" s="265">
        <v>258055</v>
      </c>
      <c r="W333" s="265">
        <v>387083</v>
      </c>
      <c r="X333" s="265">
        <v>405515</v>
      </c>
      <c r="Y333" s="50">
        <f t="shared" si="5"/>
        <v>183650</v>
      </c>
    </row>
    <row r="334" spans="1:25" s="39" customFormat="1" x14ac:dyDescent="0.35">
      <c r="A334" s="37" t="s">
        <v>1000</v>
      </c>
      <c r="B334" s="37" t="s">
        <v>1072</v>
      </c>
      <c r="C334" s="91">
        <v>8471305</v>
      </c>
      <c r="D334" s="37" t="s">
        <v>1001</v>
      </c>
      <c r="E334" s="91">
        <v>426100</v>
      </c>
      <c r="F334" s="37" t="s">
        <v>1071</v>
      </c>
      <c r="G334" s="90">
        <v>847001</v>
      </c>
      <c r="H334" s="37" t="s">
        <v>50</v>
      </c>
      <c r="I334" s="90">
        <v>200179</v>
      </c>
      <c r="J334" s="37" t="s">
        <v>61</v>
      </c>
      <c r="K334" s="265">
        <v>0</v>
      </c>
      <c r="L334" s="265">
        <v>63</v>
      </c>
      <c r="M334" s="265">
        <v>0</v>
      </c>
      <c r="N334" s="265">
        <v>90000</v>
      </c>
      <c r="O334" s="265">
        <v>90000</v>
      </c>
      <c r="P334" s="265">
        <v>0</v>
      </c>
      <c r="Q334" s="265">
        <v>0</v>
      </c>
      <c r="R334" s="265">
        <v>0</v>
      </c>
      <c r="S334" s="265">
        <v>102000</v>
      </c>
      <c r="T334" s="265">
        <v>91800</v>
      </c>
      <c r="U334" s="265">
        <v>0</v>
      </c>
      <c r="V334" s="265">
        <v>71400</v>
      </c>
      <c r="W334" s="265">
        <v>107100</v>
      </c>
      <c r="X334" s="265">
        <v>112200</v>
      </c>
      <c r="Y334" s="50">
        <f t="shared" si="5"/>
        <v>12000</v>
      </c>
    </row>
    <row r="335" spans="1:25" s="39" customFormat="1" x14ac:dyDescent="0.35">
      <c r="A335" s="37" t="s">
        <v>1000</v>
      </c>
      <c r="B335" s="37" t="s">
        <v>1077</v>
      </c>
      <c r="C335" s="91">
        <v>8471305</v>
      </c>
      <c r="D335" s="37" t="s">
        <v>1001</v>
      </c>
      <c r="E335" s="91">
        <v>426610</v>
      </c>
      <c r="F335" s="37" t="s">
        <v>694</v>
      </c>
      <c r="G335" s="90">
        <v>847001</v>
      </c>
      <c r="H335" s="37" t="s">
        <v>50</v>
      </c>
      <c r="I335" s="90">
        <v>200179</v>
      </c>
      <c r="J335" s="37" t="s">
        <v>61</v>
      </c>
      <c r="K335" s="265">
        <v>384507</v>
      </c>
      <c r="L335" s="265">
        <v>499959</v>
      </c>
      <c r="M335" s="265">
        <v>1212148</v>
      </c>
      <c r="N335" s="265">
        <v>977363</v>
      </c>
      <c r="O335" s="265">
        <v>977363</v>
      </c>
      <c r="P335" s="265">
        <v>703112.39</v>
      </c>
      <c r="Q335" s="265">
        <v>39819.370000000003</v>
      </c>
      <c r="R335" s="265">
        <v>115842.8</v>
      </c>
      <c r="S335" s="265">
        <v>977363</v>
      </c>
      <c r="T335" s="265">
        <v>879627</v>
      </c>
      <c r="U335" s="265">
        <v>0</v>
      </c>
      <c r="V335" s="265">
        <v>684154</v>
      </c>
      <c r="W335" s="265">
        <v>1026231</v>
      </c>
      <c r="X335" s="265">
        <v>1075099</v>
      </c>
      <c r="Y335" s="50">
        <f t="shared" si="5"/>
        <v>0</v>
      </c>
    </row>
    <row r="336" spans="1:25" s="39" customFormat="1" x14ac:dyDescent="0.35">
      <c r="A336" s="37" t="s">
        <v>1000</v>
      </c>
      <c r="B336" s="37" t="s">
        <v>1081</v>
      </c>
      <c r="C336" s="91">
        <v>8471305</v>
      </c>
      <c r="D336" s="37" t="s">
        <v>1001</v>
      </c>
      <c r="E336" s="91">
        <v>426900</v>
      </c>
      <c r="F336" s="37" t="s">
        <v>1080</v>
      </c>
      <c r="G336" s="90">
        <v>847001</v>
      </c>
      <c r="H336" s="37" t="s">
        <v>50</v>
      </c>
      <c r="I336" s="90">
        <v>200179</v>
      </c>
      <c r="J336" s="37" t="s">
        <v>61</v>
      </c>
      <c r="K336" s="265">
        <v>0</v>
      </c>
      <c r="L336" s="265">
        <v>0</v>
      </c>
      <c r="M336" s="265">
        <v>290</v>
      </c>
      <c r="N336" s="265">
        <v>21000</v>
      </c>
      <c r="O336" s="265">
        <v>21000</v>
      </c>
      <c r="P336" s="265">
        <v>235</v>
      </c>
      <c r="Q336" s="265">
        <v>0</v>
      </c>
      <c r="R336" s="265">
        <v>0</v>
      </c>
      <c r="S336" s="265">
        <v>21000</v>
      </c>
      <c r="T336" s="265">
        <v>18900</v>
      </c>
      <c r="U336" s="265">
        <v>0</v>
      </c>
      <c r="V336" s="265">
        <v>14700</v>
      </c>
      <c r="W336" s="265">
        <v>22050</v>
      </c>
      <c r="X336" s="265">
        <v>23100</v>
      </c>
      <c r="Y336" s="50">
        <f t="shared" si="5"/>
        <v>0</v>
      </c>
    </row>
    <row r="337" spans="1:28" s="39" customFormat="1" x14ac:dyDescent="0.35">
      <c r="A337" s="37" t="s">
        <v>1000</v>
      </c>
      <c r="B337" s="37" t="s">
        <v>1086</v>
      </c>
      <c r="C337" s="91">
        <v>8471305</v>
      </c>
      <c r="D337" s="37" t="s">
        <v>1001</v>
      </c>
      <c r="E337" s="91">
        <v>427200</v>
      </c>
      <c r="F337" s="37" t="s">
        <v>1085</v>
      </c>
      <c r="G337" s="90">
        <v>847001</v>
      </c>
      <c r="H337" s="37" t="s">
        <v>50</v>
      </c>
      <c r="I337" s="90">
        <v>200179</v>
      </c>
      <c r="J337" s="37" t="s">
        <v>61</v>
      </c>
      <c r="K337" s="265">
        <v>1788</v>
      </c>
      <c r="L337" s="265">
        <v>81656</v>
      </c>
      <c r="M337" s="265">
        <v>158352</v>
      </c>
      <c r="N337" s="265">
        <v>627674</v>
      </c>
      <c r="O337" s="265">
        <v>627674</v>
      </c>
      <c r="P337" s="265">
        <v>0</v>
      </c>
      <c r="Q337" s="265">
        <v>0</v>
      </c>
      <c r="R337" s="265">
        <v>0</v>
      </c>
      <c r="S337" s="265">
        <v>675000</v>
      </c>
      <c r="T337" s="265">
        <v>607500</v>
      </c>
      <c r="U337" s="265">
        <v>0</v>
      </c>
      <c r="V337" s="265">
        <v>472500</v>
      </c>
      <c r="W337" s="265">
        <v>708750</v>
      </c>
      <c r="X337" s="265">
        <v>742500</v>
      </c>
      <c r="Y337" s="50">
        <f t="shared" si="5"/>
        <v>47326</v>
      </c>
    </row>
    <row r="338" spans="1:28" s="39" customFormat="1" x14ac:dyDescent="0.35">
      <c r="A338" s="37" t="s">
        <v>1000</v>
      </c>
      <c r="B338" s="37" t="s">
        <v>1091</v>
      </c>
      <c r="C338" s="91">
        <v>8471305</v>
      </c>
      <c r="D338" s="37" t="s">
        <v>1001</v>
      </c>
      <c r="E338" s="91">
        <v>427710</v>
      </c>
      <c r="F338" s="37" t="s">
        <v>1090</v>
      </c>
      <c r="G338" s="90">
        <v>847001</v>
      </c>
      <c r="H338" s="37" t="s">
        <v>50</v>
      </c>
      <c r="I338" s="90">
        <v>200179</v>
      </c>
      <c r="J338" s="37" t="s">
        <v>61</v>
      </c>
      <c r="K338" s="265">
        <v>28358</v>
      </c>
      <c r="L338" s="265">
        <v>47805</v>
      </c>
      <c r="M338" s="265">
        <v>14707</v>
      </c>
      <c r="N338" s="265">
        <v>153178</v>
      </c>
      <c r="O338" s="265">
        <v>153178</v>
      </c>
      <c r="P338" s="265">
        <v>756</v>
      </c>
      <c r="Q338" s="265">
        <v>0</v>
      </c>
      <c r="R338" s="265">
        <v>37231</v>
      </c>
      <c r="S338" s="265">
        <v>237360</v>
      </c>
      <c r="T338" s="265">
        <v>213624</v>
      </c>
      <c r="U338" s="265">
        <v>0</v>
      </c>
      <c r="V338" s="265">
        <v>166152</v>
      </c>
      <c r="W338" s="265">
        <v>249228</v>
      </c>
      <c r="X338" s="265">
        <v>261096</v>
      </c>
      <c r="Y338" s="50">
        <f t="shared" si="5"/>
        <v>84182</v>
      </c>
    </row>
    <row r="339" spans="1:28" s="39" customFormat="1" x14ac:dyDescent="0.35">
      <c r="A339" s="37" t="s">
        <v>1000</v>
      </c>
      <c r="B339" s="37" t="s">
        <v>1095</v>
      </c>
      <c r="C339" s="91">
        <v>8471305</v>
      </c>
      <c r="D339" s="37" t="s">
        <v>1001</v>
      </c>
      <c r="E339" s="91">
        <v>428090</v>
      </c>
      <c r="F339" s="37" t="s">
        <v>154</v>
      </c>
      <c r="G339" s="90">
        <v>847001</v>
      </c>
      <c r="H339" s="37" t="s">
        <v>50</v>
      </c>
      <c r="I339" s="90">
        <v>200179</v>
      </c>
      <c r="J339" s="37" t="s">
        <v>61</v>
      </c>
      <c r="K339" s="265">
        <v>438236</v>
      </c>
      <c r="L339" s="265">
        <v>17600</v>
      </c>
      <c r="M339" s="265">
        <v>0</v>
      </c>
      <c r="N339" s="265">
        <v>183500</v>
      </c>
      <c r="O339" s="265">
        <v>183500</v>
      </c>
      <c r="P339" s="265">
        <v>523.75</v>
      </c>
      <c r="Q339" s="265">
        <v>0</v>
      </c>
      <c r="R339" s="265">
        <v>0</v>
      </c>
      <c r="S339" s="265">
        <v>450000</v>
      </c>
      <c r="T339" s="265">
        <v>405000</v>
      </c>
      <c r="U339" s="265">
        <v>0</v>
      </c>
      <c r="V339" s="265">
        <v>315000</v>
      </c>
      <c r="W339" s="265">
        <v>1050000</v>
      </c>
      <c r="X339" s="265">
        <v>495000</v>
      </c>
      <c r="Y339" s="50">
        <f t="shared" si="5"/>
        <v>266500</v>
      </c>
    </row>
    <row r="340" spans="1:28" s="39" customFormat="1" x14ac:dyDescent="0.35">
      <c r="A340" s="37" t="s">
        <v>1000</v>
      </c>
      <c r="B340" s="37" t="s">
        <v>1097</v>
      </c>
      <c r="C340" s="91">
        <v>8471305</v>
      </c>
      <c r="D340" s="37" t="s">
        <v>1001</v>
      </c>
      <c r="E340" s="91">
        <v>428640</v>
      </c>
      <c r="F340" s="37" t="s">
        <v>279</v>
      </c>
      <c r="G340" s="90">
        <v>847001</v>
      </c>
      <c r="H340" s="37" t="s">
        <v>50</v>
      </c>
      <c r="I340" s="90">
        <v>200179</v>
      </c>
      <c r="J340" s="37" t="s">
        <v>61</v>
      </c>
      <c r="K340" s="265">
        <v>2345</v>
      </c>
      <c r="L340" s="265">
        <v>1935</v>
      </c>
      <c r="M340" s="265">
        <v>1200</v>
      </c>
      <c r="N340" s="265">
        <v>5000</v>
      </c>
      <c r="O340" s="265">
        <v>5000</v>
      </c>
      <c r="P340" s="265">
        <v>1519.75</v>
      </c>
      <c r="Q340" s="265">
        <v>0</v>
      </c>
      <c r="R340" s="265">
        <v>0</v>
      </c>
      <c r="S340" s="265">
        <v>100000</v>
      </c>
      <c r="T340" s="265">
        <v>90000</v>
      </c>
      <c r="U340" s="265">
        <v>0</v>
      </c>
      <c r="V340" s="265">
        <v>70000</v>
      </c>
      <c r="W340" s="265">
        <v>472500</v>
      </c>
      <c r="X340" s="265">
        <v>110000</v>
      </c>
      <c r="Y340" s="50">
        <f t="shared" si="5"/>
        <v>95000</v>
      </c>
    </row>
    <row r="341" spans="1:28" s="39" customFormat="1" x14ac:dyDescent="0.35">
      <c r="A341" s="37" t="s">
        <v>1000</v>
      </c>
      <c r="B341" s="37" t="s">
        <v>1100</v>
      </c>
      <c r="C341" s="91">
        <v>8471305</v>
      </c>
      <c r="D341" s="37" t="s">
        <v>1001</v>
      </c>
      <c r="E341" s="91">
        <v>432205</v>
      </c>
      <c r="F341" s="37" t="s">
        <v>3040</v>
      </c>
      <c r="G341" s="90">
        <v>847001</v>
      </c>
      <c r="H341" s="37" t="s">
        <v>50</v>
      </c>
      <c r="I341" s="90">
        <v>200179</v>
      </c>
      <c r="J341" s="37" t="s">
        <v>61</v>
      </c>
      <c r="K341" s="265">
        <v>0</v>
      </c>
      <c r="L341" s="265">
        <v>37226</v>
      </c>
      <c r="M341" s="265">
        <v>99533</v>
      </c>
      <c r="N341" s="265">
        <v>565385</v>
      </c>
      <c r="O341" s="265">
        <v>565385</v>
      </c>
      <c r="P341" s="265">
        <v>0</v>
      </c>
      <c r="Q341" s="265">
        <v>545000</v>
      </c>
      <c r="R341" s="265">
        <v>0</v>
      </c>
      <c r="S341" s="265">
        <v>1949500</v>
      </c>
      <c r="T341" s="265">
        <v>1754550</v>
      </c>
      <c r="U341" s="265">
        <v>0</v>
      </c>
      <c r="V341" s="265">
        <v>1364650</v>
      </c>
      <c r="W341" s="265">
        <v>105000</v>
      </c>
      <c r="X341" s="265">
        <v>2144450</v>
      </c>
      <c r="Y341" s="50">
        <f t="shared" si="5"/>
        <v>1384115</v>
      </c>
    </row>
    <row r="342" spans="1:28" s="39" customFormat="1" x14ac:dyDescent="0.35">
      <c r="A342" s="37" t="s">
        <v>1000</v>
      </c>
      <c r="B342" s="37" t="s">
        <v>1104</v>
      </c>
      <c r="C342" s="91">
        <v>8471305</v>
      </c>
      <c r="D342" s="37" t="s">
        <v>1001</v>
      </c>
      <c r="E342" s="91">
        <v>432209</v>
      </c>
      <c r="F342" s="37" t="s">
        <v>393</v>
      </c>
      <c r="G342" s="90">
        <v>847001</v>
      </c>
      <c r="H342" s="37" t="s">
        <v>50</v>
      </c>
      <c r="I342" s="90">
        <v>200179</v>
      </c>
      <c r="J342" s="37" t="s">
        <v>61</v>
      </c>
      <c r="K342" s="265">
        <v>0</v>
      </c>
      <c r="L342" s="265">
        <v>0</v>
      </c>
      <c r="M342" s="265">
        <v>55632</v>
      </c>
      <c r="N342" s="265">
        <v>586900</v>
      </c>
      <c r="O342" s="265">
        <v>586900</v>
      </c>
      <c r="P342" s="265">
        <v>16072.41</v>
      </c>
      <c r="Q342" s="265">
        <v>223000</v>
      </c>
      <c r="R342" s="265">
        <v>337087</v>
      </c>
      <c r="S342" s="265">
        <v>600000</v>
      </c>
      <c r="T342" s="265">
        <v>540000</v>
      </c>
      <c r="U342" s="265">
        <v>0</v>
      </c>
      <c r="V342" s="265">
        <v>420000</v>
      </c>
      <c r="W342" s="265">
        <v>2046975</v>
      </c>
      <c r="X342" s="265">
        <v>660000</v>
      </c>
      <c r="Y342" s="50">
        <f t="shared" si="5"/>
        <v>13100</v>
      </c>
    </row>
    <row r="343" spans="1:28" s="39" customFormat="1" x14ac:dyDescent="0.35">
      <c r="A343" s="37" t="s">
        <v>1000</v>
      </c>
      <c r="B343" s="37" t="s">
        <v>1108</v>
      </c>
      <c r="C343" s="91">
        <v>8471305</v>
      </c>
      <c r="D343" s="37" t="s">
        <v>1001</v>
      </c>
      <c r="E343" s="91">
        <v>432210</v>
      </c>
      <c r="F343" s="37" t="s">
        <v>1107</v>
      </c>
      <c r="G343" s="90">
        <v>847001</v>
      </c>
      <c r="H343" s="37" t="s">
        <v>50</v>
      </c>
      <c r="I343" s="90">
        <v>200179</v>
      </c>
      <c r="J343" s="37" t="s">
        <v>61</v>
      </c>
      <c r="K343" s="265">
        <v>0</v>
      </c>
      <c r="L343" s="265">
        <v>0</v>
      </c>
      <c r="M343" s="265">
        <v>0</v>
      </c>
      <c r="N343" s="265">
        <v>35000</v>
      </c>
      <c r="O343" s="265">
        <v>35000</v>
      </c>
      <c r="P343" s="265">
        <v>0</v>
      </c>
      <c r="Q343" s="265">
        <v>0</v>
      </c>
      <c r="R343" s="265">
        <v>0</v>
      </c>
      <c r="S343" s="265">
        <v>200000</v>
      </c>
      <c r="T343" s="265">
        <v>180000</v>
      </c>
      <c r="U343" s="265">
        <v>0</v>
      </c>
      <c r="V343" s="265">
        <v>140000</v>
      </c>
      <c r="W343" s="265">
        <v>630000</v>
      </c>
      <c r="X343" s="265">
        <v>220000</v>
      </c>
      <c r="Y343" s="50">
        <f t="shared" si="5"/>
        <v>165000</v>
      </c>
    </row>
    <row r="344" spans="1:28" s="39" customFormat="1" x14ac:dyDescent="0.35">
      <c r="A344" s="37" t="s">
        <v>1000</v>
      </c>
      <c r="B344" s="37" t="s">
        <v>1112</v>
      </c>
      <c r="C344" s="91">
        <v>8471305</v>
      </c>
      <c r="D344" s="37" t="s">
        <v>1001</v>
      </c>
      <c r="E344" s="91">
        <v>435330</v>
      </c>
      <c r="F344" s="37" t="s">
        <v>1111</v>
      </c>
      <c r="G344" s="90">
        <v>847001</v>
      </c>
      <c r="H344" s="37" t="s">
        <v>50</v>
      </c>
      <c r="I344" s="90">
        <v>200179</v>
      </c>
      <c r="J344" s="37" t="s">
        <v>61</v>
      </c>
      <c r="K344" s="265">
        <v>670253</v>
      </c>
      <c r="L344" s="265">
        <v>-22448</v>
      </c>
      <c r="M344" s="265">
        <v>-22387</v>
      </c>
      <c r="N344" s="265">
        <v>657390</v>
      </c>
      <c r="O344" s="265">
        <v>657390</v>
      </c>
      <c r="P344" s="265">
        <v>0</v>
      </c>
      <c r="Q344" s="265">
        <v>312750.33</v>
      </c>
      <c r="R344" s="265">
        <v>0</v>
      </c>
      <c r="S344" s="265">
        <v>641904</v>
      </c>
      <c r="T344" s="265">
        <v>577714</v>
      </c>
      <c r="U344" s="265">
        <v>0</v>
      </c>
      <c r="V344" s="265">
        <v>449333</v>
      </c>
      <c r="W344" s="265">
        <v>210000</v>
      </c>
      <c r="X344" s="265">
        <v>706094</v>
      </c>
      <c r="Y344" s="50">
        <f t="shared" si="5"/>
        <v>-15486</v>
      </c>
    </row>
    <row r="345" spans="1:28" s="39" customFormat="1" x14ac:dyDescent="0.35">
      <c r="A345" s="37" t="s">
        <v>1000</v>
      </c>
      <c r="B345" s="37" t="s">
        <v>1115</v>
      </c>
      <c r="C345" s="91">
        <v>8471305</v>
      </c>
      <c r="D345" s="37" t="s">
        <v>1001</v>
      </c>
      <c r="E345" s="91">
        <v>435340</v>
      </c>
      <c r="F345" s="37" t="s">
        <v>655</v>
      </c>
      <c r="G345" s="90">
        <v>847001</v>
      </c>
      <c r="H345" s="37" t="s">
        <v>50</v>
      </c>
      <c r="I345" s="90">
        <v>200179</v>
      </c>
      <c r="J345" s="37" t="s">
        <v>61</v>
      </c>
      <c r="K345" s="265">
        <v>0</v>
      </c>
      <c r="L345" s="265">
        <v>418002</v>
      </c>
      <c r="M345" s="265">
        <v>82604</v>
      </c>
      <c r="N345" s="265">
        <v>6515</v>
      </c>
      <c r="O345" s="265">
        <v>6515</v>
      </c>
      <c r="P345" s="265">
        <v>0</v>
      </c>
      <c r="Q345" s="265">
        <v>0</v>
      </c>
      <c r="R345" s="265">
        <v>0</v>
      </c>
      <c r="S345" s="265">
        <v>300000</v>
      </c>
      <c r="T345" s="265">
        <v>270000</v>
      </c>
      <c r="U345" s="265">
        <v>0</v>
      </c>
      <c r="V345" s="265">
        <v>210000</v>
      </c>
      <c r="W345" s="265">
        <v>673999</v>
      </c>
      <c r="X345" s="265">
        <v>330000</v>
      </c>
      <c r="Y345" s="50">
        <f t="shared" si="5"/>
        <v>293485</v>
      </c>
    </row>
    <row r="346" spans="1:28" s="39" customFormat="1" x14ac:dyDescent="0.35">
      <c r="A346" s="37" t="s">
        <v>1000</v>
      </c>
      <c r="B346" s="37" t="s">
        <v>1121</v>
      </c>
      <c r="C346" s="91">
        <v>8471305</v>
      </c>
      <c r="D346" s="37" t="s">
        <v>1001</v>
      </c>
      <c r="E346" s="91">
        <v>435350</v>
      </c>
      <c r="F346" s="37" t="s">
        <v>399</v>
      </c>
      <c r="G346" s="90">
        <v>847001</v>
      </c>
      <c r="H346" s="37" t="s">
        <v>50</v>
      </c>
      <c r="I346" s="90">
        <v>200179</v>
      </c>
      <c r="J346" s="37" t="s">
        <v>61</v>
      </c>
      <c r="K346" s="265">
        <v>0</v>
      </c>
      <c r="L346" s="265">
        <v>0</v>
      </c>
      <c r="M346" s="265">
        <v>74471</v>
      </c>
      <c r="N346" s="265">
        <v>359100</v>
      </c>
      <c r="O346" s="265">
        <v>359100</v>
      </c>
      <c r="P346" s="265">
        <v>182938.65</v>
      </c>
      <c r="Q346" s="265">
        <v>0</v>
      </c>
      <c r="R346" s="265">
        <v>0</v>
      </c>
      <c r="S346" s="265">
        <v>1260000</v>
      </c>
      <c r="T346" s="265">
        <v>1134000</v>
      </c>
      <c r="U346" s="265">
        <v>0</v>
      </c>
      <c r="V346" s="265">
        <v>882000</v>
      </c>
      <c r="W346" s="265">
        <v>315000</v>
      </c>
      <c r="X346" s="265">
        <v>1386000</v>
      </c>
      <c r="Y346" s="50">
        <f t="shared" si="5"/>
        <v>900900</v>
      </c>
    </row>
    <row r="347" spans="1:28" s="39" customFormat="1" x14ac:dyDescent="0.35">
      <c r="A347" s="37" t="s">
        <v>1000</v>
      </c>
      <c r="B347" s="37" t="s">
        <v>1125</v>
      </c>
      <c r="C347" s="91">
        <v>8471305</v>
      </c>
      <c r="D347" s="37" t="s">
        <v>1001</v>
      </c>
      <c r="E347" s="91">
        <v>435508</v>
      </c>
      <c r="F347" s="37" t="s">
        <v>405</v>
      </c>
      <c r="G347" s="90">
        <v>847001</v>
      </c>
      <c r="H347" s="37" t="s">
        <v>50</v>
      </c>
      <c r="I347" s="90">
        <v>200179</v>
      </c>
      <c r="J347" s="37" t="s">
        <v>61</v>
      </c>
      <c r="K347" s="265">
        <v>909033</v>
      </c>
      <c r="L347" s="265">
        <v>897989</v>
      </c>
      <c r="M347" s="265">
        <v>241815</v>
      </c>
      <c r="N347" s="265">
        <v>1892072</v>
      </c>
      <c r="O347" s="265">
        <v>1892072</v>
      </c>
      <c r="P347" s="265">
        <v>314264.18</v>
      </c>
      <c r="Q347" s="265">
        <v>5630</v>
      </c>
      <c r="R347" s="265">
        <v>1347219.44</v>
      </c>
      <c r="S347" s="265">
        <v>14077987</v>
      </c>
      <c r="T347" s="265">
        <v>12670188</v>
      </c>
      <c r="U347" s="265">
        <v>0</v>
      </c>
      <c r="V347" s="265">
        <v>9854591</v>
      </c>
      <c r="W347" s="265">
        <v>1323000</v>
      </c>
      <c r="X347" s="265">
        <v>15485786</v>
      </c>
      <c r="Y347" s="50">
        <f t="shared" si="5"/>
        <v>12185915</v>
      </c>
      <c r="Z347" s="275"/>
      <c r="AB347" s="275">
        <f>Y347/N347</f>
        <v>6.4405133631278302</v>
      </c>
    </row>
    <row r="348" spans="1:28" s="39" customFormat="1" x14ac:dyDescent="0.35">
      <c r="A348" s="37" t="s">
        <v>1000</v>
      </c>
      <c r="B348" s="37" t="s">
        <v>1128</v>
      </c>
      <c r="C348" s="91">
        <v>8471305</v>
      </c>
      <c r="D348" s="37" t="s">
        <v>1001</v>
      </c>
      <c r="E348" s="91">
        <v>435530</v>
      </c>
      <c r="F348" s="37" t="s">
        <v>1127</v>
      </c>
      <c r="G348" s="90">
        <v>847001</v>
      </c>
      <c r="H348" s="37" t="s">
        <v>50</v>
      </c>
      <c r="I348" s="90">
        <v>200179</v>
      </c>
      <c r="J348" s="37" t="s">
        <v>61</v>
      </c>
      <c r="K348" s="265">
        <v>228</v>
      </c>
      <c r="L348" s="265">
        <v>851</v>
      </c>
      <c r="M348" s="265">
        <v>924</v>
      </c>
      <c r="N348" s="265">
        <v>10000</v>
      </c>
      <c r="O348" s="265">
        <v>10000</v>
      </c>
      <c r="P348" s="265">
        <v>80</v>
      </c>
      <c r="Q348" s="265">
        <v>0</v>
      </c>
      <c r="R348" s="265">
        <v>0</v>
      </c>
      <c r="S348" s="265">
        <v>225000</v>
      </c>
      <c r="T348" s="265">
        <v>202500</v>
      </c>
      <c r="U348" s="265">
        <v>0</v>
      </c>
      <c r="V348" s="265">
        <v>157500</v>
      </c>
      <c r="W348" s="265">
        <v>14781886</v>
      </c>
      <c r="X348" s="265">
        <v>247500</v>
      </c>
      <c r="Y348" s="50">
        <f t="shared" si="5"/>
        <v>215000</v>
      </c>
    </row>
    <row r="349" spans="1:28" s="39" customFormat="1" x14ac:dyDescent="0.35">
      <c r="A349" s="37" t="s">
        <v>1000</v>
      </c>
      <c r="B349" s="37" t="s">
        <v>1144</v>
      </c>
      <c r="C349" s="91">
        <v>8471305</v>
      </c>
      <c r="D349" s="37" t="s">
        <v>1001</v>
      </c>
      <c r="E349" s="91">
        <v>436110</v>
      </c>
      <c r="F349" s="37" t="s">
        <v>190</v>
      </c>
      <c r="G349" s="90">
        <v>847001</v>
      </c>
      <c r="H349" s="37" t="s">
        <v>50</v>
      </c>
      <c r="I349" s="90">
        <v>200179</v>
      </c>
      <c r="J349" s="37" t="s">
        <v>61</v>
      </c>
      <c r="K349" s="265">
        <v>2359</v>
      </c>
      <c r="L349" s="265">
        <v>0</v>
      </c>
      <c r="M349" s="265">
        <v>22000</v>
      </c>
      <c r="N349" s="265">
        <v>0</v>
      </c>
      <c r="O349" s="265">
        <v>0</v>
      </c>
      <c r="P349" s="265">
        <v>0</v>
      </c>
      <c r="Q349" s="265">
        <v>0</v>
      </c>
      <c r="R349" s="265">
        <v>0</v>
      </c>
      <c r="S349" s="265">
        <v>300000</v>
      </c>
      <c r="T349" s="265">
        <v>270000</v>
      </c>
      <c r="U349" s="265">
        <v>0</v>
      </c>
      <c r="V349" s="265">
        <v>210000</v>
      </c>
      <c r="W349" s="265">
        <v>236250</v>
      </c>
      <c r="X349" s="265">
        <v>330000</v>
      </c>
      <c r="Y349" s="50">
        <f t="shared" si="5"/>
        <v>300000</v>
      </c>
    </row>
    <row r="350" spans="1:28" s="39" customFormat="1" x14ac:dyDescent="0.35">
      <c r="A350" s="37" t="s">
        <v>1000</v>
      </c>
      <c r="B350" s="37" t="s">
        <v>1131</v>
      </c>
      <c r="C350" s="91">
        <v>8471305</v>
      </c>
      <c r="D350" s="37" t="s">
        <v>1001</v>
      </c>
      <c r="E350" s="91">
        <v>436120</v>
      </c>
      <c r="F350" s="37" t="s">
        <v>291</v>
      </c>
      <c r="G350" s="90">
        <v>847001</v>
      </c>
      <c r="H350" s="37" t="s">
        <v>50</v>
      </c>
      <c r="I350" s="90">
        <v>200179</v>
      </c>
      <c r="J350" s="37" t="s">
        <v>61</v>
      </c>
      <c r="K350" s="265">
        <v>5604</v>
      </c>
      <c r="L350" s="265">
        <v>6669</v>
      </c>
      <c r="M350" s="265">
        <v>7188</v>
      </c>
      <c r="N350" s="265">
        <v>112000</v>
      </c>
      <c r="O350" s="265">
        <v>112000</v>
      </c>
      <c r="P350" s="265">
        <v>0</v>
      </c>
      <c r="Q350" s="265">
        <v>0</v>
      </c>
      <c r="R350" s="265">
        <v>0</v>
      </c>
      <c r="S350" s="265">
        <v>320000</v>
      </c>
      <c r="T350" s="265">
        <v>288000</v>
      </c>
      <c r="U350" s="265">
        <v>0</v>
      </c>
      <c r="V350" s="265">
        <v>224000</v>
      </c>
      <c r="W350" s="265">
        <v>236250</v>
      </c>
      <c r="X350" s="265">
        <v>352000</v>
      </c>
      <c r="Y350" s="50">
        <f t="shared" si="5"/>
        <v>208000</v>
      </c>
      <c r="Z350" s="74"/>
    </row>
    <row r="351" spans="1:28" s="39" customFormat="1" x14ac:dyDescent="0.35">
      <c r="A351" s="37" t="s">
        <v>1000</v>
      </c>
      <c r="B351" s="37" t="s">
        <v>1137</v>
      </c>
      <c r="C351" s="91">
        <v>8471305</v>
      </c>
      <c r="D351" s="37" t="s">
        <v>1001</v>
      </c>
      <c r="E351" s="91">
        <v>492316</v>
      </c>
      <c r="F351" s="37" t="s">
        <v>221</v>
      </c>
      <c r="G351" s="90">
        <v>847001</v>
      </c>
      <c r="H351" s="37" t="s">
        <v>50</v>
      </c>
      <c r="I351" s="90">
        <v>300180</v>
      </c>
      <c r="J351" s="37" t="s">
        <v>192</v>
      </c>
      <c r="K351" s="265">
        <v>57068649</v>
      </c>
      <c r="L351" s="265">
        <v>15725666</v>
      </c>
      <c r="M351" s="265">
        <v>11810091</v>
      </c>
      <c r="N351" s="265">
        <v>17513291</v>
      </c>
      <c r="O351" s="265">
        <v>17513291</v>
      </c>
      <c r="P351" s="265">
        <v>1538887.74</v>
      </c>
      <c r="Q351" s="265">
        <v>411735</v>
      </c>
      <c r="R351" s="265">
        <v>14689537.720000001</v>
      </c>
      <c r="S351" s="265">
        <v>23622096</v>
      </c>
      <c r="T351" s="265">
        <v>1620000</v>
      </c>
      <c r="U351" s="265">
        <v>0</v>
      </c>
      <c r="V351" s="265">
        <v>1260000</v>
      </c>
      <c r="W351" s="265">
        <v>0</v>
      </c>
      <c r="X351" s="265">
        <v>0</v>
      </c>
      <c r="Y351" s="50">
        <f t="shared" si="5"/>
        <v>6108805</v>
      </c>
      <c r="Z351" s="277">
        <f>Y351</f>
        <v>6108805</v>
      </c>
      <c r="AA351" s="275">
        <f>Z351/N351</f>
        <v>0.34880965547823078</v>
      </c>
      <c r="AB351" s="275">
        <f>Y351/N351</f>
        <v>0.34880965547823078</v>
      </c>
    </row>
    <row r="352" spans="1:28" s="39" customFormat="1" x14ac:dyDescent="0.35">
      <c r="A352" s="37" t="s">
        <v>1000</v>
      </c>
      <c r="B352" s="37" t="s">
        <v>2819</v>
      </c>
      <c r="C352" s="91">
        <v>8471305</v>
      </c>
      <c r="D352" s="37" t="s">
        <v>1001</v>
      </c>
      <c r="E352" s="91">
        <v>492354</v>
      </c>
      <c r="F352" s="37" t="s">
        <v>204</v>
      </c>
      <c r="G352" s="90">
        <v>847001</v>
      </c>
      <c r="H352" s="37" t="s">
        <v>50</v>
      </c>
      <c r="I352" s="90">
        <v>300180</v>
      </c>
      <c r="J352" s="37" t="s">
        <v>192</v>
      </c>
      <c r="K352" s="265">
        <v>0</v>
      </c>
      <c r="L352" s="265">
        <v>0</v>
      </c>
      <c r="M352" s="265">
        <v>0</v>
      </c>
      <c r="N352" s="265">
        <v>0</v>
      </c>
      <c r="O352" s="265">
        <v>0</v>
      </c>
      <c r="P352" s="265">
        <v>0</v>
      </c>
      <c r="Q352" s="265">
        <v>0</v>
      </c>
      <c r="R352" s="265">
        <v>0</v>
      </c>
      <c r="S352" s="265">
        <v>1098800</v>
      </c>
      <c r="T352" s="265">
        <v>988920</v>
      </c>
      <c r="U352" s="265">
        <v>0</v>
      </c>
      <c r="V352" s="265">
        <v>769160</v>
      </c>
      <c r="W352" s="265">
        <v>0</v>
      </c>
      <c r="X352" s="265">
        <v>0</v>
      </c>
      <c r="Y352" s="50">
        <f t="shared" si="5"/>
        <v>1098800</v>
      </c>
    </row>
    <row r="353" spans="1:26" s="39" customFormat="1" x14ac:dyDescent="0.35">
      <c r="A353" s="37" t="s">
        <v>1000</v>
      </c>
      <c r="B353" s="37" t="s">
        <v>2820</v>
      </c>
      <c r="C353" s="91">
        <v>8471305</v>
      </c>
      <c r="D353" s="37" t="s">
        <v>1001</v>
      </c>
      <c r="E353" s="91">
        <v>495113</v>
      </c>
      <c r="F353" s="37" t="s">
        <v>214</v>
      </c>
      <c r="G353" s="90">
        <v>847001</v>
      </c>
      <c r="H353" s="37" t="s">
        <v>50</v>
      </c>
      <c r="I353" s="90">
        <v>300180</v>
      </c>
      <c r="J353" s="37" t="s">
        <v>192</v>
      </c>
      <c r="K353" s="265">
        <v>0</v>
      </c>
      <c r="L353" s="265">
        <v>0</v>
      </c>
      <c r="M353" s="265">
        <v>0</v>
      </c>
      <c r="N353" s="265">
        <v>0</v>
      </c>
      <c r="O353" s="265">
        <v>0</v>
      </c>
      <c r="P353" s="265">
        <v>0</v>
      </c>
      <c r="Q353" s="265">
        <v>0</v>
      </c>
      <c r="R353" s="265">
        <v>0</v>
      </c>
      <c r="S353" s="265">
        <v>250000</v>
      </c>
      <c r="T353" s="265">
        <v>225000</v>
      </c>
      <c r="U353" s="265">
        <v>0</v>
      </c>
      <c r="V353" s="265">
        <v>175000</v>
      </c>
      <c r="W353" s="265">
        <v>0</v>
      </c>
      <c r="X353" s="265">
        <v>0</v>
      </c>
      <c r="Y353" s="50">
        <f t="shared" si="5"/>
        <v>250000</v>
      </c>
    </row>
    <row r="354" spans="1:26" s="39" customFormat="1" x14ac:dyDescent="0.35">
      <c r="A354" s="37" t="s">
        <v>1569</v>
      </c>
      <c r="B354" s="37" t="s">
        <v>1714</v>
      </c>
      <c r="C354" s="91">
        <v>8471010</v>
      </c>
      <c r="D354" s="37" t="s">
        <v>1570</v>
      </c>
      <c r="E354" s="91">
        <v>425100</v>
      </c>
      <c r="F354" s="37" t="s">
        <v>1184</v>
      </c>
      <c r="G354" s="90">
        <v>847001</v>
      </c>
      <c r="H354" s="37" t="s">
        <v>50</v>
      </c>
      <c r="I354" s="90">
        <v>200179</v>
      </c>
      <c r="J354" s="37" t="s">
        <v>61</v>
      </c>
      <c r="K354" s="265">
        <v>0</v>
      </c>
      <c r="L354" s="265">
        <v>0</v>
      </c>
      <c r="M354" s="265">
        <v>86900</v>
      </c>
      <c r="N354" s="265">
        <v>107500</v>
      </c>
      <c r="O354" s="265">
        <v>107500</v>
      </c>
      <c r="P354" s="265">
        <v>0</v>
      </c>
      <c r="Q354" s="265">
        <v>0</v>
      </c>
      <c r="R354" s="265">
        <v>0</v>
      </c>
      <c r="S354" s="265">
        <v>120000</v>
      </c>
      <c r="T354" s="265">
        <v>108000</v>
      </c>
      <c r="U354" s="265">
        <v>96000</v>
      </c>
      <c r="V354" s="265">
        <v>84000</v>
      </c>
      <c r="W354" s="265">
        <v>130000</v>
      </c>
      <c r="X354" s="265">
        <v>140000</v>
      </c>
      <c r="Y354" s="50">
        <f t="shared" si="5"/>
        <v>12500</v>
      </c>
    </row>
    <row r="355" spans="1:26" s="39" customFormat="1" x14ac:dyDescent="0.35">
      <c r="A355" s="37" t="s">
        <v>1569</v>
      </c>
      <c r="B355" s="37" t="s">
        <v>1709</v>
      </c>
      <c r="C355" s="91">
        <v>8471010</v>
      </c>
      <c r="D355" s="37" t="s">
        <v>1570</v>
      </c>
      <c r="E355" s="91">
        <v>425510</v>
      </c>
      <c r="F355" s="37" t="s">
        <v>247</v>
      </c>
      <c r="G355" s="90">
        <v>847001</v>
      </c>
      <c r="H355" s="37" t="s">
        <v>50</v>
      </c>
      <c r="I355" s="90">
        <v>200179</v>
      </c>
      <c r="J355" s="37" t="s">
        <v>61</v>
      </c>
      <c r="K355" s="265">
        <v>0</v>
      </c>
      <c r="L355" s="265">
        <v>0</v>
      </c>
      <c r="M355" s="265">
        <v>0</v>
      </c>
      <c r="N355" s="38">
        <v>100000</v>
      </c>
      <c r="O355" s="265">
        <v>100000</v>
      </c>
      <c r="P355" s="265">
        <v>0</v>
      </c>
      <c r="Q355" s="265">
        <v>0</v>
      </c>
      <c r="R355" s="265">
        <v>0</v>
      </c>
      <c r="S355" s="38">
        <v>100000</v>
      </c>
      <c r="T355" s="265">
        <v>90000</v>
      </c>
      <c r="U355" s="265">
        <v>80000</v>
      </c>
      <c r="V355" s="265">
        <v>70000</v>
      </c>
      <c r="W355" s="265">
        <v>100000</v>
      </c>
      <c r="X355" s="265">
        <v>100000</v>
      </c>
      <c r="Y355" s="38">
        <f t="shared" si="5"/>
        <v>0</v>
      </c>
    </row>
    <row r="356" spans="1:26" s="39" customFormat="1" x14ac:dyDescent="0.35">
      <c r="A356" s="37" t="s">
        <v>1569</v>
      </c>
      <c r="B356" s="37" t="s">
        <v>1710</v>
      </c>
      <c r="C356" s="91">
        <v>8471010</v>
      </c>
      <c r="D356" s="37" t="s">
        <v>1570</v>
      </c>
      <c r="E356" s="91">
        <v>425720</v>
      </c>
      <c r="F356" s="37" t="s">
        <v>620</v>
      </c>
      <c r="G356" s="90">
        <v>847001</v>
      </c>
      <c r="H356" s="37" t="s">
        <v>50</v>
      </c>
      <c r="I356" s="90">
        <v>200179</v>
      </c>
      <c r="J356" s="37" t="s">
        <v>61</v>
      </c>
      <c r="K356" s="265">
        <v>0</v>
      </c>
      <c r="L356" s="265">
        <v>0</v>
      </c>
      <c r="M356" s="265">
        <v>23528</v>
      </c>
      <c r="N356" s="265">
        <v>76120</v>
      </c>
      <c r="O356" s="265">
        <v>76120</v>
      </c>
      <c r="P356" s="265">
        <v>20760</v>
      </c>
      <c r="Q356" s="265">
        <v>0</v>
      </c>
      <c r="R356" s="265">
        <v>0</v>
      </c>
      <c r="S356" s="265">
        <v>76120</v>
      </c>
      <c r="T356" s="265">
        <v>68508</v>
      </c>
      <c r="U356" s="265">
        <v>60896</v>
      </c>
      <c r="V356" s="265">
        <v>53284</v>
      </c>
      <c r="W356" s="265">
        <v>145320</v>
      </c>
      <c r="X356" s="265">
        <v>166080</v>
      </c>
      <c r="Y356" s="50">
        <f t="shared" si="5"/>
        <v>0</v>
      </c>
    </row>
    <row r="357" spans="1:26" s="39" customFormat="1" x14ac:dyDescent="0.35">
      <c r="A357" s="37" t="s">
        <v>1569</v>
      </c>
      <c r="B357" s="37" t="s">
        <v>1711</v>
      </c>
      <c r="C357" s="91">
        <v>8471010</v>
      </c>
      <c r="D357" s="37" t="s">
        <v>1570</v>
      </c>
      <c r="E357" s="91">
        <v>425900</v>
      </c>
      <c r="F357" s="37" t="s">
        <v>266</v>
      </c>
      <c r="G357" s="90">
        <v>847001</v>
      </c>
      <c r="H357" s="37" t="s">
        <v>50</v>
      </c>
      <c r="I357" s="90">
        <v>200179</v>
      </c>
      <c r="J357" s="37" t="s">
        <v>61</v>
      </c>
      <c r="K357" s="265">
        <v>0</v>
      </c>
      <c r="L357" s="265">
        <v>0</v>
      </c>
      <c r="M357" s="265">
        <v>26586</v>
      </c>
      <c r="N357" s="265">
        <v>162500</v>
      </c>
      <c r="O357" s="265">
        <v>162500</v>
      </c>
      <c r="P357" s="265">
        <v>0</v>
      </c>
      <c r="Q357" s="265">
        <v>0</v>
      </c>
      <c r="R357" s="265">
        <v>0</v>
      </c>
      <c r="S357" s="265">
        <v>88400</v>
      </c>
      <c r="T357" s="265">
        <v>79560</v>
      </c>
      <c r="U357" s="265">
        <v>70720</v>
      </c>
      <c r="V357" s="265">
        <v>61880</v>
      </c>
      <c r="W357" s="265">
        <v>97500</v>
      </c>
      <c r="X357" s="265">
        <v>105000</v>
      </c>
      <c r="Y357" s="50">
        <f t="shared" si="5"/>
        <v>-74100</v>
      </c>
    </row>
    <row r="358" spans="1:26" s="39" customFormat="1" x14ac:dyDescent="0.35">
      <c r="A358" s="37" t="s">
        <v>1569</v>
      </c>
      <c r="B358" s="37" t="s">
        <v>1712</v>
      </c>
      <c r="C358" s="91">
        <v>8471010</v>
      </c>
      <c r="D358" s="37" t="s">
        <v>1570</v>
      </c>
      <c r="E358" s="91">
        <v>436110</v>
      </c>
      <c r="F358" s="37" t="s">
        <v>190</v>
      </c>
      <c r="G358" s="90">
        <v>847001</v>
      </c>
      <c r="H358" s="37" t="s">
        <v>50</v>
      </c>
      <c r="I358" s="90">
        <v>200179</v>
      </c>
      <c r="J358" s="37" t="s">
        <v>61</v>
      </c>
      <c r="K358" s="265">
        <v>0</v>
      </c>
      <c r="L358" s="265">
        <v>0</v>
      </c>
      <c r="M358" s="265">
        <v>0</v>
      </c>
      <c r="N358" s="265">
        <v>50625</v>
      </c>
      <c r="O358" s="265">
        <v>50625</v>
      </c>
      <c r="P358" s="265">
        <v>0</v>
      </c>
      <c r="Q358" s="265">
        <v>0</v>
      </c>
      <c r="R358" s="265">
        <v>0</v>
      </c>
      <c r="S358" s="265">
        <v>20000</v>
      </c>
      <c r="T358" s="265">
        <v>18000</v>
      </c>
      <c r="U358" s="265">
        <v>16000</v>
      </c>
      <c r="V358" s="265">
        <v>14000</v>
      </c>
      <c r="W358" s="265">
        <v>32000</v>
      </c>
      <c r="X358" s="265">
        <v>32000</v>
      </c>
      <c r="Y358" s="50">
        <f t="shared" si="5"/>
        <v>-30625</v>
      </c>
    </row>
    <row r="359" spans="1:26" s="39" customFormat="1" x14ac:dyDescent="0.35">
      <c r="A359" s="37" t="s">
        <v>1569</v>
      </c>
      <c r="B359" s="37" t="s">
        <v>1713</v>
      </c>
      <c r="C359" s="91">
        <v>8471010</v>
      </c>
      <c r="D359" s="37" t="s">
        <v>1570</v>
      </c>
      <c r="E359" s="91">
        <v>436120</v>
      </c>
      <c r="F359" s="37" t="s">
        <v>291</v>
      </c>
      <c r="G359" s="90">
        <v>847001</v>
      </c>
      <c r="H359" s="37" t="s">
        <v>50</v>
      </c>
      <c r="I359" s="90">
        <v>200179</v>
      </c>
      <c r="J359" s="37" t="s">
        <v>61</v>
      </c>
      <c r="K359" s="265">
        <v>0</v>
      </c>
      <c r="L359" s="265">
        <v>0</v>
      </c>
      <c r="M359" s="265">
        <v>0</v>
      </c>
      <c r="N359" s="265">
        <v>5625</v>
      </c>
      <c r="O359" s="265">
        <v>5625</v>
      </c>
      <c r="P359" s="265">
        <v>0</v>
      </c>
      <c r="Q359" s="265">
        <v>0</v>
      </c>
      <c r="R359" s="265">
        <v>0</v>
      </c>
      <c r="S359" s="265">
        <v>6000</v>
      </c>
      <c r="T359" s="265">
        <v>5400</v>
      </c>
      <c r="U359" s="265">
        <v>4800</v>
      </c>
      <c r="V359" s="265">
        <v>4200</v>
      </c>
      <c r="W359" s="265">
        <v>6000</v>
      </c>
      <c r="X359" s="265">
        <v>6000</v>
      </c>
      <c r="Y359" s="50">
        <f t="shared" si="5"/>
        <v>375</v>
      </c>
    </row>
    <row r="360" spans="1:26" s="39" customFormat="1" x14ac:dyDescent="0.35">
      <c r="A360" s="37" t="s">
        <v>2277</v>
      </c>
      <c r="B360" s="37" t="s">
        <v>2279</v>
      </c>
      <c r="C360" s="91">
        <v>8470130</v>
      </c>
      <c r="D360" s="37" t="s">
        <v>2278</v>
      </c>
      <c r="E360" s="91">
        <v>421000</v>
      </c>
      <c r="F360" s="37" t="s">
        <v>1011</v>
      </c>
      <c r="G360" s="90">
        <v>847001</v>
      </c>
      <c r="H360" s="37" t="s">
        <v>50</v>
      </c>
      <c r="I360" s="90">
        <v>200179</v>
      </c>
      <c r="J360" s="37" t="s">
        <v>61</v>
      </c>
      <c r="K360" s="265">
        <v>0</v>
      </c>
      <c r="L360" s="265">
        <v>28466</v>
      </c>
      <c r="M360" s="265">
        <v>690716</v>
      </c>
      <c r="N360" s="265">
        <v>604900</v>
      </c>
      <c r="O360" s="265">
        <v>604900</v>
      </c>
      <c r="P360" s="265">
        <v>0</v>
      </c>
      <c r="Q360" s="265">
        <v>0</v>
      </c>
      <c r="R360" s="265">
        <v>0</v>
      </c>
      <c r="S360" s="265">
        <v>540000</v>
      </c>
      <c r="T360" s="265">
        <v>486000</v>
      </c>
      <c r="U360" s="265">
        <v>432000</v>
      </c>
      <c r="V360" s="265">
        <v>378000</v>
      </c>
      <c r="W360" s="265">
        <v>540000</v>
      </c>
      <c r="X360" s="265">
        <v>540000</v>
      </c>
      <c r="Y360" s="50">
        <f t="shared" si="5"/>
        <v>-64900</v>
      </c>
    </row>
    <row r="361" spans="1:26" s="39" customFormat="1" x14ac:dyDescent="0.35">
      <c r="A361" s="37" t="s">
        <v>2277</v>
      </c>
      <c r="B361" s="37" t="s">
        <v>2283</v>
      </c>
      <c r="C361" s="91">
        <v>8470130</v>
      </c>
      <c r="D361" s="37" t="s">
        <v>2278</v>
      </c>
      <c r="E361" s="91">
        <v>426610</v>
      </c>
      <c r="F361" s="37" t="s">
        <v>694</v>
      </c>
      <c r="G361" s="90">
        <v>847001</v>
      </c>
      <c r="H361" s="37" t="s">
        <v>50</v>
      </c>
      <c r="I361" s="90">
        <v>200179</v>
      </c>
      <c r="J361" s="37" t="s">
        <v>61</v>
      </c>
      <c r="K361" s="265">
        <v>0</v>
      </c>
      <c r="L361" s="265">
        <v>0</v>
      </c>
      <c r="M361" s="265">
        <v>0</v>
      </c>
      <c r="N361" s="265">
        <v>735000</v>
      </c>
      <c r="O361" s="265">
        <v>735000</v>
      </c>
      <c r="P361" s="265">
        <v>0</v>
      </c>
      <c r="Q361" s="265">
        <v>0</v>
      </c>
      <c r="R361" s="265">
        <v>0</v>
      </c>
      <c r="S361" s="265">
        <v>180000</v>
      </c>
      <c r="T361" s="265">
        <v>162000</v>
      </c>
      <c r="U361" s="265">
        <v>144000</v>
      </c>
      <c r="V361" s="265">
        <v>126000</v>
      </c>
      <c r="W361" s="265">
        <v>180000</v>
      </c>
      <c r="X361" s="265">
        <v>180000</v>
      </c>
      <c r="Y361" s="50">
        <f t="shared" si="5"/>
        <v>-555000</v>
      </c>
    </row>
    <row r="362" spans="1:26" s="39" customFormat="1" x14ac:dyDescent="0.35">
      <c r="A362" s="37" t="s">
        <v>2277</v>
      </c>
      <c r="B362" s="37" t="s">
        <v>2288</v>
      </c>
      <c r="C362" s="91">
        <v>8470130</v>
      </c>
      <c r="D362" s="37" t="s">
        <v>2278</v>
      </c>
      <c r="E362" s="91">
        <v>428090</v>
      </c>
      <c r="F362" s="37" t="s">
        <v>154</v>
      </c>
      <c r="G362" s="90">
        <v>847001</v>
      </c>
      <c r="H362" s="37" t="s">
        <v>50</v>
      </c>
      <c r="I362" s="90">
        <v>200179</v>
      </c>
      <c r="J362" s="37" t="s">
        <v>61</v>
      </c>
      <c r="K362" s="265">
        <v>0</v>
      </c>
      <c r="L362" s="265">
        <v>0</v>
      </c>
      <c r="M362" s="265">
        <v>1100</v>
      </c>
      <c r="N362" s="265">
        <v>180000</v>
      </c>
      <c r="O362" s="265">
        <v>180000</v>
      </c>
      <c r="P362" s="265">
        <v>1650</v>
      </c>
      <c r="Q362" s="265">
        <v>0</v>
      </c>
      <c r="R362" s="265">
        <v>0</v>
      </c>
      <c r="S362" s="265">
        <v>551250</v>
      </c>
      <c r="T362" s="265">
        <v>496125</v>
      </c>
      <c r="U362" s="265">
        <v>441000</v>
      </c>
      <c r="V362" s="265">
        <v>385875</v>
      </c>
      <c r="W362" s="265">
        <v>551250</v>
      </c>
      <c r="X362" s="265">
        <v>551250</v>
      </c>
      <c r="Y362" s="50">
        <f t="shared" si="5"/>
        <v>371250</v>
      </c>
    </row>
    <row r="363" spans="1:26" s="39" customFormat="1" x14ac:dyDescent="0.35">
      <c r="A363" s="37" t="s">
        <v>2277</v>
      </c>
      <c r="B363" s="37" t="s">
        <v>2294</v>
      </c>
      <c r="C363" s="91">
        <v>8470140</v>
      </c>
      <c r="D363" s="37" t="s">
        <v>2293</v>
      </c>
      <c r="E363" s="91">
        <v>425100</v>
      </c>
      <c r="F363" s="37" t="s">
        <v>1184</v>
      </c>
      <c r="G363" s="90">
        <v>847001</v>
      </c>
      <c r="H363" s="37" t="s">
        <v>50</v>
      </c>
      <c r="I363" s="90">
        <v>200179</v>
      </c>
      <c r="J363" s="37" t="s">
        <v>61</v>
      </c>
      <c r="K363" s="265">
        <v>5116144</v>
      </c>
      <c r="L363" s="265">
        <v>2353627</v>
      </c>
      <c r="M363" s="265">
        <v>1900038</v>
      </c>
      <c r="N363" s="265">
        <v>5827464</v>
      </c>
      <c r="O363" s="265">
        <v>5827464</v>
      </c>
      <c r="P363" s="265">
        <v>1140555.96</v>
      </c>
      <c r="Q363" s="265">
        <v>3357368</v>
      </c>
      <c r="R363" s="265">
        <v>234463.48</v>
      </c>
      <c r="S363" s="265">
        <v>14983000</v>
      </c>
      <c r="T363" s="265">
        <v>1800000</v>
      </c>
      <c r="U363" s="265">
        <v>1600000</v>
      </c>
      <c r="V363" s="265">
        <v>1400000</v>
      </c>
      <c r="W363" s="265">
        <v>14404666</v>
      </c>
      <c r="X363" s="265">
        <v>16429640</v>
      </c>
      <c r="Y363" s="50">
        <f t="shared" si="5"/>
        <v>9155536</v>
      </c>
      <c r="Z363" s="275">
        <f>Y363/N363</f>
        <v>1.5711012543363632</v>
      </c>
    </row>
    <row r="364" spans="1:26" s="39" customFormat="1" x14ac:dyDescent="0.35">
      <c r="A364" s="37" t="s">
        <v>2277</v>
      </c>
      <c r="B364" s="37" t="s">
        <v>2314</v>
      </c>
      <c r="C364" s="91">
        <v>8470140</v>
      </c>
      <c r="D364" s="37" t="s">
        <v>2293</v>
      </c>
      <c r="E364" s="91">
        <v>425510</v>
      </c>
      <c r="F364" s="37" t="s">
        <v>247</v>
      </c>
      <c r="G364" s="90">
        <v>847001</v>
      </c>
      <c r="H364" s="37" t="s">
        <v>50</v>
      </c>
      <c r="I364" s="90">
        <v>200179</v>
      </c>
      <c r="J364" s="37" t="s">
        <v>61</v>
      </c>
      <c r="K364" s="265">
        <v>9740820</v>
      </c>
      <c r="L364" s="265">
        <v>2727959</v>
      </c>
      <c r="M364" s="265">
        <v>3922844</v>
      </c>
      <c r="N364" s="38">
        <v>5025358</v>
      </c>
      <c r="O364" s="265">
        <v>5025358</v>
      </c>
      <c r="P364" s="265">
        <v>1818994.97</v>
      </c>
      <c r="Q364" s="265">
        <v>2745800</v>
      </c>
      <c r="R364" s="265">
        <v>405340</v>
      </c>
      <c r="S364" s="38">
        <v>6585400</v>
      </c>
      <c r="T364" s="265">
        <v>180000</v>
      </c>
      <c r="U364" s="265">
        <v>160000</v>
      </c>
      <c r="V364" s="265">
        <v>140000</v>
      </c>
      <c r="W364" s="265">
        <v>8025304</v>
      </c>
      <c r="X364" s="265">
        <v>8985370</v>
      </c>
      <c r="Y364" s="38">
        <f t="shared" si="5"/>
        <v>1560042</v>
      </c>
    </row>
    <row r="365" spans="1:26" s="39" customFormat="1" x14ac:dyDescent="0.35">
      <c r="A365" s="37" t="s">
        <v>2277</v>
      </c>
      <c r="B365" s="37" t="s">
        <v>2318</v>
      </c>
      <c r="C365" s="91">
        <v>8470140</v>
      </c>
      <c r="D365" s="37" t="s">
        <v>2293</v>
      </c>
      <c r="E365" s="91">
        <v>425550</v>
      </c>
      <c r="F365" s="37" t="s">
        <v>253</v>
      </c>
      <c r="G365" s="90">
        <v>847001</v>
      </c>
      <c r="H365" s="37" t="s">
        <v>50</v>
      </c>
      <c r="I365" s="90">
        <v>200179</v>
      </c>
      <c r="J365" s="37" t="s">
        <v>61</v>
      </c>
      <c r="K365" s="265">
        <v>73717</v>
      </c>
      <c r="L365" s="265">
        <v>0</v>
      </c>
      <c r="M365" s="265">
        <v>0</v>
      </c>
      <c r="N365" s="38">
        <v>2955</v>
      </c>
      <c r="O365" s="265">
        <v>2955</v>
      </c>
      <c r="P365" s="265">
        <v>2942.71</v>
      </c>
      <c r="Q365" s="265">
        <v>0</v>
      </c>
      <c r="R365" s="265">
        <v>0</v>
      </c>
      <c r="S365" s="38">
        <v>2150328</v>
      </c>
      <c r="T365" s="265">
        <v>1935295</v>
      </c>
      <c r="U365" s="265">
        <v>1720262</v>
      </c>
      <c r="V365" s="265">
        <v>1505230</v>
      </c>
      <c r="W365" s="265">
        <v>3000000</v>
      </c>
      <c r="X365" s="265">
        <v>3001800</v>
      </c>
      <c r="Y365" s="38">
        <f t="shared" si="5"/>
        <v>2147373</v>
      </c>
    </row>
    <row r="366" spans="1:26" s="39" customFormat="1" x14ac:dyDescent="0.35">
      <c r="A366" s="37" t="s">
        <v>2277</v>
      </c>
      <c r="B366" s="37" t="s">
        <v>2321</v>
      </c>
      <c r="C366" s="91">
        <v>8470140</v>
      </c>
      <c r="D366" s="37" t="s">
        <v>2293</v>
      </c>
      <c r="E366" s="91">
        <v>425763</v>
      </c>
      <c r="F366" s="37" t="s">
        <v>359</v>
      </c>
      <c r="G366" s="90">
        <v>847050</v>
      </c>
      <c r="H366" s="37" t="s">
        <v>2320</v>
      </c>
      <c r="I366" s="90">
        <v>200179</v>
      </c>
      <c r="J366" s="37" t="s">
        <v>61</v>
      </c>
      <c r="K366" s="265">
        <v>0</v>
      </c>
      <c r="L366" s="265">
        <v>0</v>
      </c>
      <c r="M366" s="265">
        <v>0</v>
      </c>
      <c r="N366" s="265">
        <v>400000</v>
      </c>
      <c r="O366" s="265">
        <v>400000</v>
      </c>
      <c r="P366" s="265">
        <v>42319.6</v>
      </c>
      <c r="Q366" s="265">
        <v>0</v>
      </c>
      <c r="R366" s="265">
        <v>45809.52</v>
      </c>
      <c r="S366" s="265">
        <v>400000</v>
      </c>
      <c r="T366" s="265">
        <v>360000</v>
      </c>
      <c r="U366" s="265">
        <v>320000</v>
      </c>
      <c r="V366" s="265">
        <v>280000</v>
      </c>
      <c r="W366" s="265">
        <v>0</v>
      </c>
      <c r="X366" s="265">
        <v>0</v>
      </c>
      <c r="Y366" s="50">
        <f t="shared" si="5"/>
        <v>0</v>
      </c>
    </row>
    <row r="367" spans="1:26" s="39" customFormat="1" x14ac:dyDescent="0.35">
      <c r="A367" s="37" t="s">
        <v>2277</v>
      </c>
      <c r="B367" s="37" t="s">
        <v>2324</v>
      </c>
      <c r="C367" s="91">
        <v>8470140</v>
      </c>
      <c r="D367" s="37" t="s">
        <v>2293</v>
      </c>
      <c r="E367" s="91">
        <v>427100</v>
      </c>
      <c r="F367" s="37" t="s">
        <v>2323</v>
      </c>
      <c r="G367" s="90">
        <v>847001</v>
      </c>
      <c r="H367" s="37" t="s">
        <v>50</v>
      </c>
      <c r="I367" s="90">
        <v>200179</v>
      </c>
      <c r="J367" s="37" t="s">
        <v>61</v>
      </c>
      <c r="K367" s="265">
        <v>1380274</v>
      </c>
      <c r="L367" s="265">
        <v>129310</v>
      </c>
      <c r="M367" s="265">
        <v>-820</v>
      </c>
      <c r="N367" s="265">
        <v>1157850</v>
      </c>
      <c r="O367" s="265">
        <v>1157850</v>
      </c>
      <c r="P367" s="265">
        <v>0</v>
      </c>
      <c r="Q367" s="265">
        <v>909458.75</v>
      </c>
      <c r="R367" s="265">
        <v>0</v>
      </c>
      <c r="S367" s="265">
        <v>2500000</v>
      </c>
      <c r="T367" s="265">
        <v>90000</v>
      </c>
      <c r="U367" s="265">
        <v>80000</v>
      </c>
      <c r="V367" s="265">
        <v>70000</v>
      </c>
      <c r="W367" s="265">
        <v>2500000</v>
      </c>
      <c r="X367" s="265">
        <v>2500000</v>
      </c>
      <c r="Y367" s="50">
        <f t="shared" si="5"/>
        <v>1342150</v>
      </c>
    </row>
    <row r="368" spans="1:26" s="39" customFormat="1" x14ac:dyDescent="0.35">
      <c r="A368" s="37" t="s">
        <v>2277</v>
      </c>
      <c r="B368" s="37" t="s">
        <v>2330</v>
      </c>
      <c r="C368" s="91">
        <v>8470140</v>
      </c>
      <c r="D368" s="37" t="s">
        <v>2293</v>
      </c>
      <c r="E368" s="91">
        <v>427200</v>
      </c>
      <c r="F368" s="37" t="s">
        <v>1085</v>
      </c>
      <c r="G368" s="90">
        <v>847001</v>
      </c>
      <c r="H368" s="37" t="s">
        <v>50</v>
      </c>
      <c r="I368" s="90">
        <v>200179</v>
      </c>
      <c r="J368" s="37" t="s">
        <v>61</v>
      </c>
      <c r="K368" s="265">
        <v>332619</v>
      </c>
      <c r="L368" s="265">
        <v>125003</v>
      </c>
      <c r="M368" s="265">
        <v>-7379</v>
      </c>
      <c r="N368" s="265">
        <v>750000</v>
      </c>
      <c r="O368" s="265">
        <v>750000</v>
      </c>
      <c r="P368" s="265">
        <v>17150.009999999998</v>
      </c>
      <c r="Q368" s="265">
        <v>0</v>
      </c>
      <c r="R368" s="265">
        <v>0</v>
      </c>
      <c r="S368" s="265">
        <v>750005</v>
      </c>
      <c r="T368" s="265">
        <v>121500</v>
      </c>
      <c r="U368" s="265">
        <v>108000</v>
      </c>
      <c r="V368" s="265">
        <v>94500</v>
      </c>
      <c r="W368" s="265">
        <v>750000</v>
      </c>
      <c r="X368" s="265">
        <v>750000</v>
      </c>
      <c r="Y368" s="50">
        <f t="shared" si="5"/>
        <v>5</v>
      </c>
    </row>
    <row r="369" spans="1:27" s="39" customFormat="1" x14ac:dyDescent="0.35">
      <c r="A369" s="37" t="s">
        <v>2277</v>
      </c>
      <c r="B369" s="37" t="s">
        <v>2341</v>
      </c>
      <c r="C369" s="91">
        <v>8470140</v>
      </c>
      <c r="D369" s="37" t="s">
        <v>2293</v>
      </c>
      <c r="E369" s="91">
        <v>428640</v>
      </c>
      <c r="F369" s="37" t="s">
        <v>279</v>
      </c>
      <c r="G369" s="90">
        <v>847001</v>
      </c>
      <c r="H369" s="37" t="s">
        <v>50</v>
      </c>
      <c r="I369" s="90">
        <v>200179</v>
      </c>
      <c r="J369" s="37" t="s">
        <v>61</v>
      </c>
      <c r="K369" s="265">
        <v>0</v>
      </c>
      <c r="L369" s="265">
        <v>0</v>
      </c>
      <c r="M369" s="265">
        <v>0</v>
      </c>
      <c r="N369" s="265">
        <v>538000</v>
      </c>
      <c r="O369" s="265">
        <v>538000</v>
      </c>
      <c r="P369" s="265">
        <v>4594</v>
      </c>
      <c r="Q369" s="265">
        <v>0</v>
      </c>
      <c r="R369" s="265">
        <v>177011</v>
      </c>
      <c r="S369" s="265">
        <v>998000</v>
      </c>
      <c r="T369" s="265">
        <v>99000</v>
      </c>
      <c r="U369" s="265">
        <v>88000</v>
      </c>
      <c r="V369" s="265">
        <v>77000</v>
      </c>
      <c r="W369" s="265">
        <v>998000</v>
      </c>
      <c r="X369" s="265">
        <v>920000</v>
      </c>
      <c r="Y369" s="50">
        <f t="shared" si="5"/>
        <v>460000</v>
      </c>
    </row>
    <row r="370" spans="1:27" s="39" customFormat="1" x14ac:dyDescent="0.35">
      <c r="A370" s="37" t="s">
        <v>2277</v>
      </c>
      <c r="B370" s="37" t="s">
        <v>2346</v>
      </c>
      <c r="C370" s="91">
        <v>8470140</v>
      </c>
      <c r="D370" s="37" t="s">
        <v>2293</v>
      </c>
      <c r="E370" s="91">
        <v>435310</v>
      </c>
      <c r="F370" s="37" t="s">
        <v>1336</v>
      </c>
      <c r="G370" s="90">
        <v>847001</v>
      </c>
      <c r="H370" s="37" t="s">
        <v>50</v>
      </c>
      <c r="I370" s="90">
        <v>200179</v>
      </c>
      <c r="J370" s="37" t="s">
        <v>61</v>
      </c>
      <c r="K370" s="265">
        <v>17260</v>
      </c>
      <c r="L370" s="265">
        <v>13568</v>
      </c>
      <c r="M370" s="265">
        <v>0</v>
      </c>
      <c r="N370" s="265">
        <v>10000</v>
      </c>
      <c r="O370" s="265">
        <v>10000</v>
      </c>
      <c r="P370" s="265">
        <v>0</v>
      </c>
      <c r="Q370" s="265">
        <v>0</v>
      </c>
      <c r="R370" s="265">
        <v>0</v>
      </c>
      <c r="S370" s="265">
        <v>10000</v>
      </c>
      <c r="T370" s="265">
        <v>9000</v>
      </c>
      <c r="U370" s="265">
        <v>8000</v>
      </c>
      <c r="V370" s="265">
        <v>7000</v>
      </c>
      <c r="W370" s="265">
        <v>10000</v>
      </c>
      <c r="X370" s="265">
        <v>10000</v>
      </c>
      <c r="Y370" s="50">
        <f t="shared" si="5"/>
        <v>0</v>
      </c>
    </row>
    <row r="371" spans="1:27" s="39" customFormat="1" x14ac:dyDescent="0.35">
      <c r="A371" s="37" t="s">
        <v>2277</v>
      </c>
      <c r="B371" s="37" t="s">
        <v>2349</v>
      </c>
      <c r="C371" s="91">
        <v>8470140</v>
      </c>
      <c r="D371" s="37" t="s">
        <v>2293</v>
      </c>
      <c r="E371" s="91">
        <v>435519</v>
      </c>
      <c r="F371" s="37" t="s">
        <v>2348</v>
      </c>
      <c r="G371" s="90">
        <v>847001</v>
      </c>
      <c r="H371" s="37" t="s">
        <v>50</v>
      </c>
      <c r="I371" s="90">
        <v>200179</v>
      </c>
      <c r="J371" s="37" t="s">
        <v>61</v>
      </c>
      <c r="K371" s="265">
        <v>0</v>
      </c>
      <c r="L371" s="265">
        <v>53870</v>
      </c>
      <c r="M371" s="265">
        <v>0</v>
      </c>
      <c r="N371" s="265">
        <v>135000</v>
      </c>
      <c r="O371" s="265">
        <v>135000</v>
      </c>
      <c r="P371" s="265">
        <v>43812</v>
      </c>
      <c r="Q371" s="265">
        <v>0</v>
      </c>
      <c r="R371" s="265">
        <v>0</v>
      </c>
      <c r="S371" s="265">
        <v>135000</v>
      </c>
      <c r="T371" s="265">
        <v>121500</v>
      </c>
      <c r="U371" s="265">
        <v>108000</v>
      </c>
      <c r="V371" s="265">
        <v>94500</v>
      </c>
      <c r="W371" s="265">
        <v>135000</v>
      </c>
      <c r="X371" s="265">
        <v>135000</v>
      </c>
      <c r="Y371" s="50">
        <f t="shared" si="5"/>
        <v>0</v>
      </c>
    </row>
    <row r="372" spans="1:27" s="39" customFormat="1" x14ac:dyDescent="0.35">
      <c r="A372" s="37" t="s">
        <v>2277</v>
      </c>
      <c r="B372" s="37" t="s">
        <v>2352</v>
      </c>
      <c r="C372" s="91">
        <v>8470140</v>
      </c>
      <c r="D372" s="37" t="s">
        <v>2293</v>
      </c>
      <c r="E372" s="91">
        <v>492310</v>
      </c>
      <c r="F372" s="37" t="s">
        <v>191</v>
      </c>
      <c r="G372" s="90">
        <v>847001</v>
      </c>
      <c r="H372" s="37" t="s">
        <v>50</v>
      </c>
      <c r="I372" s="90">
        <v>300180</v>
      </c>
      <c r="J372" s="37" t="s">
        <v>192</v>
      </c>
      <c r="K372" s="265">
        <v>0</v>
      </c>
      <c r="L372" s="265">
        <v>0</v>
      </c>
      <c r="M372" s="265">
        <v>248690</v>
      </c>
      <c r="N372" s="265">
        <v>137589</v>
      </c>
      <c r="O372" s="265">
        <v>137589</v>
      </c>
      <c r="P372" s="265">
        <v>0</v>
      </c>
      <c r="Q372" s="265">
        <v>0</v>
      </c>
      <c r="R372" s="265">
        <v>0</v>
      </c>
      <c r="S372" s="265">
        <v>200000</v>
      </c>
      <c r="T372" s="265">
        <v>180000</v>
      </c>
      <c r="U372" s="265">
        <v>160000</v>
      </c>
      <c r="V372" s="265">
        <v>140000</v>
      </c>
      <c r="W372" s="265">
        <v>200000</v>
      </c>
      <c r="X372" s="265">
        <v>200000</v>
      </c>
      <c r="Y372" s="50">
        <f t="shared" si="5"/>
        <v>62411</v>
      </c>
    </row>
    <row r="373" spans="1:27" s="39" customFormat="1" x14ac:dyDescent="0.35">
      <c r="A373" s="37" t="s">
        <v>2277</v>
      </c>
      <c r="B373" s="37" t="s">
        <v>2363</v>
      </c>
      <c r="C373" s="91">
        <v>8470910</v>
      </c>
      <c r="D373" s="37" t="s">
        <v>2354</v>
      </c>
      <c r="E373" s="91">
        <v>420570</v>
      </c>
      <c r="F373" s="37" t="s">
        <v>231</v>
      </c>
      <c r="G373" s="90">
        <v>847001</v>
      </c>
      <c r="H373" s="37" t="s">
        <v>50</v>
      </c>
      <c r="I373" s="90">
        <v>200179</v>
      </c>
      <c r="J373" s="37" t="s">
        <v>61</v>
      </c>
      <c r="K373" s="265">
        <v>0</v>
      </c>
      <c r="L373" s="265">
        <v>0</v>
      </c>
      <c r="M373" s="265">
        <v>0</v>
      </c>
      <c r="N373" s="265">
        <v>0</v>
      </c>
      <c r="O373" s="265">
        <v>0</v>
      </c>
      <c r="P373" s="265">
        <v>0</v>
      </c>
      <c r="Q373" s="265">
        <v>0</v>
      </c>
      <c r="R373" s="265">
        <v>0</v>
      </c>
      <c r="S373" s="265">
        <v>15000000</v>
      </c>
      <c r="T373" s="265">
        <v>13500000</v>
      </c>
      <c r="U373" s="265">
        <v>12000000</v>
      </c>
      <c r="V373" s="265">
        <v>10500000</v>
      </c>
      <c r="W373" s="265">
        <v>15000000</v>
      </c>
      <c r="X373" s="265">
        <v>15000000</v>
      </c>
      <c r="Y373" s="50">
        <f t="shared" si="5"/>
        <v>15000000</v>
      </c>
      <c r="AA373" s="280">
        <v>1</v>
      </c>
    </row>
    <row r="374" spans="1:27" s="39" customFormat="1" x14ac:dyDescent="0.35">
      <c r="A374" s="37" t="s">
        <v>2277</v>
      </c>
      <c r="B374" s="37" t="s">
        <v>2367</v>
      </c>
      <c r="C374" s="91">
        <v>8470910</v>
      </c>
      <c r="D374" s="37" t="s">
        <v>2354</v>
      </c>
      <c r="E374" s="91">
        <v>425900</v>
      </c>
      <c r="F374" s="37" t="s">
        <v>266</v>
      </c>
      <c r="G374" s="90">
        <v>847001</v>
      </c>
      <c r="H374" s="37" t="s">
        <v>50</v>
      </c>
      <c r="I374" s="90">
        <v>200179</v>
      </c>
      <c r="J374" s="37" t="s">
        <v>61</v>
      </c>
      <c r="K374" s="265">
        <v>0</v>
      </c>
      <c r="L374" s="265">
        <v>0</v>
      </c>
      <c r="M374" s="265">
        <v>0</v>
      </c>
      <c r="N374" s="265">
        <v>0</v>
      </c>
      <c r="O374" s="265">
        <v>0</v>
      </c>
      <c r="P374" s="265">
        <v>0</v>
      </c>
      <c r="Q374" s="265">
        <v>0</v>
      </c>
      <c r="R374" s="265">
        <v>0</v>
      </c>
      <c r="S374" s="265">
        <v>50000</v>
      </c>
      <c r="T374" s="265">
        <v>45000</v>
      </c>
      <c r="U374" s="265">
        <v>40000</v>
      </c>
      <c r="V374" s="265">
        <v>35000</v>
      </c>
      <c r="W374" s="265">
        <v>50000</v>
      </c>
      <c r="X374" s="265">
        <v>50000</v>
      </c>
      <c r="Y374" s="50">
        <f t="shared" si="5"/>
        <v>50000</v>
      </c>
    </row>
    <row r="375" spans="1:27" s="39" customFormat="1" x14ac:dyDescent="0.35">
      <c r="A375" s="37" t="s">
        <v>2277</v>
      </c>
      <c r="B375" s="37" t="s">
        <v>2357</v>
      </c>
      <c r="C375" s="91">
        <v>8470910</v>
      </c>
      <c r="D375" s="37" t="s">
        <v>2354</v>
      </c>
      <c r="E375" s="91">
        <v>428090</v>
      </c>
      <c r="F375" s="37" t="s">
        <v>154</v>
      </c>
      <c r="G375" s="90">
        <v>847001</v>
      </c>
      <c r="H375" s="37" t="s">
        <v>50</v>
      </c>
      <c r="I375" s="90">
        <v>200179</v>
      </c>
      <c r="J375" s="37" t="s">
        <v>61</v>
      </c>
      <c r="K375" s="265">
        <v>0</v>
      </c>
      <c r="L375" s="265">
        <v>0</v>
      </c>
      <c r="M375" s="265">
        <v>0</v>
      </c>
      <c r="N375" s="265">
        <v>0</v>
      </c>
      <c r="O375" s="265">
        <v>0</v>
      </c>
      <c r="P375" s="265">
        <v>0</v>
      </c>
      <c r="Q375" s="265">
        <v>0</v>
      </c>
      <c r="R375" s="265">
        <v>0</v>
      </c>
      <c r="S375" s="265">
        <v>1000000</v>
      </c>
      <c r="T375" s="265">
        <v>900000</v>
      </c>
      <c r="U375" s="265">
        <v>800000</v>
      </c>
      <c r="V375" s="265">
        <v>700000</v>
      </c>
      <c r="W375" s="265">
        <v>1000000</v>
      </c>
      <c r="X375" s="265">
        <v>1000000</v>
      </c>
      <c r="Y375" s="50">
        <f t="shared" si="5"/>
        <v>1000000</v>
      </c>
    </row>
    <row r="376" spans="1:27" s="39" customFormat="1" x14ac:dyDescent="0.35">
      <c r="A376" s="37" t="s">
        <v>2277</v>
      </c>
      <c r="B376" s="37" t="s">
        <v>2360</v>
      </c>
      <c r="C376" s="91">
        <v>8470910</v>
      </c>
      <c r="D376" s="37" t="s">
        <v>2354</v>
      </c>
      <c r="E376" s="91">
        <v>429900</v>
      </c>
      <c r="F376" s="37" t="s">
        <v>2359</v>
      </c>
      <c r="G376" s="90">
        <v>847001</v>
      </c>
      <c r="H376" s="37" t="s">
        <v>50</v>
      </c>
      <c r="I376" s="90">
        <v>200179</v>
      </c>
      <c r="J376" s="37" t="s">
        <v>61</v>
      </c>
      <c r="K376" s="265">
        <v>0</v>
      </c>
      <c r="L376" s="265">
        <v>0</v>
      </c>
      <c r="M376" s="265">
        <v>0</v>
      </c>
      <c r="N376" s="265">
        <v>0</v>
      </c>
      <c r="O376" s="265">
        <v>0</v>
      </c>
      <c r="P376" s="265">
        <v>0</v>
      </c>
      <c r="Q376" s="265">
        <v>0</v>
      </c>
      <c r="R376" s="265">
        <v>0</v>
      </c>
      <c r="S376" s="265">
        <v>3000000</v>
      </c>
      <c r="T376" s="265">
        <v>2700000</v>
      </c>
      <c r="U376" s="265">
        <v>2400000</v>
      </c>
      <c r="V376" s="265">
        <v>2100000</v>
      </c>
      <c r="W376" s="265">
        <v>3000000</v>
      </c>
      <c r="X376" s="265">
        <v>3000000</v>
      </c>
      <c r="Y376" s="50">
        <f t="shared" si="5"/>
        <v>3000000</v>
      </c>
    </row>
    <row r="377" spans="1:27" s="39" customFormat="1" x14ac:dyDescent="0.35">
      <c r="A377" s="37" t="s">
        <v>2711</v>
      </c>
      <c r="B377" s="37" t="s">
        <v>2713</v>
      </c>
      <c r="C377" s="91">
        <v>8470110</v>
      </c>
      <c r="D377" s="37" t="s">
        <v>2712</v>
      </c>
      <c r="E377" s="91">
        <v>420550</v>
      </c>
      <c r="F377" s="37" t="s">
        <v>225</v>
      </c>
      <c r="G377" s="90">
        <v>847001</v>
      </c>
      <c r="H377" s="37" t="s">
        <v>50</v>
      </c>
      <c r="I377" s="90">
        <v>200179</v>
      </c>
      <c r="J377" s="37" t="s">
        <v>61</v>
      </c>
      <c r="K377" s="265">
        <v>0</v>
      </c>
      <c r="L377" s="265">
        <v>29118</v>
      </c>
      <c r="M377" s="265">
        <v>0</v>
      </c>
      <c r="N377" s="265">
        <v>30000</v>
      </c>
      <c r="O377" s="265">
        <v>30000</v>
      </c>
      <c r="P377" s="265">
        <v>0</v>
      </c>
      <c r="Q377" s="265">
        <v>0</v>
      </c>
      <c r="R377" s="265">
        <v>0</v>
      </c>
      <c r="S377" s="265">
        <v>100000</v>
      </c>
      <c r="T377" s="265">
        <v>90000</v>
      </c>
      <c r="U377" s="265">
        <v>80000</v>
      </c>
      <c r="V377" s="265">
        <v>70000</v>
      </c>
      <c r="W377" s="265">
        <v>100000</v>
      </c>
      <c r="X377" s="265">
        <v>100000</v>
      </c>
      <c r="Y377" s="50">
        <f t="shared" si="5"/>
        <v>70000</v>
      </c>
    </row>
    <row r="378" spans="1:27" s="39" customFormat="1" x14ac:dyDescent="0.35">
      <c r="A378" s="37" t="s">
        <v>2711</v>
      </c>
      <c r="B378" s="37" t="s">
        <v>2716</v>
      </c>
      <c r="C378" s="91">
        <v>8470110</v>
      </c>
      <c r="D378" s="37" t="s">
        <v>2712</v>
      </c>
      <c r="E378" s="91">
        <v>420570</v>
      </c>
      <c r="F378" s="37" t="s">
        <v>231</v>
      </c>
      <c r="G378" s="90">
        <v>847001</v>
      </c>
      <c r="H378" s="37" t="s">
        <v>50</v>
      </c>
      <c r="I378" s="90">
        <v>200179</v>
      </c>
      <c r="J378" s="37" t="s">
        <v>61</v>
      </c>
      <c r="K378" s="265">
        <v>0</v>
      </c>
      <c r="L378" s="265">
        <v>0</v>
      </c>
      <c r="M378" s="265">
        <v>0</v>
      </c>
      <c r="N378" s="265">
        <v>3684121</v>
      </c>
      <c r="O378" s="265">
        <v>3684121</v>
      </c>
      <c r="P378" s="265">
        <v>0</v>
      </c>
      <c r="Q378" s="265">
        <v>0</v>
      </c>
      <c r="R378" s="265">
        <v>0</v>
      </c>
      <c r="S378" s="265">
        <v>5000000</v>
      </c>
      <c r="T378" s="265">
        <v>4500000</v>
      </c>
      <c r="U378" s="265">
        <v>4000000</v>
      </c>
      <c r="V378" s="265">
        <v>3500000</v>
      </c>
      <c r="W378" s="265">
        <v>5000000</v>
      </c>
      <c r="X378" s="265">
        <v>5000000</v>
      </c>
      <c r="Y378" s="50">
        <f t="shared" si="5"/>
        <v>1315879</v>
      </c>
      <c r="AA378" s="275">
        <f>Y378/S378</f>
        <v>0.26317580000000002</v>
      </c>
    </row>
    <row r="379" spans="1:27" s="39" customFormat="1" x14ac:dyDescent="0.35">
      <c r="A379" s="37" t="s">
        <v>2711</v>
      </c>
      <c r="B379" s="37" t="s">
        <v>2717</v>
      </c>
      <c r="C379" s="91">
        <v>8470110</v>
      </c>
      <c r="D379" s="37" t="s">
        <v>2712</v>
      </c>
      <c r="E379" s="91">
        <v>421000</v>
      </c>
      <c r="F379" s="37" t="s">
        <v>1011</v>
      </c>
      <c r="G379" s="90">
        <v>847001</v>
      </c>
      <c r="H379" s="37" t="s">
        <v>50</v>
      </c>
      <c r="I379" s="90">
        <v>200179</v>
      </c>
      <c r="J379" s="37" t="s">
        <v>61</v>
      </c>
      <c r="K379" s="265">
        <v>204013</v>
      </c>
      <c r="L379" s="265">
        <v>0</v>
      </c>
      <c r="M379" s="265">
        <v>0</v>
      </c>
      <c r="N379" s="265">
        <v>200000</v>
      </c>
      <c r="O379" s="265">
        <v>200000</v>
      </c>
      <c r="P379" s="265">
        <v>0</v>
      </c>
      <c r="Q379" s="265">
        <v>0</v>
      </c>
      <c r="R379" s="265">
        <v>0</v>
      </c>
      <c r="S379" s="265">
        <v>200000</v>
      </c>
      <c r="T379" s="265">
        <v>180000</v>
      </c>
      <c r="U379" s="265">
        <v>160000</v>
      </c>
      <c r="V379" s="265">
        <v>140000</v>
      </c>
      <c r="W379" s="265">
        <v>200000</v>
      </c>
      <c r="X379" s="265">
        <v>200000</v>
      </c>
      <c r="Y379" s="50">
        <f t="shared" si="5"/>
        <v>0</v>
      </c>
    </row>
    <row r="380" spans="1:27" s="39" customFormat="1" x14ac:dyDescent="0.35">
      <c r="A380" s="37" t="s">
        <v>2711</v>
      </c>
      <c r="B380" s="37" t="s">
        <v>2719</v>
      </c>
      <c r="C380" s="91">
        <v>8470110</v>
      </c>
      <c r="D380" s="37" t="s">
        <v>2712</v>
      </c>
      <c r="E380" s="91">
        <v>425510</v>
      </c>
      <c r="F380" s="37" t="s">
        <v>247</v>
      </c>
      <c r="G380" s="90">
        <v>847001</v>
      </c>
      <c r="H380" s="37" t="s">
        <v>50</v>
      </c>
      <c r="I380" s="90">
        <v>200179</v>
      </c>
      <c r="J380" s="37" t="s">
        <v>61</v>
      </c>
      <c r="K380" s="265">
        <v>10546039</v>
      </c>
      <c r="L380" s="265">
        <v>277368</v>
      </c>
      <c r="M380" s="265">
        <v>-188794</v>
      </c>
      <c r="N380" s="38">
        <v>300000</v>
      </c>
      <c r="O380" s="265">
        <v>300000</v>
      </c>
      <c r="P380" s="265">
        <v>0</v>
      </c>
      <c r="Q380" s="265">
        <v>0</v>
      </c>
      <c r="R380" s="265">
        <v>0</v>
      </c>
      <c r="S380" s="38">
        <v>300000</v>
      </c>
      <c r="T380" s="265">
        <v>270000</v>
      </c>
      <c r="U380" s="265">
        <v>240000</v>
      </c>
      <c r="V380" s="265">
        <v>210000</v>
      </c>
      <c r="W380" s="265">
        <v>300000</v>
      </c>
      <c r="X380" s="265">
        <v>300000</v>
      </c>
      <c r="Y380" s="38">
        <f t="shared" si="5"/>
        <v>0</v>
      </c>
    </row>
    <row r="381" spans="1:27" s="39" customFormat="1" x14ac:dyDescent="0.35">
      <c r="A381" s="37" t="s">
        <v>2711</v>
      </c>
      <c r="B381" s="37" t="s">
        <v>2721</v>
      </c>
      <c r="C381" s="91">
        <v>8470110</v>
      </c>
      <c r="D381" s="37" t="s">
        <v>2712</v>
      </c>
      <c r="E381" s="91">
        <v>425550</v>
      </c>
      <c r="F381" s="37" t="s">
        <v>253</v>
      </c>
      <c r="G381" s="90">
        <v>847001</v>
      </c>
      <c r="H381" s="37" t="s">
        <v>50</v>
      </c>
      <c r="I381" s="90">
        <v>200179</v>
      </c>
      <c r="J381" s="37" t="s">
        <v>61</v>
      </c>
      <c r="K381" s="265">
        <v>0</v>
      </c>
      <c r="L381" s="265">
        <v>0</v>
      </c>
      <c r="M381" s="265">
        <v>0</v>
      </c>
      <c r="N381" s="38">
        <v>300000</v>
      </c>
      <c r="O381" s="265">
        <v>300000</v>
      </c>
      <c r="P381" s="265">
        <v>0</v>
      </c>
      <c r="Q381" s="265">
        <v>0</v>
      </c>
      <c r="R381" s="265">
        <v>0</v>
      </c>
      <c r="S381" s="38">
        <v>300000</v>
      </c>
      <c r="T381" s="265">
        <v>270000</v>
      </c>
      <c r="U381" s="265">
        <v>240000</v>
      </c>
      <c r="V381" s="265">
        <v>210000</v>
      </c>
      <c r="W381" s="265">
        <v>300000</v>
      </c>
      <c r="X381" s="265">
        <v>300000</v>
      </c>
      <c r="Y381" s="38">
        <f t="shared" si="5"/>
        <v>0</v>
      </c>
    </row>
    <row r="382" spans="1:27" s="39" customFormat="1" x14ac:dyDescent="0.35">
      <c r="A382" s="37" t="s">
        <v>2711</v>
      </c>
      <c r="B382" s="37" t="s">
        <v>2723</v>
      </c>
      <c r="C382" s="91">
        <v>8470110</v>
      </c>
      <c r="D382" s="37" t="s">
        <v>2712</v>
      </c>
      <c r="E382" s="91">
        <v>425900</v>
      </c>
      <c r="F382" s="37" t="s">
        <v>266</v>
      </c>
      <c r="G382" s="90">
        <v>847001</v>
      </c>
      <c r="H382" s="37" t="s">
        <v>50</v>
      </c>
      <c r="I382" s="90">
        <v>200179</v>
      </c>
      <c r="J382" s="37" t="s">
        <v>61</v>
      </c>
      <c r="K382" s="265">
        <v>146141</v>
      </c>
      <c r="L382" s="265">
        <v>13356</v>
      </c>
      <c r="M382" s="265">
        <v>1328</v>
      </c>
      <c r="N382" s="265">
        <v>10000</v>
      </c>
      <c r="O382" s="265">
        <v>10000</v>
      </c>
      <c r="P382" s="265">
        <v>5302.5</v>
      </c>
      <c r="Q382" s="265">
        <v>0</v>
      </c>
      <c r="R382" s="265">
        <v>0</v>
      </c>
      <c r="S382" s="265">
        <v>50000</v>
      </c>
      <c r="T382" s="265">
        <v>45000</v>
      </c>
      <c r="U382" s="265">
        <v>40000</v>
      </c>
      <c r="V382" s="265">
        <v>35000</v>
      </c>
      <c r="W382" s="265">
        <v>50000</v>
      </c>
      <c r="X382" s="265">
        <v>50000</v>
      </c>
      <c r="Y382" s="50">
        <f t="shared" si="5"/>
        <v>40000</v>
      </c>
    </row>
    <row r="383" spans="1:27" s="39" customFormat="1" x14ac:dyDescent="0.35">
      <c r="A383" s="37" t="s">
        <v>2711</v>
      </c>
      <c r="B383" s="37" t="s">
        <v>2725</v>
      </c>
      <c r="C383" s="91">
        <v>8470110</v>
      </c>
      <c r="D383" s="37" t="s">
        <v>2712</v>
      </c>
      <c r="E383" s="91">
        <v>428090</v>
      </c>
      <c r="F383" s="37" t="s">
        <v>154</v>
      </c>
      <c r="G383" s="90">
        <v>847001</v>
      </c>
      <c r="H383" s="37" t="s">
        <v>50</v>
      </c>
      <c r="I383" s="90">
        <v>200179</v>
      </c>
      <c r="J383" s="37" t="s">
        <v>61</v>
      </c>
      <c r="K383" s="265">
        <v>1236161</v>
      </c>
      <c r="L383" s="265">
        <v>64375</v>
      </c>
      <c r="M383" s="265">
        <v>15481</v>
      </c>
      <c r="N383" s="265">
        <v>1000000</v>
      </c>
      <c r="O383" s="265">
        <v>1000000</v>
      </c>
      <c r="P383" s="265">
        <v>31960</v>
      </c>
      <c r="Q383" s="265">
        <v>0</v>
      </c>
      <c r="R383" s="265">
        <v>0</v>
      </c>
      <c r="S383" s="265">
        <v>1000000</v>
      </c>
      <c r="T383" s="265">
        <v>900000</v>
      </c>
      <c r="U383" s="265">
        <v>800000</v>
      </c>
      <c r="V383" s="265">
        <v>700000</v>
      </c>
      <c r="W383" s="265">
        <v>1000000</v>
      </c>
      <c r="X383" s="265">
        <v>1000000</v>
      </c>
      <c r="Y383" s="50">
        <f t="shared" si="5"/>
        <v>0</v>
      </c>
    </row>
    <row r="384" spans="1:27" s="39" customFormat="1" x14ac:dyDescent="0.35">
      <c r="A384" s="37" t="s">
        <v>2711</v>
      </c>
      <c r="B384" s="37" t="s">
        <v>2727</v>
      </c>
      <c r="C384" s="91">
        <v>8470110</v>
      </c>
      <c r="D384" s="37" t="s">
        <v>2712</v>
      </c>
      <c r="E384" s="91">
        <v>428400</v>
      </c>
      <c r="F384" s="37" t="s">
        <v>2726</v>
      </c>
      <c r="G384" s="90">
        <v>847001</v>
      </c>
      <c r="H384" s="37" t="s">
        <v>50</v>
      </c>
      <c r="I384" s="90">
        <v>200179</v>
      </c>
      <c r="J384" s="37" t="s">
        <v>61</v>
      </c>
      <c r="K384" s="265">
        <v>11807880</v>
      </c>
      <c r="L384" s="265">
        <v>22708675</v>
      </c>
      <c r="M384" s="265">
        <v>0</v>
      </c>
      <c r="N384" s="265">
        <v>50000</v>
      </c>
      <c r="O384" s="265">
        <v>50000</v>
      </c>
      <c r="P384" s="265">
        <v>0</v>
      </c>
      <c r="Q384" s="265">
        <v>0</v>
      </c>
      <c r="R384" s="265">
        <v>0</v>
      </c>
      <c r="S384" s="265">
        <v>50000</v>
      </c>
      <c r="T384" s="265">
        <v>45000</v>
      </c>
      <c r="U384" s="265">
        <v>40000</v>
      </c>
      <c r="V384" s="265">
        <v>35000</v>
      </c>
      <c r="W384" s="265">
        <v>50000</v>
      </c>
      <c r="X384" s="265">
        <v>50000</v>
      </c>
      <c r="Y384" s="50">
        <f t="shared" si="5"/>
        <v>0</v>
      </c>
    </row>
    <row r="385" spans="1:27" s="39" customFormat="1" x14ac:dyDescent="0.35">
      <c r="A385" s="37" t="s">
        <v>2711</v>
      </c>
      <c r="B385" s="37" t="s">
        <v>2731</v>
      </c>
      <c r="C385" s="91">
        <v>8470110</v>
      </c>
      <c r="D385" s="37" t="s">
        <v>2712</v>
      </c>
      <c r="E385" s="91">
        <v>428640</v>
      </c>
      <c r="F385" s="37" t="s">
        <v>279</v>
      </c>
      <c r="G385" s="90">
        <v>847001</v>
      </c>
      <c r="H385" s="37" t="s">
        <v>50</v>
      </c>
      <c r="I385" s="90">
        <v>200179</v>
      </c>
      <c r="J385" s="37" t="s">
        <v>61</v>
      </c>
      <c r="K385" s="265">
        <v>0</v>
      </c>
      <c r="L385" s="265">
        <v>0</v>
      </c>
      <c r="M385" s="265">
        <v>0</v>
      </c>
      <c r="N385" s="265">
        <v>100000</v>
      </c>
      <c r="O385" s="265">
        <v>100000</v>
      </c>
      <c r="P385" s="265">
        <v>0</v>
      </c>
      <c r="Q385" s="265">
        <v>0</v>
      </c>
      <c r="R385" s="265">
        <v>0</v>
      </c>
      <c r="S385" s="265">
        <v>50000</v>
      </c>
      <c r="T385" s="265">
        <v>45000</v>
      </c>
      <c r="U385" s="265">
        <v>40000</v>
      </c>
      <c r="V385" s="265">
        <v>35000</v>
      </c>
      <c r="W385" s="265">
        <v>50000</v>
      </c>
      <c r="X385" s="265">
        <v>50000</v>
      </c>
      <c r="Y385" s="50">
        <f t="shared" si="5"/>
        <v>-50000</v>
      </c>
    </row>
    <row r="386" spans="1:27" s="39" customFormat="1" x14ac:dyDescent="0.35">
      <c r="A386" s="37" t="s">
        <v>2711</v>
      </c>
      <c r="B386" s="37" t="s">
        <v>2735</v>
      </c>
      <c r="C386" s="91">
        <v>8470120</v>
      </c>
      <c r="D386" s="37" t="s">
        <v>2733</v>
      </c>
      <c r="E386" s="91">
        <v>420120</v>
      </c>
      <c r="F386" s="37" t="s">
        <v>2734</v>
      </c>
      <c r="G386" s="90">
        <v>847001</v>
      </c>
      <c r="H386" s="37" t="s">
        <v>50</v>
      </c>
      <c r="I386" s="90">
        <v>200179</v>
      </c>
      <c r="J386" s="37" t="s">
        <v>61</v>
      </c>
      <c r="K386" s="265">
        <v>304116</v>
      </c>
      <c r="L386" s="265">
        <v>-493500</v>
      </c>
      <c r="M386" s="265">
        <v>383814</v>
      </c>
      <c r="N386" s="265">
        <v>500000</v>
      </c>
      <c r="O386" s="265">
        <v>500000</v>
      </c>
      <c r="P386" s="265">
        <v>0</v>
      </c>
      <c r="Q386" s="265">
        <v>500000</v>
      </c>
      <c r="R386" s="265">
        <v>0</v>
      </c>
      <c r="S386" s="265">
        <v>520000</v>
      </c>
      <c r="T386" s="265">
        <v>378000</v>
      </c>
      <c r="U386" s="265">
        <v>336000</v>
      </c>
      <c r="V386" s="265">
        <v>294000</v>
      </c>
      <c r="W386" s="265">
        <v>514889</v>
      </c>
      <c r="X386" s="265">
        <v>490000</v>
      </c>
      <c r="Y386" s="50">
        <f t="shared" si="5"/>
        <v>20000</v>
      </c>
    </row>
    <row r="387" spans="1:27" s="39" customFormat="1" x14ac:dyDescent="0.35">
      <c r="A387" s="37" t="s">
        <v>2711</v>
      </c>
      <c r="B387" s="37" t="s">
        <v>2741</v>
      </c>
      <c r="C387" s="91">
        <v>8470120</v>
      </c>
      <c r="D387" s="37" t="s">
        <v>2733</v>
      </c>
      <c r="E387" s="91">
        <v>426610</v>
      </c>
      <c r="F387" s="37" t="s">
        <v>694</v>
      </c>
      <c r="G387" s="90">
        <v>847001</v>
      </c>
      <c r="H387" s="37" t="s">
        <v>50</v>
      </c>
      <c r="I387" s="90">
        <v>200179</v>
      </c>
      <c r="J387" s="37" t="s">
        <v>61</v>
      </c>
      <c r="K387" s="265">
        <v>0</v>
      </c>
      <c r="L387" s="265">
        <v>0</v>
      </c>
      <c r="M387" s="265">
        <v>0</v>
      </c>
      <c r="N387" s="265">
        <v>0</v>
      </c>
      <c r="O387" s="265">
        <v>0</v>
      </c>
      <c r="P387" s="265">
        <v>0</v>
      </c>
      <c r="Q387" s="265">
        <v>0</v>
      </c>
      <c r="R387" s="265">
        <v>0</v>
      </c>
      <c r="S387" s="265">
        <v>24889</v>
      </c>
      <c r="T387" s="265">
        <v>22400</v>
      </c>
      <c r="U387" s="265">
        <v>19911</v>
      </c>
      <c r="V387" s="265">
        <v>17422</v>
      </c>
      <c r="W387" s="265">
        <v>0</v>
      </c>
      <c r="X387" s="265">
        <v>24889</v>
      </c>
      <c r="Y387" s="50">
        <f t="shared" ref="Y387:Y450" si="6">S387-N387</f>
        <v>24889</v>
      </c>
    </row>
    <row r="388" spans="1:27" s="39" customFormat="1" x14ac:dyDescent="0.35">
      <c r="A388" s="37" t="s">
        <v>2711</v>
      </c>
      <c r="B388" s="37" t="s">
        <v>2745</v>
      </c>
      <c r="C388" s="91">
        <v>8470121</v>
      </c>
      <c r="D388" s="37" t="s">
        <v>2744</v>
      </c>
      <c r="E388" s="91">
        <v>421000</v>
      </c>
      <c r="F388" s="37" t="s">
        <v>1011</v>
      </c>
      <c r="G388" s="90">
        <v>847001</v>
      </c>
      <c r="H388" s="37" t="s">
        <v>50</v>
      </c>
      <c r="I388" s="90">
        <v>200179</v>
      </c>
      <c r="J388" s="37" t="s">
        <v>61</v>
      </c>
      <c r="K388" s="265">
        <v>0</v>
      </c>
      <c r="L388" s="265">
        <v>0</v>
      </c>
      <c r="M388" s="265">
        <v>0</v>
      </c>
      <c r="N388" s="265">
        <v>0</v>
      </c>
      <c r="O388" s="265">
        <v>0</v>
      </c>
      <c r="P388" s="265">
        <v>0</v>
      </c>
      <c r="Q388" s="265">
        <v>0</v>
      </c>
      <c r="R388" s="265">
        <v>0</v>
      </c>
      <c r="S388" s="265">
        <v>150000</v>
      </c>
      <c r="T388" s="265">
        <v>45000</v>
      </c>
      <c r="U388" s="265">
        <v>40000</v>
      </c>
      <c r="V388" s="265">
        <v>35000</v>
      </c>
      <c r="W388" s="265">
        <v>165000</v>
      </c>
      <c r="X388" s="265">
        <v>181500</v>
      </c>
      <c r="Y388" s="50">
        <f t="shared" si="6"/>
        <v>150000</v>
      </c>
    </row>
    <row r="389" spans="1:27" s="39" customFormat="1" x14ac:dyDescent="0.35">
      <c r="A389" s="37" t="s">
        <v>2711</v>
      </c>
      <c r="B389" s="37" t="s">
        <v>2755</v>
      </c>
      <c r="C389" s="91">
        <v>8470121</v>
      </c>
      <c r="D389" s="37" t="s">
        <v>2744</v>
      </c>
      <c r="E389" s="91">
        <v>421700</v>
      </c>
      <c r="F389" s="37" t="s">
        <v>2438</v>
      </c>
      <c r="G389" s="90">
        <v>847001</v>
      </c>
      <c r="H389" s="37" t="s">
        <v>50</v>
      </c>
      <c r="I389" s="90">
        <v>200179</v>
      </c>
      <c r="J389" s="37" t="s">
        <v>61</v>
      </c>
      <c r="K389" s="265">
        <v>0</v>
      </c>
      <c r="L389" s="265">
        <v>0</v>
      </c>
      <c r="M389" s="265">
        <v>0</v>
      </c>
      <c r="N389" s="265">
        <v>0</v>
      </c>
      <c r="O389" s="265">
        <v>0</v>
      </c>
      <c r="P389" s="265">
        <v>0</v>
      </c>
      <c r="Q389" s="265">
        <v>0</v>
      </c>
      <c r="R389" s="265">
        <v>0</v>
      </c>
      <c r="S389" s="38">
        <v>150000</v>
      </c>
      <c r="T389" s="265">
        <v>135000</v>
      </c>
      <c r="U389" s="265">
        <v>120000</v>
      </c>
      <c r="V389" s="265">
        <v>105000</v>
      </c>
      <c r="W389" s="265">
        <v>165000</v>
      </c>
      <c r="X389" s="265">
        <v>181500</v>
      </c>
      <c r="Y389" s="50">
        <f t="shared" si="6"/>
        <v>150000</v>
      </c>
    </row>
    <row r="390" spans="1:27" s="39" customFormat="1" x14ac:dyDescent="0.35">
      <c r="A390" s="37" t="s">
        <v>2711</v>
      </c>
      <c r="B390" s="37" t="s">
        <v>2750</v>
      </c>
      <c r="C390" s="91">
        <v>8470121</v>
      </c>
      <c r="D390" s="37" t="s">
        <v>2744</v>
      </c>
      <c r="E390" s="91">
        <v>425900</v>
      </c>
      <c r="F390" s="37" t="s">
        <v>266</v>
      </c>
      <c r="G390" s="90">
        <v>847001</v>
      </c>
      <c r="H390" s="37" t="s">
        <v>50</v>
      </c>
      <c r="I390" s="90">
        <v>200179</v>
      </c>
      <c r="J390" s="37" t="s">
        <v>61</v>
      </c>
      <c r="K390" s="265">
        <v>0</v>
      </c>
      <c r="L390" s="265">
        <v>0</v>
      </c>
      <c r="M390" s="265">
        <v>0</v>
      </c>
      <c r="N390" s="265">
        <v>0</v>
      </c>
      <c r="O390" s="265">
        <v>0</v>
      </c>
      <c r="P390" s="265">
        <v>0</v>
      </c>
      <c r="Q390" s="265">
        <v>0</v>
      </c>
      <c r="R390" s="265">
        <v>0</v>
      </c>
      <c r="S390" s="265">
        <v>15000</v>
      </c>
      <c r="T390" s="265">
        <v>13500</v>
      </c>
      <c r="U390" s="265">
        <v>12000</v>
      </c>
      <c r="V390" s="265">
        <v>10500</v>
      </c>
      <c r="W390" s="265">
        <v>16500</v>
      </c>
      <c r="X390" s="265">
        <v>18250</v>
      </c>
      <c r="Y390" s="50">
        <f t="shared" si="6"/>
        <v>15000</v>
      </c>
    </row>
    <row r="391" spans="1:27" s="39" customFormat="1" x14ac:dyDescent="0.35">
      <c r="A391" s="37" t="s">
        <v>2711</v>
      </c>
      <c r="B391" s="37" t="s">
        <v>2756</v>
      </c>
      <c r="C391" s="91">
        <v>8470121</v>
      </c>
      <c r="D391" s="37" t="s">
        <v>2744</v>
      </c>
      <c r="E391" s="91">
        <v>426610</v>
      </c>
      <c r="F391" s="37" t="s">
        <v>694</v>
      </c>
      <c r="G391" s="90">
        <v>847001</v>
      </c>
      <c r="H391" s="37" t="s">
        <v>50</v>
      </c>
      <c r="I391" s="90">
        <v>200179</v>
      </c>
      <c r="J391" s="37" t="s">
        <v>61</v>
      </c>
      <c r="K391" s="265">
        <v>0</v>
      </c>
      <c r="L391" s="265">
        <v>0</v>
      </c>
      <c r="M391" s="265">
        <v>0</v>
      </c>
      <c r="N391" s="265">
        <v>0</v>
      </c>
      <c r="O391" s="265">
        <v>0</v>
      </c>
      <c r="P391" s="265">
        <v>0</v>
      </c>
      <c r="Q391" s="265">
        <v>0</v>
      </c>
      <c r="R391" s="265">
        <v>0</v>
      </c>
      <c r="S391" s="265">
        <v>150000</v>
      </c>
      <c r="T391" s="265">
        <v>135000</v>
      </c>
      <c r="U391" s="265">
        <v>120000</v>
      </c>
      <c r="V391" s="265">
        <v>105000</v>
      </c>
      <c r="W391" s="265">
        <v>165000</v>
      </c>
      <c r="X391" s="265">
        <v>181500</v>
      </c>
      <c r="Y391" s="50">
        <f t="shared" si="6"/>
        <v>150000</v>
      </c>
    </row>
    <row r="392" spans="1:27" s="39" customFormat="1" x14ac:dyDescent="0.35">
      <c r="A392" s="37" t="s">
        <v>2711</v>
      </c>
      <c r="B392" s="37" t="s">
        <v>2760</v>
      </c>
      <c r="C392" s="91">
        <v>8470150</v>
      </c>
      <c r="D392" s="37" t="s">
        <v>2759</v>
      </c>
      <c r="E392" s="91">
        <v>420900</v>
      </c>
      <c r="F392" s="37" t="s">
        <v>1266</v>
      </c>
      <c r="G392" s="90">
        <v>847001</v>
      </c>
      <c r="H392" s="37" t="s">
        <v>50</v>
      </c>
      <c r="I392" s="90">
        <v>200179</v>
      </c>
      <c r="J392" s="37" t="s">
        <v>61</v>
      </c>
      <c r="K392" s="265">
        <v>0</v>
      </c>
      <c r="L392" s="265">
        <v>16996</v>
      </c>
      <c r="M392" s="265">
        <v>1350</v>
      </c>
      <c r="N392" s="265">
        <v>21100</v>
      </c>
      <c r="O392" s="265">
        <v>21100</v>
      </c>
      <c r="P392" s="265">
        <v>21073.82</v>
      </c>
      <c r="Q392" s="265">
        <v>0</v>
      </c>
      <c r="R392" s="265">
        <v>0</v>
      </c>
      <c r="S392" s="265">
        <v>320000</v>
      </c>
      <c r="T392" s="265">
        <v>18000</v>
      </c>
      <c r="U392" s="265">
        <v>16000</v>
      </c>
      <c r="V392" s="265">
        <v>14000</v>
      </c>
      <c r="W392" s="265">
        <v>320000</v>
      </c>
      <c r="X392" s="265">
        <v>320000</v>
      </c>
      <c r="Y392" s="50">
        <f t="shared" si="6"/>
        <v>298900</v>
      </c>
    </row>
    <row r="393" spans="1:27" s="39" customFormat="1" x14ac:dyDescent="0.35">
      <c r="A393" s="37" t="s">
        <v>2711</v>
      </c>
      <c r="B393" s="37" t="s">
        <v>2768</v>
      </c>
      <c r="C393" s="91">
        <v>8470150</v>
      </c>
      <c r="D393" s="37" t="s">
        <v>2759</v>
      </c>
      <c r="E393" s="91">
        <v>427710</v>
      </c>
      <c r="F393" s="37" t="s">
        <v>1090</v>
      </c>
      <c r="G393" s="90">
        <v>847001</v>
      </c>
      <c r="H393" s="37" t="s">
        <v>50</v>
      </c>
      <c r="I393" s="90">
        <v>200179</v>
      </c>
      <c r="J393" s="37" t="s">
        <v>61</v>
      </c>
      <c r="K393" s="265">
        <v>0</v>
      </c>
      <c r="L393" s="265">
        <v>0</v>
      </c>
      <c r="M393" s="265">
        <v>0</v>
      </c>
      <c r="N393" s="265">
        <v>0</v>
      </c>
      <c r="O393" s="265">
        <v>0</v>
      </c>
      <c r="P393" s="265">
        <v>0</v>
      </c>
      <c r="Q393" s="265">
        <v>0</v>
      </c>
      <c r="R393" s="265">
        <v>0</v>
      </c>
      <c r="S393" s="265">
        <v>25000</v>
      </c>
      <c r="T393" s="265">
        <v>22500</v>
      </c>
      <c r="U393" s="265">
        <v>20000</v>
      </c>
      <c r="V393" s="265">
        <v>17500</v>
      </c>
      <c r="W393" s="265">
        <v>25000</v>
      </c>
      <c r="X393" s="265">
        <v>25000</v>
      </c>
      <c r="Y393" s="50">
        <f t="shared" si="6"/>
        <v>25000</v>
      </c>
    </row>
    <row r="394" spans="1:27" s="39" customFormat="1" x14ac:dyDescent="0.35">
      <c r="A394" s="37" t="s">
        <v>2711</v>
      </c>
      <c r="B394" s="37" t="s">
        <v>2771</v>
      </c>
      <c r="C394" s="91">
        <v>8470160</v>
      </c>
      <c r="D394" s="37" t="s">
        <v>2770</v>
      </c>
      <c r="E394" s="91">
        <v>425550</v>
      </c>
      <c r="F394" s="37" t="s">
        <v>253</v>
      </c>
      <c r="G394" s="90">
        <v>847001</v>
      </c>
      <c r="H394" s="37" t="s">
        <v>50</v>
      </c>
      <c r="I394" s="90">
        <v>200179</v>
      </c>
      <c r="J394" s="37" t="s">
        <v>61</v>
      </c>
      <c r="K394" s="265">
        <v>0</v>
      </c>
      <c r="L394" s="265">
        <v>0</v>
      </c>
      <c r="M394" s="265">
        <v>0</v>
      </c>
      <c r="N394" s="38">
        <v>0</v>
      </c>
      <c r="O394" s="265">
        <v>0</v>
      </c>
      <c r="P394" s="265">
        <v>0</v>
      </c>
      <c r="Q394" s="265">
        <v>0</v>
      </c>
      <c r="R394" s="265">
        <v>0</v>
      </c>
      <c r="S394" s="38">
        <v>100000</v>
      </c>
      <c r="T394" s="265">
        <v>90000</v>
      </c>
      <c r="U394" s="265">
        <v>80000</v>
      </c>
      <c r="V394" s="265">
        <v>70000</v>
      </c>
      <c r="W394" s="265">
        <v>100000</v>
      </c>
      <c r="X394" s="265">
        <v>100000</v>
      </c>
      <c r="Y394" s="38">
        <f t="shared" si="6"/>
        <v>100000</v>
      </c>
    </row>
    <row r="395" spans="1:27" s="39" customFormat="1" x14ac:dyDescent="0.35">
      <c r="A395" s="37" t="s">
        <v>2711</v>
      </c>
      <c r="B395" s="37" t="s">
        <v>2778</v>
      </c>
      <c r="C395" s="91">
        <v>8470160</v>
      </c>
      <c r="D395" s="37" t="s">
        <v>2770</v>
      </c>
      <c r="E395" s="91">
        <v>425900</v>
      </c>
      <c r="F395" s="37" t="s">
        <v>266</v>
      </c>
      <c r="G395" s="90">
        <v>847001</v>
      </c>
      <c r="H395" s="37" t="s">
        <v>50</v>
      </c>
      <c r="I395" s="90">
        <v>200179</v>
      </c>
      <c r="J395" s="37" t="s">
        <v>61</v>
      </c>
      <c r="K395" s="265">
        <v>0</v>
      </c>
      <c r="L395" s="265">
        <v>0</v>
      </c>
      <c r="M395" s="265">
        <v>0</v>
      </c>
      <c r="N395" s="265">
        <v>0</v>
      </c>
      <c r="O395" s="265">
        <v>0</v>
      </c>
      <c r="P395" s="265">
        <v>0</v>
      </c>
      <c r="Q395" s="265">
        <v>0</v>
      </c>
      <c r="R395" s="265">
        <v>0</v>
      </c>
      <c r="S395" s="265">
        <v>1200000</v>
      </c>
      <c r="T395" s="265">
        <v>1080000</v>
      </c>
      <c r="U395" s="265">
        <v>960000</v>
      </c>
      <c r="V395" s="265">
        <v>840000</v>
      </c>
      <c r="W395" s="265">
        <v>1800000</v>
      </c>
      <c r="X395" s="265">
        <v>3000000</v>
      </c>
      <c r="Y395" s="50">
        <f t="shared" si="6"/>
        <v>1200000</v>
      </c>
    </row>
    <row r="396" spans="1:27" s="39" customFormat="1" x14ac:dyDescent="0.35">
      <c r="A396" s="37" t="s">
        <v>2711</v>
      </c>
      <c r="B396" s="37" t="s">
        <v>2776</v>
      </c>
      <c r="C396" s="91">
        <v>8470160</v>
      </c>
      <c r="D396" s="37" t="s">
        <v>2770</v>
      </c>
      <c r="E396" s="91">
        <v>428090</v>
      </c>
      <c r="F396" s="37" t="s">
        <v>154</v>
      </c>
      <c r="G396" s="90">
        <v>847001</v>
      </c>
      <c r="H396" s="37" t="s">
        <v>50</v>
      </c>
      <c r="I396" s="90">
        <v>200179</v>
      </c>
      <c r="J396" s="37" t="s">
        <v>61</v>
      </c>
      <c r="K396" s="265">
        <v>0</v>
      </c>
      <c r="L396" s="265">
        <v>0</v>
      </c>
      <c r="M396" s="265">
        <v>0</v>
      </c>
      <c r="N396" s="265">
        <v>0</v>
      </c>
      <c r="O396" s="265">
        <v>0</v>
      </c>
      <c r="P396" s="265">
        <v>0</v>
      </c>
      <c r="Q396" s="265">
        <v>0</v>
      </c>
      <c r="R396" s="265">
        <v>0</v>
      </c>
      <c r="S396" s="265">
        <v>100000</v>
      </c>
      <c r="T396" s="265">
        <v>90000</v>
      </c>
      <c r="U396" s="265">
        <v>80000</v>
      </c>
      <c r="V396" s="265">
        <v>70000</v>
      </c>
      <c r="W396" s="265">
        <v>100000</v>
      </c>
      <c r="X396" s="265">
        <v>100000</v>
      </c>
      <c r="Y396" s="50">
        <f t="shared" si="6"/>
        <v>100000</v>
      </c>
    </row>
    <row r="397" spans="1:27" s="39" customFormat="1" x14ac:dyDescent="0.35">
      <c r="A397" s="37" t="s">
        <v>2711</v>
      </c>
      <c r="B397" s="37" t="s">
        <v>2774</v>
      </c>
      <c r="C397" s="91">
        <v>8470160</v>
      </c>
      <c r="D397" s="37" t="s">
        <v>2770</v>
      </c>
      <c r="E397" s="91">
        <v>428640</v>
      </c>
      <c r="F397" s="37" t="s">
        <v>279</v>
      </c>
      <c r="G397" s="90">
        <v>847001</v>
      </c>
      <c r="H397" s="37" t="s">
        <v>50</v>
      </c>
      <c r="I397" s="90">
        <v>200179</v>
      </c>
      <c r="J397" s="37" t="s">
        <v>61</v>
      </c>
      <c r="K397" s="265">
        <v>0</v>
      </c>
      <c r="L397" s="265">
        <v>0</v>
      </c>
      <c r="M397" s="265">
        <v>0</v>
      </c>
      <c r="N397" s="265">
        <v>0</v>
      </c>
      <c r="O397" s="265">
        <v>0</v>
      </c>
      <c r="P397" s="265">
        <v>0</v>
      </c>
      <c r="Q397" s="265">
        <v>0</v>
      </c>
      <c r="R397" s="265">
        <v>0</v>
      </c>
      <c r="S397" s="265">
        <v>100000</v>
      </c>
      <c r="T397" s="265">
        <v>90000</v>
      </c>
      <c r="U397" s="265">
        <v>80000</v>
      </c>
      <c r="V397" s="265">
        <v>70000</v>
      </c>
      <c r="W397" s="265">
        <v>100000</v>
      </c>
      <c r="X397" s="265">
        <v>100000</v>
      </c>
      <c r="Y397" s="50">
        <f t="shared" si="6"/>
        <v>100000</v>
      </c>
    </row>
    <row r="398" spans="1:27" s="39" customFormat="1" x14ac:dyDescent="0.35">
      <c r="A398" s="37" t="s">
        <v>223</v>
      </c>
      <c r="B398" s="37" t="s">
        <v>226</v>
      </c>
      <c r="C398" s="91">
        <v>8470220</v>
      </c>
      <c r="D398" s="37" t="s">
        <v>224</v>
      </c>
      <c r="E398" s="91">
        <v>420550</v>
      </c>
      <c r="F398" s="37" t="s">
        <v>225</v>
      </c>
      <c r="G398" s="90">
        <v>847001</v>
      </c>
      <c r="H398" s="37" t="s">
        <v>50</v>
      </c>
      <c r="I398" s="90">
        <v>200179</v>
      </c>
      <c r="J398" s="37" t="s">
        <v>61</v>
      </c>
      <c r="K398" s="265">
        <v>0</v>
      </c>
      <c r="L398" s="265">
        <v>0</v>
      </c>
      <c r="M398" s="265">
        <v>0</v>
      </c>
      <c r="N398" s="265">
        <v>60000</v>
      </c>
      <c r="O398" s="265">
        <v>60000</v>
      </c>
      <c r="P398" s="265">
        <v>0</v>
      </c>
      <c r="Q398" s="265">
        <v>0</v>
      </c>
      <c r="R398" s="265">
        <v>0</v>
      </c>
      <c r="S398" s="265">
        <v>420500</v>
      </c>
      <c r="T398" s="265">
        <v>378450</v>
      </c>
      <c r="U398" s="265">
        <v>0</v>
      </c>
      <c r="V398" s="265">
        <v>294350</v>
      </c>
      <c r="W398" s="265">
        <v>462550</v>
      </c>
      <c r="X398" s="265">
        <v>504600</v>
      </c>
      <c r="Y398" s="50">
        <f t="shared" si="6"/>
        <v>360500</v>
      </c>
    </row>
    <row r="399" spans="1:27" s="39" customFormat="1" x14ac:dyDescent="0.35">
      <c r="A399" s="37" t="s">
        <v>223</v>
      </c>
      <c r="B399" s="37" t="s">
        <v>232</v>
      </c>
      <c r="C399" s="91">
        <v>8470220</v>
      </c>
      <c r="D399" s="37" t="s">
        <v>224</v>
      </c>
      <c r="E399" s="91">
        <v>420570</v>
      </c>
      <c r="F399" s="37" t="s">
        <v>231</v>
      </c>
      <c r="G399" s="90">
        <v>847001</v>
      </c>
      <c r="H399" s="37" t="s">
        <v>50</v>
      </c>
      <c r="I399" s="90">
        <v>200179</v>
      </c>
      <c r="J399" s="37" t="s">
        <v>61</v>
      </c>
      <c r="K399" s="265">
        <v>0</v>
      </c>
      <c r="L399" s="265">
        <v>0</v>
      </c>
      <c r="M399" s="265">
        <v>0</v>
      </c>
      <c r="N399" s="265">
        <v>392387</v>
      </c>
      <c r="O399" s="265">
        <v>392387</v>
      </c>
      <c r="P399" s="265">
        <v>0</v>
      </c>
      <c r="Q399" s="265">
        <v>0</v>
      </c>
      <c r="R399" s="265">
        <v>0</v>
      </c>
      <c r="S399" s="265">
        <v>3000000</v>
      </c>
      <c r="T399" s="265">
        <v>2700000</v>
      </c>
      <c r="U399" s="265">
        <v>0</v>
      </c>
      <c r="V399" s="265">
        <v>2100000</v>
      </c>
      <c r="W399" s="265">
        <v>3300000</v>
      </c>
      <c r="X399" s="265">
        <v>3600000</v>
      </c>
      <c r="Y399" s="50">
        <f t="shared" si="6"/>
        <v>2607613</v>
      </c>
      <c r="AA399" s="275">
        <f>Y399/S399</f>
        <v>0.86920433333333336</v>
      </c>
    </row>
    <row r="400" spans="1:27" s="39" customFormat="1" x14ac:dyDescent="0.35">
      <c r="A400" s="37" t="s">
        <v>223</v>
      </c>
      <c r="B400" s="37" t="s">
        <v>240</v>
      </c>
      <c r="C400" s="91">
        <v>8470220</v>
      </c>
      <c r="D400" s="37" t="s">
        <v>224</v>
      </c>
      <c r="E400" s="91">
        <v>421700</v>
      </c>
      <c r="F400" s="37" t="s">
        <v>2438</v>
      </c>
      <c r="G400" s="90">
        <v>847001</v>
      </c>
      <c r="H400" s="37" t="s">
        <v>50</v>
      </c>
      <c r="I400" s="90">
        <v>200179</v>
      </c>
      <c r="J400" s="37" t="s">
        <v>61</v>
      </c>
      <c r="K400" s="265">
        <v>0</v>
      </c>
      <c r="L400" s="265">
        <v>0</v>
      </c>
      <c r="M400" s="265">
        <v>0</v>
      </c>
      <c r="N400" s="265">
        <v>375000</v>
      </c>
      <c r="O400" s="265">
        <v>375000</v>
      </c>
      <c r="P400" s="265">
        <v>0</v>
      </c>
      <c r="Q400" s="265">
        <v>0</v>
      </c>
      <c r="R400" s="265">
        <v>0</v>
      </c>
      <c r="S400" s="38">
        <v>3450000</v>
      </c>
      <c r="T400" s="265">
        <v>3105000</v>
      </c>
      <c r="U400" s="265">
        <v>0</v>
      </c>
      <c r="V400" s="265">
        <v>2415000</v>
      </c>
      <c r="W400" s="265">
        <v>150000</v>
      </c>
      <c r="X400" s="265">
        <v>1</v>
      </c>
      <c r="Y400" s="50">
        <f t="shared" si="6"/>
        <v>3075000</v>
      </c>
    </row>
    <row r="401" spans="1:27" s="39" customFormat="1" x14ac:dyDescent="0.35">
      <c r="A401" s="37" t="s">
        <v>223</v>
      </c>
      <c r="B401" s="37" t="s">
        <v>248</v>
      </c>
      <c r="C401" s="91">
        <v>8470220</v>
      </c>
      <c r="D401" s="37" t="s">
        <v>224</v>
      </c>
      <c r="E401" s="91">
        <v>425510</v>
      </c>
      <c r="F401" s="37" t="s">
        <v>247</v>
      </c>
      <c r="G401" s="90">
        <v>847001</v>
      </c>
      <c r="H401" s="37" t="s">
        <v>50</v>
      </c>
      <c r="I401" s="90">
        <v>200179</v>
      </c>
      <c r="J401" s="37" t="s">
        <v>61</v>
      </c>
      <c r="K401" s="265">
        <v>0</v>
      </c>
      <c r="L401" s="265">
        <v>0</v>
      </c>
      <c r="M401" s="265">
        <v>0</v>
      </c>
      <c r="N401" s="38">
        <v>10000</v>
      </c>
      <c r="O401" s="265">
        <v>10000</v>
      </c>
      <c r="P401" s="265">
        <v>13750</v>
      </c>
      <c r="Q401" s="265">
        <v>0</v>
      </c>
      <c r="R401" s="265">
        <v>0</v>
      </c>
      <c r="S401" s="38">
        <v>100000</v>
      </c>
      <c r="T401" s="265">
        <v>90000</v>
      </c>
      <c r="U401" s="265">
        <v>0</v>
      </c>
      <c r="V401" s="265">
        <v>70000</v>
      </c>
      <c r="W401" s="265">
        <v>110000</v>
      </c>
      <c r="X401" s="265">
        <v>120000</v>
      </c>
      <c r="Y401" s="38">
        <f t="shared" si="6"/>
        <v>90000</v>
      </c>
    </row>
    <row r="402" spans="1:27" s="39" customFormat="1" x14ac:dyDescent="0.35">
      <c r="A402" s="37" t="s">
        <v>223</v>
      </c>
      <c r="B402" s="37" t="s">
        <v>254</v>
      </c>
      <c r="C402" s="91">
        <v>8470220</v>
      </c>
      <c r="D402" s="37" t="s">
        <v>224</v>
      </c>
      <c r="E402" s="91">
        <v>425550</v>
      </c>
      <c r="F402" s="37" t="s">
        <v>253</v>
      </c>
      <c r="G402" s="90">
        <v>847001</v>
      </c>
      <c r="H402" s="37" t="s">
        <v>50</v>
      </c>
      <c r="I402" s="90">
        <v>200179</v>
      </c>
      <c r="J402" s="37" t="s">
        <v>61</v>
      </c>
      <c r="K402" s="265">
        <v>0</v>
      </c>
      <c r="L402" s="265">
        <v>0</v>
      </c>
      <c r="M402" s="265">
        <v>0</v>
      </c>
      <c r="N402" s="38">
        <v>25000</v>
      </c>
      <c r="O402" s="265">
        <v>25000</v>
      </c>
      <c r="P402" s="265">
        <v>0</v>
      </c>
      <c r="Q402" s="265">
        <v>0</v>
      </c>
      <c r="R402" s="265">
        <v>0</v>
      </c>
      <c r="S402" s="38">
        <v>100000</v>
      </c>
      <c r="T402" s="265">
        <v>90000</v>
      </c>
      <c r="U402" s="265">
        <v>0</v>
      </c>
      <c r="V402" s="265">
        <v>70000</v>
      </c>
      <c r="W402" s="265">
        <v>110000</v>
      </c>
      <c r="X402" s="265">
        <v>120000</v>
      </c>
      <c r="Y402" s="38">
        <f t="shared" si="6"/>
        <v>75000</v>
      </c>
    </row>
    <row r="403" spans="1:27" s="39" customFormat="1" x14ac:dyDescent="0.35">
      <c r="A403" s="37" t="s">
        <v>223</v>
      </c>
      <c r="B403" s="37" t="s">
        <v>260</v>
      </c>
      <c r="C403" s="91">
        <v>8470220</v>
      </c>
      <c r="D403" s="37" t="s">
        <v>224</v>
      </c>
      <c r="E403" s="91">
        <v>425740</v>
      </c>
      <c r="F403" s="37" t="s">
        <v>259</v>
      </c>
      <c r="G403" s="90">
        <v>847001</v>
      </c>
      <c r="H403" s="37" t="s">
        <v>50</v>
      </c>
      <c r="I403" s="90">
        <v>200179</v>
      </c>
      <c r="J403" s="37" t="s">
        <v>61</v>
      </c>
      <c r="K403" s="265">
        <v>0</v>
      </c>
      <c r="L403" s="265">
        <v>0</v>
      </c>
      <c r="M403" s="265">
        <v>0</v>
      </c>
      <c r="N403" s="265">
        <v>694710</v>
      </c>
      <c r="O403" s="265">
        <v>694710</v>
      </c>
      <c r="P403" s="265">
        <v>0</v>
      </c>
      <c r="Q403" s="265">
        <v>0</v>
      </c>
      <c r="R403" s="265">
        <v>0</v>
      </c>
      <c r="S403" s="265">
        <v>3600012</v>
      </c>
      <c r="T403" s="265">
        <v>3240011</v>
      </c>
      <c r="U403" s="265">
        <v>0</v>
      </c>
      <c r="V403" s="265">
        <v>2520008</v>
      </c>
      <c r="W403" s="265">
        <v>3965260</v>
      </c>
      <c r="X403" s="265">
        <v>4320030</v>
      </c>
      <c r="Y403" s="50">
        <f t="shared" si="6"/>
        <v>2905302</v>
      </c>
    </row>
    <row r="404" spans="1:27" s="39" customFormat="1" x14ac:dyDescent="0.35">
      <c r="A404" s="37" t="s">
        <v>223</v>
      </c>
      <c r="B404" s="37" t="s">
        <v>267</v>
      </c>
      <c r="C404" s="91">
        <v>8470220</v>
      </c>
      <c r="D404" s="37" t="s">
        <v>224</v>
      </c>
      <c r="E404" s="91">
        <v>425900</v>
      </c>
      <c r="F404" s="37" t="s">
        <v>266</v>
      </c>
      <c r="G404" s="90">
        <v>847001</v>
      </c>
      <c r="H404" s="37" t="s">
        <v>50</v>
      </c>
      <c r="I404" s="90">
        <v>200179</v>
      </c>
      <c r="J404" s="37" t="s">
        <v>61</v>
      </c>
      <c r="K404" s="265">
        <v>0</v>
      </c>
      <c r="L404" s="265">
        <v>0</v>
      </c>
      <c r="M404" s="265">
        <v>0</v>
      </c>
      <c r="N404" s="265">
        <v>12000</v>
      </c>
      <c r="O404" s="265">
        <v>12000</v>
      </c>
      <c r="P404" s="265">
        <v>5835</v>
      </c>
      <c r="Q404" s="265">
        <v>0</v>
      </c>
      <c r="R404" s="265">
        <v>0</v>
      </c>
      <c r="S404" s="265">
        <v>128004</v>
      </c>
      <c r="T404" s="265">
        <v>115204</v>
      </c>
      <c r="U404" s="265">
        <v>0</v>
      </c>
      <c r="V404" s="265">
        <v>89603</v>
      </c>
      <c r="W404" s="265">
        <v>140820</v>
      </c>
      <c r="X404" s="265">
        <v>153612</v>
      </c>
      <c r="Y404" s="50">
        <f t="shared" si="6"/>
        <v>116004</v>
      </c>
    </row>
    <row r="405" spans="1:27" s="39" customFormat="1" x14ac:dyDescent="0.35">
      <c r="A405" s="37" t="s">
        <v>223</v>
      </c>
      <c r="B405" s="37" t="s">
        <v>273</v>
      </c>
      <c r="C405" s="91">
        <v>8470220</v>
      </c>
      <c r="D405" s="37" t="s">
        <v>224</v>
      </c>
      <c r="E405" s="91">
        <v>426610</v>
      </c>
      <c r="F405" s="37" t="s">
        <v>694</v>
      </c>
      <c r="G405" s="90">
        <v>847001</v>
      </c>
      <c r="H405" s="37" t="s">
        <v>50</v>
      </c>
      <c r="I405" s="90">
        <v>200179</v>
      </c>
      <c r="J405" s="37" t="s">
        <v>61</v>
      </c>
      <c r="K405" s="265">
        <v>0</v>
      </c>
      <c r="L405" s="265">
        <v>0</v>
      </c>
      <c r="M405" s="265">
        <v>0</v>
      </c>
      <c r="N405" s="265">
        <v>50000</v>
      </c>
      <c r="O405" s="265">
        <v>50000</v>
      </c>
      <c r="P405" s="265">
        <v>0</v>
      </c>
      <c r="Q405" s="265">
        <v>0</v>
      </c>
      <c r="R405" s="265">
        <v>0</v>
      </c>
      <c r="S405" s="265">
        <v>45000</v>
      </c>
      <c r="T405" s="265">
        <v>40500</v>
      </c>
      <c r="U405" s="265">
        <v>0</v>
      </c>
      <c r="V405" s="265">
        <v>31500</v>
      </c>
      <c r="W405" s="265">
        <v>50000</v>
      </c>
      <c r="X405" s="265">
        <v>55000</v>
      </c>
      <c r="Y405" s="50">
        <f t="shared" si="6"/>
        <v>-5000</v>
      </c>
    </row>
    <row r="406" spans="1:27" s="39" customFormat="1" x14ac:dyDescent="0.35">
      <c r="A406" s="37" t="s">
        <v>223</v>
      </c>
      <c r="B406" s="37" t="s">
        <v>277</v>
      </c>
      <c r="C406" s="91">
        <v>8470220</v>
      </c>
      <c r="D406" s="37" t="s">
        <v>224</v>
      </c>
      <c r="E406" s="91">
        <v>428090</v>
      </c>
      <c r="F406" s="37" t="s">
        <v>154</v>
      </c>
      <c r="G406" s="90">
        <v>847001</v>
      </c>
      <c r="H406" s="37" t="s">
        <v>50</v>
      </c>
      <c r="I406" s="90">
        <v>200179</v>
      </c>
      <c r="J406" s="37" t="s">
        <v>61</v>
      </c>
      <c r="K406" s="265">
        <v>0</v>
      </c>
      <c r="L406" s="265">
        <v>0</v>
      </c>
      <c r="M406" s="265">
        <v>0</v>
      </c>
      <c r="N406" s="265">
        <v>165500</v>
      </c>
      <c r="O406" s="265">
        <v>165500</v>
      </c>
      <c r="P406" s="265">
        <v>19500</v>
      </c>
      <c r="Q406" s="265">
        <v>0</v>
      </c>
      <c r="R406" s="265">
        <v>0</v>
      </c>
      <c r="S406" s="265">
        <v>320000</v>
      </c>
      <c r="T406" s="265">
        <v>288000</v>
      </c>
      <c r="U406" s="265">
        <v>0</v>
      </c>
      <c r="V406" s="265">
        <v>224000</v>
      </c>
      <c r="W406" s="265">
        <v>396000</v>
      </c>
      <c r="X406" s="265">
        <v>384000</v>
      </c>
      <c r="Y406" s="50">
        <f t="shared" si="6"/>
        <v>154500</v>
      </c>
    </row>
    <row r="407" spans="1:27" s="39" customFormat="1" x14ac:dyDescent="0.35">
      <c r="A407" s="37" t="s">
        <v>223</v>
      </c>
      <c r="B407" s="37" t="s">
        <v>280</v>
      </c>
      <c r="C407" s="91">
        <v>8470220</v>
      </c>
      <c r="D407" s="37" t="s">
        <v>224</v>
      </c>
      <c r="E407" s="91">
        <v>428640</v>
      </c>
      <c r="F407" s="37" t="s">
        <v>279</v>
      </c>
      <c r="G407" s="90">
        <v>847001</v>
      </c>
      <c r="H407" s="37" t="s">
        <v>50</v>
      </c>
      <c r="I407" s="90">
        <v>200179</v>
      </c>
      <c r="J407" s="37" t="s">
        <v>61</v>
      </c>
      <c r="K407" s="265">
        <v>0</v>
      </c>
      <c r="L407" s="265">
        <v>0</v>
      </c>
      <c r="M407" s="265">
        <v>0</v>
      </c>
      <c r="N407" s="265">
        <v>20000</v>
      </c>
      <c r="O407" s="265">
        <v>20000</v>
      </c>
      <c r="P407" s="265">
        <v>6320</v>
      </c>
      <c r="Q407" s="265">
        <v>0</v>
      </c>
      <c r="R407" s="265">
        <v>0</v>
      </c>
      <c r="S407" s="265">
        <v>2000000</v>
      </c>
      <c r="T407" s="265">
        <v>1800000</v>
      </c>
      <c r="U407" s="265">
        <v>0</v>
      </c>
      <c r="V407" s="265">
        <v>1400000</v>
      </c>
      <c r="W407" s="265">
        <v>2200000</v>
      </c>
      <c r="X407" s="265">
        <v>2400000</v>
      </c>
      <c r="Y407" s="50">
        <f t="shared" si="6"/>
        <v>1980000</v>
      </c>
    </row>
    <row r="408" spans="1:27" s="39" customFormat="1" x14ac:dyDescent="0.35">
      <c r="A408" s="37" t="s">
        <v>223</v>
      </c>
      <c r="B408" s="37" t="s">
        <v>284</v>
      </c>
      <c r="C408" s="91">
        <v>8470220</v>
      </c>
      <c r="D408" s="37" t="s">
        <v>224</v>
      </c>
      <c r="E408" s="91">
        <v>432205</v>
      </c>
      <c r="F408" s="37" t="s">
        <v>3040</v>
      </c>
      <c r="G408" s="90">
        <v>847001</v>
      </c>
      <c r="H408" s="37" t="s">
        <v>50</v>
      </c>
      <c r="I408" s="90">
        <v>200179</v>
      </c>
      <c r="J408" s="37" t="s">
        <v>61</v>
      </c>
      <c r="K408" s="265">
        <v>0</v>
      </c>
      <c r="L408" s="265">
        <v>0</v>
      </c>
      <c r="M408" s="265">
        <v>0</v>
      </c>
      <c r="N408" s="265">
        <v>10000</v>
      </c>
      <c r="O408" s="265">
        <v>10000</v>
      </c>
      <c r="P408" s="265">
        <v>0</v>
      </c>
      <c r="Q408" s="265">
        <v>0</v>
      </c>
      <c r="R408" s="265">
        <v>0</v>
      </c>
      <c r="S408" s="265">
        <v>60000</v>
      </c>
      <c r="T408" s="265">
        <v>54000</v>
      </c>
      <c r="U408" s="265">
        <v>0</v>
      </c>
      <c r="V408" s="265">
        <v>42000</v>
      </c>
      <c r="W408" s="265">
        <v>66000</v>
      </c>
      <c r="X408" s="265">
        <v>72000</v>
      </c>
      <c r="Y408" s="50">
        <f t="shared" si="6"/>
        <v>50000</v>
      </c>
    </row>
    <row r="409" spans="1:27" s="39" customFormat="1" x14ac:dyDescent="0.35">
      <c r="A409" s="37" t="s">
        <v>223</v>
      </c>
      <c r="B409" s="37" t="s">
        <v>1643</v>
      </c>
      <c r="C409" s="91">
        <v>8470220</v>
      </c>
      <c r="D409" s="37" t="s">
        <v>224</v>
      </c>
      <c r="E409" s="91">
        <v>436120</v>
      </c>
      <c r="F409" s="37" t="s">
        <v>291</v>
      </c>
      <c r="G409" s="90">
        <v>847001</v>
      </c>
      <c r="H409" s="37" t="s">
        <v>50</v>
      </c>
      <c r="I409" s="90">
        <v>200179</v>
      </c>
      <c r="J409" s="37" t="s">
        <v>61</v>
      </c>
      <c r="K409" s="265">
        <v>0</v>
      </c>
      <c r="L409" s="265">
        <v>0</v>
      </c>
      <c r="M409" s="265">
        <v>0</v>
      </c>
      <c r="N409" s="265">
        <v>0</v>
      </c>
      <c r="O409" s="265">
        <v>0</v>
      </c>
      <c r="P409" s="265">
        <v>0</v>
      </c>
      <c r="Q409" s="265">
        <v>0</v>
      </c>
      <c r="R409" s="265">
        <v>0</v>
      </c>
      <c r="S409" s="265">
        <v>6000</v>
      </c>
      <c r="T409" s="265">
        <v>5400</v>
      </c>
      <c r="U409" s="265">
        <v>0</v>
      </c>
      <c r="V409" s="265">
        <v>4200</v>
      </c>
      <c r="W409" s="265">
        <v>6600</v>
      </c>
      <c r="X409" s="265">
        <v>7200</v>
      </c>
      <c r="Y409" s="50">
        <f t="shared" si="6"/>
        <v>6000</v>
      </c>
      <c r="Z409" s="74"/>
    </row>
    <row r="410" spans="1:27" s="39" customFormat="1" x14ac:dyDescent="0.35">
      <c r="A410" s="37" t="s">
        <v>223</v>
      </c>
      <c r="B410" s="37" t="s">
        <v>287</v>
      </c>
      <c r="C410" s="91">
        <v>8470220</v>
      </c>
      <c r="D410" s="37" t="s">
        <v>224</v>
      </c>
      <c r="E410" s="91">
        <v>492316</v>
      </c>
      <c r="F410" s="37" t="s">
        <v>221</v>
      </c>
      <c r="G410" s="90">
        <v>847001</v>
      </c>
      <c r="H410" s="37" t="s">
        <v>50</v>
      </c>
      <c r="I410" s="90">
        <v>300180</v>
      </c>
      <c r="J410" s="37" t="s">
        <v>192</v>
      </c>
      <c r="K410" s="265">
        <v>2004424</v>
      </c>
      <c r="L410" s="265">
        <v>1481224</v>
      </c>
      <c r="M410" s="265">
        <v>160720</v>
      </c>
      <c r="N410" s="265">
        <v>0</v>
      </c>
      <c r="O410" s="265">
        <v>0</v>
      </c>
      <c r="P410" s="265">
        <v>0</v>
      </c>
      <c r="Q410" s="265">
        <v>0</v>
      </c>
      <c r="R410" s="265">
        <v>0</v>
      </c>
      <c r="S410" s="265">
        <v>300000</v>
      </c>
      <c r="T410" s="265">
        <v>270000</v>
      </c>
      <c r="U410" s="265">
        <v>0</v>
      </c>
      <c r="V410" s="265">
        <v>210000</v>
      </c>
      <c r="W410" s="265">
        <v>330000</v>
      </c>
      <c r="X410" s="265">
        <v>360000</v>
      </c>
      <c r="Y410" s="50">
        <f t="shared" si="6"/>
        <v>300000</v>
      </c>
      <c r="Z410" s="278">
        <f>Y410</f>
        <v>300000</v>
      </c>
      <c r="AA410" s="275" t="e">
        <f>Z410/Z797</f>
        <v>#DIV/0!</v>
      </c>
    </row>
    <row r="411" spans="1:27" s="39" customFormat="1" x14ac:dyDescent="0.35">
      <c r="A411" s="37" t="s">
        <v>1209</v>
      </c>
      <c r="B411" s="37" t="s">
        <v>1211</v>
      </c>
      <c r="C411" s="91">
        <v>8471110</v>
      </c>
      <c r="D411" s="37" t="s">
        <v>1210</v>
      </c>
      <c r="E411" s="91">
        <v>425900</v>
      </c>
      <c r="F411" s="37" t="s">
        <v>266</v>
      </c>
      <c r="G411" s="90">
        <v>847001</v>
      </c>
      <c r="H411" s="37" t="s">
        <v>50</v>
      </c>
      <c r="I411" s="90">
        <v>200179</v>
      </c>
      <c r="J411" s="37" t="s">
        <v>61</v>
      </c>
      <c r="K411" s="265">
        <v>23071</v>
      </c>
      <c r="L411" s="265">
        <v>12495</v>
      </c>
      <c r="M411" s="265">
        <v>0</v>
      </c>
      <c r="N411" s="265">
        <v>30000</v>
      </c>
      <c r="O411" s="265">
        <v>30000</v>
      </c>
      <c r="P411" s="265">
        <v>0</v>
      </c>
      <c r="Q411" s="265">
        <v>0</v>
      </c>
      <c r="R411" s="265">
        <v>0</v>
      </c>
      <c r="S411" s="265">
        <v>30000</v>
      </c>
      <c r="T411" s="265">
        <v>27000</v>
      </c>
      <c r="U411" s="265">
        <v>0</v>
      </c>
      <c r="V411" s="265">
        <v>21000</v>
      </c>
      <c r="W411" s="265">
        <v>30000</v>
      </c>
      <c r="X411" s="265">
        <v>30000</v>
      </c>
      <c r="Y411" s="50">
        <f t="shared" si="6"/>
        <v>0</v>
      </c>
    </row>
    <row r="412" spans="1:27" s="39" customFormat="1" x14ac:dyDescent="0.35">
      <c r="A412" s="37" t="s">
        <v>1209</v>
      </c>
      <c r="B412" s="37" t="s">
        <v>1215</v>
      </c>
      <c r="C412" s="91">
        <v>8471110</v>
      </c>
      <c r="D412" s="37" t="s">
        <v>1210</v>
      </c>
      <c r="E412" s="91">
        <v>427710</v>
      </c>
      <c r="F412" s="37" t="s">
        <v>1090</v>
      </c>
      <c r="G412" s="90">
        <v>847001</v>
      </c>
      <c r="H412" s="37" t="s">
        <v>50</v>
      </c>
      <c r="I412" s="90">
        <v>200179</v>
      </c>
      <c r="J412" s="37" t="s">
        <v>61</v>
      </c>
      <c r="K412" s="265">
        <v>9642</v>
      </c>
      <c r="L412" s="265">
        <v>52891</v>
      </c>
      <c r="M412" s="265">
        <v>0</v>
      </c>
      <c r="N412" s="265">
        <v>428951</v>
      </c>
      <c r="O412" s="265">
        <v>428951</v>
      </c>
      <c r="P412" s="265">
        <v>3526.08</v>
      </c>
      <c r="Q412" s="265">
        <v>332272.18</v>
      </c>
      <c r="R412" s="265">
        <v>16161.2</v>
      </c>
      <c r="S412" s="265">
        <v>448835</v>
      </c>
      <c r="T412" s="265">
        <v>403952</v>
      </c>
      <c r="U412" s="265">
        <v>0</v>
      </c>
      <c r="V412" s="265">
        <v>314185</v>
      </c>
      <c r="W412" s="265">
        <v>481840</v>
      </c>
      <c r="X412" s="265">
        <v>389707</v>
      </c>
      <c r="Y412" s="50">
        <f t="shared" si="6"/>
        <v>19884</v>
      </c>
    </row>
    <row r="413" spans="1:27" s="39" customFormat="1" x14ac:dyDescent="0.35">
      <c r="A413" s="37" t="s">
        <v>1209</v>
      </c>
      <c r="B413" s="37" t="s">
        <v>1220</v>
      </c>
      <c r="C413" s="91">
        <v>8471110</v>
      </c>
      <c r="D413" s="37" t="s">
        <v>1210</v>
      </c>
      <c r="E413" s="91">
        <v>428090</v>
      </c>
      <c r="F413" s="37" t="s">
        <v>154</v>
      </c>
      <c r="G413" s="90">
        <v>847001</v>
      </c>
      <c r="H413" s="37" t="s">
        <v>50</v>
      </c>
      <c r="I413" s="90">
        <v>200179</v>
      </c>
      <c r="J413" s="37" t="s">
        <v>61</v>
      </c>
      <c r="K413" s="265">
        <v>90100</v>
      </c>
      <c r="L413" s="265">
        <v>30379</v>
      </c>
      <c r="M413" s="265">
        <v>0</v>
      </c>
      <c r="N413" s="265">
        <v>100000</v>
      </c>
      <c r="O413" s="265">
        <v>100000</v>
      </c>
      <c r="P413" s="265">
        <v>0</v>
      </c>
      <c r="Q413" s="265">
        <v>0</v>
      </c>
      <c r="R413" s="265">
        <v>0</v>
      </c>
      <c r="S413" s="265">
        <v>150000</v>
      </c>
      <c r="T413" s="265">
        <v>135000</v>
      </c>
      <c r="U413" s="265">
        <v>0</v>
      </c>
      <c r="V413" s="265">
        <v>105000</v>
      </c>
      <c r="W413" s="265">
        <v>150000</v>
      </c>
      <c r="X413" s="265">
        <v>150000</v>
      </c>
      <c r="Y413" s="50">
        <f t="shared" si="6"/>
        <v>50000</v>
      </c>
    </row>
    <row r="414" spans="1:27" s="39" customFormat="1" x14ac:dyDescent="0.35">
      <c r="A414" s="37" t="s">
        <v>1209</v>
      </c>
      <c r="B414" s="37" t="s">
        <v>1226</v>
      </c>
      <c r="C414" s="91">
        <v>8471130</v>
      </c>
      <c r="D414" s="37" t="s">
        <v>1225</v>
      </c>
      <c r="E414" s="91">
        <v>420811</v>
      </c>
      <c r="F414" s="37" t="s">
        <v>65</v>
      </c>
      <c r="G414" s="90">
        <v>847001</v>
      </c>
      <c r="H414" s="37" t="s">
        <v>50</v>
      </c>
      <c r="I414" s="90">
        <v>200179</v>
      </c>
      <c r="J414" s="37" t="s">
        <v>61</v>
      </c>
      <c r="K414" s="265">
        <v>0</v>
      </c>
      <c r="L414" s="265">
        <v>0</v>
      </c>
      <c r="M414" s="265">
        <v>0</v>
      </c>
      <c r="N414" s="265">
        <v>300000</v>
      </c>
      <c r="O414" s="265">
        <v>300000</v>
      </c>
      <c r="P414" s="265">
        <v>0</v>
      </c>
      <c r="Q414" s="265">
        <v>276944.2</v>
      </c>
      <c r="R414" s="265">
        <v>0</v>
      </c>
      <c r="S414" s="265">
        <v>170004</v>
      </c>
      <c r="T414" s="265">
        <v>153004</v>
      </c>
      <c r="U414" s="265">
        <v>0</v>
      </c>
      <c r="V414" s="265">
        <v>119003</v>
      </c>
      <c r="W414" s="265">
        <v>180000</v>
      </c>
      <c r="X414" s="265">
        <v>180000</v>
      </c>
      <c r="Y414" s="50">
        <f t="shared" si="6"/>
        <v>-129996</v>
      </c>
    </row>
    <row r="415" spans="1:27" s="39" customFormat="1" x14ac:dyDescent="0.35">
      <c r="A415" s="37" t="s">
        <v>1209</v>
      </c>
      <c r="B415" s="37" t="s">
        <v>1234</v>
      </c>
      <c r="C415" s="91">
        <v>8471130</v>
      </c>
      <c r="D415" s="37" t="s">
        <v>1225</v>
      </c>
      <c r="E415" s="91">
        <v>426610</v>
      </c>
      <c r="F415" s="37" t="s">
        <v>694</v>
      </c>
      <c r="G415" s="90">
        <v>847001</v>
      </c>
      <c r="H415" s="37" t="s">
        <v>50</v>
      </c>
      <c r="I415" s="90">
        <v>200179</v>
      </c>
      <c r="J415" s="37" t="s">
        <v>61</v>
      </c>
      <c r="K415" s="265">
        <v>15099</v>
      </c>
      <c r="L415" s="265">
        <v>-2890</v>
      </c>
      <c r="M415" s="265">
        <v>214871</v>
      </c>
      <c r="N415" s="265">
        <v>171900</v>
      </c>
      <c r="O415" s="265">
        <v>171900</v>
      </c>
      <c r="P415" s="265">
        <v>171712.75</v>
      </c>
      <c r="Q415" s="265">
        <v>0</v>
      </c>
      <c r="R415" s="265">
        <v>0</v>
      </c>
      <c r="S415" s="265">
        <v>187323</v>
      </c>
      <c r="T415" s="265">
        <v>168591</v>
      </c>
      <c r="U415" s="265">
        <v>0</v>
      </c>
      <c r="V415" s="265">
        <v>131126</v>
      </c>
      <c r="W415" s="265">
        <v>120000</v>
      </c>
      <c r="X415" s="265">
        <v>120000</v>
      </c>
      <c r="Y415" s="50">
        <f t="shared" si="6"/>
        <v>15423</v>
      </c>
    </row>
    <row r="416" spans="1:27" s="39" customFormat="1" x14ac:dyDescent="0.35">
      <c r="A416" s="37" t="s">
        <v>1209</v>
      </c>
      <c r="B416" s="37" t="s">
        <v>1239</v>
      </c>
      <c r="C416" s="91">
        <v>8471130</v>
      </c>
      <c r="D416" s="37" t="s">
        <v>1225</v>
      </c>
      <c r="E416" s="91">
        <v>427900</v>
      </c>
      <c r="F416" s="37" t="s">
        <v>1205</v>
      </c>
      <c r="G416" s="90">
        <v>847001</v>
      </c>
      <c r="H416" s="37" t="s">
        <v>50</v>
      </c>
      <c r="I416" s="90">
        <v>200179</v>
      </c>
      <c r="J416" s="37" t="s">
        <v>61</v>
      </c>
      <c r="K416" s="265">
        <v>0</v>
      </c>
      <c r="L416" s="265">
        <v>0</v>
      </c>
      <c r="M416" s="265">
        <v>0</v>
      </c>
      <c r="N416" s="265">
        <v>5000</v>
      </c>
      <c r="O416" s="265">
        <v>5000</v>
      </c>
      <c r="P416" s="265">
        <v>0</v>
      </c>
      <c r="Q416" s="265">
        <v>0</v>
      </c>
      <c r="R416" s="265">
        <v>0</v>
      </c>
      <c r="S416" s="265">
        <v>5000</v>
      </c>
      <c r="T416" s="265">
        <v>4500</v>
      </c>
      <c r="U416" s="265">
        <v>0</v>
      </c>
      <c r="V416" s="265">
        <v>3500</v>
      </c>
      <c r="W416" s="265">
        <v>187500</v>
      </c>
      <c r="X416" s="265">
        <v>187500</v>
      </c>
      <c r="Y416" s="50">
        <f t="shared" si="6"/>
        <v>0</v>
      </c>
    </row>
    <row r="417" spans="1:28" s="39" customFormat="1" x14ac:dyDescent="0.35">
      <c r="A417" s="37" t="s">
        <v>1209</v>
      </c>
      <c r="B417" s="37" t="s">
        <v>1230</v>
      </c>
      <c r="C417" s="91">
        <v>8471130</v>
      </c>
      <c r="D417" s="37" t="s">
        <v>1225</v>
      </c>
      <c r="E417" s="91">
        <v>428090</v>
      </c>
      <c r="F417" s="37" t="s">
        <v>154</v>
      </c>
      <c r="G417" s="90">
        <v>847001</v>
      </c>
      <c r="H417" s="37" t="s">
        <v>50</v>
      </c>
      <c r="I417" s="90">
        <v>200179</v>
      </c>
      <c r="J417" s="37" t="s">
        <v>61</v>
      </c>
      <c r="K417" s="265">
        <v>350</v>
      </c>
      <c r="L417" s="265">
        <v>14448</v>
      </c>
      <c r="M417" s="265">
        <v>0</v>
      </c>
      <c r="N417" s="265">
        <v>70000</v>
      </c>
      <c r="O417" s="265">
        <v>70000</v>
      </c>
      <c r="P417" s="265">
        <v>0</v>
      </c>
      <c r="Q417" s="265">
        <v>0</v>
      </c>
      <c r="R417" s="265">
        <v>0</v>
      </c>
      <c r="S417" s="265">
        <v>120000</v>
      </c>
      <c r="T417" s="265">
        <v>108000</v>
      </c>
      <c r="U417" s="265">
        <v>0</v>
      </c>
      <c r="V417" s="265">
        <v>84000</v>
      </c>
      <c r="W417" s="265">
        <v>5000</v>
      </c>
      <c r="X417" s="265">
        <v>5000</v>
      </c>
      <c r="Y417" s="50">
        <f t="shared" si="6"/>
        <v>50000</v>
      </c>
    </row>
    <row r="418" spans="1:28" s="39" customFormat="1" x14ac:dyDescent="0.35">
      <c r="A418" s="37" t="s">
        <v>1209</v>
      </c>
      <c r="B418" s="37" t="s">
        <v>1244</v>
      </c>
      <c r="C418" s="91">
        <v>8471130</v>
      </c>
      <c r="D418" s="37" t="s">
        <v>1225</v>
      </c>
      <c r="E418" s="91">
        <v>435523</v>
      </c>
      <c r="F418" s="37" t="s">
        <v>1243</v>
      </c>
      <c r="G418" s="90">
        <v>847001</v>
      </c>
      <c r="H418" s="37" t="s">
        <v>50</v>
      </c>
      <c r="I418" s="90">
        <v>200179</v>
      </c>
      <c r="J418" s="37" t="s">
        <v>61</v>
      </c>
      <c r="K418" s="265">
        <v>64438059</v>
      </c>
      <c r="L418" s="265">
        <v>93594271</v>
      </c>
      <c r="M418" s="265">
        <v>198468</v>
      </c>
      <c r="N418" s="265">
        <v>205962</v>
      </c>
      <c r="O418" s="265">
        <v>205962</v>
      </c>
      <c r="P418" s="265">
        <v>115469.15</v>
      </c>
      <c r="Q418" s="265">
        <v>0</v>
      </c>
      <c r="R418" s="265">
        <v>29590.09</v>
      </c>
      <c r="S418" s="265">
        <v>200000</v>
      </c>
      <c r="T418" s="265">
        <v>180000</v>
      </c>
      <c r="U418" s="265">
        <v>0</v>
      </c>
      <c r="V418" s="265">
        <v>140000</v>
      </c>
      <c r="W418" s="265">
        <v>200000</v>
      </c>
      <c r="X418" s="265">
        <v>200000</v>
      </c>
      <c r="Y418" s="50">
        <f t="shared" si="6"/>
        <v>-5962</v>
      </c>
    </row>
    <row r="419" spans="1:28" s="39" customFormat="1" x14ac:dyDescent="0.35">
      <c r="A419" s="37" t="s">
        <v>1209</v>
      </c>
      <c r="B419" s="37" t="s">
        <v>1250</v>
      </c>
      <c r="C419" s="91">
        <v>8471140</v>
      </c>
      <c r="D419" s="37" t="s">
        <v>1249</v>
      </c>
      <c r="E419" s="91">
        <v>420570</v>
      </c>
      <c r="F419" s="37" t="s">
        <v>231</v>
      </c>
      <c r="G419" s="90">
        <v>847001</v>
      </c>
      <c r="H419" s="37" t="s">
        <v>50</v>
      </c>
      <c r="I419" s="90">
        <v>200179</v>
      </c>
      <c r="J419" s="37" t="s">
        <v>61</v>
      </c>
      <c r="K419" s="265">
        <v>0</v>
      </c>
      <c r="L419" s="265">
        <v>0</v>
      </c>
      <c r="M419" s="265">
        <v>11867278</v>
      </c>
      <c r="N419" s="265">
        <v>231840</v>
      </c>
      <c r="O419" s="265">
        <v>231840</v>
      </c>
      <c r="P419" s="265">
        <v>64153.81</v>
      </c>
      <c r="Q419" s="265">
        <v>0</v>
      </c>
      <c r="R419" s="265">
        <v>0</v>
      </c>
      <c r="S419" s="265">
        <v>305025</v>
      </c>
      <c r="T419" s="265">
        <v>274523</v>
      </c>
      <c r="U419" s="265">
        <v>0</v>
      </c>
      <c r="V419" s="265">
        <v>213518</v>
      </c>
      <c r="W419" s="265">
        <v>231525</v>
      </c>
      <c r="X419" s="265">
        <v>231525</v>
      </c>
      <c r="Y419" s="50">
        <f t="shared" si="6"/>
        <v>73185</v>
      </c>
    </row>
    <row r="420" spans="1:28" s="39" customFormat="1" x14ac:dyDescent="0.35">
      <c r="A420" s="37" t="s">
        <v>1209</v>
      </c>
      <c r="B420" s="37" t="s">
        <v>1329</v>
      </c>
      <c r="C420" s="91">
        <v>8471140</v>
      </c>
      <c r="D420" s="37" t="s">
        <v>1249</v>
      </c>
      <c r="E420" s="91">
        <v>428090</v>
      </c>
      <c r="F420" s="37" t="s">
        <v>154</v>
      </c>
      <c r="G420" s="90">
        <v>847001</v>
      </c>
      <c r="H420" s="37" t="s">
        <v>50</v>
      </c>
      <c r="I420" s="90">
        <v>200179</v>
      </c>
      <c r="J420" s="37" t="s">
        <v>61</v>
      </c>
      <c r="K420" s="265">
        <v>54648</v>
      </c>
      <c r="L420" s="265">
        <v>0</v>
      </c>
      <c r="M420" s="265">
        <v>0</v>
      </c>
      <c r="N420" s="265">
        <v>80000</v>
      </c>
      <c r="O420" s="265">
        <v>80000</v>
      </c>
      <c r="P420" s="265">
        <v>2605.5</v>
      </c>
      <c r="Q420" s="265">
        <v>0</v>
      </c>
      <c r="R420" s="265">
        <v>0</v>
      </c>
      <c r="S420" s="265">
        <v>100000</v>
      </c>
      <c r="T420" s="265">
        <v>90000</v>
      </c>
      <c r="U420" s="265">
        <v>0</v>
      </c>
      <c r="V420" s="265">
        <v>70000</v>
      </c>
      <c r="W420" s="265">
        <v>120000</v>
      </c>
      <c r="X420" s="265">
        <v>120000</v>
      </c>
      <c r="Y420" s="50">
        <f t="shared" si="6"/>
        <v>20000</v>
      </c>
    </row>
    <row r="421" spans="1:28" s="39" customFormat="1" x14ac:dyDescent="0.35">
      <c r="A421" s="37" t="s">
        <v>1209</v>
      </c>
      <c r="B421" s="37" t="s">
        <v>1258</v>
      </c>
      <c r="C421" s="91">
        <v>8471140</v>
      </c>
      <c r="D421" s="37" t="s">
        <v>1249</v>
      </c>
      <c r="E421" s="91">
        <v>435523</v>
      </c>
      <c r="F421" s="37" t="s">
        <v>1243</v>
      </c>
      <c r="G421" s="90">
        <v>847001</v>
      </c>
      <c r="H421" s="37" t="s">
        <v>50</v>
      </c>
      <c r="I421" s="90">
        <v>200179</v>
      </c>
      <c r="J421" s="37" t="s">
        <v>61</v>
      </c>
      <c r="K421" s="265">
        <v>0</v>
      </c>
      <c r="L421" s="265">
        <v>0</v>
      </c>
      <c r="M421" s="265">
        <v>83770903</v>
      </c>
      <c r="N421" s="265">
        <v>99885358</v>
      </c>
      <c r="O421" s="265">
        <v>99885358</v>
      </c>
      <c r="P421" s="265">
        <v>35469465.460000001</v>
      </c>
      <c r="Q421" s="265">
        <v>980501.29</v>
      </c>
      <c r="R421" s="265">
        <v>3956547.04</v>
      </c>
      <c r="S421" s="265">
        <v>113448860</v>
      </c>
      <c r="T421" s="265">
        <v>73543318</v>
      </c>
      <c r="U421" s="265">
        <v>0</v>
      </c>
      <c r="V421" s="265">
        <v>57200358</v>
      </c>
      <c r="W421" s="265">
        <v>131130084</v>
      </c>
      <c r="X421" s="265">
        <v>148199258</v>
      </c>
      <c r="Y421" s="50">
        <f t="shared" si="6"/>
        <v>13563502</v>
      </c>
    </row>
    <row r="422" spans="1:28" s="39" customFormat="1" x14ac:dyDescent="0.35">
      <c r="A422" s="37" t="s">
        <v>1209</v>
      </c>
      <c r="B422" s="37" t="s">
        <v>1267</v>
      </c>
      <c r="C422" s="91">
        <v>8471150</v>
      </c>
      <c r="D422" s="37" t="s">
        <v>1265</v>
      </c>
      <c r="E422" s="91">
        <v>420900</v>
      </c>
      <c r="F422" s="37" t="s">
        <v>1266</v>
      </c>
      <c r="G422" s="90">
        <v>847001</v>
      </c>
      <c r="H422" s="37" t="s">
        <v>50</v>
      </c>
      <c r="I422" s="90">
        <v>200179</v>
      </c>
      <c r="J422" s="37" t="s">
        <v>61</v>
      </c>
      <c r="K422" s="265">
        <v>2436634</v>
      </c>
      <c r="L422" s="265">
        <v>2676268</v>
      </c>
      <c r="M422" s="265">
        <v>2639907</v>
      </c>
      <c r="N422" s="265">
        <v>3332844</v>
      </c>
      <c r="O422" s="265">
        <v>3332844</v>
      </c>
      <c r="P422" s="265">
        <v>1809835.12</v>
      </c>
      <c r="Q422" s="265">
        <v>568570.87</v>
      </c>
      <c r="R422" s="265">
        <v>99038.92</v>
      </c>
      <c r="S422" s="265">
        <v>4978500</v>
      </c>
      <c r="T422" s="265">
        <v>4480650</v>
      </c>
      <c r="U422" s="265">
        <v>0</v>
      </c>
      <c r="V422" s="265">
        <v>3484950</v>
      </c>
      <c r="W422" s="265">
        <v>5725275</v>
      </c>
      <c r="X422" s="265">
        <v>6303000</v>
      </c>
      <c r="Y422" s="50">
        <f t="shared" si="6"/>
        <v>1645656</v>
      </c>
    </row>
    <row r="423" spans="1:28" s="39" customFormat="1" x14ac:dyDescent="0.35">
      <c r="A423" s="37" t="s">
        <v>1209</v>
      </c>
      <c r="B423" s="37" t="s">
        <v>1273</v>
      </c>
      <c r="C423" s="91">
        <v>8471150</v>
      </c>
      <c r="D423" s="37" t="s">
        <v>1265</v>
      </c>
      <c r="E423" s="91">
        <v>425510</v>
      </c>
      <c r="F423" s="37" t="s">
        <v>247</v>
      </c>
      <c r="G423" s="90">
        <v>847001</v>
      </c>
      <c r="H423" s="37" t="s">
        <v>50</v>
      </c>
      <c r="I423" s="90">
        <v>200179</v>
      </c>
      <c r="J423" s="37" t="s">
        <v>61</v>
      </c>
      <c r="K423" s="265">
        <v>0</v>
      </c>
      <c r="L423" s="265">
        <v>0</v>
      </c>
      <c r="M423" s="265">
        <v>10138</v>
      </c>
      <c r="N423" s="38">
        <v>100002</v>
      </c>
      <c r="O423" s="265">
        <v>100002</v>
      </c>
      <c r="P423" s="265">
        <v>0</v>
      </c>
      <c r="Q423" s="265">
        <v>0</v>
      </c>
      <c r="R423" s="265">
        <v>0</v>
      </c>
      <c r="S423" s="38">
        <v>72000</v>
      </c>
      <c r="T423" s="265">
        <v>64800</v>
      </c>
      <c r="U423" s="265">
        <v>0</v>
      </c>
      <c r="V423" s="265">
        <v>50400</v>
      </c>
      <c r="W423" s="265">
        <v>70000</v>
      </c>
      <c r="X423" s="265">
        <v>70000</v>
      </c>
      <c r="Y423" s="38">
        <f t="shared" si="6"/>
        <v>-28002</v>
      </c>
    </row>
    <row r="424" spans="1:28" s="39" customFormat="1" x14ac:dyDescent="0.35">
      <c r="A424" s="37" t="s">
        <v>1209</v>
      </c>
      <c r="B424" s="37" t="s">
        <v>1275</v>
      </c>
      <c r="C424" s="91">
        <v>8471150</v>
      </c>
      <c r="D424" s="37" t="s">
        <v>1265</v>
      </c>
      <c r="E424" s="91">
        <v>425550</v>
      </c>
      <c r="F424" s="37" t="s">
        <v>253</v>
      </c>
      <c r="G424" s="90">
        <v>847001</v>
      </c>
      <c r="H424" s="37" t="s">
        <v>50</v>
      </c>
      <c r="I424" s="90">
        <v>200179</v>
      </c>
      <c r="J424" s="37" t="s">
        <v>61</v>
      </c>
      <c r="K424" s="265">
        <v>0</v>
      </c>
      <c r="L424" s="265">
        <v>0</v>
      </c>
      <c r="M424" s="265">
        <v>0</v>
      </c>
      <c r="N424" s="38">
        <v>100002</v>
      </c>
      <c r="O424" s="265">
        <v>100002</v>
      </c>
      <c r="P424" s="265">
        <v>11745</v>
      </c>
      <c r="Q424" s="265">
        <v>0</v>
      </c>
      <c r="R424" s="265">
        <v>0</v>
      </c>
      <c r="S424" s="38">
        <v>100002</v>
      </c>
      <c r="T424" s="265">
        <v>90002</v>
      </c>
      <c r="U424" s="265">
        <v>0</v>
      </c>
      <c r="V424" s="265">
        <v>70001</v>
      </c>
      <c r="W424" s="265">
        <v>102000</v>
      </c>
      <c r="X424" s="265">
        <v>150000</v>
      </c>
      <c r="Y424" s="38">
        <f t="shared" si="6"/>
        <v>0</v>
      </c>
    </row>
    <row r="425" spans="1:28" s="39" customFormat="1" x14ac:dyDescent="0.35">
      <c r="A425" s="37" t="s">
        <v>1209</v>
      </c>
      <c r="B425" s="37" t="s">
        <v>1277</v>
      </c>
      <c r="C425" s="91">
        <v>8471150</v>
      </c>
      <c r="D425" s="37" t="s">
        <v>1265</v>
      </c>
      <c r="E425" s="91">
        <v>426610</v>
      </c>
      <c r="F425" s="37" t="s">
        <v>694</v>
      </c>
      <c r="G425" s="90">
        <v>847001</v>
      </c>
      <c r="H425" s="37" t="s">
        <v>50</v>
      </c>
      <c r="I425" s="90">
        <v>200179</v>
      </c>
      <c r="J425" s="37" t="s">
        <v>61</v>
      </c>
      <c r="K425" s="265">
        <v>135012</v>
      </c>
      <c r="L425" s="265">
        <v>26784</v>
      </c>
      <c r="M425" s="265">
        <v>76379</v>
      </c>
      <c r="N425" s="265">
        <v>120000</v>
      </c>
      <c r="O425" s="265">
        <v>120000</v>
      </c>
      <c r="P425" s="265">
        <v>0</v>
      </c>
      <c r="Q425" s="265">
        <v>0</v>
      </c>
      <c r="R425" s="265">
        <v>0</v>
      </c>
      <c r="S425" s="265">
        <v>165000</v>
      </c>
      <c r="T425" s="265">
        <v>148500</v>
      </c>
      <c r="U425" s="265">
        <v>0</v>
      </c>
      <c r="V425" s="265">
        <v>115500</v>
      </c>
      <c r="W425" s="265">
        <v>304000</v>
      </c>
      <c r="X425" s="265">
        <v>200000</v>
      </c>
      <c r="Y425" s="50">
        <f t="shared" si="6"/>
        <v>45000</v>
      </c>
    </row>
    <row r="426" spans="1:28" s="39" customFormat="1" x14ac:dyDescent="0.35">
      <c r="A426" s="37" t="s">
        <v>1209</v>
      </c>
      <c r="B426" s="37" t="s">
        <v>1282</v>
      </c>
      <c r="C426" s="91">
        <v>8471150</v>
      </c>
      <c r="D426" s="37" t="s">
        <v>1265</v>
      </c>
      <c r="E426" s="91">
        <v>428090</v>
      </c>
      <c r="F426" s="37" t="s">
        <v>154</v>
      </c>
      <c r="G426" s="90">
        <v>847001</v>
      </c>
      <c r="H426" s="37" t="s">
        <v>50</v>
      </c>
      <c r="I426" s="90">
        <v>200179</v>
      </c>
      <c r="J426" s="37" t="s">
        <v>61</v>
      </c>
      <c r="K426" s="265">
        <v>41709</v>
      </c>
      <c r="L426" s="265">
        <v>0</v>
      </c>
      <c r="M426" s="265">
        <v>0</v>
      </c>
      <c r="N426" s="265">
        <v>50001</v>
      </c>
      <c r="O426" s="265">
        <v>50001</v>
      </c>
      <c r="P426" s="265">
        <v>0</v>
      </c>
      <c r="Q426" s="265">
        <v>0</v>
      </c>
      <c r="R426" s="265">
        <v>0</v>
      </c>
      <c r="S426" s="265">
        <v>50400</v>
      </c>
      <c r="T426" s="265">
        <v>45360</v>
      </c>
      <c r="U426" s="265">
        <v>0</v>
      </c>
      <c r="V426" s="265">
        <v>35280</v>
      </c>
      <c r="W426" s="265">
        <v>150000</v>
      </c>
      <c r="X426" s="265">
        <v>150000</v>
      </c>
      <c r="Y426" s="50">
        <f t="shared" si="6"/>
        <v>399</v>
      </c>
    </row>
    <row r="427" spans="1:28" s="39" customFormat="1" x14ac:dyDescent="0.35">
      <c r="A427" s="37" t="s">
        <v>1209</v>
      </c>
      <c r="B427" s="37" t="s">
        <v>2812</v>
      </c>
      <c r="C427" s="91">
        <v>8471150</v>
      </c>
      <c r="D427" s="37" t="s">
        <v>1265</v>
      </c>
      <c r="E427" s="91">
        <v>435310</v>
      </c>
      <c r="F427" s="37" t="s">
        <v>1336</v>
      </c>
      <c r="G427" s="90">
        <v>847001</v>
      </c>
      <c r="H427" s="37" t="s">
        <v>50</v>
      </c>
      <c r="I427" s="90">
        <v>200179</v>
      </c>
      <c r="J427" s="37" t="s">
        <v>61</v>
      </c>
      <c r="K427" s="265">
        <v>11001</v>
      </c>
      <c r="L427" s="265">
        <v>0</v>
      </c>
      <c r="M427" s="265">
        <v>0</v>
      </c>
      <c r="N427" s="265">
        <v>0</v>
      </c>
      <c r="O427" s="265">
        <v>0</v>
      </c>
      <c r="P427" s="265">
        <v>0</v>
      </c>
      <c r="Q427" s="265">
        <v>0</v>
      </c>
      <c r="R427" s="265">
        <v>0</v>
      </c>
      <c r="S427" s="265">
        <v>12000</v>
      </c>
      <c r="T427" s="265">
        <v>10800</v>
      </c>
      <c r="U427" s="265">
        <v>0</v>
      </c>
      <c r="V427" s="265">
        <v>8400</v>
      </c>
      <c r="W427" s="265">
        <v>15000</v>
      </c>
      <c r="X427" s="265">
        <v>15000</v>
      </c>
      <c r="Y427" s="50">
        <f t="shared" si="6"/>
        <v>12000</v>
      </c>
    </row>
    <row r="428" spans="1:28" s="39" customFormat="1" x14ac:dyDescent="0.35">
      <c r="A428" s="37" t="s">
        <v>1209</v>
      </c>
      <c r="B428" s="37" t="s">
        <v>1287</v>
      </c>
      <c r="C428" s="91">
        <v>8471170</v>
      </c>
      <c r="D428" s="37" t="s">
        <v>1286</v>
      </c>
      <c r="E428" s="91">
        <v>420811</v>
      </c>
      <c r="F428" s="37" t="s">
        <v>65</v>
      </c>
      <c r="G428" s="90">
        <v>847001</v>
      </c>
      <c r="H428" s="37" t="s">
        <v>50</v>
      </c>
      <c r="I428" s="90">
        <v>200179</v>
      </c>
      <c r="J428" s="37" t="s">
        <v>61</v>
      </c>
      <c r="K428" s="265">
        <v>0</v>
      </c>
      <c r="L428" s="265">
        <v>0</v>
      </c>
      <c r="M428" s="265">
        <v>0</v>
      </c>
      <c r="N428" s="265">
        <v>1709607</v>
      </c>
      <c r="O428" s="265">
        <v>1709607</v>
      </c>
      <c r="P428" s="265">
        <v>0</v>
      </c>
      <c r="Q428" s="265">
        <v>0</v>
      </c>
      <c r="R428" s="265">
        <v>0</v>
      </c>
      <c r="S428" s="265">
        <v>5437179</v>
      </c>
      <c r="T428" s="265">
        <v>4443458</v>
      </c>
      <c r="U428" s="265">
        <v>0</v>
      </c>
      <c r="V428" s="265">
        <v>3456023</v>
      </c>
      <c r="W428" s="265">
        <v>5807782</v>
      </c>
      <c r="X428" s="265">
        <v>5807782</v>
      </c>
      <c r="Y428" s="50">
        <f t="shared" si="6"/>
        <v>3727572</v>
      </c>
      <c r="Z428" s="275">
        <f>Y428/N428</f>
        <v>2.1803677687328142</v>
      </c>
    </row>
    <row r="429" spans="1:28" s="39" customFormat="1" x14ac:dyDescent="0.35">
      <c r="A429" s="37" t="s">
        <v>1209</v>
      </c>
      <c r="B429" s="37" t="s">
        <v>1292</v>
      </c>
      <c r="C429" s="91">
        <v>8471170</v>
      </c>
      <c r="D429" s="37" t="s">
        <v>1286</v>
      </c>
      <c r="E429" s="91">
        <v>425900</v>
      </c>
      <c r="F429" s="37" t="s">
        <v>266</v>
      </c>
      <c r="G429" s="90">
        <v>847001</v>
      </c>
      <c r="H429" s="37" t="s">
        <v>50</v>
      </c>
      <c r="I429" s="90">
        <v>200179</v>
      </c>
      <c r="J429" s="37" t="s">
        <v>61</v>
      </c>
      <c r="K429" s="265">
        <v>0</v>
      </c>
      <c r="L429" s="265">
        <v>0</v>
      </c>
      <c r="M429" s="265">
        <v>0</v>
      </c>
      <c r="N429" s="265">
        <v>10000</v>
      </c>
      <c r="O429" s="265">
        <v>10000</v>
      </c>
      <c r="P429" s="265">
        <v>0</v>
      </c>
      <c r="Q429" s="265">
        <v>0</v>
      </c>
      <c r="R429" s="265">
        <v>0</v>
      </c>
      <c r="S429" s="265">
        <v>10000</v>
      </c>
      <c r="T429" s="265">
        <v>9000</v>
      </c>
      <c r="U429" s="265">
        <v>0</v>
      </c>
      <c r="V429" s="265">
        <v>7000</v>
      </c>
      <c r="W429" s="265">
        <v>10000</v>
      </c>
      <c r="X429" s="265">
        <v>10000</v>
      </c>
      <c r="Y429" s="50">
        <f t="shared" si="6"/>
        <v>0</v>
      </c>
    </row>
    <row r="430" spans="1:28" s="39" customFormat="1" x14ac:dyDescent="0.35">
      <c r="A430" s="37" t="s">
        <v>1209</v>
      </c>
      <c r="B430" s="37" t="s">
        <v>1296</v>
      </c>
      <c r="C430" s="91">
        <v>8471170</v>
      </c>
      <c r="D430" s="37" t="s">
        <v>1286</v>
      </c>
      <c r="E430" s="91">
        <v>426610</v>
      </c>
      <c r="F430" s="37" t="s">
        <v>694</v>
      </c>
      <c r="G430" s="90">
        <v>847001</v>
      </c>
      <c r="H430" s="37" t="s">
        <v>50</v>
      </c>
      <c r="I430" s="90">
        <v>200179</v>
      </c>
      <c r="J430" s="37" t="s">
        <v>61</v>
      </c>
      <c r="K430" s="265">
        <v>677191</v>
      </c>
      <c r="L430" s="265">
        <v>866024</v>
      </c>
      <c r="M430" s="265">
        <v>1268350</v>
      </c>
      <c r="N430" s="265">
        <v>2618576</v>
      </c>
      <c r="O430" s="265">
        <v>2618576</v>
      </c>
      <c r="P430" s="265">
        <v>82234.149999999994</v>
      </c>
      <c r="Q430" s="265">
        <v>1045883.62</v>
      </c>
      <c r="R430" s="265">
        <v>507382.75</v>
      </c>
      <c r="S430" s="265">
        <v>5406326</v>
      </c>
      <c r="T430" s="265">
        <v>4865693</v>
      </c>
      <c r="U430" s="265">
        <v>0</v>
      </c>
      <c r="V430" s="265">
        <v>3784428</v>
      </c>
      <c r="W430" s="265">
        <v>5406326</v>
      </c>
      <c r="X430" s="265">
        <v>6541654</v>
      </c>
      <c r="Y430" s="50">
        <f t="shared" si="6"/>
        <v>2787750</v>
      </c>
    </row>
    <row r="431" spans="1:28" s="39" customFormat="1" x14ac:dyDescent="0.35">
      <c r="A431" s="37" t="s">
        <v>1209</v>
      </c>
      <c r="B431" s="37" t="s">
        <v>1299</v>
      </c>
      <c r="C431" s="91">
        <v>8471170</v>
      </c>
      <c r="D431" s="37" t="s">
        <v>1286</v>
      </c>
      <c r="E431" s="91">
        <v>428090</v>
      </c>
      <c r="F431" s="37" t="s">
        <v>154</v>
      </c>
      <c r="G431" s="90">
        <v>847001</v>
      </c>
      <c r="H431" s="37" t="s">
        <v>50</v>
      </c>
      <c r="I431" s="90">
        <v>200179</v>
      </c>
      <c r="J431" s="37" t="s">
        <v>61</v>
      </c>
      <c r="K431" s="265">
        <v>2750</v>
      </c>
      <c r="L431" s="265">
        <v>0</v>
      </c>
      <c r="M431" s="265">
        <v>0</v>
      </c>
      <c r="N431" s="265">
        <v>45000</v>
      </c>
      <c r="O431" s="265">
        <v>45000</v>
      </c>
      <c r="P431" s="265">
        <v>0</v>
      </c>
      <c r="Q431" s="265">
        <v>0</v>
      </c>
      <c r="R431" s="265">
        <v>0</v>
      </c>
      <c r="S431" s="265">
        <v>45000</v>
      </c>
      <c r="T431" s="265">
        <v>40500</v>
      </c>
      <c r="U431" s="265">
        <v>0</v>
      </c>
      <c r="V431" s="265">
        <v>31500</v>
      </c>
      <c r="W431" s="265">
        <v>45000</v>
      </c>
      <c r="X431" s="265">
        <v>45000</v>
      </c>
      <c r="Y431" s="50">
        <f t="shared" si="6"/>
        <v>0</v>
      </c>
    </row>
    <row r="432" spans="1:28" s="39" customFormat="1" x14ac:dyDescent="0.35">
      <c r="A432" s="37" t="s">
        <v>1209</v>
      </c>
      <c r="B432" s="37" t="s">
        <v>1303</v>
      </c>
      <c r="C432" s="91">
        <v>8471170</v>
      </c>
      <c r="D432" s="37" t="s">
        <v>1286</v>
      </c>
      <c r="E432" s="91">
        <v>492316</v>
      </c>
      <c r="F432" s="37" t="s">
        <v>221</v>
      </c>
      <c r="G432" s="90">
        <v>847001</v>
      </c>
      <c r="H432" s="37" t="s">
        <v>50</v>
      </c>
      <c r="I432" s="90">
        <v>300180</v>
      </c>
      <c r="J432" s="37" t="s">
        <v>192</v>
      </c>
      <c r="K432" s="265">
        <v>0</v>
      </c>
      <c r="L432" s="265">
        <v>5545455</v>
      </c>
      <c r="M432" s="265">
        <v>6593486</v>
      </c>
      <c r="N432" s="265">
        <v>3308433</v>
      </c>
      <c r="O432" s="265">
        <v>3308433</v>
      </c>
      <c r="P432" s="265">
        <v>0</v>
      </c>
      <c r="Q432" s="265">
        <v>0</v>
      </c>
      <c r="R432" s="265">
        <v>0</v>
      </c>
      <c r="S432" s="265">
        <v>22181820</v>
      </c>
      <c r="T432" s="265">
        <v>19963638</v>
      </c>
      <c r="U432" s="265">
        <v>0</v>
      </c>
      <c r="V432" s="265">
        <v>15527274</v>
      </c>
      <c r="W432" s="265">
        <v>0</v>
      </c>
      <c r="X432" s="265">
        <v>0</v>
      </c>
      <c r="Y432" s="50">
        <f t="shared" si="6"/>
        <v>18873387</v>
      </c>
      <c r="Z432" s="274">
        <f>Y432</f>
        <v>18873387</v>
      </c>
      <c r="AA432" s="275">
        <f>Z432/N432</f>
        <v>5.7046302584939754</v>
      </c>
      <c r="AB432" s="275">
        <f>Z432/N432</f>
        <v>5.7046302584939754</v>
      </c>
    </row>
    <row r="433" spans="1:25" s="39" customFormat="1" x14ac:dyDescent="0.35">
      <c r="A433" s="37" t="s">
        <v>1209</v>
      </c>
      <c r="B433" s="37" t="s">
        <v>1307</v>
      </c>
      <c r="C433" s="91">
        <v>8471170</v>
      </c>
      <c r="D433" s="37" t="s">
        <v>1286</v>
      </c>
      <c r="E433" s="91">
        <v>495113</v>
      </c>
      <c r="F433" s="37" t="s">
        <v>214</v>
      </c>
      <c r="G433" s="90">
        <v>847001</v>
      </c>
      <c r="H433" s="37" t="s">
        <v>50</v>
      </c>
      <c r="I433" s="90">
        <v>300180</v>
      </c>
      <c r="J433" s="37" t="s">
        <v>192</v>
      </c>
      <c r="K433" s="265">
        <v>0</v>
      </c>
      <c r="L433" s="265">
        <v>0</v>
      </c>
      <c r="M433" s="265">
        <v>0</v>
      </c>
      <c r="N433" s="265">
        <v>277018</v>
      </c>
      <c r="O433" s="265">
        <v>277018</v>
      </c>
      <c r="P433" s="265">
        <v>138508.82999999999</v>
      </c>
      <c r="Q433" s="265">
        <v>0</v>
      </c>
      <c r="R433" s="265">
        <v>0</v>
      </c>
      <c r="S433" s="265">
        <v>300000</v>
      </c>
      <c r="T433" s="265">
        <v>270000</v>
      </c>
      <c r="U433" s="265">
        <v>0</v>
      </c>
      <c r="V433" s="265">
        <v>210000</v>
      </c>
      <c r="W433" s="265">
        <v>0</v>
      </c>
      <c r="X433" s="265">
        <v>0</v>
      </c>
      <c r="Y433" s="50">
        <f t="shared" si="6"/>
        <v>22982</v>
      </c>
    </row>
    <row r="434" spans="1:25" s="39" customFormat="1" x14ac:dyDescent="0.35">
      <c r="A434" s="37" t="s">
        <v>47</v>
      </c>
      <c r="B434" s="37" t="s">
        <v>2794</v>
      </c>
      <c r="C434" s="91">
        <v>8470510</v>
      </c>
      <c r="D434" s="37" t="s">
        <v>2369</v>
      </c>
      <c r="E434" s="91">
        <v>425550</v>
      </c>
      <c r="F434" s="37" t="s">
        <v>253</v>
      </c>
      <c r="G434" s="90">
        <v>847001</v>
      </c>
      <c r="H434" s="37" t="s">
        <v>50</v>
      </c>
      <c r="I434" s="90">
        <v>200179</v>
      </c>
      <c r="J434" s="37" t="s">
        <v>61</v>
      </c>
      <c r="K434" s="265">
        <v>0</v>
      </c>
      <c r="L434" s="265">
        <v>0</v>
      </c>
      <c r="M434" s="265">
        <v>0</v>
      </c>
      <c r="N434" s="38">
        <v>0</v>
      </c>
      <c r="O434" s="265">
        <v>0</v>
      </c>
      <c r="P434" s="265">
        <v>0</v>
      </c>
      <c r="Q434" s="265">
        <v>0</v>
      </c>
      <c r="R434" s="265">
        <v>0</v>
      </c>
      <c r="S434" s="38">
        <v>30000</v>
      </c>
      <c r="T434" s="265">
        <v>27000</v>
      </c>
      <c r="U434" s="265">
        <v>24000</v>
      </c>
      <c r="V434" s="265">
        <v>21000</v>
      </c>
      <c r="W434" s="265">
        <v>0</v>
      </c>
      <c r="X434" s="265">
        <v>0</v>
      </c>
      <c r="Y434" s="38">
        <f t="shared" si="6"/>
        <v>30000</v>
      </c>
    </row>
    <row r="435" spans="1:25" s="39" customFormat="1" x14ac:dyDescent="0.35">
      <c r="A435" s="37" t="s">
        <v>47</v>
      </c>
      <c r="B435" s="37" t="s">
        <v>2601</v>
      </c>
      <c r="C435" s="91">
        <v>8470510</v>
      </c>
      <c r="D435" s="37" t="s">
        <v>2369</v>
      </c>
      <c r="E435" s="91">
        <v>425900</v>
      </c>
      <c r="F435" s="37" t="s">
        <v>266</v>
      </c>
      <c r="G435" s="90">
        <v>847001</v>
      </c>
      <c r="H435" s="37" t="s">
        <v>50</v>
      </c>
      <c r="I435" s="90">
        <v>200179</v>
      </c>
      <c r="J435" s="37" t="s">
        <v>61</v>
      </c>
      <c r="K435" s="265">
        <v>0</v>
      </c>
      <c r="L435" s="265">
        <v>0</v>
      </c>
      <c r="M435" s="265">
        <v>0</v>
      </c>
      <c r="N435" s="265">
        <v>0</v>
      </c>
      <c r="O435" s="265">
        <v>0</v>
      </c>
      <c r="P435" s="265">
        <v>0</v>
      </c>
      <c r="Q435" s="265">
        <v>0</v>
      </c>
      <c r="R435" s="265">
        <v>0</v>
      </c>
      <c r="S435" s="265">
        <v>40000</v>
      </c>
      <c r="T435" s="265">
        <v>36000</v>
      </c>
      <c r="U435" s="265">
        <v>32000</v>
      </c>
      <c r="V435" s="265">
        <v>28000</v>
      </c>
      <c r="W435" s="265">
        <v>50000</v>
      </c>
      <c r="X435" s="265">
        <v>60000</v>
      </c>
      <c r="Y435" s="50">
        <f t="shared" si="6"/>
        <v>40000</v>
      </c>
    </row>
    <row r="436" spans="1:25" s="39" customFormat="1" x14ac:dyDescent="0.35">
      <c r="A436" s="37" t="s">
        <v>47</v>
      </c>
      <c r="B436" s="37" t="s">
        <v>2602</v>
      </c>
      <c r="C436" s="91">
        <v>8470510</v>
      </c>
      <c r="D436" s="37" t="s">
        <v>2369</v>
      </c>
      <c r="E436" s="91">
        <v>428090</v>
      </c>
      <c r="F436" s="37" t="s">
        <v>154</v>
      </c>
      <c r="G436" s="90">
        <v>847001</v>
      </c>
      <c r="H436" s="37" t="s">
        <v>50</v>
      </c>
      <c r="I436" s="90">
        <v>200179</v>
      </c>
      <c r="J436" s="37" t="s">
        <v>61</v>
      </c>
      <c r="K436" s="265">
        <v>0</v>
      </c>
      <c r="L436" s="265">
        <v>0</v>
      </c>
      <c r="M436" s="265">
        <v>0</v>
      </c>
      <c r="N436" s="265">
        <v>0</v>
      </c>
      <c r="O436" s="265">
        <v>0</v>
      </c>
      <c r="P436" s="265">
        <v>0</v>
      </c>
      <c r="Q436" s="265">
        <v>0</v>
      </c>
      <c r="R436" s="265">
        <v>0</v>
      </c>
      <c r="S436" s="265">
        <v>100000</v>
      </c>
      <c r="T436" s="265">
        <v>90000</v>
      </c>
      <c r="U436" s="265">
        <v>80000</v>
      </c>
      <c r="V436" s="265">
        <v>70000</v>
      </c>
      <c r="W436" s="265">
        <v>150000</v>
      </c>
      <c r="X436" s="265">
        <v>200000</v>
      </c>
      <c r="Y436" s="50">
        <f t="shared" si="6"/>
        <v>100000</v>
      </c>
    </row>
    <row r="437" spans="1:25" s="39" customFormat="1" x14ac:dyDescent="0.35">
      <c r="A437" s="37" t="s">
        <v>47</v>
      </c>
      <c r="B437" s="37" t="s">
        <v>2792</v>
      </c>
      <c r="C437" s="91">
        <v>8470520</v>
      </c>
      <c r="D437" s="37" t="s">
        <v>2375</v>
      </c>
      <c r="E437" s="91">
        <v>421600</v>
      </c>
      <c r="F437" s="37" t="s">
        <v>1475</v>
      </c>
      <c r="G437" s="90">
        <v>847030</v>
      </c>
      <c r="H437" s="37" t="s">
        <v>2429</v>
      </c>
      <c r="I437" s="90">
        <v>200179</v>
      </c>
      <c r="J437" s="37" t="s">
        <v>61</v>
      </c>
      <c r="K437" s="265">
        <v>820887</v>
      </c>
      <c r="L437" s="265">
        <v>1796401</v>
      </c>
      <c r="M437" s="265">
        <v>74260</v>
      </c>
      <c r="N437" s="265">
        <v>0</v>
      </c>
      <c r="O437" s="265">
        <v>0</v>
      </c>
      <c r="P437" s="265">
        <v>0</v>
      </c>
      <c r="Q437" s="265">
        <v>0</v>
      </c>
      <c r="R437" s="265">
        <v>0</v>
      </c>
      <c r="S437" s="265">
        <v>0</v>
      </c>
      <c r="T437" s="265">
        <v>0</v>
      </c>
      <c r="U437" s="265">
        <v>0</v>
      </c>
      <c r="V437" s="265">
        <v>0</v>
      </c>
      <c r="W437" s="265">
        <v>0</v>
      </c>
      <c r="X437" s="265">
        <v>0</v>
      </c>
      <c r="Y437" s="50">
        <f t="shared" si="6"/>
        <v>0</v>
      </c>
    </row>
    <row r="438" spans="1:25" s="39" customFormat="1" x14ac:dyDescent="0.35">
      <c r="A438" s="37" t="s">
        <v>47</v>
      </c>
      <c r="B438" s="37" t="s">
        <v>2603</v>
      </c>
      <c r="C438" s="91">
        <v>8470520</v>
      </c>
      <c r="D438" s="37" t="s">
        <v>2375</v>
      </c>
      <c r="E438" s="91">
        <v>425510</v>
      </c>
      <c r="F438" s="37" t="s">
        <v>247</v>
      </c>
      <c r="G438" s="90">
        <v>847001</v>
      </c>
      <c r="H438" s="37" t="s">
        <v>50</v>
      </c>
      <c r="I438" s="90">
        <v>200179</v>
      </c>
      <c r="J438" s="37" t="s">
        <v>61</v>
      </c>
      <c r="K438" s="265">
        <v>5450</v>
      </c>
      <c r="L438" s="265">
        <v>21496</v>
      </c>
      <c r="M438" s="265">
        <v>11357</v>
      </c>
      <c r="N438" s="38">
        <v>29519</v>
      </c>
      <c r="O438" s="265">
        <v>29519</v>
      </c>
      <c r="P438" s="265">
        <v>3329.25</v>
      </c>
      <c r="Q438" s="265">
        <v>0</v>
      </c>
      <c r="R438" s="265">
        <v>0</v>
      </c>
      <c r="S438" s="38">
        <v>29500</v>
      </c>
      <c r="T438" s="265">
        <v>26550</v>
      </c>
      <c r="U438" s="265">
        <v>23600</v>
      </c>
      <c r="V438" s="265">
        <v>20650</v>
      </c>
      <c r="W438" s="265">
        <v>25000</v>
      </c>
      <c r="X438" s="265">
        <v>25000</v>
      </c>
      <c r="Y438" s="38">
        <f t="shared" si="6"/>
        <v>-19</v>
      </c>
    </row>
    <row r="439" spans="1:25" s="39" customFormat="1" x14ac:dyDescent="0.35">
      <c r="A439" s="37" t="s">
        <v>47</v>
      </c>
      <c r="B439" s="37" t="s">
        <v>2793</v>
      </c>
      <c r="C439" s="91">
        <v>8470520</v>
      </c>
      <c r="D439" s="37" t="s">
        <v>2375</v>
      </c>
      <c r="E439" s="91">
        <v>425510</v>
      </c>
      <c r="F439" s="37" t="s">
        <v>247</v>
      </c>
      <c r="G439" s="90">
        <v>847951</v>
      </c>
      <c r="H439" s="37" t="s">
        <v>2411</v>
      </c>
      <c r="I439" s="90">
        <v>200179</v>
      </c>
      <c r="J439" s="37" t="s">
        <v>61</v>
      </c>
      <c r="K439" s="265">
        <v>0</v>
      </c>
      <c r="L439" s="265">
        <v>0</v>
      </c>
      <c r="M439" s="265">
        <v>4998</v>
      </c>
      <c r="N439" s="38">
        <v>0</v>
      </c>
      <c r="O439" s="265">
        <v>0</v>
      </c>
      <c r="P439" s="265">
        <v>0</v>
      </c>
      <c r="Q439" s="265">
        <v>0</v>
      </c>
      <c r="R439" s="265">
        <v>0</v>
      </c>
      <c r="S439" s="38">
        <v>0</v>
      </c>
      <c r="T439" s="265">
        <v>0</v>
      </c>
      <c r="U439" s="265">
        <v>0</v>
      </c>
      <c r="V439" s="265">
        <v>0</v>
      </c>
      <c r="W439" s="265">
        <v>0</v>
      </c>
      <c r="X439" s="265">
        <v>0</v>
      </c>
      <c r="Y439" s="38">
        <f t="shared" si="6"/>
        <v>0</v>
      </c>
    </row>
    <row r="440" spans="1:25" s="39" customFormat="1" x14ac:dyDescent="0.35">
      <c r="A440" s="37" t="s">
        <v>47</v>
      </c>
      <c r="B440" s="37" t="s">
        <v>2605</v>
      </c>
      <c r="C440" s="91">
        <v>8470520</v>
      </c>
      <c r="D440" s="37" t="s">
        <v>2375</v>
      </c>
      <c r="E440" s="91">
        <v>426100</v>
      </c>
      <c r="F440" s="37" t="s">
        <v>1071</v>
      </c>
      <c r="G440" s="90">
        <v>847001</v>
      </c>
      <c r="H440" s="37" t="s">
        <v>50</v>
      </c>
      <c r="I440" s="90">
        <v>200179</v>
      </c>
      <c r="J440" s="37" t="s">
        <v>61</v>
      </c>
      <c r="K440" s="265">
        <v>0</v>
      </c>
      <c r="L440" s="265">
        <v>0</v>
      </c>
      <c r="M440" s="265">
        <v>0</v>
      </c>
      <c r="N440" s="265">
        <v>20000</v>
      </c>
      <c r="O440" s="265">
        <v>20000</v>
      </c>
      <c r="P440" s="265">
        <v>0</v>
      </c>
      <c r="Q440" s="265">
        <v>0</v>
      </c>
      <c r="R440" s="265">
        <v>0</v>
      </c>
      <c r="S440" s="265">
        <v>20000</v>
      </c>
      <c r="T440" s="265">
        <v>18000</v>
      </c>
      <c r="U440" s="265">
        <v>16000</v>
      </c>
      <c r="V440" s="265">
        <v>14000</v>
      </c>
      <c r="W440" s="265">
        <v>20000</v>
      </c>
      <c r="X440" s="265">
        <v>20000</v>
      </c>
      <c r="Y440" s="50">
        <f t="shared" si="6"/>
        <v>0</v>
      </c>
    </row>
    <row r="441" spans="1:25" s="39" customFormat="1" x14ac:dyDescent="0.35">
      <c r="A441" s="37" t="s">
        <v>47</v>
      </c>
      <c r="B441" s="37" t="s">
        <v>2608</v>
      </c>
      <c r="C441" s="91">
        <v>8470520</v>
      </c>
      <c r="D441" s="37" t="s">
        <v>2375</v>
      </c>
      <c r="E441" s="91">
        <v>427710</v>
      </c>
      <c r="F441" s="37" t="s">
        <v>1090</v>
      </c>
      <c r="G441" s="90">
        <v>847001</v>
      </c>
      <c r="H441" s="37" t="s">
        <v>50</v>
      </c>
      <c r="I441" s="90">
        <v>200179</v>
      </c>
      <c r="J441" s="37" t="s">
        <v>61</v>
      </c>
      <c r="K441" s="265">
        <v>40812</v>
      </c>
      <c r="L441" s="265">
        <v>42000</v>
      </c>
      <c r="M441" s="265">
        <v>7654</v>
      </c>
      <c r="N441" s="265">
        <v>42000</v>
      </c>
      <c r="O441" s="265">
        <v>42000</v>
      </c>
      <c r="P441" s="265">
        <v>0</v>
      </c>
      <c r="Q441" s="265">
        <v>0</v>
      </c>
      <c r="R441" s="265">
        <v>10510</v>
      </c>
      <c r="S441" s="265">
        <v>20000</v>
      </c>
      <c r="T441" s="265">
        <v>0</v>
      </c>
      <c r="U441" s="265">
        <v>0</v>
      </c>
      <c r="V441" s="265">
        <v>0</v>
      </c>
      <c r="W441" s="265">
        <v>40000</v>
      </c>
      <c r="X441" s="265">
        <v>42000</v>
      </c>
      <c r="Y441" s="50">
        <f t="shared" si="6"/>
        <v>-22000</v>
      </c>
    </row>
    <row r="442" spans="1:25" s="39" customFormat="1" x14ac:dyDescent="0.35">
      <c r="A442" s="37" t="s">
        <v>47</v>
      </c>
      <c r="B442" s="37" t="s">
        <v>2609</v>
      </c>
      <c r="C442" s="91">
        <v>8470520</v>
      </c>
      <c r="D442" s="37" t="s">
        <v>2375</v>
      </c>
      <c r="E442" s="91">
        <v>428200</v>
      </c>
      <c r="F442" s="37" t="s">
        <v>2383</v>
      </c>
      <c r="G442" s="90">
        <v>847001</v>
      </c>
      <c r="H442" s="37" t="s">
        <v>50</v>
      </c>
      <c r="I442" s="90">
        <v>200179</v>
      </c>
      <c r="J442" s="37" t="s">
        <v>61</v>
      </c>
      <c r="K442" s="265">
        <v>907892</v>
      </c>
      <c r="L442" s="265">
        <v>509372</v>
      </c>
      <c r="M442" s="265">
        <v>345735</v>
      </c>
      <c r="N442" s="265">
        <v>616900</v>
      </c>
      <c r="O442" s="265">
        <v>616900</v>
      </c>
      <c r="P442" s="265">
        <v>201859.97</v>
      </c>
      <c r="Q442" s="265">
        <v>87400</v>
      </c>
      <c r="R442" s="265">
        <v>193337.58</v>
      </c>
      <c r="S442" s="265">
        <v>690000</v>
      </c>
      <c r="T442" s="265">
        <v>0</v>
      </c>
      <c r="U442" s="265">
        <v>0</v>
      </c>
      <c r="V442" s="265">
        <v>0</v>
      </c>
      <c r="W442" s="265">
        <v>575000</v>
      </c>
      <c r="X442" s="265">
        <v>575000</v>
      </c>
      <c r="Y442" s="50">
        <f t="shared" si="6"/>
        <v>73100</v>
      </c>
    </row>
    <row r="443" spans="1:25" s="39" customFormat="1" x14ac:dyDescent="0.35">
      <c r="A443" s="37" t="s">
        <v>47</v>
      </c>
      <c r="B443" s="37" t="s">
        <v>2806</v>
      </c>
      <c r="C443" s="91">
        <v>8470520</v>
      </c>
      <c r="D443" s="37" t="s">
        <v>2375</v>
      </c>
      <c r="E443" s="91">
        <v>428200</v>
      </c>
      <c r="F443" s="37" t="s">
        <v>2383</v>
      </c>
      <c r="G443" s="90">
        <v>847951</v>
      </c>
      <c r="H443" s="37" t="s">
        <v>2411</v>
      </c>
      <c r="I443" s="90">
        <v>200179</v>
      </c>
      <c r="J443" s="37" t="s">
        <v>61</v>
      </c>
      <c r="K443" s="265">
        <v>0</v>
      </c>
      <c r="L443" s="265">
        <v>0</v>
      </c>
      <c r="M443" s="265">
        <v>276209</v>
      </c>
      <c r="N443" s="265">
        <v>23100</v>
      </c>
      <c r="O443" s="265">
        <v>23100</v>
      </c>
      <c r="P443" s="265">
        <v>0</v>
      </c>
      <c r="Q443" s="265">
        <v>0</v>
      </c>
      <c r="R443" s="265">
        <v>23100</v>
      </c>
      <c r="S443" s="265">
        <v>0</v>
      </c>
      <c r="T443" s="265">
        <v>0</v>
      </c>
      <c r="U443" s="265">
        <v>0</v>
      </c>
      <c r="V443" s="265">
        <v>0</v>
      </c>
      <c r="W443" s="265">
        <v>0</v>
      </c>
      <c r="X443" s="265">
        <v>0</v>
      </c>
      <c r="Y443" s="50">
        <f t="shared" si="6"/>
        <v>-23100</v>
      </c>
    </row>
    <row r="444" spans="1:25" s="39" customFormat="1" x14ac:dyDescent="0.35">
      <c r="A444" s="37" t="s">
        <v>47</v>
      </c>
      <c r="B444" s="37" t="s">
        <v>2815</v>
      </c>
      <c r="C444" s="91">
        <v>8470520</v>
      </c>
      <c r="D444" s="37" t="s">
        <v>2375</v>
      </c>
      <c r="E444" s="91">
        <v>492316</v>
      </c>
      <c r="F444" s="37" t="s">
        <v>221</v>
      </c>
      <c r="G444" s="90">
        <v>847001</v>
      </c>
      <c r="H444" s="37" t="s">
        <v>50</v>
      </c>
      <c r="I444" s="90">
        <v>300180</v>
      </c>
      <c r="J444" s="37" t="s">
        <v>192</v>
      </c>
      <c r="K444" s="265">
        <v>149907</v>
      </c>
      <c r="L444" s="265">
        <v>501601</v>
      </c>
      <c r="M444" s="265">
        <v>0</v>
      </c>
      <c r="N444" s="265">
        <v>171987</v>
      </c>
      <c r="O444" s="265">
        <v>171987</v>
      </c>
      <c r="P444" s="265">
        <v>0</v>
      </c>
      <c r="Q444" s="265">
        <v>171800</v>
      </c>
      <c r="R444" s="265">
        <v>0</v>
      </c>
      <c r="S444" s="265">
        <v>0</v>
      </c>
      <c r="T444" s="265">
        <v>0</v>
      </c>
      <c r="U444" s="265">
        <v>0</v>
      </c>
      <c r="V444" s="265">
        <v>0</v>
      </c>
      <c r="W444" s="265">
        <v>0</v>
      </c>
      <c r="X444" s="265">
        <v>0</v>
      </c>
      <c r="Y444" s="50">
        <f t="shared" si="6"/>
        <v>-171987</v>
      </c>
    </row>
    <row r="445" spans="1:25" s="39" customFormat="1" x14ac:dyDescent="0.35">
      <c r="A445" s="37" t="s">
        <v>47</v>
      </c>
      <c r="B445" s="37" t="s">
        <v>2610</v>
      </c>
      <c r="C445" s="91">
        <v>8470530</v>
      </c>
      <c r="D445" s="37" t="s">
        <v>2412</v>
      </c>
      <c r="E445" s="91">
        <v>420310</v>
      </c>
      <c r="F445" s="37" t="s">
        <v>3038</v>
      </c>
      <c r="G445" s="90">
        <v>847010</v>
      </c>
      <c r="H445" s="37" t="s">
        <v>2413</v>
      </c>
      <c r="I445" s="90">
        <v>200179</v>
      </c>
      <c r="J445" s="37" t="s">
        <v>61</v>
      </c>
      <c r="K445" s="265">
        <v>2351450</v>
      </c>
      <c r="L445" s="265">
        <v>3622169</v>
      </c>
      <c r="M445" s="265">
        <v>3935287</v>
      </c>
      <c r="N445" s="265">
        <v>4056439</v>
      </c>
      <c r="O445" s="265">
        <v>4056439</v>
      </c>
      <c r="P445" s="265">
        <v>1134089.6599999999</v>
      </c>
      <c r="Q445" s="265">
        <v>84900</v>
      </c>
      <c r="R445" s="265">
        <v>2812267.43</v>
      </c>
      <c r="S445" s="265">
        <v>4056439</v>
      </c>
      <c r="T445" s="265">
        <v>3650795</v>
      </c>
      <c r="U445" s="265">
        <v>3245151</v>
      </c>
      <c r="V445" s="265">
        <v>2839507</v>
      </c>
      <c r="W445" s="265">
        <v>4056439</v>
      </c>
      <c r="X445" s="265">
        <v>4056439</v>
      </c>
      <c r="Y445" s="50">
        <f t="shared" si="6"/>
        <v>0</v>
      </c>
    </row>
    <row r="446" spans="1:25" s="39" customFormat="1" x14ac:dyDescent="0.35">
      <c r="A446" s="37" t="s">
        <v>47</v>
      </c>
      <c r="B446" s="37" t="s">
        <v>2611</v>
      </c>
      <c r="C446" s="91">
        <v>8470530</v>
      </c>
      <c r="D446" s="37" t="s">
        <v>2412</v>
      </c>
      <c r="E446" s="91">
        <v>420310</v>
      </c>
      <c r="F446" s="37" t="s">
        <v>3038</v>
      </c>
      <c r="G446" s="90">
        <v>847015</v>
      </c>
      <c r="H446" s="37" t="s">
        <v>2417</v>
      </c>
      <c r="I446" s="90">
        <v>200179</v>
      </c>
      <c r="J446" s="37" t="s">
        <v>61</v>
      </c>
      <c r="K446" s="265">
        <v>0</v>
      </c>
      <c r="L446" s="265">
        <v>0</v>
      </c>
      <c r="M446" s="265">
        <v>0</v>
      </c>
      <c r="N446" s="265">
        <v>747242</v>
      </c>
      <c r="O446" s="265">
        <v>747242</v>
      </c>
      <c r="P446" s="265">
        <v>0</v>
      </c>
      <c r="Q446" s="265">
        <v>0</v>
      </c>
      <c r="R446" s="265">
        <v>747242</v>
      </c>
      <c r="S446" s="265">
        <v>747242</v>
      </c>
      <c r="T446" s="265">
        <v>672518</v>
      </c>
      <c r="U446" s="265">
        <v>597794</v>
      </c>
      <c r="V446" s="265">
        <v>523069</v>
      </c>
      <c r="W446" s="265">
        <v>747242</v>
      </c>
      <c r="X446" s="265">
        <v>747242</v>
      </c>
      <c r="Y446" s="50">
        <f t="shared" si="6"/>
        <v>0</v>
      </c>
    </row>
    <row r="447" spans="1:25" s="39" customFormat="1" x14ac:dyDescent="0.35">
      <c r="A447" s="37" t="s">
        <v>47</v>
      </c>
      <c r="B447" s="37" t="s">
        <v>2612</v>
      </c>
      <c r="C447" s="91">
        <v>8470530</v>
      </c>
      <c r="D447" s="37" t="s">
        <v>2412</v>
      </c>
      <c r="E447" s="91">
        <v>420310</v>
      </c>
      <c r="F447" s="37" t="s">
        <v>3038</v>
      </c>
      <c r="G447" s="90">
        <v>847020</v>
      </c>
      <c r="H447" s="37" t="s">
        <v>2093</v>
      </c>
      <c r="I447" s="90">
        <v>200179</v>
      </c>
      <c r="J447" s="37" t="s">
        <v>61</v>
      </c>
      <c r="K447" s="265">
        <v>4122290</v>
      </c>
      <c r="L447" s="265">
        <v>2915953</v>
      </c>
      <c r="M447" s="265">
        <v>4940774</v>
      </c>
      <c r="N447" s="265">
        <v>4364107</v>
      </c>
      <c r="O447" s="265">
        <v>4364107</v>
      </c>
      <c r="P447" s="265">
        <v>1666659.12</v>
      </c>
      <c r="Q447" s="265">
        <v>245882</v>
      </c>
      <c r="R447" s="265">
        <v>2435336.6</v>
      </c>
      <c r="S447" s="265">
        <v>4118107</v>
      </c>
      <c r="T447" s="265">
        <v>3706296</v>
      </c>
      <c r="U447" s="265">
        <v>3294486</v>
      </c>
      <c r="V447" s="265">
        <v>2882675</v>
      </c>
      <c r="W447" s="265">
        <v>4118107</v>
      </c>
      <c r="X447" s="265">
        <v>4118107</v>
      </c>
      <c r="Y447" s="50">
        <f t="shared" si="6"/>
        <v>-246000</v>
      </c>
    </row>
    <row r="448" spans="1:25" s="39" customFormat="1" x14ac:dyDescent="0.35">
      <c r="A448" s="37" t="s">
        <v>47</v>
      </c>
      <c r="B448" s="37" t="s">
        <v>2614</v>
      </c>
      <c r="C448" s="91">
        <v>8470530</v>
      </c>
      <c r="D448" s="37" t="s">
        <v>2412</v>
      </c>
      <c r="E448" s="91">
        <v>421000</v>
      </c>
      <c r="F448" s="37" t="s">
        <v>1011</v>
      </c>
      <c r="G448" s="90">
        <v>847010</v>
      </c>
      <c r="H448" s="37" t="s">
        <v>2413</v>
      </c>
      <c r="I448" s="90">
        <v>200179</v>
      </c>
      <c r="J448" s="37" t="s">
        <v>61</v>
      </c>
      <c r="K448" s="265">
        <v>0</v>
      </c>
      <c r="L448" s="265">
        <v>0</v>
      </c>
      <c r="M448" s="265">
        <v>0</v>
      </c>
      <c r="N448" s="265">
        <v>850000</v>
      </c>
      <c r="O448" s="265">
        <v>850000</v>
      </c>
      <c r="P448" s="265">
        <v>0</v>
      </c>
      <c r="Q448" s="265">
        <v>0</v>
      </c>
      <c r="R448" s="265">
        <v>850000</v>
      </c>
      <c r="S448" s="265">
        <v>7000000</v>
      </c>
      <c r="T448" s="265">
        <v>4500000</v>
      </c>
      <c r="U448" s="265">
        <v>4000000</v>
      </c>
      <c r="V448" s="265">
        <v>3500000</v>
      </c>
      <c r="W448" s="265">
        <v>0</v>
      </c>
      <c r="X448" s="265">
        <v>0</v>
      </c>
      <c r="Y448" s="50">
        <f t="shared" si="6"/>
        <v>6150000</v>
      </c>
    </row>
    <row r="449" spans="1:25" s="39" customFormat="1" x14ac:dyDescent="0.35">
      <c r="A449" s="37" t="s">
        <v>47</v>
      </c>
      <c r="B449" s="37" t="s">
        <v>2791</v>
      </c>
      <c r="C449" s="91">
        <v>8470530</v>
      </c>
      <c r="D449" s="37" t="s">
        <v>2412</v>
      </c>
      <c r="E449" s="91">
        <v>421000</v>
      </c>
      <c r="F449" s="37" t="s">
        <v>1011</v>
      </c>
      <c r="G449" s="90">
        <v>847020</v>
      </c>
      <c r="H449" s="37" t="s">
        <v>2093</v>
      </c>
      <c r="I449" s="90">
        <v>200179</v>
      </c>
      <c r="J449" s="37" t="s">
        <v>61</v>
      </c>
      <c r="K449" s="265">
        <v>0</v>
      </c>
      <c r="L449" s="265">
        <v>0</v>
      </c>
      <c r="M449" s="265">
        <v>0</v>
      </c>
      <c r="N449" s="265">
        <v>0</v>
      </c>
      <c r="O449" s="265">
        <v>0</v>
      </c>
      <c r="P449" s="265">
        <v>0</v>
      </c>
      <c r="Q449" s="265">
        <v>0</v>
      </c>
      <c r="R449" s="265">
        <v>0</v>
      </c>
      <c r="S449" s="265">
        <v>0</v>
      </c>
      <c r="T449" s="265">
        <v>0</v>
      </c>
      <c r="U449" s="265">
        <v>0</v>
      </c>
      <c r="V449" s="265">
        <v>0</v>
      </c>
      <c r="W449" s="265">
        <v>0</v>
      </c>
      <c r="X449" s="265">
        <v>0</v>
      </c>
      <c r="Y449" s="50">
        <f t="shared" si="6"/>
        <v>0</v>
      </c>
    </row>
    <row r="450" spans="1:25" s="39" customFormat="1" x14ac:dyDescent="0.35">
      <c r="A450" s="37" t="s">
        <v>47</v>
      </c>
      <c r="B450" s="37" t="s">
        <v>2621</v>
      </c>
      <c r="C450" s="91">
        <v>8470530</v>
      </c>
      <c r="D450" s="37" t="s">
        <v>2412</v>
      </c>
      <c r="E450" s="91">
        <v>421600</v>
      </c>
      <c r="F450" s="37" t="s">
        <v>1475</v>
      </c>
      <c r="G450" s="90">
        <v>847010</v>
      </c>
      <c r="H450" s="37" t="s">
        <v>2413</v>
      </c>
      <c r="I450" s="90">
        <v>200179</v>
      </c>
      <c r="J450" s="37" t="s">
        <v>61</v>
      </c>
      <c r="K450" s="265">
        <v>0</v>
      </c>
      <c r="L450" s="265">
        <v>2677274</v>
      </c>
      <c r="M450" s="265">
        <v>3976041</v>
      </c>
      <c r="N450" s="265">
        <v>3948261</v>
      </c>
      <c r="O450" s="265">
        <v>3948261</v>
      </c>
      <c r="P450" s="265">
        <v>1289661.42</v>
      </c>
      <c r="Q450" s="265">
        <v>2478000</v>
      </c>
      <c r="R450" s="265">
        <v>0</v>
      </c>
      <c r="S450" s="265">
        <v>3986400</v>
      </c>
      <c r="T450" s="265">
        <v>3587760</v>
      </c>
      <c r="U450" s="265">
        <v>3189120</v>
      </c>
      <c r="V450" s="265">
        <v>2790480</v>
      </c>
      <c r="W450" s="265">
        <v>4185720</v>
      </c>
      <c r="X450" s="265">
        <v>4395006</v>
      </c>
      <c r="Y450" s="50">
        <f t="shared" si="6"/>
        <v>38139</v>
      </c>
    </row>
    <row r="451" spans="1:25" s="39" customFormat="1" x14ac:dyDescent="0.35">
      <c r="A451" s="37" t="s">
        <v>47</v>
      </c>
      <c r="B451" s="37" t="s">
        <v>2622</v>
      </c>
      <c r="C451" s="91">
        <v>8470530</v>
      </c>
      <c r="D451" s="37" t="s">
        <v>2412</v>
      </c>
      <c r="E451" s="91">
        <v>421600</v>
      </c>
      <c r="F451" s="37" t="s">
        <v>1475</v>
      </c>
      <c r="G451" s="90">
        <v>847015</v>
      </c>
      <c r="H451" s="37" t="s">
        <v>2417</v>
      </c>
      <c r="I451" s="90">
        <v>200179</v>
      </c>
      <c r="J451" s="37" t="s">
        <v>61</v>
      </c>
      <c r="K451" s="265">
        <v>0</v>
      </c>
      <c r="L451" s="265">
        <v>0</v>
      </c>
      <c r="M451" s="265">
        <v>1516766</v>
      </c>
      <c r="N451" s="265">
        <v>2543480</v>
      </c>
      <c r="O451" s="265">
        <v>2543480</v>
      </c>
      <c r="P451" s="265">
        <v>795109.05</v>
      </c>
      <c r="Q451" s="265">
        <v>1634640</v>
      </c>
      <c r="R451" s="265">
        <v>23269.48</v>
      </c>
      <c r="S451" s="265">
        <v>2451960</v>
      </c>
      <c r="T451" s="265">
        <v>2206764</v>
      </c>
      <c r="U451" s="265">
        <v>1961568</v>
      </c>
      <c r="V451" s="265">
        <v>1716372</v>
      </c>
      <c r="W451" s="265">
        <v>2574558</v>
      </c>
      <c r="X451" s="265">
        <v>2703285</v>
      </c>
      <c r="Y451" s="50">
        <f t="shared" ref="Y451:Y514" si="7">S451-N451</f>
        <v>-91520</v>
      </c>
    </row>
    <row r="452" spans="1:25" s="39" customFormat="1" x14ac:dyDescent="0.35">
      <c r="A452" s="37" t="s">
        <v>47</v>
      </c>
      <c r="B452" s="37" t="s">
        <v>2623</v>
      </c>
      <c r="C452" s="91">
        <v>8470530</v>
      </c>
      <c r="D452" s="37" t="s">
        <v>2412</v>
      </c>
      <c r="E452" s="91">
        <v>421600</v>
      </c>
      <c r="F452" s="37" t="s">
        <v>1475</v>
      </c>
      <c r="G452" s="90">
        <v>847020</v>
      </c>
      <c r="H452" s="37" t="s">
        <v>2093</v>
      </c>
      <c r="I452" s="90">
        <v>200179</v>
      </c>
      <c r="J452" s="37" t="s">
        <v>61</v>
      </c>
      <c r="K452" s="265">
        <v>28220</v>
      </c>
      <c r="L452" s="265">
        <v>3533661</v>
      </c>
      <c r="M452" s="265">
        <v>3499527</v>
      </c>
      <c r="N452" s="265">
        <v>2155720</v>
      </c>
      <c r="O452" s="265">
        <v>2155720</v>
      </c>
      <c r="P452" s="265">
        <v>470781.74</v>
      </c>
      <c r="Q452" s="265">
        <v>1385720</v>
      </c>
      <c r="R452" s="265">
        <v>161217.89000000001</v>
      </c>
      <c r="S452" s="265">
        <v>2078580</v>
      </c>
      <c r="T452" s="265">
        <v>1870722</v>
      </c>
      <c r="U452" s="265">
        <v>1662864</v>
      </c>
      <c r="V452" s="265">
        <v>1455006</v>
      </c>
      <c r="W452" s="265">
        <v>2182509</v>
      </c>
      <c r="X452" s="265">
        <v>2291635</v>
      </c>
      <c r="Y452" s="50">
        <f t="shared" si="7"/>
        <v>-77140</v>
      </c>
    </row>
    <row r="453" spans="1:25" s="39" customFormat="1" x14ac:dyDescent="0.35">
      <c r="A453" s="37" t="s">
        <v>47</v>
      </c>
      <c r="B453" s="37" t="s">
        <v>2624</v>
      </c>
      <c r="C453" s="91">
        <v>8470530</v>
      </c>
      <c r="D453" s="37" t="s">
        <v>2412</v>
      </c>
      <c r="E453" s="91">
        <v>421600</v>
      </c>
      <c r="F453" s="37" t="s">
        <v>1475</v>
      </c>
      <c r="G453" s="90">
        <v>847030</v>
      </c>
      <c r="H453" s="37" t="s">
        <v>2429</v>
      </c>
      <c r="I453" s="90">
        <v>200179</v>
      </c>
      <c r="J453" s="37" t="s">
        <v>61</v>
      </c>
      <c r="K453" s="265">
        <v>424285</v>
      </c>
      <c r="L453" s="265">
        <v>76207</v>
      </c>
      <c r="M453" s="265">
        <v>843396</v>
      </c>
      <c r="N453" s="265">
        <v>635219</v>
      </c>
      <c r="O453" s="265">
        <v>635219</v>
      </c>
      <c r="P453" s="265">
        <v>413460.88</v>
      </c>
      <c r="Q453" s="265">
        <v>0</v>
      </c>
      <c r="R453" s="265">
        <v>0</v>
      </c>
      <c r="S453" s="265">
        <v>398190</v>
      </c>
      <c r="T453" s="265">
        <v>358371</v>
      </c>
      <c r="U453" s="265">
        <v>318552</v>
      </c>
      <c r="V453" s="265">
        <v>278733</v>
      </c>
      <c r="W453" s="265">
        <v>418095</v>
      </c>
      <c r="X453" s="265">
        <v>439000</v>
      </c>
      <c r="Y453" s="50">
        <f t="shared" si="7"/>
        <v>-237029</v>
      </c>
    </row>
    <row r="454" spans="1:25" s="39" customFormat="1" x14ac:dyDescent="0.35">
      <c r="A454" s="37" t="s">
        <v>47</v>
      </c>
      <c r="B454" s="37" t="s">
        <v>2625</v>
      </c>
      <c r="C454" s="91">
        <v>8470530</v>
      </c>
      <c r="D454" s="37" t="s">
        <v>2412</v>
      </c>
      <c r="E454" s="91">
        <v>421700</v>
      </c>
      <c r="F454" s="37" t="s">
        <v>2438</v>
      </c>
      <c r="G454" s="90">
        <v>847010</v>
      </c>
      <c r="H454" s="37" t="s">
        <v>2413</v>
      </c>
      <c r="I454" s="90">
        <v>200179</v>
      </c>
      <c r="J454" s="37" t="s">
        <v>61</v>
      </c>
      <c r="K454" s="265">
        <v>0</v>
      </c>
      <c r="L454" s="265">
        <v>0</v>
      </c>
      <c r="M454" s="265">
        <v>0</v>
      </c>
      <c r="N454" s="265">
        <v>263000</v>
      </c>
      <c r="O454" s="265">
        <v>263000</v>
      </c>
      <c r="P454" s="265">
        <v>0</v>
      </c>
      <c r="Q454" s="265">
        <v>0</v>
      </c>
      <c r="R454" s="265">
        <v>231000</v>
      </c>
      <c r="S454" s="38">
        <v>250000</v>
      </c>
      <c r="T454" s="265">
        <v>225000</v>
      </c>
      <c r="U454" s="265">
        <v>200000</v>
      </c>
      <c r="V454" s="265">
        <v>175000</v>
      </c>
      <c r="W454" s="265">
        <v>0</v>
      </c>
      <c r="X454" s="265">
        <v>0</v>
      </c>
      <c r="Y454" s="50">
        <f t="shared" si="7"/>
        <v>-13000</v>
      </c>
    </row>
    <row r="455" spans="1:25" s="39" customFormat="1" x14ac:dyDescent="0.35">
      <c r="A455" s="37" t="s">
        <v>47</v>
      </c>
      <c r="B455" s="37" t="s">
        <v>2626</v>
      </c>
      <c r="C455" s="91">
        <v>8470530</v>
      </c>
      <c r="D455" s="37" t="s">
        <v>2412</v>
      </c>
      <c r="E455" s="91">
        <v>425510</v>
      </c>
      <c r="F455" s="37" t="s">
        <v>247</v>
      </c>
      <c r="G455" s="90">
        <v>847010</v>
      </c>
      <c r="H455" s="37" t="s">
        <v>2413</v>
      </c>
      <c r="I455" s="90">
        <v>200179</v>
      </c>
      <c r="J455" s="37" t="s">
        <v>61</v>
      </c>
      <c r="K455" s="265">
        <v>46198</v>
      </c>
      <c r="L455" s="265">
        <v>78</v>
      </c>
      <c r="M455" s="265">
        <v>0</v>
      </c>
      <c r="N455" s="38">
        <v>20000</v>
      </c>
      <c r="O455" s="265">
        <v>20000</v>
      </c>
      <c r="P455" s="265">
        <v>0</v>
      </c>
      <c r="Q455" s="265">
        <v>0</v>
      </c>
      <c r="R455" s="265">
        <v>0</v>
      </c>
      <c r="S455" s="38">
        <v>50000</v>
      </c>
      <c r="T455" s="265">
        <v>45000</v>
      </c>
      <c r="U455" s="265">
        <v>40000</v>
      </c>
      <c r="V455" s="265">
        <v>35000</v>
      </c>
      <c r="W455" s="265">
        <v>60000</v>
      </c>
      <c r="X455" s="265">
        <v>70000</v>
      </c>
      <c r="Y455" s="38">
        <f t="shared" si="7"/>
        <v>30000</v>
      </c>
    </row>
    <row r="456" spans="1:25" s="39" customFormat="1" x14ac:dyDescent="0.35">
      <c r="A456" s="37" t="s">
        <v>47</v>
      </c>
      <c r="B456" s="37" t="s">
        <v>2795</v>
      </c>
      <c r="C456" s="91">
        <v>8470530</v>
      </c>
      <c r="D456" s="37" t="s">
        <v>2412</v>
      </c>
      <c r="E456" s="91">
        <v>425747</v>
      </c>
      <c r="F456" s="37" t="s">
        <v>2550</v>
      </c>
      <c r="G456" s="90">
        <v>847015</v>
      </c>
      <c r="H456" s="37" t="s">
        <v>2417</v>
      </c>
      <c r="I456" s="90">
        <v>200179</v>
      </c>
      <c r="J456" s="37" t="s">
        <v>61</v>
      </c>
      <c r="K456" s="265">
        <v>0</v>
      </c>
      <c r="L456" s="265">
        <v>0</v>
      </c>
      <c r="M456" s="265">
        <v>18625059</v>
      </c>
      <c r="N456" s="265">
        <v>0</v>
      </c>
      <c r="O456" s="265">
        <v>0</v>
      </c>
      <c r="P456" s="265">
        <v>0</v>
      </c>
      <c r="Q456" s="265">
        <v>0</v>
      </c>
      <c r="R456" s="265">
        <v>0</v>
      </c>
      <c r="S456" s="265">
        <v>0</v>
      </c>
      <c r="T456" s="265">
        <v>0</v>
      </c>
      <c r="U456" s="265">
        <v>0</v>
      </c>
      <c r="V456" s="265">
        <v>0</v>
      </c>
      <c r="W456" s="265">
        <v>0</v>
      </c>
      <c r="X456" s="265">
        <v>0</v>
      </c>
      <c r="Y456" s="50">
        <f t="shared" si="7"/>
        <v>0</v>
      </c>
    </row>
    <row r="457" spans="1:25" s="39" customFormat="1" x14ac:dyDescent="0.35">
      <c r="A457" s="37" t="s">
        <v>47</v>
      </c>
      <c r="B457" s="37" t="s">
        <v>2627</v>
      </c>
      <c r="C457" s="91">
        <v>8470530</v>
      </c>
      <c r="D457" s="37" t="s">
        <v>2412</v>
      </c>
      <c r="E457" s="91">
        <v>425900</v>
      </c>
      <c r="F457" s="37" t="s">
        <v>266</v>
      </c>
      <c r="G457" s="90">
        <v>847010</v>
      </c>
      <c r="H457" s="37" t="s">
        <v>2413</v>
      </c>
      <c r="I457" s="90">
        <v>200179</v>
      </c>
      <c r="J457" s="37" t="s">
        <v>61</v>
      </c>
      <c r="K457" s="265">
        <v>2975</v>
      </c>
      <c r="L457" s="265">
        <v>0</v>
      </c>
      <c r="M457" s="265">
        <v>0</v>
      </c>
      <c r="N457" s="265">
        <v>30000</v>
      </c>
      <c r="O457" s="265">
        <v>30000</v>
      </c>
      <c r="P457" s="265">
        <v>0</v>
      </c>
      <c r="Q457" s="265">
        <v>0</v>
      </c>
      <c r="R457" s="265">
        <v>0</v>
      </c>
      <c r="S457" s="265">
        <v>40000</v>
      </c>
      <c r="T457" s="265">
        <v>36000</v>
      </c>
      <c r="U457" s="265">
        <v>32000</v>
      </c>
      <c r="V457" s="265">
        <v>28000</v>
      </c>
      <c r="W457" s="265">
        <v>50000</v>
      </c>
      <c r="X457" s="265">
        <v>60000</v>
      </c>
      <c r="Y457" s="50">
        <f t="shared" si="7"/>
        <v>10000</v>
      </c>
    </row>
    <row r="458" spans="1:25" s="39" customFormat="1" x14ac:dyDescent="0.35">
      <c r="A458" s="37" t="s">
        <v>47</v>
      </c>
      <c r="B458" s="37" t="s">
        <v>2796</v>
      </c>
      <c r="C458" s="91">
        <v>8470530</v>
      </c>
      <c r="D458" s="37" t="s">
        <v>2412</v>
      </c>
      <c r="E458" s="91">
        <v>426210</v>
      </c>
      <c r="F458" s="37" t="s">
        <v>2551</v>
      </c>
      <c r="G458" s="90">
        <v>847001</v>
      </c>
      <c r="H458" s="37" t="s">
        <v>50</v>
      </c>
      <c r="I458" s="90">
        <v>200179</v>
      </c>
      <c r="J458" s="37" t="s">
        <v>61</v>
      </c>
      <c r="K458" s="265">
        <v>0</v>
      </c>
      <c r="L458" s="265">
        <v>0</v>
      </c>
      <c r="M458" s="265">
        <v>0</v>
      </c>
      <c r="N458" s="265">
        <v>0</v>
      </c>
      <c r="O458" s="265">
        <v>0</v>
      </c>
      <c r="P458" s="265">
        <v>0</v>
      </c>
      <c r="Q458" s="265">
        <v>0</v>
      </c>
      <c r="R458" s="265">
        <v>0</v>
      </c>
      <c r="S458" s="265">
        <v>0</v>
      </c>
      <c r="T458" s="265">
        <v>0</v>
      </c>
      <c r="U458" s="265">
        <v>0</v>
      </c>
      <c r="V458" s="265">
        <v>0</v>
      </c>
      <c r="W458" s="265">
        <v>0</v>
      </c>
      <c r="X458" s="265">
        <v>0</v>
      </c>
      <c r="Y458" s="50">
        <f t="shared" si="7"/>
        <v>0</v>
      </c>
    </row>
    <row r="459" spans="1:25" s="39" customFormat="1" x14ac:dyDescent="0.35">
      <c r="A459" s="37" t="s">
        <v>47</v>
      </c>
      <c r="B459" s="37" t="s">
        <v>2628</v>
      </c>
      <c r="C459" s="91">
        <v>8470530</v>
      </c>
      <c r="D459" s="37" t="s">
        <v>2412</v>
      </c>
      <c r="E459" s="91">
        <v>426220</v>
      </c>
      <c r="F459" s="37" t="s">
        <v>1477</v>
      </c>
      <c r="G459" s="90">
        <v>847010</v>
      </c>
      <c r="H459" s="37" t="s">
        <v>2413</v>
      </c>
      <c r="I459" s="90">
        <v>200179</v>
      </c>
      <c r="J459" s="37" t="s">
        <v>61</v>
      </c>
      <c r="K459" s="265">
        <v>1189436</v>
      </c>
      <c r="L459" s="265">
        <v>1013670</v>
      </c>
      <c r="M459" s="265">
        <v>960437</v>
      </c>
      <c r="N459" s="265">
        <v>960437</v>
      </c>
      <c r="O459" s="265">
        <v>960437</v>
      </c>
      <c r="P459" s="265">
        <v>44981.51</v>
      </c>
      <c r="Q459" s="265">
        <v>0</v>
      </c>
      <c r="R459" s="265">
        <v>0</v>
      </c>
      <c r="S459" s="265">
        <v>960437</v>
      </c>
      <c r="T459" s="265">
        <v>864393</v>
      </c>
      <c r="U459" s="265">
        <v>768350</v>
      </c>
      <c r="V459" s="265">
        <v>672306</v>
      </c>
      <c r="W459" s="265">
        <v>960437</v>
      </c>
      <c r="X459" s="265">
        <v>960437</v>
      </c>
      <c r="Y459" s="50">
        <f t="shared" si="7"/>
        <v>0</v>
      </c>
    </row>
    <row r="460" spans="1:25" s="39" customFormat="1" x14ac:dyDescent="0.35">
      <c r="A460" s="37" t="s">
        <v>47</v>
      </c>
      <c r="B460" s="37" t="s">
        <v>2629</v>
      </c>
      <c r="C460" s="91">
        <v>8470530</v>
      </c>
      <c r="D460" s="37" t="s">
        <v>2412</v>
      </c>
      <c r="E460" s="91">
        <v>426220</v>
      </c>
      <c r="F460" s="37" t="s">
        <v>1477</v>
      </c>
      <c r="G460" s="90">
        <v>847030</v>
      </c>
      <c r="H460" s="37" t="s">
        <v>2429</v>
      </c>
      <c r="I460" s="90">
        <v>200179</v>
      </c>
      <c r="J460" s="37" t="s">
        <v>61</v>
      </c>
      <c r="K460" s="265">
        <v>1100732</v>
      </c>
      <c r="L460" s="265">
        <v>344131</v>
      </c>
      <c r="M460" s="265">
        <v>23714</v>
      </c>
      <c r="N460" s="265">
        <v>23714</v>
      </c>
      <c r="O460" s="265">
        <v>23714</v>
      </c>
      <c r="P460" s="265">
        <v>0</v>
      </c>
      <c r="Q460" s="265">
        <v>0</v>
      </c>
      <c r="R460" s="265">
        <v>0</v>
      </c>
      <c r="S460" s="265">
        <v>23714</v>
      </c>
      <c r="T460" s="265">
        <v>21343</v>
      </c>
      <c r="U460" s="265">
        <v>18971</v>
      </c>
      <c r="V460" s="265">
        <v>16600</v>
      </c>
      <c r="W460" s="265">
        <v>23714</v>
      </c>
      <c r="X460" s="265">
        <v>23714</v>
      </c>
      <c r="Y460" s="50">
        <f t="shared" si="7"/>
        <v>0</v>
      </c>
    </row>
    <row r="461" spans="1:25" s="39" customFormat="1" x14ac:dyDescent="0.35">
      <c r="A461" s="37" t="s">
        <v>47</v>
      </c>
      <c r="B461" s="37" t="s">
        <v>2630</v>
      </c>
      <c r="C461" s="91">
        <v>8470530</v>
      </c>
      <c r="D461" s="37" t="s">
        <v>2412</v>
      </c>
      <c r="E461" s="91">
        <v>426250</v>
      </c>
      <c r="F461" s="37" t="s">
        <v>2442</v>
      </c>
      <c r="G461" s="90">
        <v>847010</v>
      </c>
      <c r="H461" s="37" t="s">
        <v>2413</v>
      </c>
      <c r="I461" s="90">
        <v>200179</v>
      </c>
      <c r="J461" s="37" t="s">
        <v>61</v>
      </c>
      <c r="K461" s="265">
        <v>30110</v>
      </c>
      <c r="L461" s="265">
        <v>17753</v>
      </c>
      <c r="M461" s="265">
        <v>4651</v>
      </c>
      <c r="N461" s="265">
        <v>50000</v>
      </c>
      <c r="O461" s="265">
        <v>50000</v>
      </c>
      <c r="P461" s="265">
        <v>14718</v>
      </c>
      <c r="Q461" s="265">
        <v>0</v>
      </c>
      <c r="R461" s="265">
        <v>0</v>
      </c>
      <c r="S461" s="265">
        <v>0</v>
      </c>
      <c r="T461" s="265">
        <v>0</v>
      </c>
      <c r="U461" s="265">
        <v>0</v>
      </c>
      <c r="V461" s="265">
        <v>0</v>
      </c>
      <c r="W461" s="265">
        <v>0</v>
      </c>
      <c r="X461" s="265">
        <v>0</v>
      </c>
      <c r="Y461" s="50">
        <f t="shared" si="7"/>
        <v>-50000</v>
      </c>
    </row>
    <row r="462" spans="1:25" s="39" customFormat="1" x14ac:dyDescent="0.35">
      <c r="A462" s="37" t="s">
        <v>47</v>
      </c>
      <c r="B462" s="37" t="s">
        <v>2797</v>
      </c>
      <c r="C462" s="91">
        <v>8470530</v>
      </c>
      <c r="D462" s="37" t="s">
        <v>2412</v>
      </c>
      <c r="E462" s="91">
        <v>426800</v>
      </c>
      <c r="F462" s="37" t="s">
        <v>2552</v>
      </c>
      <c r="G462" s="90">
        <v>847001</v>
      </c>
      <c r="H462" s="37" t="s">
        <v>50</v>
      </c>
      <c r="I462" s="90">
        <v>200179</v>
      </c>
      <c r="J462" s="37" t="s">
        <v>61</v>
      </c>
      <c r="K462" s="265">
        <v>0</v>
      </c>
      <c r="L462" s="265">
        <v>0</v>
      </c>
      <c r="M462" s="265">
        <v>0</v>
      </c>
      <c r="N462" s="265">
        <v>0</v>
      </c>
      <c r="O462" s="265">
        <v>0</v>
      </c>
      <c r="P462" s="265">
        <v>0</v>
      </c>
      <c r="Q462" s="265">
        <v>0</v>
      </c>
      <c r="R462" s="265">
        <v>0</v>
      </c>
      <c r="S462" s="265">
        <v>0</v>
      </c>
      <c r="T462" s="265">
        <v>0</v>
      </c>
      <c r="U462" s="265">
        <v>0</v>
      </c>
      <c r="V462" s="265">
        <v>0</v>
      </c>
      <c r="W462" s="265">
        <v>0</v>
      </c>
      <c r="X462" s="265">
        <v>0</v>
      </c>
      <c r="Y462" s="50">
        <f t="shared" si="7"/>
        <v>0</v>
      </c>
    </row>
    <row r="463" spans="1:25" s="39" customFormat="1" x14ac:dyDescent="0.35">
      <c r="A463" s="37" t="s">
        <v>47</v>
      </c>
      <c r="B463" s="37" t="s">
        <v>2798</v>
      </c>
      <c r="C463" s="91">
        <v>8470530</v>
      </c>
      <c r="D463" s="37" t="s">
        <v>2412</v>
      </c>
      <c r="E463" s="91">
        <v>426900</v>
      </c>
      <c r="F463" s="37" t="s">
        <v>1080</v>
      </c>
      <c r="G463" s="90">
        <v>847001</v>
      </c>
      <c r="H463" s="37" t="s">
        <v>50</v>
      </c>
      <c r="I463" s="90">
        <v>200179</v>
      </c>
      <c r="J463" s="37" t="s">
        <v>61</v>
      </c>
      <c r="K463" s="265">
        <v>0</v>
      </c>
      <c r="L463" s="265">
        <v>0</v>
      </c>
      <c r="M463" s="265">
        <v>0</v>
      </c>
      <c r="N463" s="265">
        <v>0</v>
      </c>
      <c r="O463" s="265">
        <v>0</v>
      </c>
      <c r="P463" s="265">
        <v>0</v>
      </c>
      <c r="Q463" s="265">
        <v>0</v>
      </c>
      <c r="R463" s="265">
        <v>0</v>
      </c>
      <c r="S463" s="265">
        <v>0</v>
      </c>
      <c r="T463" s="265">
        <v>0</v>
      </c>
      <c r="U463" s="265">
        <v>0</v>
      </c>
      <c r="V463" s="265">
        <v>0</v>
      </c>
      <c r="W463" s="265">
        <v>0</v>
      </c>
      <c r="X463" s="265">
        <v>0</v>
      </c>
      <c r="Y463" s="50">
        <f t="shared" si="7"/>
        <v>0</v>
      </c>
    </row>
    <row r="464" spans="1:25" s="39" customFormat="1" x14ac:dyDescent="0.35">
      <c r="A464" s="37" t="s">
        <v>47</v>
      </c>
      <c r="B464" s="37" t="s">
        <v>2631</v>
      </c>
      <c r="C464" s="91">
        <v>8470530</v>
      </c>
      <c r="D464" s="37" t="s">
        <v>2412</v>
      </c>
      <c r="E464" s="91">
        <v>428090</v>
      </c>
      <c r="F464" s="37" t="s">
        <v>154</v>
      </c>
      <c r="G464" s="90">
        <v>847001</v>
      </c>
      <c r="H464" s="37" t="s">
        <v>50</v>
      </c>
      <c r="I464" s="90">
        <v>200179</v>
      </c>
      <c r="J464" s="37" t="s">
        <v>61</v>
      </c>
      <c r="K464" s="265">
        <v>0</v>
      </c>
      <c r="L464" s="265">
        <v>0</v>
      </c>
      <c r="M464" s="265">
        <v>0</v>
      </c>
      <c r="N464" s="265">
        <v>50000</v>
      </c>
      <c r="O464" s="265">
        <v>50000</v>
      </c>
      <c r="P464" s="265">
        <v>0</v>
      </c>
      <c r="Q464" s="265">
        <v>0</v>
      </c>
      <c r="R464" s="265">
        <v>0</v>
      </c>
      <c r="S464" s="265">
        <v>200000</v>
      </c>
      <c r="T464" s="265">
        <v>180000</v>
      </c>
      <c r="U464" s="265">
        <v>160000</v>
      </c>
      <c r="V464" s="265">
        <v>140000</v>
      </c>
      <c r="W464" s="265">
        <v>250000</v>
      </c>
      <c r="X464" s="265">
        <v>300000</v>
      </c>
      <c r="Y464" s="50">
        <f t="shared" si="7"/>
        <v>150000</v>
      </c>
    </row>
    <row r="465" spans="1:25" s="39" customFormat="1" x14ac:dyDescent="0.35">
      <c r="A465" s="37" t="s">
        <v>47</v>
      </c>
      <c r="B465" s="37" t="s">
        <v>2799</v>
      </c>
      <c r="C465" s="91">
        <v>8470530</v>
      </c>
      <c r="D465" s="37" t="s">
        <v>2412</v>
      </c>
      <c r="E465" s="91">
        <v>428111</v>
      </c>
      <c r="F465" s="37" t="s">
        <v>1478</v>
      </c>
      <c r="G465" s="90">
        <v>847010</v>
      </c>
      <c r="H465" s="37" t="s">
        <v>2413</v>
      </c>
      <c r="I465" s="90">
        <v>200179</v>
      </c>
      <c r="J465" s="37" t="s">
        <v>61</v>
      </c>
      <c r="K465" s="265">
        <v>8769943</v>
      </c>
      <c r="L465" s="265">
        <v>10580049</v>
      </c>
      <c r="M465" s="265">
        <v>7180436</v>
      </c>
      <c r="N465" s="265">
        <v>0</v>
      </c>
      <c r="O465" s="265">
        <v>0</v>
      </c>
      <c r="P465" s="265">
        <v>0</v>
      </c>
      <c r="Q465" s="265">
        <v>0</v>
      </c>
      <c r="R465" s="265">
        <v>0</v>
      </c>
      <c r="S465" s="265">
        <v>0</v>
      </c>
      <c r="T465" s="265">
        <v>0</v>
      </c>
      <c r="U465" s="265">
        <v>0</v>
      </c>
      <c r="V465" s="265">
        <v>0</v>
      </c>
      <c r="W465" s="265">
        <v>0</v>
      </c>
      <c r="X465" s="265">
        <v>0</v>
      </c>
      <c r="Y465" s="50">
        <f t="shared" si="7"/>
        <v>0</v>
      </c>
    </row>
    <row r="466" spans="1:25" s="39" customFormat="1" x14ac:dyDescent="0.35">
      <c r="A466" s="37" t="s">
        <v>47</v>
      </c>
      <c r="B466" s="37" t="s">
        <v>2802</v>
      </c>
      <c r="C466" s="91">
        <v>8470530</v>
      </c>
      <c r="D466" s="37" t="s">
        <v>2412</v>
      </c>
      <c r="E466" s="91">
        <v>428111</v>
      </c>
      <c r="F466" s="37" t="s">
        <v>1478</v>
      </c>
      <c r="G466" s="90">
        <v>847015</v>
      </c>
      <c r="H466" s="37" t="s">
        <v>2417</v>
      </c>
      <c r="I466" s="90">
        <v>200179</v>
      </c>
      <c r="J466" s="37" t="s">
        <v>61</v>
      </c>
      <c r="K466" s="265">
        <v>0</v>
      </c>
      <c r="L466" s="265">
        <v>0</v>
      </c>
      <c r="M466" s="265">
        <v>3253301</v>
      </c>
      <c r="N466" s="265">
        <v>0</v>
      </c>
      <c r="O466" s="265">
        <v>0</v>
      </c>
      <c r="P466" s="265">
        <v>0</v>
      </c>
      <c r="Q466" s="265">
        <v>0</v>
      </c>
      <c r="R466" s="265">
        <v>0</v>
      </c>
      <c r="S466" s="265">
        <v>0</v>
      </c>
      <c r="T466" s="265">
        <v>0</v>
      </c>
      <c r="U466" s="265">
        <v>0</v>
      </c>
      <c r="V466" s="265">
        <v>0</v>
      </c>
      <c r="W466" s="265">
        <v>0</v>
      </c>
      <c r="X466" s="265">
        <v>0</v>
      </c>
      <c r="Y466" s="50">
        <f t="shared" si="7"/>
        <v>0</v>
      </c>
    </row>
    <row r="467" spans="1:25" s="39" customFormat="1" x14ac:dyDescent="0.35">
      <c r="A467" s="37" t="s">
        <v>47</v>
      </c>
      <c r="B467" s="37" t="s">
        <v>2801</v>
      </c>
      <c r="C467" s="91">
        <v>8470530</v>
      </c>
      <c r="D467" s="37" t="s">
        <v>2412</v>
      </c>
      <c r="E467" s="91">
        <v>428111</v>
      </c>
      <c r="F467" s="37" t="s">
        <v>1478</v>
      </c>
      <c r="G467" s="90">
        <v>847020</v>
      </c>
      <c r="H467" s="37" t="s">
        <v>2093</v>
      </c>
      <c r="I467" s="90">
        <v>200179</v>
      </c>
      <c r="J467" s="37" t="s">
        <v>61</v>
      </c>
      <c r="K467" s="265">
        <v>3993876</v>
      </c>
      <c r="L467" s="265">
        <v>4217862</v>
      </c>
      <c r="M467" s="265">
        <v>3847536</v>
      </c>
      <c r="N467" s="265">
        <v>0</v>
      </c>
      <c r="O467" s="265">
        <v>0</v>
      </c>
      <c r="P467" s="265">
        <v>0</v>
      </c>
      <c r="Q467" s="265">
        <v>0</v>
      </c>
      <c r="R467" s="265">
        <v>0</v>
      </c>
      <c r="S467" s="265">
        <v>0</v>
      </c>
      <c r="T467" s="265">
        <v>0</v>
      </c>
      <c r="U467" s="265">
        <v>0</v>
      </c>
      <c r="V467" s="265">
        <v>0</v>
      </c>
      <c r="W467" s="265">
        <v>0</v>
      </c>
      <c r="X467" s="265">
        <v>0</v>
      </c>
      <c r="Y467" s="50">
        <f t="shared" si="7"/>
        <v>0</v>
      </c>
    </row>
    <row r="468" spans="1:25" s="39" customFormat="1" x14ac:dyDescent="0.35">
      <c r="A468" s="37" t="s">
        <v>47</v>
      </c>
      <c r="B468" s="37" t="s">
        <v>2800</v>
      </c>
      <c r="C468" s="91">
        <v>8470530</v>
      </c>
      <c r="D468" s="37" t="s">
        <v>2412</v>
      </c>
      <c r="E468" s="91">
        <v>428111</v>
      </c>
      <c r="F468" s="37" t="s">
        <v>1478</v>
      </c>
      <c r="G468" s="90">
        <v>847030</v>
      </c>
      <c r="H468" s="37" t="s">
        <v>2429</v>
      </c>
      <c r="I468" s="90">
        <v>200179</v>
      </c>
      <c r="J468" s="37" t="s">
        <v>61</v>
      </c>
      <c r="K468" s="265">
        <v>9983814</v>
      </c>
      <c r="L468" s="265">
        <v>3121318</v>
      </c>
      <c r="M468" s="265">
        <v>215086</v>
      </c>
      <c r="N468" s="265">
        <v>0</v>
      </c>
      <c r="O468" s="265">
        <v>0</v>
      </c>
      <c r="P468" s="265">
        <v>0</v>
      </c>
      <c r="Q468" s="265">
        <v>0</v>
      </c>
      <c r="R468" s="265">
        <v>0</v>
      </c>
      <c r="S468" s="265">
        <v>0</v>
      </c>
      <c r="T468" s="265">
        <v>0</v>
      </c>
      <c r="U468" s="265">
        <v>0</v>
      </c>
      <c r="V468" s="265">
        <v>0</v>
      </c>
      <c r="W468" s="265">
        <v>0</v>
      </c>
      <c r="X468" s="265">
        <v>0</v>
      </c>
      <c r="Y468" s="50">
        <f t="shared" si="7"/>
        <v>0</v>
      </c>
    </row>
    <row r="469" spans="1:25" s="39" customFormat="1" x14ac:dyDescent="0.35">
      <c r="A469" s="37" t="s">
        <v>47</v>
      </c>
      <c r="B469" s="37" t="s">
        <v>2803</v>
      </c>
      <c r="C469" s="91">
        <v>8470530</v>
      </c>
      <c r="D469" s="37" t="s">
        <v>2412</v>
      </c>
      <c r="E469" s="91">
        <v>428112</v>
      </c>
      <c r="F469" s="37" t="s">
        <v>1479</v>
      </c>
      <c r="G469" s="90">
        <v>847010</v>
      </c>
      <c r="H469" s="37" t="s">
        <v>2413</v>
      </c>
      <c r="I469" s="90">
        <v>200179</v>
      </c>
      <c r="J469" s="37" t="s">
        <v>61</v>
      </c>
      <c r="K469" s="265">
        <v>799000</v>
      </c>
      <c r="L469" s="265">
        <v>1416630</v>
      </c>
      <c r="M469" s="265">
        <v>1089518</v>
      </c>
      <c r="N469" s="265">
        <v>0</v>
      </c>
      <c r="O469" s="265">
        <v>0</v>
      </c>
      <c r="P469" s="265">
        <v>0</v>
      </c>
      <c r="Q469" s="265">
        <v>0</v>
      </c>
      <c r="R469" s="265">
        <v>0</v>
      </c>
      <c r="S469" s="265">
        <v>0</v>
      </c>
      <c r="T469" s="265">
        <v>0</v>
      </c>
      <c r="U469" s="265">
        <v>0</v>
      </c>
      <c r="V469" s="265">
        <v>0</v>
      </c>
      <c r="W469" s="265">
        <v>0</v>
      </c>
      <c r="X469" s="265">
        <v>0</v>
      </c>
      <c r="Y469" s="50">
        <f t="shared" si="7"/>
        <v>0</v>
      </c>
    </row>
    <row r="470" spans="1:25" s="39" customFormat="1" x14ac:dyDescent="0.35">
      <c r="A470" s="37" t="s">
        <v>47</v>
      </c>
      <c r="B470" s="37" t="s">
        <v>2805</v>
      </c>
      <c r="C470" s="91">
        <v>8470530</v>
      </c>
      <c r="D470" s="37" t="s">
        <v>2412</v>
      </c>
      <c r="E470" s="91">
        <v>428112</v>
      </c>
      <c r="F470" s="37" t="s">
        <v>1479</v>
      </c>
      <c r="G470" s="90">
        <v>847015</v>
      </c>
      <c r="H470" s="37" t="s">
        <v>2417</v>
      </c>
      <c r="I470" s="90">
        <v>200179</v>
      </c>
      <c r="J470" s="37" t="s">
        <v>61</v>
      </c>
      <c r="K470" s="265">
        <v>0</v>
      </c>
      <c r="L470" s="265">
        <v>0</v>
      </c>
      <c r="M470" s="265">
        <v>857986</v>
      </c>
      <c r="N470" s="265">
        <v>0</v>
      </c>
      <c r="O470" s="265">
        <v>0</v>
      </c>
      <c r="P470" s="265">
        <v>0</v>
      </c>
      <c r="Q470" s="265">
        <v>0</v>
      </c>
      <c r="R470" s="265">
        <v>0</v>
      </c>
      <c r="S470" s="265">
        <v>0</v>
      </c>
      <c r="T470" s="265">
        <v>0</v>
      </c>
      <c r="U470" s="265">
        <v>0</v>
      </c>
      <c r="V470" s="265">
        <v>0</v>
      </c>
      <c r="W470" s="265">
        <v>0</v>
      </c>
      <c r="X470" s="265">
        <v>0</v>
      </c>
      <c r="Y470" s="50">
        <f t="shared" si="7"/>
        <v>0</v>
      </c>
    </row>
    <row r="471" spans="1:25" s="39" customFormat="1" x14ac:dyDescent="0.35">
      <c r="A471" s="37" t="s">
        <v>47</v>
      </c>
      <c r="B471" s="37" t="s">
        <v>2804</v>
      </c>
      <c r="C471" s="91">
        <v>8470530</v>
      </c>
      <c r="D471" s="37" t="s">
        <v>2412</v>
      </c>
      <c r="E471" s="91">
        <v>428112</v>
      </c>
      <c r="F471" s="37" t="s">
        <v>1479</v>
      </c>
      <c r="G471" s="90">
        <v>847020</v>
      </c>
      <c r="H471" s="37" t="s">
        <v>2093</v>
      </c>
      <c r="I471" s="90">
        <v>200179</v>
      </c>
      <c r="J471" s="37" t="s">
        <v>61</v>
      </c>
      <c r="K471" s="265">
        <v>550145</v>
      </c>
      <c r="L471" s="265">
        <v>2075963</v>
      </c>
      <c r="M471" s="265">
        <v>1515252</v>
      </c>
      <c r="N471" s="265">
        <v>0</v>
      </c>
      <c r="O471" s="265">
        <v>0</v>
      </c>
      <c r="P471" s="265">
        <v>0</v>
      </c>
      <c r="Q471" s="265">
        <v>0</v>
      </c>
      <c r="R471" s="265">
        <v>0</v>
      </c>
      <c r="S471" s="265">
        <v>0</v>
      </c>
      <c r="T471" s="265">
        <v>0</v>
      </c>
      <c r="U471" s="265">
        <v>0</v>
      </c>
      <c r="V471" s="265">
        <v>0</v>
      </c>
      <c r="W471" s="265">
        <v>0</v>
      </c>
      <c r="X471" s="265">
        <v>0</v>
      </c>
      <c r="Y471" s="50">
        <f t="shared" si="7"/>
        <v>0</v>
      </c>
    </row>
    <row r="472" spans="1:25" s="39" customFormat="1" x14ac:dyDescent="0.35">
      <c r="A472" s="37" t="s">
        <v>47</v>
      </c>
      <c r="B472" s="37" t="s">
        <v>2807</v>
      </c>
      <c r="C472" s="91">
        <v>8470530</v>
      </c>
      <c r="D472" s="37" t="s">
        <v>2412</v>
      </c>
      <c r="E472" s="91">
        <v>429900</v>
      </c>
      <c r="F472" s="37" t="s">
        <v>2359</v>
      </c>
      <c r="G472" s="90">
        <v>847001</v>
      </c>
      <c r="H472" s="37" t="s">
        <v>50</v>
      </c>
      <c r="I472" s="90">
        <v>200179</v>
      </c>
      <c r="J472" s="37" t="s">
        <v>61</v>
      </c>
      <c r="K472" s="265">
        <v>0</v>
      </c>
      <c r="L472" s="265">
        <v>0</v>
      </c>
      <c r="M472" s="265">
        <v>0</v>
      </c>
      <c r="N472" s="265">
        <v>0</v>
      </c>
      <c r="O472" s="265">
        <v>0</v>
      </c>
      <c r="P472" s="265">
        <v>0</v>
      </c>
      <c r="Q472" s="265">
        <v>0</v>
      </c>
      <c r="R472" s="265">
        <v>0</v>
      </c>
      <c r="S472" s="265">
        <v>20000</v>
      </c>
      <c r="T472" s="265">
        <v>18000</v>
      </c>
      <c r="U472" s="265">
        <v>16000</v>
      </c>
      <c r="V472" s="265">
        <v>14000</v>
      </c>
      <c r="W472" s="265">
        <v>0</v>
      </c>
      <c r="X472" s="265">
        <v>0</v>
      </c>
      <c r="Y472" s="50">
        <f t="shared" si="7"/>
        <v>20000</v>
      </c>
    </row>
    <row r="473" spans="1:25" s="39" customFormat="1" x14ac:dyDescent="0.35">
      <c r="A473" s="37" t="s">
        <v>47</v>
      </c>
      <c r="B473" s="37" t="s">
        <v>2613</v>
      </c>
      <c r="C473" s="91">
        <v>8470530</v>
      </c>
      <c r="D473" s="37" t="s">
        <v>2412</v>
      </c>
      <c r="E473" s="91">
        <v>429900</v>
      </c>
      <c r="F473" s="37" t="s">
        <v>2359</v>
      </c>
      <c r="G473" s="90">
        <v>847010</v>
      </c>
      <c r="H473" s="37" t="s">
        <v>2413</v>
      </c>
      <c r="I473" s="90">
        <v>200179</v>
      </c>
      <c r="J473" s="37" t="s">
        <v>61</v>
      </c>
      <c r="K473" s="265">
        <v>0</v>
      </c>
      <c r="L473" s="265">
        <v>13750</v>
      </c>
      <c r="M473" s="265">
        <v>155101</v>
      </c>
      <c r="N473" s="265">
        <v>0</v>
      </c>
      <c r="O473" s="265">
        <v>0</v>
      </c>
      <c r="P473" s="265">
        <v>0</v>
      </c>
      <c r="Q473" s="265">
        <v>0</v>
      </c>
      <c r="R473" s="265">
        <v>0</v>
      </c>
      <c r="S473" s="265">
        <v>220000</v>
      </c>
      <c r="T473" s="265">
        <v>198000</v>
      </c>
      <c r="U473" s="265">
        <v>176000</v>
      </c>
      <c r="V473" s="265">
        <v>154000</v>
      </c>
      <c r="W473" s="265">
        <v>220000</v>
      </c>
      <c r="X473" s="265">
        <v>220000</v>
      </c>
      <c r="Y473" s="50">
        <f t="shared" si="7"/>
        <v>220000</v>
      </c>
    </row>
    <row r="474" spans="1:25" s="39" customFormat="1" x14ac:dyDescent="0.35">
      <c r="A474" s="37" t="s">
        <v>47</v>
      </c>
      <c r="B474" s="37" t="s">
        <v>2699</v>
      </c>
      <c r="C474" s="91">
        <v>8470530</v>
      </c>
      <c r="D474" s="37" t="s">
        <v>2412</v>
      </c>
      <c r="E474" s="91">
        <v>430110</v>
      </c>
      <c r="F474" s="37" t="s">
        <v>3344</v>
      </c>
      <c r="G474" s="90">
        <v>847010</v>
      </c>
      <c r="H474" s="37" t="s">
        <v>2413</v>
      </c>
      <c r="I474" s="90">
        <v>200179</v>
      </c>
      <c r="J474" s="37" t="s">
        <v>61</v>
      </c>
      <c r="K474" s="265">
        <v>0</v>
      </c>
      <c r="L474" s="265">
        <v>0</v>
      </c>
      <c r="M474" s="265">
        <v>0</v>
      </c>
      <c r="N474" s="265">
        <v>0</v>
      </c>
      <c r="O474" s="265">
        <v>0</v>
      </c>
      <c r="P474" s="265">
        <v>0</v>
      </c>
      <c r="Q474" s="265">
        <v>0</v>
      </c>
      <c r="R474" s="265">
        <v>0</v>
      </c>
      <c r="S474" s="265">
        <v>233000</v>
      </c>
      <c r="T474" s="265">
        <v>209700</v>
      </c>
      <c r="U474" s="265">
        <v>186400</v>
      </c>
      <c r="V474" s="265">
        <v>163100</v>
      </c>
      <c r="W474" s="265">
        <v>233000</v>
      </c>
      <c r="X474" s="265">
        <v>233000</v>
      </c>
      <c r="Y474" s="50">
        <f t="shared" si="7"/>
        <v>233000</v>
      </c>
    </row>
    <row r="475" spans="1:25" s="39" customFormat="1" x14ac:dyDescent="0.35">
      <c r="A475" s="37" t="s">
        <v>47</v>
      </c>
      <c r="B475" s="37" t="s">
        <v>2619</v>
      </c>
      <c r="C475" s="91">
        <v>8470530</v>
      </c>
      <c r="D475" s="37" t="s">
        <v>2412</v>
      </c>
      <c r="E475" s="91">
        <v>430120</v>
      </c>
      <c r="F475" s="37" t="s">
        <v>2428</v>
      </c>
      <c r="G475" s="90">
        <v>847020</v>
      </c>
      <c r="H475" s="37" t="s">
        <v>2093</v>
      </c>
      <c r="I475" s="90">
        <v>200179</v>
      </c>
      <c r="J475" s="37" t="s">
        <v>61</v>
      </c>
      <c r="K475" s="265">
        <v>0</v>
      </c>
      <c r="L475" s="265">
        <v>0</v>
      </c>
      <c r="M475" s="265">
        <v>0</v>
      </c>
      <c r="N475" s="265">
        <v>0</v>
      </c>
      <c r="O475" s="265">
        <v>0</v>
      </c>
      <c r="P475" s="265">
        <v>0</v>
      </c>
      <c r="Q475" s="265">
        <v>0</v>
      </c>
      <c r="R475" s="265">
        <v>0</v>
      </c>
      <c r="S475" s="265">
        <v>8000000</v>
      </c>
      <c r="T475" s="265">
        <v>7200000</v>
      </c>
      <c r="U475" s="265">
        <v>6400000</v>
      </c>
      <c r="V475" s="265">
        <v>5600000</v>
      </c>
      <c r="W475" s="265">
        <v>18000000</v>
      </c>
      <c r="X475" s="265">
        <v>18000000</v>
      </c>
      <c r="Y475" s="50">
        <f t="shared" si="7"/>
        <v>8000000</v>
      </c>
    </row>
    <row r="476" spans="1:25" s="39" customFormat="1" x14ac:dyDescent="0.35">
      <c r="A476" s="37" t="s">
        <v>47</v>
      </c>
      <c r="B476" s="37" t="s">
        <v>2616</v>
      </c>
      <c r="C476" s="91">
        <v>8470530</v>
      </c>
      <c r="D476" s="37" t="s">
        <v>2412</v>
      </c>
      <c r="E476" s="91">
        <v>430120</v>
      </c>
      <c r="F476" s="37" t="s">
        <v>2428</v>
      </c>
      <c r="G476" s="90">
        <v>847030</v>
      </c>
      <c r="H476" s="37" t="s">
        <v>2429</v>
      </c>
      <c r="I476" s="90">
        <v>200179</v>
      </c>
      <c r="J476" s="37" t="s">
        <v>61</v>
      </c>
      <c r="K476" s="265">
        <v>0</v>
      </c>
      <c r="L476" s="265">
        <v>0</v>
      </c>
      <c r="M476" s="265">
        <v>0</v>
      </c>
      <c r="N476" s="265">
        <v>0</v>
      </c>
      <c r="O476" s="265">
        <v>0</v>
      </c>
      <c r="P476" s="265">
        <v>0</v>
      </c>
      <c r="Q476" s="265">
        <v>0</v>
      </c>
      <c r="R476" s="265">
        <v>0</v>
      </c>
      <c r="S476" s="265">
        <v>14219870</v>
      </c>
      <c r="T476" s="265">
        <v>4128300</v>
      </c>
      <c r="U476" s="265">
        <v>3669600</v>
      </c>
      <c r="V476" s="265">
        <v>3210900</v>
      </c>
      <c r="W476" s="265">
        <v>4679199</v>
      </c>
      <c r="X476" s="265">
        <v>4725991</v>
      </c>
      <c r="Y476" s="50">
        <f t="shared" si="7"/>
        <v>14219870</v>
      </c>
    </row>
    <row r="477" spans="1:25" s="39" customFormat="1" x14ac:dyDescent="0.35">
      <c r="A477" s="37" t="s">
        <v>47</v>
      </c>
      <c r="B477" s="37" t="s">
        <v>2808</v>
      </c>
      <c r="C477" s="91">
        <v>8470530</v>
      </c>
      <c r="D477" s="37" t="s">
        <v>2412</v>
      </c>
      <c r="E477" s="91">
        <v>430330</v>
      </c>
      <c r="F477" s="37" t="s">
        <v>2553</v>
      </c>
      <c r="G477" s="90">
        <v>847001</v>
      </c>
      <c r="H477" s="37" t="s">
        <v>50</v>
      </c>
      <c r="I477" s="90">
        <v>200179</v>
      </c>
      <c r="J477" s="37" t="s">
        <v>61</v>
      </c>
      <c r="K477" s="265">
        <v>0</v>
      </c>
      <c r="L477" s="265">
        <v>0</v>
      </c>
      <c r="M477" s="265">
        <v>0</v>
      </c>
      <c r="N477" s="265">
        <v>0</v>
      </c>
      <c r="O477" s="265">
        <v>0</v>
      </c>
      <c r="P477" s="265">
        <v>0</v>
      </c>
      <c r="Q477" s="265">
        <v>0</v>
      </c>
      <c r="R477" s="265">
        <v>0</v>
      </c>
      <c r="S477" s="265">
        <v>0</v>
      </c>
      <c r="T477" s="265">
        <v>0</v>
      </c>
      <c r="U477" s="265">
        <v>0</v>
      </c>
      <c r="V477" s="265">
        <v>0</v>
      </c>
      <c r="W477" s="265">
        <v>0</v>
      </c>
      <c r="X477" s="265">
        <v>0</v>
      </c>
      <c r="Y477" s="50">
        <f t="shared" si="7"/>
        <v>0</v>
      </c>
    </row>
    <row r="478" spans="1:25" s="39" customFormat="1" x14ac:dyDescent="0.35">
      <c r="A478" s="37" t="s">
        <v>47</v>
      </c>
      <c r="B478" s="37" t="s">
        <v>2632</v>
      </c>
      <c r="C478" s="91">
        <v>8470530</v>
      </c>
      <c r="D478" s="37" t="s">
        <v>2412</v>
      </c>
      <c r="E478" s="91">
        <v>432120</v>
      </c>
      <c r="F478" s="37" t="s">
        <v>1480</v>
      </c>
      <c r="G478" s="90">
        <v>847010</v>
      </c>
      <c r="H478" s="37" t="s">
        <v>2413</v>
      </c>
      <c r="I478" s="90">
        <v>200179</v>
      </c>
      <c r="J478" s="37" t="s">
        <v>61</v>
      </c>
      <c r="K478" s="265">
        <v>7270347</v>
      </c>
      <c r="L478" s="265">
        <v>9225181</v>
      </c>
      <c r="M478" s="265">
        <v>424725</v>
      </c>
      <c r="N478" s="265">
        <v>11446037</v>
      </c>
      <c r="O478" s="265">
        <v>11446037</v>
      </c>
      <c r="P478" s="265">
        <v>2703015.05</v>
      </c>
      <c r="Q478" s="265">
        <v>439431</v>
      </c>
      <c r="R478" s="265">
        <v>8002199.6200000001</v>
      </c>
      <c r="S478" s="265">
        <v>14652121</v>
      </c>
      <c r="T478" s="265">
        <v>11769859</v>
      </c>
      <c r="U478" s="265">
        <v>10462097</v>
      </c>
      <c r="V478" s="265">
        <v>9154335</v>
      </c>
      <c r="W478" s="265">
        <v>14331121</v>
      </c>
      <c r="X478" s="265">
        <v>13921121</v>
      </c>
      <c r="Y478" s="50">
        <f t="shared" si="7"/>
        <v>3206084</v>
      </c>
    </row>
    <row r="479" spans="1:25" s="39" customFormat="1" x14ac:dyDescent="0.35">
      <c r="A479" s="37" t="s">
        <v>47</v>
      </c>
      <c r="B479" s="37" t="s">
        <v>2638</v>
      </c>
      <c r="C479" s="91">
        <v>8470530</v>
      </c>
      <c r="D479" s="37" t="s">
        <v>2412</v>
      </c>
      <c r="E479" s="91">
        <v>432120</v>
      </c>
      <c r="F479" s="37" t="s">
        <v>1480</v>
      </c>
      <c r="G479" s="90">
        <v>847015</v>
      </c>
      <c r="H479" s="37" t="s">
        <v>2417</v>
      </c>
      <c r="I479" s="90">
        <v>200179</v>
      </c>
      <c r="J479" s="37" t="s">
        <v>61</v>
      </c>
      <c r="K479" s="265">
        <v>0</v>
      </c>
      <c r="L479" s="265">
        <v>0</v>
      </c>
      <c r="M479" s="265">
        <v>5040562</v>
      </c>
      <c r="N479" s="265">
        <v>5071140</v>
      </c>
      <c r="O479" s="265">
        <v>5071140</v>
      </c>
      <c r="P479" s="265">
        <v>606730.89</v>
      </c>
      <c r="Q479" s="265">
        <v>0</v>
      </c>
      <c r="R479" s="265">
        <v>4136091.85</v>
      </c>
      <c r="S479" s="265">
        <v>9036550</v>
      </c>
      <c r="T479" s="265">
        <v>7594695</v>
      </c>
      <c r="U479" s="265">
        <v>6750840</v>
      </c>
      <c r="V479" s="265">
        <v>5906985</v>
      </c>
      <c r="W479" s="265">
        <v>0</v>
      </c>
      <c r="X479" s="265">
        <v>0</v>
      </c>
      <c r="Y479" s="50">
        <f t="shared" si="7"/>
        <v>3965410</v>
      </c>
    </row>
    <row r="480" spans="1:25" s="39" customFormat="1" x14ac:dyDescent="0.35">
      <c r="A480" s="37" t="s">
        <v>47</v>
      </c>
      <c r="B480" s="37" t="s">
        <v>2639</v>
      </c>
      <c r="C480" s="91">
        <v>8470530</v>
      </c>
      <c r="D480" s="37" t="s">
        <v>2412</v>
      </c>
      <c r="E480" s="91">
        <v>432120</v>
      </c>
      <c r="F480" s="37" t="s">
        <v>1480</v>
      </c>
      <c r="G480" s="90">
        <v>847020</v>
      </c>
      <c r="H480" s="37" t="s">
        <v>2093</v>
      </c>
      <c r="I480" s="90">
        <v>200179</v>
      </c>
      <c r="J480" s="37" t="s">
        <v>61</v>
      </c>
      <c r="K480" s="265">
        <v>12319515</v>
      </c>
      <c r="L480" s="265">
        <v>4446804</v>
      </c>
      <c r="M480" s="265">
        <v>493436</v>
      </c>
      <c r="N480" s="265">
        <v>5446416</v>
      </c>
      <c r="O480" s="265">
        <v>5446416</v>
      </c>
      <c r="P480" s="265">
        <v>861135.61</v>
      </c>
      <c r="Q480" s="265">
        <v>370000</v>
      </c>
      <c r="R480" s="265">
        <v>4203272.38</v>
      </c>
      <c r="S480" s="265">
        <v>8801646</v>
      </c>
      <c r="T480" s="265">
        <v>6259181</v>
      </c>
      <c r="U480" s="265">
        <v>5563717</v>
      </c>
      <c r="V480" s="265">
        <v>4868252</v>
      </c>
      <c r="W480" s="265">
        <v>17457196</v>
      </c>
      <c r="X480" s="265">
        <v>16435196</v>
      </c>
      <c r="Y480" s="50">
        <f t="shared" si="7"/>
        <v>3355230</v>
      </c>
    </row>
    <row r="481" spans="1:26" s="39" customFormat="1" x14ac:dyDescent="0.35">
      <c r="A481" s="37" t="s">
        <v>47</v>
      </c>
      <c r="B481" s="37" t="s">
        <v>2642</v>
      </c>
      <c r="C481" s="91">
        <v>8470530</v>
      </c>
      <c r="D481" s="37" t="s">
        <v>2412</v>
      </c>
      <c r="E481" s="91">
        <v>432120</v>
      </c>
      <c r="F481" s="37" t="s">
        <v>1480</v>
      </c>
      <c r="G481" s="90">
        <v>847030</v>
      </c>
      <c r="H481" s="37" t="s">
        <v>2429</v>
      </c>
      <c r="I481" s="90">
        <v>200179</v>
      </c>
      <c r="J481" s="37" t="s">
        <v>61</v>
      </c>
      <c r="K481" s="265">
        <v>9903918</v>
      </c>
      <c r="L481" s="265">
        <v>8870349</v>
      </c>
      <c r="M481" s="265">
        <v>2914112</v>
      </c>
      <c r="N481" s="265">
        <v>1207678</v>
      </c>
      <c r="O481" s="265">
        <v>1207678</v>
      </c>
      <c r="P481" s="265">
        <v>342982.58</v>
      </c>
      <c r="Q481" s="265">
        <v>8000</v>
      </c>
      <c r="R481" s="265">
        <v>74950</v>
      </c>
      <c r="S481" s="265">
        <v>1735252</v>
      </c>
      <c r="T481" s="265">
        <v>540000</v>
      </c>
      <c r="U481" s="265">
        <v>480000</v>
      </c>
      <c r="V481" s="265">
        <v>420000</v>
      </c>
      <c r="W481" s="265">
        <v>1735252</v>
      </c>
      <c r="X481" s="265">
        <v>1735252</v>
      </c>
      <c r="Y481" s="50">
        <f t="shared" si="7"/>
        <v>527574</v>
      </c>
    </row>
    <row r="482" spans="1:26" s="39" customFormat="1" x14ac:dyDescent="0.35">
      <c r="A482" s="37" t="s">
        <v>47</v>
      </c>
      <c r="B482" s="37" t="s">
        <v>2809</v>
      </c>
      <c r="C482" s="91">
        <v>8470530</v>
      </c>
      <c r="D482" s="37" t="s">
        <v>2412</v>
      </c>
      <c r="E482" s="91">
        <v>432120</v>
      </c>
      <c r="F482" s="37" t="s">
        <v>1480</v>
      </c>
      <c r="G482" s="90">
        <v>847951</v>
      </c>
      <c r="H482" s="37" t="s">
        <v>2411</v>
      </c>
      <c r="I482" s="90">
        <v>200179</v>
      </c>
      <c r="J482" s="37" t="s">
        <v>61</v>
      </c>
      <c r="K482" s="265">
        <v>0</v>
      </c>
      <c r="L482" s="265">
        <v>0</v>
      </c>
      <c r="M482" s="265">
        <v>8580</v>
      </c>
      <c r="N482" s="265">
        <v>0</v>
      </c>
      <c r="O482" s="265">
        <v>0</v>
      </c>
      <c r="P482" s="265">
        <v>0</v>
      </c>
      <c r="Q482" s="265">
        <v>0</v>
      </c>
      <c r="R482" s="265">
        <v>0</v>
      </c>
      <c r="S482" s="265">
        <v>0</v>
      </c>
      <c r="T482" s="265">
        <v>0</v>
      </c>
      <c r="U482" s="265">
        <v>0</v>
      </c>
      <c r="V482" s="265">
        <v>0</v>
      </c>
      <c r="W482" s="265">
        <v>0</v>
      </c>
      <c r="X482" s="265">
        <v>0</v>
      </c>
      <c r="Y482" s="50">
        <f t="shared" si="7"/>
        <v>0</v>
      </c>
    </row>
    <row r="483" spans="1:26" s="39" customFormat="1" x14ac:dyDescent="0.35">
      <c r="A483" s="37" t="s">
        <v>47</v>
      </c>
      <c r="B483" s="37" t="s">
        <v>2646</v>
      </c>
      <c r="C483" s="91">
        <v>8470530</v>
      </c>
      <c r="D483" s="37" t="s">
        <v>2412</v>
      </c>
      <c r="E483" s="91">
        <v>432170</v>
      </c>
      <c r="F483" s="37" t="s">
        <v>1536</v>
      </c>
      <c r="G483" s="90">
        <v>847010</v>
      </c>
      <c r="H483" s="37" t="s">
        <v>2413</v>
      </c>
      <c r="I483" s="90">
        <v>200179</v>
      </c>
      <c r="J483" s="37" t="s">
        <v>61</v>
      </c>
      <c r="K483" s="265">
        <v>170448</v>
      </c>
      <c r="L483" s="265">
        <v>83624</v>
      </c>
      <c r="M483" s="265">
        <v>27198</v>
      </c>
      <c r="N483" s="265">
        <v>30000</v>
      </c>
      <c r="O483" s="265">
        <v>30000</v>
      </c>
      <c r="P483" s="265">
        <v>7416</v>
      </c>
      <c r="Q483" s="265">
        <v>0</v>
      </c>
      <c r="R483" s="265">
        <v>0</v>
      </c>
      <c r="S483" s="265">
        <v>30000</v>
      </c>
      <c r="T483" s="265">
        <v>27000</v>
      </c>
      <c r="U483" s="265">
        <v>24000</v>
      </c>
      <c r="V483" s="265">
        <v>21000</v>
      </c>
      <c r="W483" s="265">
        <v>30000</v>
      </c>
      <c r="X483" s="265">
        <v>30000</v>
      </c>
      <c r="Y483" s="50">
        <f t="shared" si="7"/>
        <v>0</v>
      </c>
    </row>
    <row r="484" spans="1:26" s="39" customFormat="1" x14ac:dyDescent="0.35">
      <c r="A484" s="37" t="s">
        <v>47</v>
      </c>
      <c r="B484" s="37" t="s">
        <v>2647</v>
      </c>
      <c r="C484" s="91">
        <v>8470530</v>
      </c>
      <c r="D484" s="37" t="s">
        <v>2412</v>
      </c>
      <c r="E484" s="91">
        <v>432320</v>
      </c>
      <c r="F484" s="37" t="s">
        <v>2467</v>
      </c>
      <c r="G484" s="90">
        <v>847010</v>
      </c>
      <c r="H484" s="37" t="s">
        <v>2413</v>
      </c>
      <c r="I484" s="90">
        <v>200179</v>
      </c>
      <c r="J484" s="37" t="s">
        <v>61</v>
      </c>
      <c r="K484" s="265">
        <v>20034</v>
      </c>
      <c r="L484" s="265">
        <v>19422</v>
      </c>
      <c r="M484" s="265">
        <v>-1570</v>
      </c>
      <c r="N484" s="265">
        <v>26000</v>
      </c>
      <c r="O484" s="265">
        <v>26000</v>
      </c>
      <c r="P484" s="265">
        <v>5024</v>
      </c>
      <c r="Q484" s="265">
        <v>0</v>
      </c>
      <c r="R484" s="265">
        <v>0</v>
      </c>
      <c r="S484" s="265">
        <v>25000</v>
      </c>
      <c r="T484" s="265">
        <v>22500</v>
      </c>
      <c r="U484" s="265">
        <v>20000</v>
      </c>
      <c r="V484" s="265">
        <v>17500</v>
      </c>
      <c r="W484" s="265">
        <v>25000</v>
      </c>
      <c r="X484" s="265">
        <v>25000</v>
      </c>
      <c r="Y484" s="50">
        <f t="shared" si="7"/>
        <v>-1000</v>
      </c>
    </row>
    <row r="485" spans="1:26" s="39" customFormat="1" x14ac:dyDescent="0.35">
      <c r="A485" s="37" t="s">
        <v>47</v>
      </c>
      <c r="B485" s="37" t="s">
        <v>2810</v>
      </c>
      <c r="C485" s="91">
        <v>8470530</v>
      </c>
      <c r="D485" s="37" t="s">
        <v>2412</v>
      </c>
      <c r="E485" s="91">
        <v>432320</v>
      </c>
      <c r="F485" s="37" t="s">
        <v>2467</v>
      </c>
      <c r="G485" s="90">
        <v>847020</v>
      </c>
      <c r="H485" s="37" t="s">
        <v>2093</v>
      </c>
      <c r="I485" s="90">
        <v>200179</v>
      </c>
      <c r="J485" s="37" t="s">
        <v>61</v>
      </c>
      <c r="K485" s="265">
        <v>0</v>
      </c>
      <c r="L485" s="265">
        <v>0</v>
      </c>
      <c r="M485" s="265">
        <v>0</v>
      </c>
      <c r="N485" s="265">
        <v>0</v>
      </c>
      <c r="O485" s="265">
        <v>0</v>
      </c>
      <c r="P485" s="265">
        <v>0</v>
      </c>
      <c r="Q485" s="265">
        <v>0</v>
      </c>
      <c r="R485" s="265">
        <v>0</v>
      </c>
      <c r="S485" s="265">
        <v>30000</v>
      </c>
      <c r="T485" s="265">
        <v>27000</v>
      </c>
      <c r="U485" s="265">
        <v>24000</v>
      </c>
      <c r="V485" s="265">
        <v>21000</v>
      </c>
      <c r="W485" s="265">
        <v>0</v>
      </c>
      <c r="X485" s="265">
        <v>0</v>
      </c>
      <c r="Y485" s="50">
        <f t="shared" si="7"/>
        <v>30000</v>
      </c>
    </row>
    <row r="486" spans="1:26" s="39" customFormat="1" x14ac:dyDescent="0.35">
      <c r="A486" s="37" t="s">
        <v>47</v>
      </c>
      <c r="B486" s="37" t="s">
        <v>2811</v>
      </c>
      <c r="C486" s="91">
        <v>8470530</v>
      </c>
      <c r="D486" s="37" t="s">
        <v>2412</v>
      </c>
      <c r="E486" s="91">
        <v>432540</v>
      </c>
      <c r="F486" s="37" t="s">
        <v>2554</v>
      </c>
      <c r="G486" s="90">
        <v>847001</v>
      </c>
      <c r="H486" s="37" t="s">
        <v>50</v>
      </c>
      <c r="I486" s="90">
        <v>200179</v>
      </c>
      <c r="J486" s="37" t="s">
        <v>61</v>
      </c>
      <c r="K486" s="265">
        <v>0</v>
      </c>
      <c r="L486" s="265">
        <v>0</v>
      </c>
      <c r="M486" s="265">
        <v>0</v>
      </c>
      <c r="N486" s="265">
        <v>0</v>
      </c>
      <c r="O486" s="265">
        <v>0</v>
      </c>
      <c r="P486" s="265">
        <v>0</v>
      </c>
      <c r="Q486" s="265">
        <v>0</v>
      </c>
      <c r="R486" s="265">
        <v>0</v>
      </c>
      <c r="S486" s="265">
        <v>0</v>
      </c>
      <c r="T486" s="265">
        <v>0</v>
      </c>
      <c r="U486" s="265">
        <v>0</v>
      </c>
      <c r="V486" s="265">
        <v>0</v>
      </c>
      <c r="W486" s="265">
        <v>0</v>
      </c>
      <c r="X486" s="265">
        <v>0</v>
      </c>
      <c r="Y486" s="50">
        <f t="shared" si="7"/>
        <v>0</v>
      </c>
    </row>
    <row r="487" spans="1:26" s="39" customFormat="1" x14ac:dyDescent="0.35">
      <c r="A487" s="37" t="s">
        <v>47</v>
      </c>
      <c r="B487" s="37" t="s">
        <v>2813</v>
      </c>
      <c r="C487" s="91">
        <v>8470530</v>
      </c>
      <c r="D487" s="37" t="s">
        <v>2412</v>
      </c>
      <c r="E487" s="91">
        <v>436110</v>
      </c>
      <c r="F487" s="37" t="s">
        <v>190</v>
      </c>
      <c r="G487" s="90">
        <v>847001</v>
      </c>
      <c r="H487" s="37" t="s">
        <v>50</v>
      </c>
      <c r="I487" s="90">
        <v>200179</v>
      </c>
      <c r="J487" s="37" t="s">
        <v>61</v>
      </c>
      <c r="K487" s="265">
        <v>0</v>
      </c>
      <c r="L487" s="265">
        <v>0</v>
      </c>
      <c r="M487" s="265">
        <v>0</v>
      </c>
      <c r="N487" s="265">
        <v>0</v>
      </c>
      <c r="O487" s="265">
        <v>0</v>
      </c>
      <c r="P487" s="265">
        <v>0</v>
      </c>
      <c r="Q487" s="265">
        <v>0</v>
      </c>
      <c r="R487" s="265">
        <v>0</v>
      </c>
      <c r="S487" s="265">
        <v>0</v>
      </c>
      <c r="T487" s="265">
        <v>0</v>
      </c>
      <c r="U487" s="265">
        <v>0</v>
      </c>
      <c r="V487" s="265">
        <v>0</v>
      </c>
      <c r="W487" s="265">
        <v>0</v>
      </c>
      <c r="X487" s="265">
        <v>0</v>
      </c>
      <c r="Y487" s="50">
        <f t="shared" si="7"/>
        <v>0</v>
      </c>
    </row>
    <row r="488" spans="1:26" s="39" customFormat="1" x14ac:dyDescent="0.35">
      <c r="A488" s="37" t="s">
        <v>47</v>
      </c>
      <c r="B488" s="37" t="s">
        <v>2814</v>
      </c>
      <c r="C488" s="91">
        <v>8470530</v>
      </c>
      <c r="D488" s="37" t="s">
        <v>2412</v>
      </c>
      <c r="E488" s="91">
        <v>436220</v>
      </c>
      <c r="F488" s="37" t="s">
        <v>2555</v>
      </c>
      <c r="G488" s="90">
        <v>847001</v>
      </c>
      <c r="H488" s="37" t="s">
        <v>50</v>
      </c>
      <c r="I488" s="90">
        <v>200179</v>
      </c>
      <c r="J488" s="37" t="s">
        <v>61</v>
      </c>
      <c r="K488" s="265">
        <v>0</v>
      </c>
      <c r="L488" s="265">
        <v>0</v>
      </c>
      <c r="M488" s="265">
        <v>0</v>
      </c>
      <c r="N488" s="265">
        <v>0</v>
      </c>
      <c r="O488" s="265">
        <v>0</v>
      </c>
      <c r="P488" s="265">
        <v>0</v>
      </c>
      <c r="Q488" s="265">
        <v>0</v>
      </c>
      <c r="R488" s="265">
        <v>0</v>
      </c>
      <c r="S488" s="265">
        <v>0</v>
      </c>
      <c r="T488" s="265">
        <v>0</v>
      </c>
      <c r="U488" s="265">
        <v>0</v>
      </c>
      <c r="V488" s="265">
        <v>0</v>
      </c>
      <c r="W488" s="265">
        <v>0</v>
      </c>
      <c r="X488" s="265">
        <v>0</v>
      </c>
      <c r="Y488" s="50">
        <f t="shared" si="7"/>
        <v>0</v>
      </c>
    </row>
    <row r="489" spans="1:26" s="39" customFormat="1" x14ac:dyDescent="0.35">
      <c r="A489" s="37" t="s">
        <v>47</v>
      </c>
      <c r="B489" s="37" t="s">
        <v>2649</v>
      </c>
      <c r="C489" s="91">
        <v>8470530</v>
      </c>
      <c r="D489" s="37" t="s">
        <v>2412</v>
      </c>
      <c r="E489" s="91">
        <v>492200</v>
      </c>
      <c r="F489" s="37" t="s">
        <v>2475</v>
      </c>
      <c r="G489" s="90">
        <v>847010</v>
      </c>
      <c r="H489" s="37" t="s">
        <v>2413</v>
      </c>
      <c r="I489" s="90">
        <v>300180</v>
      </c>
      <c r="J489" s="37" t="s">
        <v>192</v>
      </c>
      <c r="K489" s="265">
        <v>37147646</v>
      </c>
      <c r="L489" s="265">
        <v>25209027</v>
      </c>
      <c r="M489" s="265">
        <v>25040688</v>
      </c>
      <c r="N489" s="265">
        <v>18425319</v>
      </c>
      <c r="O489" s="265">
        <v>18425319</v>
      </c>
      <c r="P489" s="265">
        <v>4786548.21</v>
      </c>
      <c r="Q489" s="265">
        <v>5645292.7800000003</v>
      </c>
      <c r="R489" s="265">
        <v>8872317</v>
      </c>
      <c r="S489" s="265">
        <v>35300560</v>
      </c>
      <c r="T489" s="265">
        <v>1800000</v>
      </c>
      <c r="U489" s="265">
        <v>1600000</v>
      </c>
      <c r="V489" s="265">
        <v>1400000</v>
      </c>
      <c r="W489" s="265">
        <v>5000000</v>
      </c>
      <c r="X489" s="265">
        <v>650000</v>
      </c>
      <c r="Y489" s="50">
        <f t="shared" si="7"/>
        <v>16875241</v>
      </c>
    </row>
    <row r="490" spans="1:26" s="39" customFormat="1" x14ac:dyDescent="0.35">
      <c r="A490" s="37" t="s">
        <v>47</v>
      </c>
      <c r="B490" s="37" t="s">
        <v>2656</v>
      </c>
      <c r="C490" s="91">
        <v>8470530</v>
      </c>
      <c r="D490" s="37" t="s">
        <v>2412</v>
      </c>
      <c r="E490" s="91">
        <v>492200</v>
      </c>
      <c r="F490" s="37" t="s">
        <v>2475</v>
      </c>
      <c r="G490" s="90">
        <v>847015</v>
      </c>
      <c r="H490" s="37" t="s">
        <v>2417</v>
      </c>
      <c r="I490" s="90">
        <v>300180</v>
      </c>
      <c r="J490" s="37" t="s">
        <v>192</v>
      </c>
      <c r="K490" s="265">
        <v>0</v>
      </c>
      <c r="L490" s="265">
        <v>0</v>
      </c>
      <c r="M490" s="265">
        <v>1343400</v>
      </c>
      <c r="N490" s="265">
        <v>0</v>
      </c>
      <c r="O490" s="265">
        <v>0</v>
      </c>
      <c r="P490" s="265">
        <v>0</v>
      </c>
      <c r="Q490" s="265">
        <v>0</v>
      </c>
      <c r="R490" s="265">
        <v>0</v>
      </c>
      <c r="S490" s="265">
        <v>200000</v>
      </c>
      <c r="T490" s="265">
        <v>180000</v>
      </c>
      <c r="U490" s="265">
        <v>160000</v>
      </c>
      <c r="V490" s="265">
        <v>140000</v>
      </c>
      <c r="W490" s="265">
        <v>0</v>
      </c>
      <c r="X490" s="265">
        <v>0</v>
      </c>
      <c r="Y490" s="50">
        <f t="shared" si="7"/>
        <v>200000</v>
      </c>
    </row>
    <row r="491" spans="1:26" s="39" customFormat="1" x14ac:dyDescent="0.35">
      <c r="A491" s="37" t="s">
        <v>47</v>
      </c>
      <c r="B491" s="37" t="s">
        <v>2657</v>
      </c>
      <c r="C491" s="91">
        <v>8470530</v>
      </c>
      <c r="D491" s="37" t="s">
        <v>2412</v>
      </c>
      <c r="E491" s="91">
        <v>492200</v>
      </c>
      <c r="F491" s="37" t="s">
        <v>2475</v>
      </c>
      <c r="G491" s="90">
        <v>847020</v>
      </c>
      <c r="H491" s="37" t="s">
        <v>2093</v>
      </c>
      <c r="I491" s="90">
        <v>300180</v>
      </c>
      <c r="J491" s="37" t="s">
        <v>192</v>
      </c>
      <c r="K491" s="265">
        <v>1668930</v>
      </c>
      <c r="L491" s="265">
        <v>2473827</v>
      </c>
      <c r="M491" s="265">
        <v>2319769</v>
      </c>
      <c r="N491" s="265">
        <v>23638949</v>
      </c>
      <c r="O491" s="265">
        <v>23638949</v>
      </c>
      <c r="P491" s="265">
        <v>6540434.4000000004</v>
      </c>
      <c r="Q491" s="265">
        <v>7102853</v>
      </c>
      <c r="R491" s="265">
        <v>7828634.5999999996</v>
      </c>
      <c r="S491" s="265">
        <v>68152000</v>
      </c>
      <c r="T491" s="265">
        <v>33120000</v>
      </c>
      <c r="U491" s="265">
        <v>29440000</v>
      </c>
      <c r="V491" s="265">
        <v>25760000</v>
      </c>
      <c r="W491" s="265">
        <v>9790000</v>
      </c>
      <c r="X491" s="265">
        <v>0</v>
      </c>
      <c r="Y491" s="50">
        <f t="shared" si="7"/>
        <v>44513051</v>
      </c>
    </row>
    <row r="492" spans="1:26" s="39" customFormat="1" x14ac:dyDescent="0.35">
      <c r="A492" s="37" t="s">
        <v>47</v>
      </c>
      <c r="B492" s="37" t="s">
        <v>2816</v>
      </c>
      <c r="C492" s="91">
        <v>8470530</v>
      </c>
      <c r="D492" s="37" t="s">
        <v>2412</v>
      </c>
      <c r="E492" s="91">
        <v>492316</v>
      </c>
      <c r="F492" s="37" t="s">
        <v>221</v>
      </c>
      <c r="G492" s="90">
        <v>847001</v>
      </c>
      <c r="H492" s="37" t="s">
        <v>50</v>
      </c>
      <c r="I492" s="90">
        <v>300180</v>
      </c>
      <c r="J492" s="37" t="s">
        <v>192</v>
      </c>
      <c r="K492" s="265">
        <v>0</v>
      </c>
      <c r="L492" s="265">
        <v>0</v>
      </c>
      <c r="M492" s="265">
        <v>0</v>
      </c>
      <c r="N492" s="265">
        <v>0</v>
      </c>
      <c r="O492" s="265">
        <v>0</v>
      </c>
      <c r="P492" s="265">
        <v>0</v>
      </c>
      <c r="Q492" s="265">
        <v>0</v>
      </c>
      <c r="R492" s="265">
        <v>0</v>
      </c>
      <c r="S492" s="265">
        <v>0</v>
      </c>
      <c r="T492" s="265">
        <v>0</v>
      </c>
      <c r="U492" s="265">
        <v>0</v>
      </c>
      <c r="V492" s="265">
        <v>0</v>
      </c>
      <c r="W492" s="265">
        <v>0</v>
      </c>
      <c r="X492" s="265">
        <v>0</v>
      </c>
      <c r="Y492" s="50">
        <f t="shared" si="7"/>
        <v>0</v>
      </c>
    </row>
    <row r="493" spans="1:26" s="39" customFormat="1" x14ac:dyDescent="0.35">
      <c r="A493" s="37" t="s">
        <v>47</v>
      </c>
      <c r="B493" s="37" t="s">
        <v>2671</v>
      </c>
      <c r="C493" s="91">
        <v>8470530</v>
      </c>
      <c r="D493" s="37" t="s">
        <v>2412</v>
      </c>
      <c r="E493" s="91">
        <v>492610</v>
      </c>
      <c r="F493" s="37" t="s">
        <v>2537</v>
      </c>
      <c r="G493" s="90">
        <v>847010</v>
      </c>
      <c r="H493" s="37" t="s">
        <v>2413</v>
      </c>
      <c r="I493" s="90">
        <v>300180</v>
      </c>
      <c r="J493" s="37" t="s">
        <v>192</v>
      </c>
      <c r="K493" s="265">
        <v>2109855</v>
      </c>
      <c r="L493" s="265">
        <v>6216230</v>
      </c>
      <c r="M493" s="265">
        <v>1623494</v>
      </c>
      <c r="N493" s="265">
        <v>1271162</v>
      </c>
      <c r="O493" s="265">
        <v>1271162</v>
      </c>
      <c r="P493" s="265">
        <v>53100</v>
      </c>
      <c r="Q493" s="265">
        <v>668595</v>
      </c>
      <c r="R493" s="265">
        <v>49374</v>
      </c>
      <c r="S493" s="265">
        <v>6046594</v>
      </c>
      <c r="T493" s="265">
        <v>1530000</v>
      </c>
      <c r="U493" s="265">
        <v>1360000</v>
      </c>
      <c r="V493" s="265">
        <v>1190000</v>
      </c>
      <c r="W493" s="265">
        <v>0</v>
      </c>
      <c r="X493" s="265">
        <v>0</v>
      </c>
      <c r="Y493" s="50">
        <f t="shared" si="7"/>
        <v>4775432</v>
      </c>
      <c r="Z493" s="275">
        <f>Y493/N493</f>
        <v>3.756745403024949</v>
      </c>
    </row>
    <row r="494" spans="1:26" s="39" customFormat="1" x14ac:dyDescent="0.35">
      <c r="A494" s="37" t="s">
        <v>47</v>
      </c>
      <c r="B494" s="37" t="s">
        <v>2672</v>
      </c>
      <c r="C494" s="91">
        <v>8470530</v>
      </c>
      <c r="D494" s="37" t="s">
        <v>2412</v>
      </c>
      <c r="E494" s="91">
        <v>492610</v>
      </c>
      <c r="F494" s="37" t="s">
        <v>2537</v>
      </c>
      <c r="G494" s="90">
        <v>847015</v>
      </c>
      <c r="H494" s="37" t="s">
        <v>2417</v>
      </c>
      <c r="I494" s="90">
        <v>300180</v>
      </c>
      <c r="J494" s="37" t="s">
        <v>192</v>
      </c>
      <c r="K494" s="265">
        <v>0</v>
      </c>
      <c r="L494" s="265">
        <v>0</v>
      </c>
      <c r="M494" s="265">
        <v>142490</v>
      </c>
      <c r="N494" s="265">
        <v>32800</v>
      </c>
      <c r="O494" s="265">
        <v>32800</v>
      </c>
      <c r="P494" s="265">
        <v>31488</v>
      </c>
      <c r="Q494" s="265">
        <v>0</v>
      </c>
      <c r="R494" s="265">
        <v>0</v>
      </c>
      <c r="S494" s="265">
        <v>0</v>
      </c>
      <c r="T494" s="265">
        <v>0</v>
      </c>
      <c r="U494" s="265">
        <v>0</v>
      </c>
      <c r="V494" s="265">
        <v>0</v>
      </c>
      <c r="W494" s="265">
        <v>0</v>
      </c>
      <c r="X494" s="265">
        <v>0</v>
      </c>
      <c r="Y494" s="50">
        <f t="shared" si="7"/>
        <v>-32800</v>
      </c>
    </row>
    <row r="495" spans="1:26" s="39" customFormat="1" x14ac:dyDescent="0.35">
      <c r="A495" s="37" t="s">
        <v>47</v>
      </c>
      <c r="B495" s="37" t="s">
        <v>2673</v>
      </c>
      <c r="C495" s="91">
        <v>8470530</v>
      </c>
      <c r="D495" s="37" t="s">
        <v>2412</v>
      </c>
      <c r="E495" s="91">
        <v>492610</v>
      </c>
      <c r="F495" s="37" t="s">
        <v>2537</v>
      </c>
      <c r="G495" s="90">
        <v>847020</v>
      </c>
      <c r="H495" s="37" t="s">
        <v>2093</v>
      </c>
      <c r="I495" s="90">
        <v>300180</v>
      </c>
      <c r="J495" s="37" t="s">
        <v>192</v>
      </c>
      <c r="K495" s="265">
        <v>1433359</v>
      </c>
      <c r="L495" s="265">
        <v>0</v>
      </c>
      <c r="M495" s="265">
        <v>0</v>
      </c>
      <c r="N495" s="265">
        <v>775893</v>
      </c>
      <c r="O495" s="265">
        <v>775893</v>
      </c>
      <c r="P495" s="265">
        <v>0</v>
      </c>
      <c r="Q495" s="265">
        <v>82282</v>
      </c>
      <c r="R495" s="265">
        <v>0</v>
      </c>
      <c r="S495" s="265">
        <v>280000</v>
      </c>
      <c r="T495" s="265">
        <v>252000</v>
      </c>
      <c r="U495" s="265">
        <v>224000</v>
      </c>
      <c r="V495" s="265">
        <v>196000</v>
      </c>
      <c r="W495" s="265">
        <v>100000</v>
      </c>
      <c r="X495" s="265">
        <v>100000</v>
      </c>
      <c r="Y495" s="50">
        <f t="shared" si="7"/>
        <v>-495893</v>
      </c>
    </row>
    <row r="496" spans="1:26" s="39" customFormat="1" x14ac:dyDescent="0.35">
      <c r="A496" s="37" t="s">
        <v>47</v>
      </c>
      <c r="B496" s="37" t="s">
        <v>2667</v>
      </c>
      <c r="C496" s="91">
        <v>8470530</v>
      </c>
      <c r="D496" s="37" t="s">
        <v>2412</v>
      </c>
      <c r="E496" s="91">
        <v>495110</v>
      </c>
      <c r="F496" s="37" t="s">
        <v>213</v>
      </c>
      <c r="G496" s="90">
        <v>847001</v>
      </c>
      <c r="H496" s="37" t="s">
        <v>50</v>
      </c>
      <c r="I496" s="90">
        <v>300180</v>
      </c>
      <c r="J496" s="37" t="s">
        <v>192</v>
      </c>
      <c r="K496" s="265">
        <v>0</v>
      </c>
      <c r="L496" s="265">
        <v>0</v>
      </c>
      <c r="M496" s="265">
        <v>0</v>
      </c>
      <c r="N496" s="265">
        <v>0</v>
      </c>
      <c r="O496" s="265">
        <v>0</v>
      </c>
      <c r="P496" s="265">
        <v>0</v>
      </c>
      <c r="Q496" s="265">
        <v>0</v>
      </c>
      <c r="R496" s="265">
        <v>0</v>
      </c>
      <c r="S496" s="265">
        <v>1800000</v>
      </c>
      <c r="T496" s="265">
        <v>1620000</v>
      </c>
      <c r="U496" s="265">
        <v>1440000</v>
      </c>
      <c r="V496" s="265">
        <v>1260000</v>
      </c>
      <c r="W496" s="265">
        <v>2200000</v>
      </c>
      <c r="X496" s="265">
        <v>2500000</v>
      </c>
      <c r="Y496" s="50">
        <f t="shared" si="7"/>
        <v>1800000</v>
      </c>
    </row>
    <row r="497" spans="1:25" s="39" customFormat="1" x14ac:dyDescent="0.35">
      <c r="A497" s="37" t="s">
        <v>47</v>
      </c>
      <c r="B497" s="37" t="s">
        <v>2817</v>
      </c>
      <c r="C497" s="91">
        <v>8470530</v>
      </c>
      <c r="D497" s="37" t="s">
        <v>2412</v>
      </c>
      <c r="E497" s="91">
        <v>495140</v>
      </c>
      <c r="F497" s="37" t="s">
        <v>541</v>
      </c>
      <c r="G497" s="90">
        <v>847010</v>
      </c>
      <c r="H497" s="37" t="s">
        <v>2413</v>
      </c>
      <c r="I497" s="90">
        <v>300180</v>
      </c>
      <c r="J497" s="37" t="s">
        <v>192</v>
      </c>
      <c r="K497" s="265">
        <v>0</v>
      </c>
      <c r="L497" s="265">
        <v>267131</v>
      </c>
      <c r="M497" s="265">
        <v>18150</v>
      </c>
      <c r="N497" s="265">
        <v>30312</v>
      </c>
      <c r="O497" s="265">
        <v>30312</v>
      </c>
      <c r="P497" s="265">
        <v>0</v>
      </c>
      <c r="Q497" s="265">
        <v>0</v>
      </c>
      <c r="R497" s="265">
        <v>30302.25</v>
      </c>
      <c r="S497" s="265">
        <v>0</v>
      </c>
      <c r="T497" s="265">
        <v>0</v>
      </c>
      <c r="U497" s="265">
        <v>0</v>
      </c>
      <c r="V497" s="265">
        <v>0</v>
      </c>
      <c r="W497" s="265">
        <v>0</v>
      </c>
      <c r="X497" s="265">
        <v>0</v>
      </c>
      <c r="Y497" s="50">
        <f t="shared" si="7"/>
        <v>-30312</v>
      </c>
    </row>
    <row r="498" spans="1:25" s="39" customFormat="1" x14ac:dyDescent="0.35">
      <c r="A498" s="37" t="s">
        <v>47</v>
      </c>
      <c r="B498" s="37" t="s">
        <v>2679</v>
      </c>
      <c r="C498" s="91">
        <v>8470540</v>
      </c>
      <c r="D498" s="37" t="s">
        <v>2557</v>
      </c>
      <c r="E498" s="91">
        <v>422900</v>
      </c>
      <c r="F498" s="37" t="s">
        <v>1139</v>
      </c>
      <c r="G498" s="90">
        <v>847010</v>
      </c>
      <c r="H498" s="37" t="s">
        <v>2413</v>
      </c>
      <c r="I498" s="90">
        <v>200179</v>
      </c>
      <c r="J498" s="37" t="s">
        <v>61</v>
      </c>
      <c r="K498" s="265">
        <v>0</v>
      </c>
      <c r="L498" s="265">
        <v>0</v>
      </c>
      <c r="M498" s="265">
        <v>0</v>
      </c>
      <c r="N498" s="265">
        <v>0</v>
      </c>
      <c r="O498" s="265">
        <v>0</v>
      </c>
      <c r="P498" s="265">
        <v>0</v>
      </c>
      <c r="Q498" s="265">
        <v>0</v>
      </c>
      <c r="R498" s="265">
        <v>0</v>
      </c>
      <c r="S498" s="265">
        <v>900000</v>
      </c>
      <c r="T498" s="265">
        <v>810000</v>
      </c>
      <c r="U498" s="265">
        <v>720000</v>
      </c>
      <c r="V498" s="265">
        <v>630000</v>
      </c>
      <c r="W498" s="265">
        <v>900000</v>
      </c>
      <c r="X498" s="265">
        <v>900000</v>
      </c>
      <c r="Y498" s="50">
        <f t="shared" si="7"/>
        <v>900000</v>
      </c>
    </row>
    <row r="499" spans="1:25" s="39" customFormat="1" x14ac:dyDescent="0.35">
      <c r="A499" s="37" t="s">
        <v>47</v>
      </c>
      <c r="B499" s="37" t="s">
        <v>2696</v>
      </c>
      <c r="C499" s="91">
        <v>8470540</v>
      </c>
      <c r="D499" s="37" t="s">
        <v>2557</v>
      </c>
      <c r="E499" s="91">
        <v>426250</v>
      </c>
      <c r="F499" s="37" t="s">
        <v>2442</v>
      </c>
      <c r="G499" s="90">
        <v>847010</v>
      </c>
      <c r="H499" s="37" t="s">
        <v>2413</v>
      </c>
      <c r="I499" s="90">
        <v>200179</v>
      </c>
      <c r="J499" s="37" t="s">
        <v>61</v>
      </c>
      <c r="K499" s="265">
        <v>0</v>
      </c>
      <c r="L499" s="265">
        <v>0</v>
      </c>
      <c r="M499" s="265">
        <v>0</v>
      </c>
      <c r="N499" s="265">
        <v>0</v>
      </c>
      <c r="O499" s="265">
        <v>0</v>
      </c>
      <c r="P499" s="265">
        <v>0</v>
      </c>
      <c r="Q499" s="265">
        <v>0</v>
      </c>
      <c r="R499" s="265">
        <v>0</v>
      </c>
      <c r="S499" s="265">
        <v>50000</v>
      </c>
      <c r="T499" s="265">
        <v>45000</v>
      </c>
      <c r="U499" s="265">
        <v>40000</v>
      </c>
      <c r="V499" s="265">
        <v>35000</v>
      </c>
      <c r="W499" s="265">
        <v>50000</v>
      </c>
      <c r="X499" s="265">
        <v>50000</v>
      </c>
      <c r="Y499" s="50">
        <f t="shared" si="7"/>
        <v>50000</v>
      </c>
    </row>
    <row r="500" spans="1:25" s="39" customFormat="1" x14ac:dyDescent="0.35">
      <c r="A500" s="37" t="s">
        <v>47</v>
      </c>
      <c r="B500" s="37" t="s">
        <v>2680</v>
      </c>
      <c r="C500" s="91">
        <v>8470540</v>
      </c>
      <c r="D500" s="37" t="s">
        <v>2557</v>
      </c>
      <c r="E500" s="91">
        <v>426800</v>
      </c>
      <c r="F500" s="37" t="s">
        <v>2552</v>
      </c>
      <c r="G500" s="90">
        <v>847010</v>
      </c>
      <c r="H500" s="37" t="s">
        <v>2413</v>
      </c>
      <c r="I500" s="90">
        <v>200179</v>
      </c>
      <c r="J500" s="37" t="s">
        <v>61</v>
      </c>
      <c r="K500" s="265">
        <v>0</v>
      </c>
      <c r="L500" s="265">
        <v>0</v>
      </c>
      <c r="M500" s="265">
        <v>0</v>
      </c>
      <c r="N500" s="265">
        <v>10000</v>
      </c>
      <c r="O500" s="265">
        <v>10000</v>
      </c>
      <c r="P500" s="265">
        <v>848</v>
      </c>
      <c r="Q500" s="265">
        <v>0</v>
      </c>
      <c r="R500" s="265">
        <v>0</v>
      </c>
      <c r="S500" s="265">
        <v>10000</v>
      </c>
      <c r="T500" s="265">
        <v>9000</v>
      </c>
      <c r="U500" s="265">
        <v>8000</v>
      </c>
      <c r="V500" s="265">
        <v>7000</v>
      </c>
      <c r="W500" s="265">
        <v>10000</v>
      </c>
      <c r="X500" s="265">
        <v>10000</v>
      </c>
      <c r="Y500" s="50">
        <f t="shared" si="7"/>
        <v>0</v>
      </c>
    </row>
    <row r="501" spans="1:25" s="39" customFormat="1" x14ac:dyDescent="0.35">
      <c r="A501" s="37" t="s">
        <v>47</v>
      </c>
      <c r="B501" s="37" t="s">
        <v>2681</v>
      </c>
      <c r="C501" s="91">
        <v>8470540</v>
      </c>
      <c r="D501" s="37" t="s">
        <v>2557</v>
      </c>
      <c r="E501" s="91">
        <v>426900</v>
      </c>
      <c r="F501" s="37" t="s">
        <v>1080</v>
      </c>
      <c r="G501" s="90">
        <v>847010</v>
      </c>
      <c r="H501" s="37" t="s">
        <v>2413</v>
      </c>
      <c r="I501" s="90">
        <v>200179</v>
      </c>
      <c r="J501" s="37" t="s">
        <v>61</v>
      </c>
      <c r="K501" s="265">
        <v>0</v>
      </c>
      <c r="L501" s="265">
        <v>0</v>
      </c>
      <c r="M501" s="265">
        <v>0</v>
      </c>
      <c r="N501" s="265">
        <v>30000</v>
      </c>
      <c r="O501" s="265">
        <v>30000</v>
      </c>
      <c r="P501" s="265">
        <v>3000</v>
      </c>
      <c r="Q501" s="265">
        <v>0</v>
      </c>
      <c r="R501" s="265">
        <v>0</v>
      </c>
      <c r="S501" s="265">
        <v>30000</v>
      </c>
      <c r="T501" s="265">
        <v>27000</v>
      </c>
      <c r="U501" s="265">
        <v>24000</v>
      </c>
      <c r="V501" s="265">
        <v>21000</v>
      </c>
      <c r="W501" s="265">
        <v>30000</v>
      </c>
      <c r="X501" s="265">
        <v>30000</v>
      </c>
      <c r="Y501" s="50">
        <f t="shared" si="7"/>
        <v>0</v>
      </c>
    </row>
    <row r="502" spans="1:25" s="39" customFormat="1" x14ac:dyDescent="0.35">
      <c r="A502" s="37" t="s">
        <v>47</v>
      </c>
      <c r="B502" s="37" t="s">
        <v>2682</v>
      </c>
      <c r="C502" s="91">
        <v>8470540</v>
      </c>
      <c r="D502" s="37" t="s">
        <v>2557</v>
      </c>
      <c r="E502" s="91">
        <v>428111</v>
      </c>
      <c r="F502" s="37" t="s">
        <v>1478</v>
      </c>
      <c r="G502" s="90">
        <v>847010</v>
      </c>
      <c r="H502" s="37" t="s">
        <v>2413</v>
      </c>
      <c r="I502" s="90">
        <v>200179</v>
      </c>
      <c r="J502" s="37" t="s">
        <v>61</v>
      </c>
      <c r="K502" s="265">
        <v>0</v>
      </c>
      <c r="L502" s="265">
        <v>0</v>
      </c>
      <c r="M502" s="265">
        <v>0</v>
      </c>
      <c r="N502" s="265">
        <v>7349560</v>
      </c>
      <c r="O502" s="265">
        <v>7349560</v>
      </c>
      <c r="P502" s="265">
        <v>2048875.12</v>
      </c>
      <c r="Q502" s="265">
        <v>0</v>
      </c>
      <c r="R502" s="265">
        <v>0</v>
      </c>
      <c r="S502" s="265">
        <v>9664500</v>
      </c>
      <c r="T502" s="265">
        <v>8698050</v>
      </c>
      <c r="U502" s="265">
        <v>7731600</v>
      </c>
      <c r="V502" s="265">
        <v>6765150</v>
      </c>
      <c r="W502" s="265">
        <v>9664500</v>
      </c>
      <c r="X502" s="265">
        <v>9664500</v>
      </c>
      <c r="Y502" s="50">
        <f t="shared" si="7"/>
        <v>2314940</v>
      </c>
    </row>
    <row r="503" spans="1:25" s="39" customFormat="1" x14ac:dyDescent="0.35">
      <c r="A503" s="37" t="s">
        <v>47</v>
      </c>
      <c r="B503" s="37" t="s">
        <v>2683</v>
      </c>
      <c r="C503" s="91">
        <v>8470540</v>
      </c>
      <c r="D503" s="37" t="s">
        <v>2557</v>
      </c>
      <c r="E503" s="91">
        <v>428111</v>
      </c>
      <c r="F503" s="37" t="s">
        <v>1478</v>
      </c>
      <c r="G503" s="90">
        <v>847015</v>
      </c>
      <c r="H503" s="37" t="s">
        <v>2417</v>
      </c>
      <c r="I503" s="90">
        <v>200179</v>
      </c>
      <c r="J503" s="37" t="s">
        <v>61</v>
      </c>
      <c r="K503" s="265">
        <v>0</v>
      </c>
      <c r="L503" s="265">
        <v>0</v>
      </c>
      <c r="M503" s="265">
        <v>0</v>
      </c>
      <c r="N503" s="265">
        <v>4615084</v>
      </c>
      <c r="O503" s="265">
        <v>4615084</v>
      </c>
      <c r="P503" s="265">
        <v>1050780.82</v>
      </c>
      <c r="Q503" s="265">
        <v>0</v>
      </c>
      <c r="R503" s="265">
        <v>0</v>
      </c>
      <c r="S503" s="265">
        <v>4615084</v>
      </c>
      <c r="T503" s="265">
        <v>4153576</v>
      </c>
      <c r="U503" s="265">
        <v>3692067</v>
      </c>
      <c r="V503" s="265">
        <v>3230559</v>
      </c>
      <c r="W503" s="265">
        <v>4615084</v>
      </c>
      <c r="X503" s="265">
        <v>4615084</v>
      </c>
      <c r="Y503" s="50">
        <f t="shared" si="7"/>
        <v>0</v>
      </c>
    </row>
    <row r="504" spans="1:25" s="39" customFormat="1" x14ac:dyDescent="0.35">
      <c r="A504" s="37" t="s">
        <v>47</v>
      </c>
      <c r="B504" s="37" t="s">
        <v>2684</v>
      </c>
      <c r="C504" s="91">
        <v>8470540</v>
      </c>
      <c r="D504" s="37" t="s">
        <v>2557</v>
      </c>
      <c r="E504" s="91">
        <v>428111</v>
      </c>
      <c r="F504" s="37" t="s">
        <v>1478</v>
      </c>
      <c r="G504" s="90">
        <v>847020</v>
      </c>
      <c r="H504" s="37" t="s">
        <v>2093</v>
      </c>
      <c r="I504" s="90">
        <v>200179</v>
      </c>
      <c r="J504" s="37" t="s">
        <v>61</v>
      </c>
      <c r="K504" s="265">
        <v>0</v>
      </c>
      <c r="L504" s="265">
        <v>0</v>
      </c>
      <c r="M504" s="265">
        <v>0</v>
      </c>
      <c r="N504" s="265">
        <v>3058446</v>
      </c>
      <c r="O504" s="265">
        <v>3058446</v>
      </c>
      <c r="P504" s="265">
        <v>1097838.3999999999</v>
      </c>
      <c r="Q504" s="265">
        <v>0</v>
      </c>
      <c r="R504" s="265">
        <v>0</v>
      </c>
      <c r="S504" s="265">
        <v>3976000</v>
      </c>
      <c r="T504" s="265">
        <v>3578400</v>
      </c>
      <c r="U504" s="265">
        <v>3180800</v>
      </c>
      <c r="V504" s="265">
        <v>2783200</v>
      </c>
      <c r="W504" s="265">
        <v>3976000</v>
      </c>
      <c r="X504" s="265">
        <v>3976000</v>
      </c>
      <c r="Y504" s="50">
        <f t="shared" si="7"/>
        <v>917554</v>
      </c>
    </row>
    <row r="505" spans="1:25" s="39" customFormat="1" x14ac:dyDescent="0.35">
      <c r="A505" s="37" t="s">
        <v>47</v>
      </c>
      <c r="B505" s="37" t="s">
        <v>2685</v>
      </c>
      <c r="C505" s="91">
        <v>8470540</v>
      </c>
      <c r="D505" s="37" t="s">
        <v>2557</v>
      </c>
      <c r="E505" s="91">
        <v>428111</v>
      </c>
      <c r="F505" s="37" t="s">
        <v>1478</v>
      </c>
      <c r="G505" s="90">
        <v>847030</v>
      </c>
      <c r="H505" s="37" t="s">
        <v>2429</v>
      </c>
      <c r="I505" s="90">
        <v>200179</v>
      </c>
      <c r="J505" s="37" t="s">
        <v>61</v>
      </c>
      <c r="K505" s="265">
        <v>0</v>
      </c>
      <c r="L505" s="265">
        <v>0</v>
      </c>
      <c r="M505" s="265">
        <v>0</v>
      </c>
      <c r="N505" s="265">
        <v>442627</v>
      </c>
      <c r="O505" s="265">
        <v>442627</v>
      </c>
      <c r="P505" s="265">
        <v>0</v>
      </c>
      <c r="Q505" s="265">
        <v>0</v>
      </c>
      <c r="R505" s="265">
        <v>0</v>
      </c>
      <c r="S505" s="265">
        <v>442627</v>
      </c>
      <c r="T505" s="265">
        <v>398364</v>
      </c>
      <c r="U505" s="265">
        <v>354102</v>
      </c>
      <c r="V505" s="265">
        <v>309839</v>
      </c>
      <c r="W505" s="265">
        <v>442627</v>
      </c>
      <c r="X505" s="265">
        <v>442627</v>
      </c>
      <c r="Y505" s="50">
        <f t="shared" si="7"/>
        <v>0</v>
      </c>
    </row>
    <row r="506" spans="1:25" s="39" customFormat="1" x14ac:dyDescent="0.35">
      <c r="A506" s="37" t="s">
        <v>47</v>
      </c>
      <c r="B506" s="37" t="s">
        <v>2686</v>
      </c>
      <c r="C506" s="91">
        <v>8470540</v>
      </c>
      <c r="D506" s="37" t="s">
        <v>2557</v>
      </c>
      <c r="E506" s="91">
        <v>428112</v>
      </c>
      <c r="F506" s="37" t="s">
        <v>1479</v>
      </c>
      <c r="G506" s="90">
        <v>847010</v>
      </c>
      <c r="H506" s="37" t="s">
        <v>2413</v>
      </c>
      <c r="I506" s="90">
        <v>200179</v>
      </c>
      <c r="J506" s="37" t="s">
        <v>61</v>
      </c>
      <c r="K506" s="265">
        <v>0</v>
      </c>
      <c r="L506" s="265">
        <v>0</v>
      </c>
      <c r="M506" s="265">
        <v>0</v>
      </c>
      <c r="N506" s="265">
        <v>1153128</v>
      </c>
      <c r="O506" s="265">
        <v>1153128</v>
      </c>
      <c r="P506" s="265">
        <v>298125.19</v>
      </c>
      <c r="Q506" s="265">
        <v>0</v>
      </c>
      <c r="R506" s="265">
        <v>0</v>
      </c>
      <c r="S506" s="265">
        <v>1500000</v>
      </c>
      <c r="T506" s="265">
        <v>1350000</v>
      </c>
      <c r="U506" s="265">
        <v>1200000</v>
      </c>
      <c r="V506" s="265">
        <v>1050000</v>
      </c>
      <c r="W506" s="265">
        <v>1500000</v>
      </c>
      <c r="X506" s="265">
        <v>1500000</v>
      </c>
      <c r="Y506" s="50">
        <f t="shared" si="7"/>
        <v>346872</v>
      </c>
    </row>
    <row r="507" spans="1:25" s="39" customFormat="1" x14ac:dyDescent="0.35">
      <c r="A507" s="37" t="s">
        <v>47</v>
      </c>
      <c r="B507" s="37" t="s">
        <v>2687</v>
      </c>
      <c r="C507" s="91">
        <v>8470540</v>
      </c>
      <c r="D507" s="37" t="s">
        <v>2557</v>
      </c>
      <c r="E507" s="91">
        <v>428112</v>
      </c>
      <c r="F507" s="37" t="s">
        <v>1479</v>
      </c>
      <c r="G507" s="90">
        <v>847015</v>
      </c>
      <c r="H507" s="37" t="s">
        <v>2417</v>
      </c>
      <c r="I507" s="90">
        <v>200179</v>
      </c>
      <c r="J507" s="37" t="s">
        <v>61</v>
      </c>
      <c r="K507" s="265">
        <v>0</v>
      </c>
      <c r="L507" s="265">
        <v>0</v>
      </c>
      <c r="M507" s="265">
        <v>0</v>
      </c>
      <c r="N507" s="265">
        <v>1681399</v>
      </c>
      <c r="O507" s="265">
        <v>1681399</v>
      </c>
      <c r="P507" s="265">
        <v>448324.25</v>
      </c>
      <c r="Q507" s="265">
        <v>0</v>
      </c>
      <c r="R507" s="265">
        <v>0</v>
      </c>
      <c r="S507" s="265">
        <v>1681399</v>
      </c>
      <c r="T507" s="265">
        <v>1513259</v>
      </c>
      <c r="U507" s="265">
        <v>1345119</v>
      </c>
      <c r="V507" s="265">
        <v>1176979</v>
      </c>
      <c r="W507" s="265">
        <v>1681399</v>
      </c>
      <c r="X507" s="265">
        <v>1681399</v>
      </c>
      <c r="Y507" s="50">
        <f t="shared" si="7"/>
        <v>0</v>
      </c>
    </row>
    <row r="508" spans="1:25" s="39" customFormat="1" x14ac:dyDescent="0.35">
      <c r="A508" s="37" t="s">
        <v>47</v>
      </c>
      <c r="B508" s="37" t="s">
        <v>2688</v>
      </c>
      <c r="C508" s="91">
        <v>8470540</v>
      </c>
      <c r="D508" s="37" t="s">
        <v>2557</v>
      </c>
      <c r="E508" s="91">
        <v>428112</v>
      </c>
      <c r="F508" s="37" t="s">
        <v>1479</v>
      </c>
      <c r="G508" s="90">
        <v>847020</v>
      </c>
      <c r="H508" s="37" t="s">
        <v>2093</v>
      </c>
      <c r="I508" s="90">
        <v>200179</v>
      </c>
      <c r="J508" s="37" t="s">
        <v>61</v>
      </c>
      <c r="K508" s="265">
        <v>0</v>
      </c>
      <c r="L508" s="265">
        <v>0</v>
      </c>
      <c r="M508" s="265">
        <v>0</v>
      </c>
      <c r="N508" s="265">
        <v>1703132</v>
      </c>
      <c r="O508" s="265">
        <v>1703132</v>
      </c>
      <c r="P508" s="265">
        <v>430172.97</v>
      </c>
      <c r="Q508" s="265">
        <v>0</v>
      </c>
      <c r="R508" s="265">
        <v>0</v>
      </c>
      <c r="S508" s="265">
        <v>1873450</v>
      </c>
      <c r="T508" s="265">
        <v>1686105</v>
      </c>
      <c r="U508" s="265">
        <v>1498760</v>
      </c>
      <c r="V508" s="265">
        <v>1311415</v>
      </c>
      <c r="W508" s="265">
        <v>1873450</v>
      </c>
      <c r="X508" s="265">
        <v>1873450</v>
      </c>
      <c r="Y508" s="50">
        <f t="shared" si="7"/>
        <v>170318</v>
      </c>
    </row>
    <row r="509" spans="1:25" s="39" customFormat="1" x14ac:dyDescent="0.35">
      <c r="A509" s="37" t="s">
        <v>47</v>
      </c>
      <c r="B509" s="37" t="s">
        <v>2689</v>
      </c>
      <c r="C509" s="91">
        <v>8470540</v>
      </c>
      <c r="D509" s="37" t="s">
        <v>2557</v>
      </c>
      <c r="E509" s="91">
        <v>428112</v>
      </c>
      <c r="F509" s="37" t="s">
        <v>1479</v>
      </c>
      <c r="G509" s="90">
        <v>847030</v>
      </c>
      <c r="H509" s="37" t="s">
        <v>2429</v>
      </c>
      <c r="I509" s="90">
        <v>200179</v>
      </c>
      <c r="J509" s="37" t="s">
        <v>61</v>
      </c>
      <c r="K509" s="265">
        <v>0</v>
      </c>
      <c r="L509" s="265">
        <v>0</v>
      </c>
      <c r="M509" s="265">
        <v>0</v>
      </c>
      <c r="N509" s="265">
        <v>153570</v>
      </c>
      <c r="O509" s="265">
        <v>153570</v>
      </c>
      <c r="P509" s="265">
        <v>0</v>
      </c>
      <c r="Q509" s="265">
        <v>0</v>
      </c>
      <c r="R509" s="265">
        <v>0</v>
      </c>
      <c r="S509" s="265">
        <v>153570</v>
      </c>
      <c r="T509" s="265">
        <v>138213</v>
      </c>
      <c r="U509" s="265">
        <v>122856</v>
      </c>
      <c r="V509" s="265">
        <v>107499</v>
      </c>
      <c r="W509" s="265">
        <v>153570</v>
      </c>
      <c r="X509" s="265">
        <v>153570</v>
      </c>
      <c r="Y509" s="50">
        <f t="shared" si="7"/>
        <v>0</v>
      </c>
    </row>
    <row r="510" spans="1:25" s="39" customFormat="1" x14ac:dyDescent="0.35">
      <c r="A510" s="37" t="s">
        <v>47</v>
      </c>
      <c r="B510" s="37" t="s">
        <v>2690</v>
      </c>
      <c r="C510" s="91">
        <v>8470540</v>
      </c>
      <c r="D510" s="37" t="s">
        <v>2557</v>
      </c>
      <c r="E510" s="91">
        <v>429900</v>
      </c>
      <c r="F510" s="37" t="s">
        <v>2359</v>
      </c>
      <c r="G510" s="90">
        <v>847010</v>
      </c>
      <c r="H510" s="37" t="s">
        <v>2413</v>
      </c>
      <c r="I510" s="90">
        <v>200179</v>
      </c>
      <c r="J510" s="37" t="s">
        <v>61</v>
      </c>
      <c r="K510" s="265">
        <v>0</v>
      </c>
      <c r="L510" s="265">
        <v>0</v>
      </c>
      <c r="M510" s="265">
        <v>0</v>
      </c>
      <c r="N510" s="265">
        <v>44000</v>
      </c>
      <c r="O510" s="265">
        <v>44000</v>
      </c>
      <c r="P510" s="265">
        <v>41250</v>
      </c>
      <c r="Q510" s="265">
        <v>0</v>
      </c>
      <c r="R510" s="265">
        <v>0</v>
      </c>
      <c r="S510" s="265">
        <v>48000</v>
      </c>
      <c r="T510" s="265">
        <v>39600</v>
      </c>
      <c r="U510" s="265">
        <v>35200</v>
      </c>
      <c r="V510" s="265">
        <v>30800</v>
      </c>
      <c r="W510" s="265">
        <v>48000</v>
      </c>
      <c r="X510" s="265">
        <v>48000</v>
      </c>
      <c r="Y510" s="50">
        <f t="shared" si="7"/>
        <v>4000</v>
      </c>
    </row>
    <row r="511" spans="1:25" s="39" customFormat="1" x14ac:dyDescent="0.35">
      <c r="A511" s="37" t="s">
        <v>47</v>
      </c>
      <c r="B511" s="37" t="s">
        <v>2691</v>
      </c>
      <c r="C511" s="91">
        <v>8470540</v>
      </c>
      <c r="D511" s="37" t="s">
        <v>2557</v>
      </c>
      <c r="E511" s="91">
        <v>430330</v>
      </c>
      <c r="F511" s="37" t="s">
        <v>2553</v>
      </c>
      <c r="G511" s="90">
        <v>847010</v>
      </c>
      <c r="H511" s="37" t="s">
        <v>2413</v>
      </c>
      <c r="I511" s="90">
        <v>200179</v>
      </c>
      <c r="J511" s="37" t="s">
        <v>61</v>
      </c>
      <c r="K511" s="265">
        <v>0</v>
      </c>
      <c r="L511" s="265">
        <v>0</v>
      </c>
      <c r="M511" s="265">
        <v>581760</v>
      </c>
      <c r="N511" s="265">
        <v>967680</v>
      </c>
      <c r="O511" s="265">
        <v>967680</v>
      </c>
      <c r="P511" s="265">
        <v>0</v>
      </c>
      <c r="Q511" s="265">
        <v>750960</v>
      </c>
      <c r="R511" s="265">
        <v>21000</v>
      </c>
      <c r="S511" s="265">
        <v>1870125</v>
      </c>
      <c r="T511" s="265">
        <v>990004</v>
      </c>
      <c r="U511" s="265">
        <v>880003</v>
      </c>
      <c r="V511" s="265">
        <v>770003</v>
      </c>
      <c r="W511" s="265">
        <v>1870125</v>
      </c>
      <c r="X511" s="265">
        <v>1870121</v>
      </c>
      <c r="Y511" s="50">
        <f t="shared" si="7"/>
        <v>902445</v>
      </c>
    </row>
    <row r="512" spans="1:25" s="39" customFormat="1" x14ac:dyDescent="0.35">
      <c r="A512" s="37" t="s">
        <v>47</v>
      </c>
      <c r="B512" s="37" t="s">
        <v>2692</v>
      </c>
      <c r="C512" s="91">
        <v>8470540</v>
      </c>
      <c r="D512" s="37" t="s">
        <v>2557</v>
      </c>
      <c r="E512" s="91">
        <v>432540</v>
      </c>
      <c r="F512" s="37" t="s">
        <v>2554</v>
      </c>
      <c r="G512" s="90">
        <v>847010</v>
      </c>
      <c r="H512" s="37" t="s">
        <v>2413</v>
      </c>
      <c r="I512" s="90">
        <v>200179</v>
      </c>
      <c r="J512" s="37" t="s">
        <v>61</v>
      </c>
      <c r="K512" s="265">
        <v>0</v>
      </c>
      <c r="L512" s="265">
        <v>0</v>
      </c>
      <c r="M512" s="265">
        <v>37509</v>
      </c>
      <c r="N512" s="265">
        <v>140000</v>
      </c>
      <c r="O512" s="265">
        <v>140000</v>
      </c>
      <c r="P512" s="265">
        <v>20576.84</v>
      </c>
      <c r="Q512" s="265">
        <v>2</v>
      </c>
      <c r="R512" s="265">
        <v>0</v>
      </c>
      <c r="S512" s="265">
        <v>140000</v>
      </c>
      <c r="T512" s="265">
        <v>126000</v>
      </c>
      <c r="U512" s="265">
        <v>112000</v>
      </c>
      <c r="V512" s="265">
        <v>98000</v>
      </c>
      <c r="W512" s="265">
        <v>140000</v>
      </c>
      <c r="X512" s="265">
        <v>140000</v>
      </c>
      <c r="Y512" s="50">
        <f t="shared" si="7"/>
        <v>0</v>
      </c>
    </row>
    <row r="513" spans="1:25" s="39" customFormat="1" x14ac:dyDescent="0.35">
      <c r="A513" s="37" t="s">
        <v>47</v>
      </c>
      <c r="B513" s="37" t="s">
        <v>2694</v>
      </c>
      <c r="C513" s="91">
        <v>8470540</v>
      </c>
      <c r="D513" s="37" t="s">
        <v>2557</v>
      </c>
      <c r="E513" s="91">
        <v>435410</v>
      </c>
      <c r="F513" s="37" t="s">
        <v>2590</v>
      </c>
      <c r="G513" s="90">
        <v>847020</v>
      </c>
      <c r="H513" s="37" t="s">
        <v>2093</v>
      </c>
      <c r="I513" s="90">
        <v>200179</v>
      </c>
      <c r="J513" s="37" t="s">
        <v>61</v>
      </c>
      <c r="K513" s="265">
        <v>0</v>
      </c>
      <c r="L513" s="265">
        <v>0</v>
      </c>
      <c r="M513" s="265">
        <v>0</v>
      </c>
      <c r="N513" s="265">
        <v>675690</v>
      </c>
      <c r="O513" s="265">
        <v>675690</v>
      </c>
      <c r="P513" s="265">
        <v>194173.19</v>
      </c>
      <c r="Q513" s="265">
        <v>0</v>
      </c>
      <c r="R513" s="265">
        <v>-7.2759576141834308E-12</v>
      </c>
      <c r="S513" s="265">
        <v>840000</v>
      </c>
      <c r="T513" s="265">
        <v>756000</v>
      </c>
      <c r="U513" s="265">
        <v>672000</v>
      </c>
      <c r="V513" s="265">
        <v>588000</v>
      </c>
      <c r="W513" s="265">
        <v>840000</v>
      </c>
      <c r="X513" s="265">
        <v>840000</v>
      </c>
      <c r="Y513" s="50">
        <f t="shared" si="7"/>
        <v>164310</v>
      </c>
    </row>
    <row r="514" spans="1:25" s="39" customFormat="1" x14ac:dyDescent="0.35">
      <c r="A514" s="37" t="s">
        <v>47</v>
      </c>
      <c r="B514" s="37" t="s">
        <v>2695</v>
      </c>
      <c r="C514" s="91">
        <v>8470540</v>
      </c>
      <c r="D514" s="37" t="s">
        <v>2557</v>
      </c>
      <c r="E514" s="91">
        <v>435740</v>
      </c>
      <c r="F514" s="37" t="s">
        <v>2593</v>
      </c>
      <c r="G514" s="90">
        <v>847010</v>
      </c>
      <c r="H514" s="37" t="s">
        <v>2413</v>
      </c>
      <c r="I514" s="90">
        <v>200179</v>
      </c>
      <c r="J514" s="37" t="s">
        <v>61</v>
      </c>
      <c r="K514" s="265">
        <v>0</v>
      </c>
      <c r="L514" s="265">
        <v>0</v>
      </c>
      <c r="M514" s="265">
        <v>0</v>
      </c>
      <c r="N514" s="265">
        <v>336000</v>
      </c>
      <c r="O514" s="265">
        <v>336000</v>
      </c>
      <c r="P514" s="265">
        <v>266719.75</v>
      </c>
      <c r="Q514" s="265">
        <v>0</v>
      </c>
      <c r="R514" s="265">
        <v>0</v>
      </c>
      <c r="S514" s="265">
        <v>336000</v>
      </c>
      <c r="T514" s="265">
        <v>302400</v>
      </c>
      <c r="U514" s="265">
        <v>268800</v>
      </c>
      <c r="V514" s="265">
        <v>235200</v>
      </c>
      <c r="W514" s="265">
        <v>336000</v>
      </c>
      <c r="X514" s="265">
        <v>336000</v>
      </c>
      <c r="Y514" s="50">
        <f t="shared" si="7"/>
        <v>0</v>
      </c>
    </row>
    <row r="515" spans="1:25" s="39" customFormat="1" x14ac:dyDescent="0.35">
      <c r="A515" s="37" t="s">
        <v>47</v>
      </c>
      <c r="B515" s="37" t="s">
        <v>2697</v>
      </c>
      <c r="C515" s="91">
        <v>8470540</v>
      </c>
      <c r="D515" s="37" t="s">
        <v>2557</v>
      </c>
      <c r="E515" s="91">
        <v>436110</v>
      </c>
      <c r="F515" s="37" t="s">
        <v>190</v>
      </c>
      <c r="G515" s="90">
        <v>847010</v>
      </c>
      <c r="H515" s="37" t="s">
        <v>2413</v>
      </c>
      <c r="I515" s="90">
        <v>200179</v>
      </c>
      <c r="J515" s="37" t="s">
        <v>61</v>
      </c>
      <c r="K515" s="265">
        <v>0</v>
      </c>
      <c r="L515" s="265">
        <v>0</v>
      </c>
      <c r="M515" s="265">
        <v>0</v>
      </c>
      <c r="N515" s="265">
        <v>193910</v>
      </c>
      <c r="O515" s="265">
        <v>193910</v>
      </c>
      <c r="P515" s="265">
        <v>36618.78</v>
      </c>
      <c r="Q515" s="265">
        <v>0</v>
      </c>
      <c r="R515" s="265">
        <v>33500</v>
      </c>
      <c r="S515" s="265">
        <v>85700</v>
      </c>
      <c r="T515" s="265">
        <v>77130</v>
      </c>
      <c r="U515" s="265">
        <v>68560</v>
      </c>
      <c r="V515" s="265">
        <v>59990</v>
      </c>
      <c r="W515" s="265">
        <v>85700</v>
      </c>
      <c r="X515" s="265">
        <v>94500</v>
      </c>
      <c r="Y515" s="50">
        <f t="shared" ref="Y515:Y578" si="8">S515-N515</f>
        <v>-108210</v>
      </c>
    </row>
    <row r="516" spans="1:25" s="39" customFormat="1" x14ac:dyDescent="0.35">
      <c r="A516" s="37" t="s">
        <v>47</v>
      </c>
      <c r="B516" s="37" t="s">
        <v>1152</v>
      </c>
      <c r="C516" s="91">
        <v>8470620</v>
      </c>
      <c r="D516" s="37" t="s">
        <v>1150</v>
      </c>
      <c r="E516" s="91">
        <v>420130</v>
      </c>
      <c r="F516" s="37" t="s">
        <v>1151</v>
      </c>
      <c r="G516" s="90">
        <v>847001</v>
      </c>
      <c r="H516" s="37" t="s">
        <v>50</v>
      </c>
      <c r="I516" s="90">
        <v>200179</v>
      </c>
      <c r="J516" s="37" t="s">
        <v>61</v>
      </c>
      <c r="K516" s="265">
        <v>135000</v>
      </c>
      <c r="L516" s="265">
        <v>543500</v>
      </c>
      <c r="M516" s="265">
        <v>203515</v>
      </c>
      <c r="N516" s="265">
        <v>295000</v>
      </c>
      <c r="O516" s="265">
        <v>295000</v>
      </c>
      <c r="P516" s="265">
        <v>171100</v>
      </c>
      <c r="Q516" s="265">
        <v>0</v>
      </c>
      <c r="R516" s="265">
        <v>0</v>
      </c>
      <c r="S516" s="265">
        <v>236850</v>
      </c>
      <c r="T516" s="265">
        <v>213165</v>
      </c>
      <c r="U516" s="265">
        <v>0</v>
      </c>
      <c r="V516" s="265">
        <v>165795</v>
      </c>
      <c r="W516" s="265">
        <v>236850</v>
      </c>
      <c r="X516" s="265">
        <v>236850</v>
      </c>
      <c r="Y516" s="50">
        <f t="shared" si="8"/>
        <v>-58150</v>
      </c>
    </row>
    <row r="517" spans="1:25" s="39" customFormat="1" x14ac:dyDescent="0.35">
      <c r="A517" s="37" t="s">
        <v>47</v>
      </c>
      <c r="B517" s="37" t="s">
        <v>1158</v>
      </c>
      <c r="C517" s="91">
        <v>8470620</v>
      </c>
      <c r="D517" s="37" t="s">
        <v>1150</v>
      </c>
      <c r="E517" s="91">
        <v>422900</v>
      </c>
      <c r="F517" s="37" t="s">
        <v>1139</v>
      </c>
      <c r="G517" s="90">
        <v>847001</v>
      </c>
      <c r="H517" s="37" t="s">
        <v>50</v>
      </c>
      <c r="I517" s="90">
        <v>200179</v>
      </c>
      <c r="J517" s="37" t="s">
        <v>61</v>
      </c>
      <c r="K517" s="265">
        <v>0</v>
      </c>
      <c r="L517" s="265">
        <v>0</v>
      </c>
      <c r="M517" s="265">
        <v>0</v>
      </c>
      <c r="N517" s="265">
        <v>416100</v>
      </c>
      <c r="O517" s="265">
        <v>416100</v>
      </c>
      <c r="P517" s="265">
        <v>62415</v>
      </c>
      <c r="Q517" s="265">
        <v>0</v>
      </c>
      <c r="R517" s="265">
        <v>353685</v>
      </c>
      <c r="S517" s="265">
        <v>585000</v>
      </c>
      <c r="T517" s="265">
        <v>189000</v>
      </c>
      <c r="U517" s="265">
        <v>0</v>
      </c>
      <c r="V517" s="265">
        <v>147000</v>
      </c>
      <c r="W517" s="265">
        <v>0</v>
      </c>
      <c r="X517" s="265">
        <v>480000</v>
      </c>
      <c r="Y517" s="50">
        <f t="shared" si="8"/>
        <v>168900</v>
      </c>
    </row>
    <row r="518" spans="1:25" s="39" customFormat="1" x14ac:dyDescent="0.35">
      <c r="A518" s="37" t="s">
        <v>47</v>
      </c>
      <c r="B518" s="37" t="s">
        <v>1165</v>
      </c>
      <c r="C518" s="91">
        <v>8470620</v>
      </c>
      <c r="D518" s="37" t="s">
        <v>1150</v>
      </c>
      <c r="E518" s="91">
        <v>425300</v>
      </c>
      <c r="F518" s="37" t="s">
        <v>1164</v>
      </c>
      <c r="G518" s="90">
        <v>847001</v>
      </c>
      <c r="H518" s="37" t="s">
        <v>50</v>
      </c>
      <c r="I518" s="90">
        <v>200179</v>
      </c>
      <c r="J518" s="37" t="s">
        <v>61</v>
      </c>
      <c r="K518" s="265">
        <v>20258</v>
      </c>
      <c r="L518" s="265">
        <v>2001</v>
      </c>
      <c r="M518" s="265">
        <v>1157</v>
      </c>
      <c r="N518" s="265">
        <v>3600</v>
      </c>
      <c r="O518" s="265">
        <v>3600</v>
      </c>
      <c r="P518" s="265">
        <v>246.14</v>
      </c>
      <c r="Q518" s="265">
        <v>0</v>
      </c>
      <c r="R518" s="265">
        <v>0</v>
      </c>
      <c r="S518" s="265">
        <v>2400</v>
      </c>
      <c r="T518" s="265">
        <v>2160</v>
      </c>
      <c r="U518" s="265">
        <v>0</v>
      </c>
      <c r="V518" s="265">
        <v>1680</v>
      </c>
      <c r="W518" s="265">
        <v>3000</v>
      </c>
      <c r="X518" s="265">
        <v>3000</v>
      </c>
      <c r="Y518" s="50">
        <f t="shared" si="8"/>
        <v>-1200</v>
      </c>
    </row>
    <row r="519" spans="1:25" s="39" customFormat="1" x14ac:dyDescent="0.35">
      <c r="A519" s="37" t="s">
        <v>47</v>
      </c>
      <c r="B519" s="37" t="s">
        <v>1170</v>
      </c>
      <c r="C519" s="91">
        <v>8470620</v>
      </c>
      <c r="D519" s="37" t="s">
        <v>1150</v>
      </c>
      <c r="E519" s="91">
        <v>425350</v>
      </c>
      <c r="F519" s="37" t="s">
        <v>3041</v>
      </c>
      <c r="G519" s="90">
        <v>847001</v>
      </c>
      <c r="H519" s="37" t="s">
        <v>50</v>
      </c>
      <c r="I519" s="90">
        <v>200179</v>
      </c>
      <c r="J519" s="37" t="s">
        <v>61</v>
      </c>
      <c r="K519" s="265">
        <v>76670</v>
      </c>
      <c r="L519" s="265">
        <v>71797</v>
      </c>
      <c r="M519" s="265">
        <v>57763</v>
      </c>
      <c r="N519" s="265">
        <v>90000</v>
      </c>
      <c r="O519" s="265">
        <v>90000</v>
      </c>
      <c r="P519" s="265">
        <v>44854.42</v>
      </c>
      <c r="Q519" s="265">
        <v>0</v>
      </c>
      <c r="R519" s="265">
        <v>0</v>
      </c>
      <c r="S519" s="265">
        <v>117000</v>
      </c>
      <c r="T519" s="265">
        <v>105300</v>
      </c>
      <c r="U519" s="265">
        <v>0</v>
      </c>
      <c r="V519" s="265">
        <v>81900</v>
      </c>
      <c r="W519" s="265">
        <v>121000</v>
      </c>
      <c r="X519" s="265">
        <v>121000</v>
      </c>
      <c r="Y519" s="50">
        <f t="shared" si="8"/>
        <v>27000</v>
      </c>
    </row>
    <row r="520" spans="1:25" s="39" customFormat="1" x14ac:dyDescent="0.35">
      <c r="A520" s="37" t="s">
        <v>47</v>
      </c>
      <c r="B520" s="37" t="s">
        <v>1180</v>
      </c>
      <c r="C520" s="91">
        <v>8470620</v>
      </c>
      <c r="D520" s="37" t="s">
        <v>1150</v>
      </c>
      <c r="E520" s="91">
        <v>425900</v>
      </c>
      <c r="F520" s="37" t="s">
        <v>266</v>
      </c>
      <c r="G520" s="90">
        <v>847001</v>
      </c>
      <c r="H520" s="37" t="s">
        <v>50</v>
      </c>
      <c r="I520" s="90">
        <v>200179</v>
      </c>
      <c r="J520" s="37" t="s">
        <v>61</v>
      </c>
      <c r="K520" s="265">
        <v>7422</v>
      </c>
      <c r="L520" s="265">
        <v>500</v>
      </c>
      <c r="M520" s="265">
        <v>2000</v>
      </c>
      <c r="N520" s="265">
        <v>0</v>
      </c>
      <c r="O520" s="265">
        <v>0</v>
      </c>
      <c r="P520" s="265">
        <v>0</v>
      </c>
      <c r="Q520" s="265">
        <v>0</v>
      </c>
      <c r="R520" s="265">
        <v>0</v>
      </c>
      <c r="S520" s="265">
        <v>6800</v>
      </c>
      <c r="T520" s="265">
        <v>6120</v>
      </c>
      <c r="U520" s="265">
        <v>0</v>
      </c>
      <c r="V520" s="265">
        <v>4760</v>
      </c>
      <c r="W520" s="265">
        <v>8000</v>
      </c>
      <c r="X520" s="265">
        <v>8000</v>
      </c>
      <c r="Y520" s="50">
        <f t="shared" si="8"/>
        <v>6800</v>
      </c>
    </row>
    <row r="521" spans="1:25" s="39" customFormat="1" x14ac:dyDescent="0.35">
      <c r="A521" s="37" t="s">
        <v>47</v>
      </c>
      <c r="B521" s="37" t="s">
        <v>1174</v>
      </c>
      <c r="C521" s="91">
        <v>8470620</v>
      </c>
      <c r="D521" s="37" t="s">
        <v>1150</v>
      </c>
      <c r="E521" s="91">
        <v>426610</v>
      </c>
      <c r="F521" s="37" t="s">
        <v>694</v>
      </c>
      <c r="G521" s="90">
        <v>847001</v>
      </c>
      <c r="H521" s="37" t="s">
        <v>50</v>
      </c>
      <c r="I521" s="90">
        <v>200179</v>
      </c>
      <c r="J521" s="37" t="s">
        <v>61</v>
      </c>
      <c r="K521" s="265">
        <v>31680</v>
      </c>
      <c r="L521" s="265">
        <v>31680</v>
      </c>
      <c r="M521" s="265">
        <v>31680</v>
      </c>
      <c r="N521" s="265">
        <v>31680</v>
      </c>
      <c r="O521" s="265">
        <v>31680</v>
      </c>
      <c r="P521" s="265">
        <v>0</v>
      </c>
      <c r="Q521" s="265">
        <v>0</v>
      </c>
      <c r="R521" s="265">
        <v>0</v>
      </c>
      <c r="S521" s="265">
        <v>31680</v>
      </c>
      <c r="T521" s="265">
        <v>28512</v>
      </c>
      <c r="U521" s="265">
        <v>0</v>
      </c>
      <c r="V521" s="265">
        <v>22176</v>
      </c>
      <c r="W521" s="265">
        <v>31680</v>
      </c>
      <c r="X521" s="265">
        <v>31680</v>
      </c>
      <c r="Y521" s="50">
        <f t="shared" si="8"/>
        <v>0</v>
      </c>
    </row>
    <row r="522" spans="1:25" s="39" customFormat="1" x14ac:dyDescent="0.35">
      <c r="A522" s="37" t="s">
        <v>47</v>
      </c>
      <c r="B522" s="37" t="s">
        <v>1177</v>
      </c>
      <c r="C522" s="91">
        <v>8470620</v>
      </c>
      <c r="D522" s="37" t="s">
        <v>1150</v>
      </c>
      <c r="E522" s="91">
        <v>436110</v>
      </c>
      <c r="F522" s="37" t="s">
        <v>190</v>
      </c>
      <c r="G522" s="90">
        <v>847001</v>
      </c>
      <c r="H522" s="37" t="s">
        <v>50</v>
      </c>
      <c r="I522" s="90">
        <v>200179</v>
      </c>
      <c r="J522" s="37" t="s">
        <v>61</v>
      </c>
      <c r="K522" s="265">
        <v>12035</v>
      </c>
      <c r="L522" s="265">
        <v>36</v>
      </c>
      <c r="M522" s="265">
        <v>4567</v>
      </c>
      <c r="N522" s="265">
        <v>0</v>
      </c>
      <c r="O522" s="265">
        <v>0</v>
      </c>
      <c r="P522" s="265">
        <v>0</v>
      </c>
      <c r="Q522" s="265">
        <v>0</v>
      </c>
      <c r="R522" s="265">
        <v>0</v>
      </c>
      <c r="S522" s="265">
        <v>4000</v>
      </c>
      <c r="T522" s="265">
        <v>3600</v>
      </c>
      <c r="U522" s="265">
        <v>0</v>
      </c>
      <c r="V522" s="265">
        <v>2800</v>
      </c>
      <c r="W522" s="265">
        <v>0</v>
      </c>
      <c r="X522" s="265">
        <v>0</v>
      </c>
      <c r="Y522" s="50">
        <f t="shared" si="8"/>
        <v>4000</v>
      </c>
    </row>
    <row r="523" spans="1:25" s="39" customFormat="1" x14ac:dyDescent="0.35">
      <c r="A523" s="37" t="s">
        <v>47</v>
      </c>
      <c r="B523" s="37" t="s">
        <v>1322</v>
      </c>
      <c r="C523" s="91">
        <v>8470630</v>
      </c>
      <c r="D523" s="37" t="s">
        <v>2785</v>
      </c>
      <c r="E523" s="91">
        <v>425100</v>
      </c>
      <c r="F523" s="37" t="s">
        <v>1184</v>
      </c>
      <c r="G523" s="90">
        <v>847001</v>
      </c>
      <c r="H523" s="37" t="s">
        <v>50</v>
      </c>
      <c r="I523" s="90">
        <v>200179</v>
      </c>
      <c r="J523" s="37" t="s">
        <v>61</v>
      </c>
      <c r="K523" s="265">
        <v>0</v>
      </c>
      <c r="L523" s="265">
        <v>0</v>
      </c>
      <c r="M523" s="265">
        <v>0</v>
      </c>
      <c r="N523" s="265">
        <v>0</v>
      </c>
      <c r="O523" s="265">
        <v>0</v>
      </c>
      <c r="P523" s="265">
        <v>0</v>
      </c>
      <c r="Q523" s="265">
        <v>0</v>
      </c>
      <c r="R523" s="265">
        <v>0</v>
      </c>
      <c r="S523" s="265">
        <v>100000</v>
      </c>
      <c r="T523" s="265">
        <v>90000</v>
      </c>
      <c r="U523" s="265">
        <v>0</v>
      </c>
      <c r="V523" s="265">
        <v>70000</v>
      </c>
      <c r="W523" s="265">
        <v>100000</v>
      </c>
      <c r="X523" s="265">
        <v>100000</v>
      </c>
      <c r="Y523" s="50">
        <f t="shared" si="8"/>
        <v>100000</v>
      </c>
    </row>
    <row r="524" spans="1:25" s="39" customFormat="1" x14ac:dyDescent="0.35">
      <c r="A524" s="37" t="s">
        <v>47</v>
      </c>
      <c r="B524" s="37" t="s">
        <v>1323</v>
      </c>
      <c r="C524" s="91">
        <v>8470630</v>
      </c>
      <c r="D524" s="37" t="s">
        <v>2785</v>
      </c>
      <c r="E524" s="91">
        <v>425550</v>
      </c>
      <c r="F524" s="37" t="s">
        <v>253</v>
      </c>
      <c r="G524" s="90">
        <v>847001</v>
      </c>
      <c r="H524" s="37" t="s">
        <v>50</v>
      </c>
      <c r="I524" s="90">
        <v>200179</v>
      </c>
      <c r="J524" s="37" t="s">
        <v>61</v>
      </c>
      <c r="K524" s="265">
        <v>0</v>
      </c>
      <c r="L524" s="265">
        <v>0</v>
      </c>
      <c r="M524" s="265">
        <v>0</v>
      </c>
      <c r="N524" s="38">
        <v>0</v>
      </c>
      <c r="O524" s="265">
        <v>0</v>
      </c>
      <c r="P524" s="265">
        <v>0</v>
      </c>
      <c r="Q524" s="265">
        <v>0</v>
      </c>
      <c r="R524" s="265">
        <v>0</v>
      </c>
      <c r="S524" s="38">
        <v>200000</v>
      </c>
      <c r="T524" s="265">
        <v>180000</v>
      </c>
      <c r="U524" s="265">
        <v>0</v>
      </c>
      <c r="V524" s="265">
        <v>140000</v>
      </c>
      <c r="W524" s="265">
        <v>200000</v>
      </c>
      <c r="X524" s="265">
        <v>200000</v>
      </c>
      <c r="Y524" s="38">
        <f t="shared" si="8"/>
        <v>200000</v>
      </c>
    </row>
    <row r="525" spans="1:25" s="39" customFormat="1" x14ac:dyDescent="0.35">
      <c r="A525" s="37" t="s">
        <v>47</v>
      </c>
      <c r="B525" s="37" t="s">
        <v>1324</v>
      </c>
      <c r="C525" s="91">
        <v>8470630</v>
      </c>
      <c r="D525" s="37" t="s">
        <v>2785</v>
      </c>
      <c r="E525" s="91">
        <v>427200</v>
      </c>
      <c r="F525" s="37" t="s">
        <v>1085</v>
      </c>
      <c r="G525" s="90">
        <v>847001</v>
      </c>
      <c r="H525" s="37" t="s">
        <v>50</v>
      </c>
      <c r="I525" s="90">
        <v>200179</v>
      </c>
      <c r="J525" s="37" t="s">
        <v>61</v>
      </c>
      <c r="K525" s="265">
        <v>0</v>
      </c>
      <c r="L525" s="265">
        <v>0</v>
      </c>
      <c r="M525" s="265">
        <v>0</v>
      </c>
      <c r="N525" s="265">
        <v>0</v>
      </c>
      <c r="O525" s="265">
        <v>0</v>
      </c>
      <c r="P525" s="265">
        <v>0</v>
      </c>
      <c r="Q525" s="265">
        <v>0</v>
      </c>
      <c r="R525" s="265">
        <v>0</v>
      </c>
      <c r="S525" s="265">
        <v>10000</v>
      </c>
      <c r="T525" s="265">
        <v>9000</v>
      </c>
      <c r="U525" s="265">
        <v>0</v>
      </c>
      <c r="V525" s="265">
        <v>7000</v>
      </c>
      <c r="W525" s="265">
        <v>10000</v>
      </c>
      <c r="X525" s="265">
        <v>10000</v>
      </c>
      <c r="Y525" s="50">
        <f t="shared" si="8"/>
        <v>10000</v>
      </c>
    </row>
    <row r="526" spans="1:25" s="39" customFormat="1" x14ac:dyDescent="0.35">
      <c r="A526" s="37" t="s">
        <v>47</v>
      </c>
      <c r="B526" s="37" t="s">
        <v>1325</v>
      </c>
      <c r="C526" s="91">
        <v>8470630</v>
      </c>
      <c r="D526" s="37" t="s">
        <v>2785</v>
      </c>
      <c r="E526" s="91">
        <v>436600</v>
      </c>
      <c r="F526" s="37" t="s">
        <v>416</v>
      </c>
      <c r="G526" s="90">
        <v>847001</v>
      </c>
      <c r="H526" s="37" t="s">
        <v>50</v>
      </c>
      <c r="I526" s="90">
        <v>200179</v>
      </c>
      <c r="J526" s="37" t="s">
        <v>61</v>
      </c>
      <c r="K526" s="265">
        <v>0</v>
      </c>
      <c r="L526" s="265">
        <v>0</v>
      </c>
      <c r="M526" s="265">
        <v>0</v>
      </c>
      <c r="N526" s="265">
        <v>0</v>
      </c>
      <c r="O526" s="265">
        <v>0</v>
      </c>
      <c r="P526" s="265">
        <v>0</v>
      </c>
      <c r="Q526" s="265">
        <v>0</v>
      </c>
      <c r="R526" s="265">
        <v>0</v>
      </c>
      <c r="S526" s="265">
        <v>12000</v>
      </c>
      <c r="T526" s="265">
        <v>10800</v>
      </c>
      <c r="U526" s="265">
        <v>0</v>
      </c>
      <c r="V526" s="265">
        <v>8400</v>
      </c>
      <c r="W526" s="265">
        <v>12000</v>
      </c>
      <c r="X526" s="265">
        <v>12000</v>
      </c>
      <c r="Y526" s="50">
        <f t="shared" si="8"/>
        <v>12000</v>
      </c>
    </row>
    <row r="527" spans="1:25" s="39" customFormat="1" x14ac:dyDescent="0.35">
      <c r="A527" s="37" t="s">
        <v>47</v>
      </c>
      <c r="B527" s="37" t="s">
        <v>1194</v>
      </c>
      <c r="C527" s="91">
        <v>8470730</v>
      </c>
      <c r="D527" s="37" t="s">
        <v>1190</v>
      </c>
      <c r="E527" s="91">
        <v>426610</v>
      </c>
      <c r="F527" s="37" t="s">
        <v>694</v>
      </c>
      <c r="G527" s="90">
        <v>847001</v>
      </c>
      <c r="H527" s="37" t="s">
        <v>50</v>
      </c>
      <c r="I527" s="90">
        <v>200179</v>
      </c>
      <c r="J527" s="37" t="s">
        <v>61</v>
      </c>
      <c r="K527" s="265">
        <v>13496</v>
      </c>
      <c r="L527" s="265">
        <v>710395</v>
      </c>
      <c r="M527" s="265">
        <v>354292</v>
      </c>
      <c r="N527" s="265">
        <v>300000</v>
      </c>
      <c r="O527" s="265">
        <v>300000</v>
      </c>
      <c r="P527" s="265">
        <v>0</v>
      </c>
      <c r="Q527" s="265">
        <v>0</v>
      </c>
      <c r="R527" s="265">
        <v>17000</v>
      </c>
      <c r="S527" s="265">
        <v>475000</v>
      </c>
      <c r="T527" s="265">
        <v>157500</v>
      </c>
      <c r="U527" s="265">
        <v>0</v>
      </c>
      <c r="V527" s="265">
        <v>122500</v>
      </c>
      <c r="W527" s="265">
        <v>300000</v>
      </c>
      <c r="X527" s="265">
        <v>475000</v>
      </c>
      <c r="Y527" s="50">
        <f t="shared" si="8"/>
        <v>175000</v>
      </c>
    </row>
    <row r="528" spans="1:25" s="39" customFormat="1" x14ac:dyDescent="0.35">
      <c r="A528" s="37" t="s">
        <v>47</v>
      </c>
      <c r="B528" s="37" t="s">
        <v>1206</v>
      </c>
      <c r="C528" s="91">
        <v>8470730</v>
      </c>
      <c r="D528" s="37" t="s">
        <v>1190</v>
      </c>
      <c r="E528" s="91">
        <v>427900</v>
      </c>
      <c r="F528" s="37" t="s">
        <v>1205</v>
      </c>
      <c r="G528" s="90">
        <v>847001</v>
      </c>
      <c r="H528" s="37" t="s">
        <v>50</v>
      </c>
      <c r="I528" s="90">
        <v>200179</v>
      </c>
      <c r="J528" s="37" t="s">
        <v>61</v>
      </c>
      <c r="K528" s="265">
        <v>0</v>
      </c>
      <c r="L528" s="265">
        <v>0</v>
      </c>
      <c r="M528" s="265">
        <v>0</v>
      </c>
      <c r="N528" s="265">
        <v>10000</v>
      </c>
      <c r="O528" s="265">
        <v>10000</v>
      </c>
      <c r="P528" s="265">
        <v>0</v>
      </c>
      <c r="Q528" s="265">
        <v>0</v>
      </c>
      <c r="R528" s="265">
        <v>0</v>
      </c>
      <c r="S528" s="265">
        <v>10000</v>
      </c>
      <c r="T528" s="265">
        <v>9000</v>
      </c>
      <c r="U528" s="265">
        <v>0</v>
      </c>
      <c r="V528" s="265">
        <v>7000</v>
      </c>
      <c r="W528" s="265">
        <v>10000</v>
      </c>
      <c r="X528" s="265">
        <v>10000</v>
      </c>
      <c r="Y528" s="50">
        <f t="shared" si="8"/>
        <v>0</v>
      </c>
    </row>
    <row r="529" spans="1:26" s="39" customFormat="1" x14ac:dyDescent="0.35">
      <c r="A529" s="37" t="s">
        <v>47</v>
      </c>
      <c r="B529" s="37" t="s">
        <v>1201</v>
      </c>
      <c r="C529" s="91">
        <v>8470730</v>
      </c>
      <c r="D529" s="37" t="s">
        <v>1190</v>
      </c>
      <c r="E529" s="91">
        <v>428640</v>
      </c>
      <c r="F529" s="37" t="s">
        <v>279</v>
      </c>
      <c r="G529" s="90">
        <v>847001</v>
      </c>
      <c r="H529" s="37" t="s">
        <v>50</v>
      </c>
      <c r="I529" s="90">
        <v>200179</v>
      </c>
      <c r="J529" s="37" t="s">
        <v>61</v>
      </c>
      <c r="K529" s="265">
        <v>0</v>
      </c>
      <c r="L529" s="265">
        <v>0</v>
      </c>
      <c r="M529" s="265">
        <v>0</v>
      </c>
      <c r="N529" s="265">
        <v>250000</v>
      </c>
      <c r="O529" s="265">
        <v>250000</v>
      </c>
      <c r="P529" s="265">
        <v>19047.55</v>
      </c>
      <c r="Q529" s="265">
        <v>27108</v>
      </c>
      <c r="R529" s="265">
        <v>0</v>
      </c>
      <c r="S529" s="265">
        <v>1000000</v>
      </c>
      <c r="T529" s="265">
        <v>900000</v>
      </c>
      <c r="U529" s="265">
        <v>0</v>
      </c>
      <c r="V529" s="265">
        <v>700000</v>
      </c>
      <c r="W529" s="265">
        <v>500000</v>
      </c>
      <c r="X529" s="265">
        <v>500000</v>
      </c>
      <c r="Y529" s="50">
        <f t="shared" si="8"/>
        <v>750000</v>
      </c>
    </row>
    <row r="530" spans="1:26" s="39" customFormat="1" x14ac:dyDescent="0.35">
      <c r="A530" s="37" t="s">
        <v>47</v>
      </c>
      <c r="B530" s="37" t="s">
        <v>1203</v>
      </c>
      <c r="C530" s="91">
        <v>8470730</v>
      </c>
      <c r="D530" s="37" t="s">
        <v>1190</v>
      </c>
      <c r="E530" s="91">
        <v>436110</v>
      </c>
      <c r="F530" s="37" t="s">
        <v>190</v>
      </c>
      <c r="G530" s="90">
        <v>847001</v>
      </c>
      <c r="H530" s="37" t="s">
        <v>50</v>
      </c>
      <c r="I530" s="90">
        <v>200179</v>
      </c>
      <c r="J530" s="37" t="s">
        <v>61</v>
      </c>
      <c r="K530" s="265">
        <v>13910</v>
      </c>
      <c r="L530" s="265">
        <v>29325</v>
      </c>
      <c r="M530" s="265">
        <v>40440</v>
      </c>
      <c r="N530" s="265">
        <v>50000</v>
      </c>
      <c r="O530" s="265">
        <v>50000</v>
      </c>
      <c r="P530" s="265">
        <v>0</v>
      </c>
      <c r="Q530" s="265">
        <v>0</v>
      </c>
      <c r="R530" s="265">
        <v>0</v>
      </c>
      <c r="S530" s="265">
        <v>50000</v>
      </c>
      <c r="T530" s="265">
        <v>45000</v>
      </c>
      <c r="U530" s="265">
        <v>0</v>
      </c>
      <c r="V530" s="265">
        <v>35000</v>
      </c>
      <c r="W530" s="265">
        <v>10000</v>
      </c>
      <c r="X530" s="265">
        <v>10000</v>
      </c>
      <c r="Y530" s="50">
        <f t="shared" si="8"/>
        <v>0</v>
      </c>
    </row>
    <row r="531" spans="1:26" s="39" customFormat="1" x14ac:dyDescent="0.35">
      <c r="A531" s="37" t="s">
        <v>47</v>
      </c>
      <c r="B531" s="37" t="s">
        <v>2818</v>
      </c>
      <c r="C531" s="91">
        <v>8470730</v>
      </c>
      <c r="D531" s="37" t="s">
        <v>1190</v>
      </c>
      <c r="E531" s="91">
        <v>495113</v>
      </c>
      <c r="F531" s="37" t="s">
        <v>214</v>
      </c>
      <c r="G531" s="90">
        <v>847001</v>
      </c>
      <c r="H531" s="37" t="s">
        <v>50</v>
      </c>
      <c r="I531" s="90">
        <v>300180</v>
      </c>
      <c r="J531" s="37" t="s">
        <v>192</v>
      </c>
      <c r="K531" s="265">
        <v>0</v>
      </c>
      <c r="L531" s="265">
        <v>0</v>
      </c>
      <c r="M531" s="265">
        <v>0</v>
      </c>
      <c r="N531" s="265">
        <v>0</v>
      </c>
      <c r="O531" s="265">
        <v>0</v>
      </c>
      <c r="P531" s="265">
        <v>0</v>
      </c>
      <c r="Q531" s="265">
        <v>0</v>
      </c>
      <c r="R531" s="265">
        <v>0</v>
      </c>
      <c r="S531" s="265">
        <v>4400000</v>
      </c>
      <c r="T531" s="265">
        <v>180000</v>
      </c>
      <c r="U531" s="265">
        <v>0</v>
      </c>
      <c r="V531" s="265">
        <v>140000</v>
      </c>
      <c r="W531" s="265">
        <v>0</v>
      </c>
      <c r="X531" s="265">
        <v>0</v>
      </c>
      <c r="Y531" s="50">
        <f t="shared" si="8"/>
        <v>4400000</v>
      </c>
    </row>
    <row r="532" spans="1:26" s="39" customFormat="1" x14ac:dyDescent="0.35">
      <c r="A532" s="37" t="s">
        <v>47</v>
      </c>
      <c r="B532" s="37" t="s">
        <v>324</v>
      </c>
      <c r="C532" s="91">
        <v>8470810</v>
      </c>
      <c r="D532" s="37" t="s">
        <v>48</v>
      </c>
      <c r="E532" s="91">
        <v>420810</v>
      </c>
      <c r="F532" s="37" t="s">
        <v>59</v>
      </c>
      <c r="G532" s="90">
        <v>847001</v>
      </c>
      <c r="H532" s="37" t="s">
        <v>50</v>
      </c>
      <c r="I532" s="90">
        <v>200179</v>
      </c>
      <c r="J532" s="37" t="s">
        <v>61</v>
      </c>
      <c r="K532" s="265">
        <v>459600</v>
      </c>
      <c r="L532" s="265">
        <v>424707</v>
      </c>
      <c r="M532" s="265">
        <v>300000</v>
      </c>
      <c r="N532" s="265">
        <v>0</v>
      </c>
      <c r="O532" s="265">
        <v>0</v>
      </c>
      <c r="P532" s="265">
        <v>0</v>
      </c>
      <c r="Q532" s="265">
        <v>0</v>
      </c>
      <c r="R532" s="265">
        <v>0</v>
      </c>
      <c r="S532" s="265">
        <v>0</v>
      </c>
      <c r="T532" s="265">
        <v>0</v>
      </c>
      <c r="U532" s="265">
        <v>0</v>
      </c>
      <c r="V532" s="265">
        <v>0</v>
      </c>
      <c r="W532" s="265">
        <v>0</v>
      </c>
      <c r="X532" s="265">
        <v>0</v>
      </c>
      <c r="Y532" s="50">
        <f t="shared" si="8"/>
        <v>0</v>
      </c>
    </row>
    <row r="533" spans="1:26" s="39" customFormat="1" x14ac:dyDescent="0.35">
      <c r="A533" s="37" t="s">
        <v>47</v>
      </c>
      <c r="B533" s="37" t="s">
        <v>66</v>
      </c>
      <c r="C533" s="91">
        <v>8470810</v>
      </c>
      <c r="D533" s="37" t="s">
        <v>48</v>
      </c>
      <c r="E533" s="91">
        <v>420811</v>
      </c>
      <c r="F533" s="37" t="s">
        <v>65</v>
      </c>
      <c r="G533" s="90">
        <v>847001</v>
      </c>
      <c r="H533" s="37" t="s">
        <v>50</v>
      </c>
      <c r="I533" s="90">
        <v>200179</v>
      </c>
      <c r="J533" s="37" t="s">
        <v>61</v>
      </c>
      <c r="K533" s="265">
        <v>0</v>
      </c>
      <c r="L533" s="265">
        <v>0</v>
      </c>
      <c r="M533" s="265">
        <v>0</v>
      </c>
      <c r="N533" s="265">
        <v>10351793</v>
      </c>
      <c r="O533" s="265">
        <v>10351793</v>
      </c>
      <c r="P533" s="265">
        <v>0</v>
      </c>
      <c r="Q533" s="265">
        <v>0</v>
      </c>
      <c r="R533" s="265">
        <v>0</v>
      </c>
      <c r="S533" s="435">
        <v>21982966.850276135</v>
      </c>
      <c r="T533" s="265">
        <f>S533*0.9</f>
        <v>19784670.165248521</v>
      </c>
      <c r="U533" s="265">
        <f>S533*0.8</f>
        <v>17586373.48022091</v>
      </c>
      <c r="V533" s="265">
        <f>S533*0.7</f>
        <v>15388076.795193294</v>
      </c>
      <c r="W533" s="265">
        <v>47375724</v>
      </c>
      <c r="X533" s="265">
        <v>47375724</v>
      </c>
      <c r="Y533" s="50">
        <f t="shared" si="8"/>
        <v>11631173.850276135</v>
      </c>
      <c r="Z533" s="275">
        <f>Y533/N533</f>
        <v>1.1235902659835002</v>
      </c>
    </row>
    <row r="534" spans="1:26" s="39" customFormat="1" x14ac:dyDescent="0.35">
      <c r="A534" s="37" t="s">
        <v>47</v>
      </c>
      <c r="B534" s="37" t="s">
        <v>73</v>
      </c>
      <c r="C534" s="91">
        <v>8470810</v>
      </c>
      <c r="D534" s="37" t="s">
        <v>48</v>
      </c>
      <c r="E534" s="91">
        <v>421100</v>
      </c>
      <c r="F534" s="37" t="s">
        <v>3042</v>
      </c>
      <c r="G534" s="90">
        <v>847001</v>
      </c>
      <c r="H534" s="37" t="s">
        <v>50</v>
      </c>
      <c r="I534" s="90">
        <v>200179</v>
      </c>
      <c r="J534" s="37" t="s">
        <v>61</v>
      </c>
      <c r="K534" s="265">
        <v>1249360</v>
      </c>
      <c r="L534" s="265">
        <v>22649528</v>
      </c>
      <c r="M534" s="265">
        <v>1705887</v>
      </c>
      <c r="N534" s="265">
        <v>445192</v>
      </c>
      <c r="O534" s="265">
        <v>445192</v>
      </c>
      <c r="P534" s="265">
        <v>-246835.07</v>
      </c>
      <c r="Q534" s="265">
        <v>0</v>
      </c>
      <c r="R534" s="265">
        <v>620496.22</v>
      </c>
      <c r="S534" s="265">
        <v>0</v>
      </c>
      <c r="T534" s="265">
        <v>0</v>
      </c>
      <c r="U534" s="265">
        <v>0</v>
      </c>
      <c r="V534" s="265">
        <v>0</v>
      </c>
      <c r="W534" s="265">
        <v>0</v>
      </c>
      <c r="X534" s="265">
        <v>0</v>
      </c>
      <c r="Y534" s="50">
        <f t="shared" si="8"/>
        <v>-445192</v>
      </c>
    </row>
    <row r="535" spans="1:26" s="39" customFormat="1" x14ac:dyDescent="0.35">
      <c r="A535" s="37" t="s">
        <v>47</v>
      </c>
      <c r="B535" s="37" t="s">
        <v>298</v>
      </c>
      <c r="C535" s="91">
        <v>8470810</v>
      </c>
      <c r="D535" s="37" t="s">
        <v>48</v>
      </c>
      <c r="E535" s="91">
        <v>426610</v>
      </c>
      <c r="F535" s="37" t="s">
        <v>694</v>
      </c>
      <c r="G535" s="90">
        <v>847001</v>
      </c>
      <c r="H535" s="37" t="s">
        <v>50</v>
      </c>
      <c r="I535" s="90">
        <v>200179</v>
      </c>
      <c r="J535" s="37" t="s">
        <v>61</v>
      </c>
      <c r="K535" s="265">
        <v>8091447</v>
      </c>
      <c r="L535" s="265">
        <v>7385942</v>
      </c>
      <c r="M535" s="265">
        <v>8722313</v>
      </c>
      <c r="N535" s="265">
        <v>7632571</v>
      </c>
      <c r="O535" s="265">
        <v>7632571</v>
      </c>
      <c r="P535" s="265">
        <v>2779121.38</v>
      </c>
      <c r="Q535" s="265">
        <v>3073787.65</v>
      </c>
      <c r="R535" s="265">
        <v>922291.55</v>
      </c>
      <c r="S535" s="265">
        <v>8536819</v>
      </c>
      <c r="T535" s="265">
        <v>1111774</v>
      </c>
      <c r="U535" s="265">
        <v>0</v>
      </c>
      <c r="V535" s="265">
        <v>864713</v>
      </c>
      <c r="W535" s="265">
        <v>9390501</v>
      </c>
      <c r="X535" s="265">
        <v>9390501</v>
      </c>
      <c r="Y535" s="50">
        <f t="shared" si="8"/>
        <v>904248</v>
      </c>
    </row>
    <row r="536" spans="1:26" s="39" customFormat="1" x14ac:dyDescent="0.35">
      <c r="A536" s="37" t="s">
        <v>47</v>
      </c>
      <c r="B536" s="37" t="s">
        <v>142</v>
      </c>
      <c r="C536" s="91">
        <v>8470810</v>
      </c>
      <c r="D536" s="37" t="s">
        <v>48</v>
      </c>
      <c r="E536" s="91">
        <v>427810</v>
      </c>
      <c r="F536" s="37" t="s">
        <v>3043</v>
      </c>
      <c r="G536" s="90">
        <v>847001</v>
      </c>
      <c r="H536" s="37" t="s">
        <v>50</v>
      </c>
      <c r="I536" s="90">
        <v>200179</v>
      </c>
      <c r="J536" s="37" t="s">
        <v>61</v>
      </c>
      <c r="K536" s="265">
        <v>1706227</v>
      </c>
      <c r="L536" s="265">
        <v>2582185</v>
      </c>
      <c r="M536" s="265">
        <v>1000636</v>
      </c>
      <c r="N536" s="265">
        <v>800000</v>
      </c>
      <c r="O536" s="265">
        <v>800000</v>
      </c>
      <c r="P536" s="265">
        <v>718525.65</v>
      </c>
      <c r="Q536" s="265">
        <v>0</v>
      </c>
      <c r="R536" s="265">
        <v>0</v>
      </c>
      <c r="S536" s="265">
        <v>820800</v>
      </c>
      <c r="T536" s="265">
        <v>324000</v>
      </c>
      <c r="U536" s="265">
        <v>0</v>
      </c>
      <c r="V536" s="265">
        <v>252000</v>
      </c>
      <c r="W536" s="265">
        <v>720000</v>
      </c>
      <c r="X536" s="265">
        <v>720000</v>
      </c>
      <c r="Y536" s="50">
        <f t="shared" si="8"/>
        <v>20800</v>
      </c>
    </row>
    <row r="537" spans="1:26" s="39" customFormat="1" x14ac:dyDescent="0.35">
      <c r="A537" s="37" t="s">
        <v>47</v>
      </c>
      <c r="B537" s="37" t="s">
        <v>149</v>
      </c>
      <c r="C537" s="91">
        <v>8470810</v>
      </c>
      <c r="D537" s="37" t="s">
        <v>48</v>
      </c>
      <c r="E537" s="91">
        <v>427850</v>
      </c>
      <c r="F537" s="37" t="s">
        <v>3044</v>
      </c>
      <c r="G537" s="90">
        <v>847001</v>
      </c>
      <c r="H537" s="37" t="s">
        <v>50</v>
      </c>
      <c r="I537" s="90">
        <v>200179</v>
      </c>
      <c r="J537" s="37" t="s">
        <v>61</v>
      </c>
      <c r="K537" s="265">
        <v>5668931</v>
      </c>
      <c r="L537" s="265">
        <v>6146327</v>
      </c>
      <c r="M537" s="265">
        <v>2812669</v>
      </c>
      <c r="N537" s="265">
        <v>2618028</v>
      </c>
      <c r="O537" s="265">
        <v>2618028</v>
      </c>
      <c r="P537" s="265">
        <v>744317</v>
      </c>
      <c r="Q537" s="265">
        <v>0</v>
      </c>
      <c r="R537" s="265">
        <v>0</v>
      </c>
      <c r="S537" s="265">
        <v>2018028</v>
      </c>
      <c r="T537" s="265">
        <v>1816225</v>
      </c>
      <c r="U537" s="265">
        <v>0</v>
      </c>
      <c r="V537" s="265">
        <v>1412620</v>
      </c>
      <c r="W537" s="265">
        <v>2054028</v>
      </c>
      <c r="X537" s="265">
        <v>2054028</v>
      </c>
      <c r="Y537" s="50">
        <f t="shared" si="8"/>
        <v>-600000</v>
      </c>
    </row>
    <row r="538" spans="1:26" s="39" customFormat="1" x14ac:dyDescent="0.35">
      <c r="A538" s="37" t="s">
        <v>47</v>
      </c>
      <c r="B538" s="37" t="s">
        <v>155</v>
      </c>
      <c r="C538" s="91">
        <v>8470810</v>
      </c>
      <c r="D538" s="37" t="s">
        <v>48</v>
      </c>
      <c r="E538" s="91">
        <v>428090</v>
      </c>
      <c r="F538" s="37" t="s">
        <v>154</v>
      </c>
      <c r="G538" s="90">
        <v>847001</v>
      </c>
      <c r="H538" s="37" t="s">
        <v>50</v>
      </c>
      <c r="I538" s="90">
        <v>200179</v>
      </c>
      <c r="J538" s="37" t="s">
        <v>61</v>
      </c>
      <c r="K538" s="265">
        <v>40500</v>
      </c>
      <c r="L538" s="265">
        <v>11500</v>
      </c>
      <c r="M538" s="265">
        <v>0</v>
      </c>
      <c r="N538" s="265">
        <v>11500</v>
      </c>
      <c r="O538" s="265">
        <v>11500</v>
      </c>
      <c r="P538" s="265">
        <v>4400</v>
      </c>
      <c r="Q538" s="265">
        <v>0</v>
      </c>
      <c r="R538" s="265">
        <v>0</v>
      </c>
      <c r="S538" s="265">
        <v>24000</v>
      </c>
      <c r="T538" s="265">
        <v>21600</v>
      </c>
      <c r="U538" s="265">
        <v>0</v>
      </c>
      <c r="V538" s="265">
        <v>16800</v>
      </c>
      <c r="W538" s="265">
        <v>400000</v>
      </c>
      <c r="X538" s="265">
        <v>400000</v>
      </c>
      <c r="Y538" s="50">
        <f t="shared" si="8"/>
        <v>12500</v>
      </c>
    </row>
    <row r="539" spans="1:26" s="39" customFormat="1" x14ac:dyDescent="0.35">
      <c r="A539" s="37" t="s">
        <v>47</v>
      </c>
      <c r="B539" s="37" t="s">
        <v>325</v>
      </c>
      <c r="C539" s="91">
        <v>8470810</v>
      </c>
      <c r="D539" s="37" t="s">
        <v>48</v>
      </c>
      <c r="E539" s="91">
        <v>430230</v>
      </c>
      <c r="F539" s="37" t="s">
        <v>160</v>
      </c>
      <c r="G539" s="90">
        <v>847001</v>
      </c>
      <c r="H539" s="37" t="s">
        <v>50</v>
      </c>
      <c r="I539" s="90">
        <v>200179</v>
      </c>
      <c r="J539" s="37" t="s">
        <v>61</v>
      </c>
      <c r="K539" s="265">
        <v>1431210</v>
      </c>
      <c r="L539" s="265">
        <v>1425418</v>
      </c>
      <c r="M539" s="265">
        <v>2593733</v>
      </c>
      <c r="N539" s="265">
        <v>0</v>
      </c>
      <c r="O539" s="265">
        <v>0</v>
      </c>
      <c r="P539" s="265">
        <v>0</v>
      </c>
      <c r="Q539" s="265">
        <v>0</v>
      </c>
      <c r="R539" s="265">
        <v>0</v>
      </c>
      <c r="S539" s="265">
        <v>0</v>
      </c>
      <c r="T539" s="265">
        <v>0</v>
      </c>
      <c r="U539" s="265">
        <v>0</v>
      </c>
      <c r="V539" s="265">
        <v>0</v>
      </c>
      <c r="W539" s="265">
        <v>0</v>
      </c>
      <c r="X539" s="265">
        <v>0</v>
      </c>
      <c r="Y539" s="50">
        <f t="shared" si="8"/>
        <v>0</v>
      </c>
    </row>
    <row r="540" spans="1:26" s="39" customFormat="1" x14ac:dyDescent="0.35">
      <c r="A540" s="37" t="s">
        <v>47</v>
      </c>
      <c r="B540" s="37" t="s">
        <v>163</v>
      </c>
      <c r="C540" s="91">
        <v>8470810</v>
      </c>
      <c r="D540" s="37" t="s">
        <v>48</v>
      </c>
      <c r="E540" s="91">
        <v>430250</v>
      </c>
      <c r="F540" s="37" t="s">
        <v>162</v>
      </c>
      <c r="G540" s="90">
        <v>847001</v>
      </c>
      <c r="H540" s="37" t="s">
        <v>50</v>
      </c>
      <c r="I540" s="90">
        <v>200179</v>
      </c>
      <c r="J540" s="37" t="s">
        <v>61</v>
      </c>
      <c r="K540" s="265">
        <v>0</v>
      </c>
      <c r="L540" s="265">
        <v>0</v>
      </c>
      <c r="M540" s="265">
        <v>0</v>
      </c>
      <c r="N540" s="265">
        <v>1021317</v>
      </c>
      <c r="O540" s="265">
        <v>1021317</v>
      </c>
      <c r="P540" s="265">
        <v>0</v>
      </c>
      <c r="Q540" s="265">
        <v>264407.12</v>
      </c>
      <c r="R540" s="265">
        <v>754866.67</v>
      </c>
      <c r="S540" s="265">
        <v>1864650</v>
      </c>
      <c r="T540" s="265">
        <v>1678185</v>
      </c>
      <c r="U540" s="265">
        <v>0</v>
      </c>
      <c r="V540" s="265">
        <v>1305255</v>
      </c>
      <c r="W540" s="265">
        <v>2238200</v>
      </c>
      <c r="X540" s="265">
        <v>2349800</v>
      </c>
      <c r="Y540" s="50">
        <f t="shared" si="8"/>
        <v>843333</v>
      </c>
    </row>
    <row r="541" spans="1:26" s="39" customFormat="1" x14ac:dyDescent="0.35">
      <c r="A541" s="37" t="s">
        <v>47</v>
      </c>
      <c r="B541" s="37" t="s">
        <v>168</v>
      </c>
      <c r="C541" s="91">
        <v>8470810</v>
      </c>
      <c r="D541" s="37" t="s">
        <v>48</v>
      </c>
      <c r="E541" s="91">
        <v>432205</v>
      </c>
      <c r="F541" s="37" t="s">
        <v>3040</v>
      </c>
      <c r="G541" s="90">
        <v>847001</v>
      </c>
      <c r="H541" s="37" t="s">
        <v>50</v>
      </c>
      <c r="I541" s="90">
        <v>200179</v>
      </c>
      <c r="J541" s="37" t="s">
        <v>61</v>
      </c>
      <c r="K541" s="265">
        <v>17188941</v>
      </c>
      <c r="L541" s="265">
        <v>16771029</v>
      </c>
      <c r="M541" s="265">
        <v>12846395</v>
      </c>
      <c r="N541" s="265">
        <v>1475000</v>
      </c>
      <c r="O541" s="265">
        <v>1475000</v>
      </c>
      <c r="P541" s="265">
        <v>578553.93999999994</v>
      </c>
      <c r="Q541" s="265">
        <v>335763.22</v>
      </c>
      <c r="R541" s="265">
        <v>524346</v>
      </c>
      <c r="S541" s="265">
        <v>2330000</v>
      </c>
      <c r="T541" s="265">
        <v>216000</v>
      </c>
      <c r="U541" s="265">
        <v>0</v>
      </c>
      <c r="V541" s="265">
        <v>168000</v>
      </c>
      <c r="W541" s="265">
        <v>2376600</v>
      </c>
      <c r="X541" s="265">
        <v>2376600</v>
      </c>
      <c r="Y541" s="50">
        <f t="shared" si="8"/>
        <v>855000</v>
      </c>
    </row>
    <row r="542" spans="1:26" s="39" customFormat="1" x14ac:dyDescent="0.35">
      <c r="A542" s="37" t="s">
        <v>47</v>
      </c>
      <c r="B542" s="37" t="s">
        <v>185</v>
      </c>
      <c r="C542" s="91">
        <v>8470810</v>
      </c>
      <c r="D542" s="37" t="s">
        <v>48</v>
      </c>
      <c r="E542" s="91">
        <v>432226</v>
      </c>
      <c r="F542" s="37" t="s">
        <v>184</v>
      </c>
      <c r="G542" s="90">
        <v>847001</v>
      </c>
      <c r="H542" s="37" t="s">
        <v>50</v>
      </c>
      <c r="I542" s="90">
        <v>200179</v>
      </c>
      <c r="J542" s="37" t="s">
        <v>61</v>
      </c>
      <c r="K542" s="265">
        <v>0</v>
      </c>
      <c r="L542" s="265">
        <v>0</v>
      </c>
      <c r="M542" s="265">
        <v>0</v>
      </c>
      <c r="N542" s="265">
        <v>360000</v>
      </c>
      <c r="O542" s="265">
        <v>360000</v>
      </c>
      <c r="P542" s="265">
        <v>109115.62</v>
      </c>
      <c r="Q542" s="265">
        <v>0</v>
      </c>
      <c r="R542" s="265">
        <v>0</v>
      </c>
      <c r="S542" s="265">
        <v>540000</v>
      </c>
      <c r="T542" s="265">
        <v>486000</v>
      </c>
      <c r="U542" s="265">
        <v>0</v>
      </c>
      <c r="V542" s="265">
        <v>378000</v>
      </c>
      <c r="W542" s="265">
        <v>576000</v>
      </c>
      <c r="X542" s="265">
        <v>576000</v>
      </c>
      <c r="Y542" s="50">
        <f t="shared" si="8"/>
        <v>180000</v>
      </c>
    </row>
    <row r="543" spans="1:26" s="39" customFormat="1" x14ac:dyDescent="0.35">
      <c r="A543" s="37" t="s">
        <v>47</v>
      </c>
      <c r="B543" s="37" t="s">
        <v>326</v>
      </c>
      <c r="C543" s="91">
        <v>8470810</v>
      </c>
      <c r="D543" s="37" t="s">
        <v>48</v>
      </c>
      <c r="E543" s="91">
        <v>436110</v>
      </c>
      <c r="F543" s="37" t="s">
        <v>190</v>
      </c>
      <c r="G543" s="90">
        <v>847001</v>
      </c>
      <c r="H543" s="37" t="s">
        <v>50</v>
      </c>
      <c r="I543" s="90">
        <v>200179</v>
      </c>
      <c r="J543" s="37" t="s">
        <v>61</v>
      </c>
      <c r="K543" s="265">
        <v>0</v>
      </c>
      <c r="L543" s="265">
        <v>0</v>
      </c>
      <c r="M543" s="265">
        <v>0</v>
      </c>
      <c r="N543" s="265">
        <v>0</v>
      </c>
      <c r="O543" s="265">
        <v>0</v>
      </c>
      <c r="P543" s="265">
        <v>0</v>
      </c>
      <c r="Q543" s="265">
        <v>0</v>
      </c>
      <c r="R543" s="265">
        <v>0</v>
      </c>
      <c r="S543" s="265">
        <v>0</v>
      </c>
      <c r="T543" s="265">
        <v>0</v>
      </c>
      <c r="U543" s="265">
        <v>0</v>
      </c>
      <c r="V543" s="265">
        <v>0</v>
      </c>
      <c r="W543" s="265">
        <v>0</v>
      </c>
      <c r="X543" s="265">
        <v>0</v>
      </c>
      <c r="Y543" s="50">
        <f t="shared" si="8"/>
        <v>0</v>
      </c>
    </row>
    <row r="544" spans="1:26" s="39" customFormat="1" x14ac:dyDescent="0.35">
      <c r="A544" s="37" t="s">
        <v>47</v>
      </c>
      <c r="B544" s="37" t="s">
        <v>193</v>
      </c>
      <c r="C544" s="91">
        <v>8470810</v>
      </c>
      <c r="D544" s="37" t="s">
        <v>48</v>
      </c>
      <c r="E544" s="91">
        <v>492310</v>
      </c>
      <c r="F544" s="37" t="s">
        <v>191</v>
      </c>
      <c r="G544" s="90">
        <v>847001</v>
      </c>
      <c r="H544" s="37" t="s">
        <v>50</v>
      </c>
      <c r="I544" s="90">
        <v>300180</v>
      </c>
      <c r="J544" s="37" t="s">
        <v>192</v>
      </c>
      <c r="K544" s="265">
        <v>521239</v>
      </c>
      <c r="L544" s="265">
        <v>6308293</v>
      </c>
      <c r="M544" s="265">
        <v>3471424</v>
      </c>
      <c r="N544" s="265">
        <v>175000</v>
      </c>
      <c r="O544" s="265">
        <v>175000</v>
      </c>
      <c r="P544" s="265">
        <v>162000</v>
      </c>
      <c r="Q544" s="265">
        <v>0</v>
      </c>
      <c r="R544" s="265">
        <v>0</v>
      </c>
      <c r="S544" s="265">
        <v>255000</v>
      </c>
      <c r="T544" s="265">
        <v>229500</v>
      </c>
      <c r="U544" s="265">
        <v>0</v>
      </c>
      <c r="V544" s="265">
        <v>178500</v>
      </c>
      <c r="W544" s="265">
        <v>340000</v>
      </c>
      <c r="X544" s="265">
        <v>340000</v>
      </c>
      <c r="Y544" s="50">
        <f t="shared" si="8"/>
        <v>80000</v>
      </c>
    </row>
    <row r="545" spans="1:25" s="39" customFormat="1" x14ac:dyDescent="0.35">
      <c r="A545" s="37" t="s">
        <v>47</v>
      </c>
      <c r="B545" s="37" t="s">
        <v>329</v>
      </c>
      <c r="C545" s="91">
        <v>8470810</v>
      </c>
      <c r="D545" s="37" t="s">
        <v>48</v>
      </c>
      <c r="E545" s="91">
        <v>492316</v>
      </c>
      <c r="F545" s="37" t="s">
        <v>221</v>
      </c>
      <c r="G545" s="90">
        <v>847001</v>
      </c>
      <c r="H545" s="37" t="s">
        <v>50</v>
      </c>
      <c r="I545" s="90">
        <v>300180</v>
      </c>
      <c r="J545" s="37" t="s">
        <v>192</v>
      </c>
      <c r="K545" s="265">
        <v>0</v>
      </c>
      <c r="L545" s="265">
        <v>-380451</v>
      </c>
      <c r="M545" s="265">
        <v>-53578</v>
      </c>
      <c r="N545" s="265">
        <v>0</v>
      </c>
      <c r="O545" s="265">
        <v>0</v>
      </c>
      <c r="P545" s="265">
        <v>0</v>
      </c>
      <c r="Q545" s="265">
        <v>0</v>
      </c>
      <c r="R545" s="265">
        <v>0</v>
      </c>
      <c r="S545" s="265">
        <v>0</v>
      </c>
      <c r="T545" s="265">
        <v>0</v>
      </c>
      <c r="U545" s="265">
        <v>0</v>
      </c>
      <c r="V545" s="265">
        <v>0</v>
      </c>
      <c r="W545" s="265">
        <v>0</v>
      </c>
      <c r="X545" s="265">
        <v>0</v>
      </c>
      <c r="Y545" s="50">
        <f t="shared" si="8"/>
        <v>0</v>
      </c>
    </row>
    <row r="546" spans="1:25" s="39" customFormat="1" x14ac:dyDescent="0.35">
      <c r="A546" s="37" t="s">
        <v>47</v>
      </c>
      <c r="B546" s="37" t="s">
        <v>199</v>
      </c>
      <c r="C546" s="91">
        <v>8470810</v>
      </c>
      <c r="D546" s="37" t="s">
        <v>48</v>
      </c>
      <c r="E546" s="91">
        <v>492352</v>
      </c>
      <c r="F546" s="37" t="s">
        <v>198</v>
      </c>
      <c r="G546" s="90">
        <v>847001</v>
      </c>
      <c r="H546" s="37" t="s">
        <v>50</v>
      </c>
      <c r="I546" s="90">
        <v>300180</v>
      </c>
      <c r="J546" s="37" t="s">
        <v>192</v>
      </c>
      <c r="K546" s="265">
        <v>0</v>
      </c>
      <c r="L546" s="265">
        <v>0</v>
      </c>
      <c r="M546" s="265">
        <v>0</v>
      </c>
      <c r="N546" s="265">
        <v>2016302</v>
      </c>
      <c r="O546" s="265">
        <v>2016302</v>
      </c>
      <c r="P546" s="265">
        <v>0</v>
      </c>
      <c r="Q546" s="265">
        <v>2015272.6</v>
      </c>
      <c r="R546" s="265">
        <v>0</v>
      </c>
      <c r="S546" s="265">
        <v>1389000</v>
      </c>
      <c r="T546" s="265">
        <v>1250100</v>
      </c>
      <c r="U546" s="265">
        <v>0</v>
      </c>
      <c r="V546" s="265">
        <v>972300</v>
      </c>
      <c r="W546" s="265">
        <v>1164000</v>
      </c>
      <c r="X546" s="265">
        <v>1164000</v>
      </c>
      <c r="Y546" s="50">
        <f t="shared" si="8"/>
        <v>-627302</v>
      </c>
    </row>
    <row r="547" spans="1:25" s="39" customFormat="1" x14ac:dyDescent="0.35">
      <c r="A547" s="37" t="s">
        <v>47</v>
      </c>
      <c r="B547" s="37" t="s">
        <v>327</v>
      </c>
      <c r="C547" s="91">
        <v>8470810</v>
      </c>
      <c r="D547" s="37" t="s">
        <v>48</v>
      </c>
      <c r="E547" s="91">
        <v>492354</v>
      </c>
      <c r="F547" s="37" t="s">
        <v>204</v>
      </c>
      <c r="G547" s="90">
        <v>847001</v>
      </c>
      <c r="H547" s="37" t="s">
        <v>50</v>
      </c>
      <c r="I547" s="90">
        <v>300180</v>
      </c>
      <c r="J547" s="37" t="s">
        <v>192</v>
      </c>
      <c r="K547" s="265">
        <v>0</v>
      </c>
      <c r="L547" s="265">
        <v>0</v>
      </c>
      <c r="M547" s="265">
        <v>0</v>
      </c>
      <c r="N547" s="265">
        <v>321500</v>
      </c>
      <c r="O547" s="265">
        <v>321500</v>
      </c>
      <c r="P547" s="265">
        <v>0</v>
      </c>
      <c r="Q547" s="265">
        <v>321320</v>
      </c>
      <c r="R547" s="265">
        <v>0</v>
      </c>
      <c r="S547" s="265">
        <v>0</v>
      </c>
      <c r="T547" s="265">
        <v>0</v>
      </c>
      <c r="U547" s="265">
        <v>0</v>
      </c>
      <c r="V547" s="265">
        <v>0</v>
      </c>
      <c r="W547" s="265">
        <v>0</v>
      </c>
      <c r="X547" s="265">
        <v>0</v>
      </c>
      <c r="Y547" s="50">
        <f t="shared" si="8"/>
        <v>-321500</v>
      </c>
    </row>
    <row r="548" spans="1:25" s="39" customFormat="1" x14ac:dyDescent="0.35">
      <c r="A548" s="37" t="s">
        <v>47</v>
      </c>
      <c r="B548" s="37" t="s">
        <v>207</v>
      </c>
      <c r="C548" s="91">
        <v>8470810</v>
      </c>
      <c r="D548" s="37" t="s">
        <v>48</v>
      </c>
      <c r="E548" s="91">
        <v>492356</v>
      </c>
      <c r="F548" s="37" t="s">
        <v>206</v>
      </c>
      <c r="G548" s="90">
        <v>847001</v>
      </c>
      <c r="H548" s="37" t="s">
        <v>50</v>
      </c>
      <c r="I548" s="90">
        <v>300180</v>
      </c>
      <c r="J548" s="37" t="s">
        <v>192</v>
      </c>
      <c r="K548" s="265">
        <v>0</v>
      </c>
      <c r="L548" s="265">
        <v>0</v>
      </c>
      <c r="M548" s="265">
        <v>0</v>
      </c>
      <c r="N548" s="265">
        <v>650000</v>
      </c>
      <c r="O548" s="265">
        <v>650000</v>
      </c>
      <c r="P548" s="265">
        <v>0</v>
      </c>
      <c r="Q548" s="265">
        <v>0</v>
      </c>
      <c r="R548" s="265">
        <v>583836</v>
      </c>
      <c r="S548" s="265">
        <v>4018539</v>
      </c>
      <c r="T548" s="265">
        <v>2984772</v>
      </c>
      <c r="U548" s="265">
        <v>0</v>
      </c>
      <c r="V548" s="265">
        <v>2321489</v>
      </c>
      <c r="W548" s="265">
        <v>1195750</v>
      </c>
      <c r="X548" s="265">
        <v>1200000</v>
      </c>
      <c r="Y548" s="50">
        <f t="shared" si="8"/>
        <v>3368539</v>
      </c>
    </row>
    <row r="549" spans="1:25" s="39" customFormat="1" x14ac:dyDescent="0.35">
      <c r="A549" s="37" t="s">
        <v>47</v>
      </c>
      <c r="B549" s="37" t="s">
        <v>328</v>
      </c>
      <c r="C549" s="91">
        <v>8470810</v>
      </c>
      <c r="D549" s="37" t="s">
        <v>48</v>
      </c>
      <c r="E549" s="91">
        <v>495110</v>
      </c>
      <c r="F549" s="37" t="s">
        <v>213</v>
      </c>
      <c r="G549" s="90">
        <v>847001</v>
      </c>
      <c r="H549" s="37" t="s">
        <v>50</v>
      </c>
      <c r="I549" s="90">
        <v>300180</v>
      </c>
      <c r="J549" s="37" t="s">
        <v>192</v>
      </c>
      <c r="K549" s="265">
        <v>0</v>
      </c>
      <c r="L549" s="265">
        <v>0</v>
      </c>
      <c r="M549" s="265">
        <v>796333</v>
      </c>
      <c r="N549" s="265">
        <v>0</v>
      </c>
      <c r="O549" s="265">
        <v>0</v>
      </c>
      <c r="P549" s="265">
        <v>0</v>
      </c>
      <c r="Q549" s="265">
        <v>0</v>
      </c>
      <c r="R549" s="265">
        <v>0</v>
      </c>
      <c r="S549" s="265">
        <v>0</v>
      </c>
      <c r="T549" s="265">
        <v>0</v>
      </c>
      <c r="U549" s="265">
        <v>0</v>
      </c>
      <c r="V549" s="265">
        <v>0</v>
      </c>
      <c r="W549" s="265">
        <v>0</v>
      </c>
      <c r="X549" s="265">
        <v>0</v>
      </c>
      <c r="Y549" s="50">
        <f t="shared" si="8"/>
        <v>0</v>
      </c>
    </row>
    <row r="550" spans="1:25" s="39" customFormat="1" x14ac:dyDescent="0.35">
      <c r="A550" s="37" t="s">
        <v>47</v>
      </c>
      <c r="B550" s="37" t="s">
        <v>305</v>
      </c>
      <c r="C550" s="91">
        <v>8470810</v>
      </c>
      <c r="D550" s="37" t="s">
        <v>48</v>
      </c>
      <c r="E550" s="91">
        <v>495113</v>
      </c>
      <c r="F550" s="37" t="s">
        <v>214</v>
      </c>
      <c r="G550" s="90">
        <v>847001</v>
      </c>
      <c r="H550" s="37" t="s">
        <v>50</v>
      </c>
      <c r="I550" s="90">
        <v>300180</v>
      </c>
      <c r="J550" s="37" t="s">
        <v>192</v>
      </c>
      <c r="K550" s="265">
        <v>0</v>
      </c>
      <c r="L550" s="265">
        <v>0</v>
      </c>
      <c r="M550" s="265">
        <v>0</v>
      </c>
      <c r="N550" s="265">
        <v>228670</v>
      </c>
      <c r="O550" s="265">
        <v>228670</v>
      </c>
      <c r="P550" s="265">
        <v>0</v>
      </c>
      <c r="Q550" s="265">
        <v>0</v>
      </c>
      <c r="R550" s="265">
        <v>0</v>
      </c>
      <c r="S550" s="265">
        <v>772572</v>
      </c>
      <c r="T550" s="265">
        <v>288000</v>
      </c>
      <c r="U550" s="265">
        <v>0</v>
      </c>
      <c r="V550" s="265">
        <v>224000</v>
      </c>
      <c r="W550" s="265">
        <v>750000</v>
      </c>
      <c r="X550" s="265">
        <v>800000</v>
      </c>
      <c r="Y550" s="50">
        <f t="shared" si="8"/>
        <v>543902</v>
      </c>
    </row>
    <row r="551" spans="1:25" s="39" customFormat="1" x14ac:dyDescent="0.35">
      <c r="A551" s="37" t="s">
        <v>1784</v>
      </c>
      <c r="B551" s="37" t="s">
        <v>2245</v>
      </c>
      <c r="C551" s="91">
        <v>8470450</v>
      </c>
      <c r="D551" s="37" t="s">
        <v>2100</v>
      </c>
      <c r="E551" s="91">
        <v>421700</v>
      </c>
      <c r="F551" s="37" t="s">
        <v>2438</v>
      </c>
      <c r="G551" s="90">
        <v>847001</v>
      </c>
      <c r="H551" s="37" t="s">
        <v>50</v>
      </c>
      <c r="I551" s="90">
        <v>200179</v>
      </c>
      <c r="J551" s="37" t="s">
        <v>61</v>
      </c>
      <c r="K551" s="265">
        <v>0</v>
      </c>
      <c r="L551" s="265">
        <v>0</v>
      </c>
      <c r="M551" s="265">
        <v>0</v>
      </c>
      <c r="N551" s="265">
        <v>0</v>
      </c>
      <c r="O551" s="265">
        <v>0</v>
      </c>
      <c r="P551" s="265">
        <v>0</v>
      </c>
      <c r="Q551" s="265">
        <v>0</v>
      </c>
      <c r="R551" s="265">
        <v>0</v>
      </c>
      <c r="S551" s="38">
        <v>0</v>
      </c>
      <c r="T551" s="265">
        <v>0</v>
      </c>
      <c r="U551" s="265">
        <v>0</v>
      </c>
      <c r="V551" s="265">
        <v>0</v>
      </c>
      <c r="W551" s="265">
        <v>300000</v>
      </c>
      <c r="X551" s="265">
        <v>0</v>
      </c>
      <c r="Y551" s="50">
        <f t="shared" si="8"/>
        <v>0</v>
      </c>
    </row>
    <row r="552" spans="1:25" s="39" customFormat="1" x14ac:dyDescent="0.35">
      <c r="A552" s="37" t="s">
        <v>47</v>
      </c>
      <c r="B552" s="37" t="s">
        <v>2600</v>
      </c>
      <c r="C552" s="91">
        <v>8470510</v>
      </c>
      <c r="D552" s="37" t="s">
        <v>2369</v>
      </c>
      <c r="E552" s="91">
        <v>425510</v>
      </c>
      <c r="F552" s="37" t="s">
        <v>247</v>
      </c>
      <c r="G552" s="90">
        <v>847001</v>
      </c>
      <c r="H552" s="37" t="s">
        <v>50</v>
      </c>
      <c r="I552" s="90">
        <v>200179</v>
      </c>
      <c r="J552" s="37" t="s">
        <v>61</v>
      </c>
      <c r="K552" s="265">
        <v>0</v>
      </c>
      <c r="L552" s="265">
        <v>0</v>
      </c>
      <c r="M552" s="265">
        <v>0</v>
      </c>
      <c r="N552" s="38">
        <v>0</v>
      </c>
      <c r="O552" s="265">
        <v>0</v>
      </c>
      <c r="P552" s="265">
        <v>0</v>
      </c>
      <c r="Q552" s="265">
        <v>0</v>
      </c>
      <c r="R552" s="265">
        <v>0</v>
      </c>
      <c r="S552" s="38">
        <v>0</v>
      </c>
      <c r="T552" s="265">
        <v>0</v>
      </c>
      <c r="U552" s="265">
        <v>0</v>
      </c>
      <c r="V552" s="265">
        <v>0</v>
      </c>
      <c r="W552" s="265">
        <v>40000</v>
      </c>
      <c r="X552" s="265">
        <v>50000</v>
      </c>
      <c r="Y552" s="38">
        <f t="shared" si="8"/>
        <v>0</v>
      </c>
    </row>
    <row r="553" spans="1:25" s="39" customFormat="1" x14ac:dyDescent="0.35">
      <c r="A553" s="37" t="s">
        <v>47</v>
      </c>
      <c r="B553" s="37" t="s">
        <v>2615</v>
      </c>
      <c r="C553" s="91">
        <v>8470530</v>
      </c>
      <c r="D553" s="37" t="s">
        <v>2412</v>
      </c>
      <c r="E553" s="91">
        <v>421100</v>
      </c>
      <c r="F553" s="37" t="s">
        <v>3042</v>
      </c>
      <c r="G553" s="90">
        <v>847010</v>
      </c>
      <c r="H553" s="37" t="s">
        <v>2413</v>
      </c>
      <c r="I553" s="90">
        <v>200179</v>
      </c>
      <c r="J553" s="37" t="s">
        <v>61</v>
      </c>
      <c r="K553" s="265">
        <v>1010298</v>
      </c>
      <c r="L553" s="265">
        <v>2941195</v>
      </c>
      <c r="M553" s="265">
        <v>-19784</v>
      </c>
      <c r="N553" s="265">
        <v>0</v>
      </c>
      <c r="O553" s="265">
        <v>0</v>
      </c>
      <c r="P553" s="265">
        <v>-23360</v>
      </c>
      <c r="Q553" s="265">
        <v>0</v>
      </c>
      <c r="R553" s="265">
        <v>0</v>
      </c>
      <c r="S553" s="265">
        <v>0</v>
      </c>
      <c r="T553" s="265">
        <v>0</v>
      </c>
      <c r="U553" s="265">
        <v>0</v>
      </c>
      <c r="V553" s="265">
        <v>0</v>
      </c>
      <c r="W553" s="265">
        <v>0</v>
      </c>
      <c r="X553" s="265">
        <v>0</v>
      </c>
      <c r="Y553" s="50">
        <f t="shared" si="8"/>
        <v>0</v>
      </c>
    </row>
    <row r="554" spans="1:25" s="39" customFormat="1" x14ac:dyDescent="0.35">
      <c r="A554" s="37" t="s">
        <v>47</v>
      </c>
      <c r="B554" s="37" t="s">
        <v>2648</v>
      </c>
      <c r="C554" s="91">
        <v>8470530</v>
      </c>
      <c r="D554" s="37" t="s">
        <v>2412</v>
      </c>
      <c r="E554" s="91">
        <v>492200</v>
      </c>
      <c r="F554" s="37" t="s">
        <v>2475</v>
      </c>
      <c r="G554" s="90">
        <v>847001</v>
      </c>
      <c r="H554" s="37" t="s">
        <v>50</v>
      </c>
      <c r="I554" s="90">
        <v>300180</v>
      </c>
      <c r="J554" s="37" t="s">
        <v>192</v>
      </c>
      <c r="K554" s="265">
        <v>0</v>
      </c>
      <c r="L554" s="265">
        <v>0</v>
      </c>
      <c r="M554" s="265">
        <v>0</v>
      </c>
      <c r="N554" s="265">
        <v>2910350</v>
      </c>
      <c r="O554" s="265">
        <v>2910350</v>
      </c>
      <c r="P554" s="265">
        <v>0</v>
      </c>
      <c r="Q554" s="265">
        <v>2818350</v>
      </c>
      <c r="R554" s="265">
        <v>0</v>
      </c>
      <c r="S554" s="265">
        <v>0</v>
      </c>
      <c r="T554" s="265">
        <v>0</v>
      </c>
      <c r="U554" s="265">
        <v>0</v>
      </c>
      <c r="V554" s="265">
        <v>0</v>
      </c>
      <c r="W554" s="265">
        <v>0</v>
      </c>
      <c r="X554" s="265">
        <v>2520000</v>
      </c>
      <c r="Y554" s="50">
        <f t="shared" si="8"/>
        <v>-2910350</v>
      </c>
    </row>
    <row r="555" spans="1:25" s="39" customFormat="1" x14ac:dyDescent="0.35">
      <c r="A555" s="37" t="s">
        <v>47</v>
      </c>
      <c r="B555" s="37" t="s">
        <v>2842</v>
      </c>
      <c r="C555" s="91">
        <v>8470620</v>
      </c>
      <c r="D555" s="37" t="s">
        <v>1150</v>
      </c>
      <c r="E555" s="91">
        <v>436120</v>
      </c>
      <c r="F555" s="37" t="s">
        <v>291</v>
      </c>
      <c r="G555" s="90">
        <v>847001</v>
      </c>
      <c r="H555" s="37" t="s">
        <v>50</v>
      </c>
      <c r="I555" s="90">
        <v>200179</v>
      </c>
      <c r="J555" s="37" t="s">
        <v>61</v>
      </c>
      <c r="K555" s="265">
        <v>435</v>
      </c>
      <c r="L555" s="265">
        <v>0</v>
      </c>
      <c r="M555" s="265">
        <v>-20281</v>
      </c>
      <c r="N555" s="265">
        <v>2500</v>
      </c>
      <c r="O555" s="265">
        <v>2500</v>
      </c>
      <c r="P555" s="265">
        <v>0</v>
      </c>
      <c r="Q555" s="265">
        <v>0</v>
      </c>
      <c r="R555" s="265">
        <v>0</v>
      </c>
      <c r="S555" s="265">
        <v>0</v>
      </c>
      <c r="T555" s="265">
        <v>0</v>
      </c>
      <c r="U555" s="265">
        <v>0</v>
      </c>
      <c r="V555" s="265">
        <v>0</v>
      </c>
      <c r="W555" s="265">
        <v>5000</v>
      </c>
      <c r="X555" s="265">
        <v>5000</v>
      </c>
      <c r="Y555" s="50">
        <f t="shared" si="8"/>
        <v>-2500</v>
      </c>
    </row>
    <row r="556" spans="1:25" s="39" customFormat="1" x14ac:dyDescent="0.35">
      <c r="A556" s="37" t="s">
        <v>47</v>
      </c>
      <c r="B556" s="37" t="s">
        <v>2843</v>
      </c>
      <c r="C556" s="91">
        <v>8470730</v>
      </c>
      <c r="D556" s="37" t="s">
        <v>1190</v>
      </c>
      <c r="E556" s="91">
        <v>425900</v>
      </c>
      <c r="F556" s="37" t="s">
        <v>266</v>
      </c>
      <c r="G556" s="90">
        <v>847001</v>
      </c>
      <c r="H556" s="37" t="s">
        <v>50</v>
      </c>
      <c r="I556" s="90">
        <v>200179</v>
      </c>
      <c r="J556" s="37" t="s">
        <v>61</v>
      </c>
      <c r="K556" s="265">
        <v>15459</v>
      </c>
      <c r="L556" s="265">
        <v>6363</v>
      </c>
      <c r="M556" s="265">
        <v>0</v>
      </c>
      <c r="N556" s="265">
        <v>250000</v>
      </c>
      <c r="O556" s="265">
        <v>250000</v>
      </c>
      <c r="P556" s="265">
        <v>650</v>
      </c>
      <c r="Q556" s="265">
        <v>0</v>
      </c>
      <c r="R556" s="265">
        <v>0</v>
      </c>
      <c r="S556" s="265">
        <v>0</v>
      </c>
      <c r="T556" s="265">
        <v>0</v>
      </c>
      <c r="U556" s="265">
        <v>0</v>
      </c>
      <c r="V556" s="265">
        <v>0</v>
      </c>
      <c r="W556" s="265">
        <v>175000</v>
      </c>
      <c r="X556" s="265">
        <v>0</v>
      </c>
      <c r="Y556" s="50">
        <f t="shared" si="8"/>
        <v>-250000</v>
      </c>
    </row>
    <row r="557" spans="1:25" s="39" customFormat="1" x14ac:dyDescent="0.35">
      <c r="A557" s="37" t="s">
        <v>1350</v>
      </c>
      <c r="B557" s="37" t="s">
        <v>2840</v>
      </c>
      <c r="C557" s="91">
        <v>8471260</v>
      </c>
      <c r="D557" s="37" t="s">
        <v>1404</v>
      </c>
      <c r="E557" s="91">
        <v>421100</v>
      </c>
      <c r="F557" s="37" t="s">
        <v>3042</v>
      </c>
      <c r="G557" s="90">
        <v>847001</v>
      </c>
      <c r="H557" s="37" t="s">
        <v>50</v>
      </c>
      <c r="I557" s="90">
        <v>200179</v>
      </c>
      <c r="J557" s="37" t="s">
        <v>61</v>
      </c>
      <c r="K557" s="265">
        <v>1650063</v>
      </c>
      <c r="L557" s="265">
        <v>1749140</v>
      </c>
      <c r="M557" s="265">
        <v>1286731</v>
      </c>
      <c r="N557" s="265">
        <v>353000</v>
      </c>
      <c r="O557" s="265">
        <v>353000</v>
      </c>
      <c r="P557" s="265">
        <v>352238.57</v>
      </c>
      <c r="Q557" s="265">
        <v>0</v>
      </c>
      <c r="R557" s="265">
        <v>0</v>
      </c>
      <c r="S557" s="265">
        <v>0</v>
      </c>
      <c r="T557" s="265">
        <v>0</v>
      </c>
      <c r="U557" s="265">
        <v>0</v>
      </c>
      <c r="V557" s="265">
        <v>0</v>
      </c>
      <c r="W557" s="265">
        <v>2010000</v>
      </c>
      <c r="X557" s="265">
        <v>2128000</v>
      </c>
      <c r="Y557" s="50">
        <f t="shared" si="8"/>
        <v>-353000</v>
      </c>
    </row>
    <row r="558" spans="1:25" s="39" customFormat="1" x14ac:dyDescent="0.35">
      <c r="A558" s="37" t="s">
        <v>2277</v>
      </c>
      <c r="B558" s="78" t="s">
        <v>2368</v>
      </c>
      <c r="C558" s="91">
        <v>8470140</v>
      </c>
      <c r="D558" s="37" t="s">
        <v>2293</v>
      </c>
      <c r="E558" s="91">
        <v>425763</v>
      </c>
      <c r="F558" s="37" t="s">
        <v>359</v>
      </c>
      <c r="G558" s="90">
        <v>847001</v>
      </c>
      <c r="H558" s="37" t="s">
        <v>50</v>
      </c>
      <c r="I558" s="90">
        <v>200179</v>
      </c>
      <c r="J558" s="37" t="s">
        <v>61</v>
      </c>
      <c r="K558" s="265">
        <v>0</v>
      </c>
      <c r="L558" s="265">
        <v>0</v>
      </c>
      <c r="M558" s="265">
        <v>0</v>
      </c>
      <c r="N558" s="265">
        <v>0</v>
      </c>
      <c r="O558" s="265">
        <v>0</v>
      </c>
      <c r="P558" s="265">
        <v>0</v>
      </c>
      <c r="Q558" s="265">
        <v>0</v>
      </c>
      <c r="R558" s="265">
        <v>0</v>
      </c>
      <c r="S558" s="265">
        <v>0</v>
      </c>
      <c r="T558" s="265">
        <v>0</v>
      </c>
      <c r="U558" s="265">
        <v>0</v>
      </c>
      <c r="V558" s="265">
        <v>0</v>
      </c>
      <c r="W558" s="265">
        <v>0</v>
      </c>
      <c r="X558" s="265">
        <v>0</v>
      </c>
      <c r="Y558" s="50">
        <f t="shared" si="8"/>
        <v>0</v>
      </c>
    </row>
    <row r="559" spans="1:25" s="39" customFormat="1" x14ac:dyDescent="0.35">
      <c r="A559" s="37" t="s">
        <v>1784</v>
      </c>
      <c r="B559" s="78" t="s">
        <v>2273</v>
      </c>
      <c r="C559" s="91">
        <v>8470445</v>
      </c>
      <c r="D559" s="37" t="s">
        <v>2056</v>
      </c>
      <c r="E559" s="91">
        <v>435508</v>
      </c>
      <c r="F559" s="37" t="s">
        <v>405</v>
      </c>
      <c r="G559" s="90">
        <v>847001</v>
      </c>
      <c r="H559" s="37" t="s">
        <v>50</v>
      </c>
      <c r="I559" s="90">
        <v>200179</v>
      </c>
      <c r="J559" s="37" t="s">
        <v>61</v>
      </c>
      <c r="K559" s="265">
        <v>0</v>
      </c>
      <c r="L559" s="265">
        <v>0</v>
      </c>
      <c r="M559" s="265">
        <v>0</v>
      </c>
      <c r="N559" s="265">
        <v>0</v>
      </c>
      <c r="O559" s="265">
        <v>0</v>
      </c>
      <c r="P559" s="265">
        <v>0</v>
      </c>
      <c r="Q559" s="265">
        <v>0</v>
      </c>
      <c r="R559" s="265">
        <v>0</v>
      </c>
      <c r="S559" s="265">
        <v>0</v>
      </c>
      <c r="T559" s="265">
        <v>0</v>
      </c>
      <c r="U559" s="265">
        <v>0</v>
      </c>
      <c r="V559" s="265">
        <v>0</v>
      </c>
      <c r="W559" s="265">
        <v>0</v>
      </c>
      <c r="X559" s="265">
        <v>6000000</v>
      </c>
      <c r="Y559" s="50">
        <f t="shared" si="8"/>
        <v>0</v>
      </c>
    </row>
    <row r="560" spans="1:25" s="39" customFormat="1" x14ac:dyDescent="0.35">
      <c r="A560" s="37" t="s">
        <v>1209</v>
      </c>
      <c r="B560" s="78" t="s">
        <v>2845</v>
      </c>
      <c r="C560" s="91">
        <v>8471170</v>
      </c>
      <c r="D560" s="37" t="s">
        <v>1286</v>
      </c>
      <c r="E560" s="91">
        <v>495110</v>
      </c>
      <c r="F560" s="37" t="s">
        <v>213</v>
      </c>
      <c r="G560" s="90">
        <v>847001</v>
      </c>
      <c r="H560" s="37" t="s">
        <v>50</v>
      </c>
      <c r="I560" s="90">
        <v>300180</v>
      </c>
      <c r="J560" s="37" t="s">
        <v>192</v>
      </c>
      <c r="K560" s="265">
        <v>0</v>
      </c>
      <c r="L560" s="265">
        <v>0</v>
      </c>
      <c r="M560" s="265">
        <v>33644</v>
      </c>
      <c r="N560" s="265">
        <v>0</v>
      </c>
      <c r="O560" s="265">
        <v>0</v>
      </c>
      <c r="P560" s="265">
        <v>0</v>
      </c>
      <c r="Q560" s="265">
        <v>0</v>
      </c>
      <c r="R560" s="265">
        <v>0</v>
      </c>
      <c r="S560" s="265">
        <v>0</v>
      </c>
      <c r="T560" s="265">
        <v>0</v>
      </c>
      <c r="U560" s="265">
        <v>0</v>
      </c>
      <c r="V560" s="265">
        <v>0</v>
      </c>
      <c r="W560" s="265">
        <v>0</v>
      </c>
      <c r="X560" s="265">
        <v>300000</v>
      </c>
      <c r="Y560" s="50">
        <f t="shared" si="8"/>
        <v>0</v>
      </c>
    </row>
    <row r="561" spans="1:25" s="39" customFormat="1" x14ac:dyDescent="0.35">
      <c r="A561" s="37" t="s">
        <v>1350</v>
      </c>
      <c r="B561" s="78" t="s">
        <v>2846</v>
      </c>
      <c r="C561" s="91">
        <v>8471270</v>
      </c>
      <c r="D561" s="37" t="s">
        <v>1497</v>
      </c>
      <c r="E561" s="91">
        <v>435310</v>
      </c>
      <c r="F561" s="37" t="s">
        <v>1336</v>
      </c>
      <c r="G561" s="90">
        <v>847001</v>
      </c>
      <c r="H561" s="37" t="s">
        <v>50</v>
      </c>
      <c r="I561" s="90">
        <v>200179</v>
      </c>
      <c r="J561" s="37" t="s">
        <v>61</v>
      </c>
      <c r="K561" s="265">
        <v>959634</v>
      </c>
      <c r="L561" s="265">
        <v>-120999</v>
      </c>
      <c r="M561" s="265">
        <v>-8405</v>
      </c>
      <c r="N561" s="265">
        <v>0</v>
      </c>
      <c r="O561" s="265">
        <v>0</v>
      </c>
      <c r="P561" s="265">
        <v>0</v>
      </c>
      <c r="Q561" s="265">
        <v>0</v>
      </c>
      <c r="R561" s="265">
        <v>0</v>
      </c>
      <c r="S561" s="265">
        <v>0</v>
      </c>
      <c r="T561" s="265">
        <v>0</v>
      </c>
      <c r="U561" s="265">
        <v>0</v>
      </c>
      <c r="V561" s="265">
        <v>0</v>
      </c>
      <c r="W561" s="265">
        <v>0</v>
      </c>
      <c r="X561" s="265">
        <v>0</v>
      </c>
      <c r="Y561" s="50">
        <f t="shared" si="8"/>
        <v>0</v>
      </c>
    </row>
    <row r="562" spans="1:25" s="39" customFormat="1" x14ac:dyDescent="0.35">
      <c r="A562" s="37" t="s">
        <v>1000</v>
      </c>
      <c r="B562" s="78" t="s">
        <v>2847</v>
      </c>
      <c r="C562" s="91">
        <v>8471305</v>
      </c>
      <c r="D562" s="37" t="s">
        <v>1001</v>
      </c>
      <c r="E562" s="91">
        <v>427810</v>
      </c>
      <c r="F562" s="37" t="s">
        <v>3043</v>
      </c>
      <c r="G562" s="90">
        <v>847001</v>
      </c>
      <c r="H562" s="37" t="s">
        <v>50</v>
      </c>
      <c r="I562" s="90">
        <v>200179</v>
      </c>
      <c r="J562" s="37" t="s">
        <v>61</v>
      </c>
      <c r="K562" s="265">
        <v>0</v>
      </c>
      <c r="L562" s="265">
        <v>0</v>
      </c>
      <c r="M562" s="265">
        <v>0</v>
      </c>
      <c r="N562" s="265">
        <v>10000</v>
      </c>
      <c r="O562" s="265">
        <v>10000</v>
      </c>
      <c r="P562" s="265">
        <v>0</v>
      </c>
      <c r="Q562" s="265">
        <v>0</v>
      </c>
      <c r="R562" s="265">
        <v>0</v>
      </c>
      <c r="S562" s="265">
        <v>0</v>
      </c>
      <c r="T562" s="265">
        <v>0</v>
      </c>
      <c r="U562" s="265">
        <v>0</v>
      </c>
      <c r="V562" s="265">
        <v>0</v>
      </c>
      <c r="W562" s="265">
        <v>0</v>
      </c>
      <c r="X562" s="265">
        <v>0</v>
      </c>
      <c r="Y562" s="50">
        <f t="shared" si="8"/>
        <v>-10000</v>
      </c>
    </row>
    <row r="563" spans="1:25" s="39" customFormat="1" x14ac:dyDescent="0.35">
      <c r="A563" s="37" t="s">
        <v>2711</v>
      </c>
      <c r="B563" s="37" t="s">
        <v>2849</v>
      </c>
      <c r="C563" s="91">
        <v>8470110</v>
      </c>
      <c r="D563" s="37" t="s">
        <v>2712</v>
      </c>
      <c r="E563" s="91">
        <v>420900</v>
      </c>
      <c r="F563" s="37" t="s">
        <v>1266</v>
      </c>
      <c r="G563" s="90">
        <v>847001</v>
      </c>
      <c r="H563" s="37" t="s">
        <v>50</v>
      </c>
      <c r="I563" s="90">
        <v>200179</v>
      </c>
      <c r="J563" s="37" t="s">
        <v>61</v>
      </c>
      <c r="K563" s="265">
        <v>2400</v>
      </c>
      <c r="L563" s="265">
        <v>1845</v>
      </c>
      <c r="M563" s="265">
        <v>100</v>
      </c>
      <c r="N563" s="265">
        <v>1500</v>
      </c>
      <c r="O563" s="265">
        <v>1500</v>
      </c>
      <c r="P563" s="265">
        <v>0</v>
      </c>
      <c r="Q563" s="265">
        <v>0</v>
      </c>
      <c r="R563" s="265">
        <v>0</v>
      </c>
      <c r="S563" s="265">
        <v>0</v>
      </c>
      <c r="T563" s="265">
        <v>0</v>
      </c>
      <c r="U563" s="265">
        <v>0</v>
      </c>
      <c r="V563" s="265">
        <v>0</v>
      </c>
      <c r="W563" s="265">
        <v>0</v>
      </c>
      <c r="X563" s="265">
        <v>0</v>
      </c>
      <c r="Y563" s="50">
        <f t="shared" si="8"/>
        <v>-1500</v>
      </c>
    </row>
    <row r="564" spans="1:25" s="39" customFormat="1" x14ac:dyDescent="0.35">
      <c r="A564" s="37" t="s">
        <v>2711</v>
      </c>
      <c r="B564" s="37" t="s">
        <v>2850</v>
      </c>
      <c r="C564" s="91">
        <v>8470110</v>
      </c>
      <c r="D564" s="37" t="s">
        <v>2712</v>
      </c>
      <c r="E564" s="91">
        <v>421700</v>
      </c>
      <c r="F564" s="37" t="s">
        <v>2438</v>
      </c>
      <c r="G564" s="90">
        <v>847001</v>
      </c>
      <c r="H564" s="37" t="s">
        <v>50</v>
      </c>
      <c r="I564" s="90">
        <v>200179</v>
      </c>
      <c r="J564" s="37" t="s">
        <v>61</v>
      </c>
      <c r="K564" s="265">
        <v>0</v>
      </c>
      <c r="L564" s="265">
        <v>0</v>
      </c>
      <c r="M564" s="265">
        <v>0</v>
      </c>
      <c r="N564" s="265">
        <v>25000</v>
      </c>
      <c r="O564" s="265">
        <v>25000</v>
      </c>
      <c r="P564" s="265">
        <v>0</v>
      </c>
      <c r="Q564" s="265">
        <v>0</v>
      </c>
      <c r="R564" s="265">
        <v>0</v>
      </c>
      <c r="S564" s="38">
        <v>0</v>
      </c>
      <c r="T564" s="265">
        <v>0</v>
      </c>
      <c r="U564" s="265">
        <v>0</v>
      </c>
      <c r="V564" s="265">
        <v>0</v>
      </c>
      <c r="W564" s="265">
        <v>0</v>
      </c>
      <c r="X564" s="265">
        <v>0</v>
      </c>
      <c r="Y564" s="50">
        <f t="shared" si="8"/>
        <v>-25000</v>
      </c>
    </row>
    <row r="565" spans="1:25" s="39" customFormat="1" x14ac:dyDescent="0.35">
      <c r="A565" s="37" t="s">
        <v>2711</v>
      </c>
      <c r="B565" s="37" t="s">
        <v>2851</v>
      </c>
      <c r="C565" s="91">
        <v>8470110</v>
      </c>
      <c r="D565" s="37" t="s">
        <v>2712</v>
      </c>
      <c r="E565" s="91">
        <v>426610</v>
      </c>
      <c r="F565" s="37" t="s">
        <v>694</v>
      </c>
      <c r="G565" s="90">
        <v>847001</v>
      </c>
      <c r="H565" s="37" t="s">
        <v>50</v>
      </c>
      <c r="I565" s="90">
        <v>200179</v>
      </c>
      <c r="J565" s="37" t="s">
        <v>61</v>
      </c>
      <c r="K565" s="265">
        <v>42240</v>
      </c>
      <c r="L565" s="265">
        <v>42240</v>
      </c>
      <c r="M565" s="265">
        <v>47396</v>
      </c>
      <c r="N565" s="265">
        <v>518388</v>
      </c>
      <c r="O565" s="265">
        <v>518388</v>
      </c>
      <c r="P565" s="265">
        <v>42239.5</v>
      </c>
      <c r="Q565" s="265">
        <v>0</v>
      </c>
      <c r="R565" s="265">
        <v>0</v>
      </c>
      <c r="S565" s="265">
        <v>0</v>
      </c>
      <c r="T565" s="265">
        <v>0</v>
      </c>
      <c r="U565" s="265">
        <v>0</v>
      </c>
      <c r="V565" s="265">
        <v>0</v>
      </c>
      <c r="W565" s="265">
        <v>0</v>
      </c>
      <c r="X565" s="265">
        <v>0</v>
      </c>
      <c r="Y565" s="50">
        <f t="shared" si="8"/>
        <v>-518388</v>
      </c>
    </row>
    <row r="566" spans="1:25" s="39" customFormat="1" x14ac:dyDescent="0.35">
      <c r="A566" s="37" t="s">
        <v>2711</v>
      </c>
      <c r="B566" s="37" t="s">
        <v>2852</v>
      </c>
      <c r="C566" s="91">
        <v>8470110</v>
      </c>
      <c r="D566" s="37" t="s">
        <v>2712</v>
      </c>
      <c r="E566" s="91">
        <v>492316</v>
      </c>
      <c r="F566" s="37" t="s">
        <v>221</v>
      </c>
      <c r="G566" s="90">
        <v>847001</v>
      </c>
      <c r="H566" s="37" t="s">
        <v>50</v>
      </c>
      <c r="I566" s="90">
        <v>300180</v>
      </c>
      <c r="J566" s="37" t="s">
        <v>192</v>
      </c>
      <c r="K566" s="265">
        <v>4151760</v>
      </c>
      <c r="L566" s="265">
        <v>39940</v>
      </c>
      <c r="M566" s="265">
        <v>2847291</v>
      </c>
      <c r="N566" s="265">
        <v>1220302</v>
      </c>
      <c r="O566" s="265">
        <v>1220302</v>
      </c>
      <c r="P566" s="265">
        <v>1220301.8</v>
      </c>
      <c r="Q566" s="265">
        <v>0</v>
      </c>
      <c r="R566" s="265">
        <v>1.16415321826935E-10</v>
      </c>
      <c r="S566" s="265">
        <v>0</v>
      </c>
      <c r="T566" s="265">
        <v>0</v>
      </c>
      <c r="U566" s="265">
        <v>0</v>
      </c>
      <c r="V566" s="265">
        <v>0</v>
      </c>
      <c r="W566" s="265">
        <v>0</v>
      </c>
      <c r="X566" s="265">
        <v>0</v>
      </c>
      <c r="Y566" s="50">
        <f t="shared" si="8"/>
        <v>-1220302</v>
      </c>
    </row>
    <row r="567" spans="1:25" s="39" customFormat="1" x14ac:dyDescent="0.35">
      <c r="A567" s="37" t="s">
        <v>2711</v>
      </c>
      <c r="B567" s="37" t="s">
        <v>2853</v>
      </c>
      <c r="C567" s="91">
        <v>8470120</v>
      </c>
      <c r="D567" s="37" t="s">
        <v>2733</v>
      </c>
      <c r="E567" s="91">
        <v>495113</v>
      </c>
      <c r="F567" s="37" t="s">
        <v>214</v>
      </c>
      <c r="G567" s="90">
        <v>847001</v>
      </c>
      <c r="H567" s="37" t="s">
        <v>50</v>
      </c>
      <c r="I567" s="90">
        <v>300180</v>
      </c>
      <c r="J567" s="37" t="s">
        <v>192</v>
      </c>
      <c r="K567" s="265">
        <v>0</v>
      </c>
      <c r="L567" s="265">
        <v>0</v>
      </c>
      <c r="M567" s="265">
        <v>0</v>
      </c>
      <c r="N567" s="265">
        <v>56000</v>
      </c>
      <c r="O567" s="265">
        <v>56000</v>
      </c>
      <c r="P567" s="265">
        <v>0</v>
      </c>
      <c r="Q567" s="265">
        <v>56000</v>
      </c>
      <c r="R567" s="265">
        <v>0</v>
      </c>
      <c r="S567" s="265">
        <v>0</v>
      </c>
      <c r="T567" s="265">
        <v>0</v>
      </c>
      <c r="U567" s="265">
        <v>0</v>
      </c>
      <c r="V567" s="265">
        <v>0</v>
      </c>
      <c r="W567" s="265">
        <v>0</v>
      </c>
      <c r="X567" s="265">
        <v>0</v>
      </c>
      <c r="Y567" s="50">
        <f t="shared" si="8"/>
        <v>-56000</v>
      </c>
    </row>
    <row r="568" spans="1:25" s="39" customFormat="1" x14ac:dyDescent="0.35">
      <c r="A568" s="37" t="s">
        <v>2277</v>
      </c>
      <c r="B568" s="37" t="s">
        <v>2854</v>
      </c>
      <c r="C568" s="91">
        <v>8470130</v>
      </c>
      <c r="D568" s="37" t="s">
        <v>2278</v>
      </c>
      <c r="E568" s="91">
        <v>427710</v>
      </c>
      <c r="F568" s="37" t="s">
        <v>1090</v>
      </c>
      <c r="G568" s="90">
        <v>847001</v>
      </c>
      <c r="H568" s="37" t="s">
        <v>50</v>
      </c>
      <c r="I568" s="90">
        <v>200179</v>
      </c>
      <c r="J568" s="37" t="s">
        <v>61</v>
      </c>
      <c r="K568" s="265">
        <v>0</v>
      </c>
      <c r="L568" s="265">
        <v>0</v>
      </c>
      <c r="M568" s="265">
        <v>129635</v>
      </c>
      <c r="N568" s="265">
        <v>115000</v>
      </c>
      <c r="O568" s="265">
        <v>115000</v>
      </c>
      <c r="P568" s="265">
        <v>114759</v>
      </c>
      <c r="Q568" s="265">
        <v>0</v>
      </c>
      <c r="R568" s="265">
        <v>0</v>
      </c>
      <c r="S568" s="265">
        <v>0</v>
      </c>
      <c r="T568" s="265">
        <v>0</v>
      </c>
      <c r="U568" s="265">
        <v>0</v>
      </c>
      <c r="V568" s="265">
        <v>0</v>
      </c>
      <c r="W568" s="265">
        <v>0</v>
      </c>
      <c r="X568" s="265">
        <v>0</v>
      </c>
      <c r="Y568" s="50">
        <f t="shared" si="8"/>
        <v>-115000</v>
      </c>
    </row>
    <row r="569" spans="1:25" s="39" customFormat="1" x14ac:dyDescent="0.35">
      <c r="A569" s="37" t="s">
        <v>1784</v>
      </c>
      <c r="B569" s="37" t="s">
        <v>2855</v>
      </c>
      <c r="C569" s="91">
        <v>8470405</v>
      </c>
      <c r="D569" s="37" t="s">
        <v>1785</v>
      </c>
      <c r="E569" s="91">
        <v>432209</v>
      </c>
      <c r="F569" s="37" t="s">
        <v>393</v>
      </c>
      <c r="G569" s="90">
        <v>847001</v>
      </c>
      <c r="H569" s="37" t="s">
        <v>50</v>
      </c>
      <c r="I569" s="90">
        <v>200179</v>
      </c>
      <c r="J569" s="37" t="s">
        <v>61</v>
      </c>
      <c r="K569" s="265">
        <v>115909</v>
      </c>
      <c r="L569" s="265">
        <v>54286</v>
      </c>
      <c r="M569" s="265">
        <v>152176</v>
      </c>
      <c r="N569" s="265">
        <v>200000</v>
      </c>
      <c r="O569" s="265">
        <v>200000</v>
      </c>
      <c r="P569" s="265">
        <v>0</v>
      </c>
      <c r="Q569" s="265">
        <v>0</v>
      </c>
      <c r="R569" s="265">
        <v>0</v>
      </c>
      <c r="S569" s="265">
        <v>0</v>
      </c>
      <c r="T569" s="265">
        <v>0</v>
      </c>
      <c r="U569" s="265">
        <v>0</v>
      </c>
      <c r="V569" s="265">
        <v>0</v>
      </c>
      <c r="W569" s="265">
        <v>0</v>
      </c>
      <c r="X569" s="265">
        <v>0</v>
      </c>
      <c r="Y569" s="50">
        <f t="shared" si="8"/>
        <v>-200000</v>
      </c>
    </row>
    <row r="570" spans="1:25" s="39" customFormat="1" x14ac:dyDescent="0.35">
      <c r="A570" s="37" t="s">
        <v>1784</v>
      </c>
      <c r="B570" s="37" t="s">
        <v>2856</v>
      </c>
      <c r="C570" s="91">
        <v>8470415</v>
      </c>
      <c r="D570" s="37" t="s">
        <v>1842</v>
      </c>
      <c r="E570" s="91">
        <v>435519</v>
      </c>
      <c r="F570" s="37" t="s">
        <v>2348</v>
      </c>
      <c r="G570" s="90">
        <v>847001</v>
      </c>
      <c r="H570" s="37" t="s">
        <v>50</v>
      </c>
      <c r="I570" s="90">
        <v>200179</v>
      </c>
      <c r="J570" s="37" t="s">
        <v>61</v>
      </c>
      <c r="K570" s="265">
        <v>0</v>
      </c>
      <c r="L570" s="265">
        <v>0</v>
      </c>
      <c r="M570" s="265">
        <v>0</v>
      </c>
      <c r="N570" s="265">
        <v>20000</v>
      </c>
      <c r="O570" s="265">
        <v>20000</v>
      </c>
      <c r="P570" s="265">
        <v>0</v>
      </c>
      <c r="Q570" s="265">
        <v>0</v>
      </c>
      <c r="R570" s="265">
        <v>0</v>
      </c>
      <c r="S570" s="265">
        <v>0</v>
      </c>
      <c r="T570" s="265">
        <v>0</v>
      </c>
      <c r="U570" s="265">
        <v>0</v>
      </c>
      <c r="V570" s="265">
        <v>0</v>
      </c>
      <c r="W570" s="265">
        <v>0</v>
      </c>
      <c r="X570" s="265">
        <v>0</v>
      </c>
      <c r="Y570" s="50">
        <f t="shared" si="8"/>
        <v>-20000</v>
      </c>
    </row>
    <row r="571" spans="1:25" s="39" customFormat="1" x14ac:dyDescent="0.35">
      <c r="A571" s="37" t="s">
        <v>1784</v>
      </c>
      <c r="B571" s="37" t="s">
        <v>2857</v>
      </c>
      <c r="C571" s="91">
        <v>8470435</v>
      </c>
      <c r="D571" s="37" t="s">
        <v>1993</v>
      </c>
      <c r="E571" s="91">
        <v>425770</v>
      </c>
      <c r="F571" s="37" t="s">
        <v>367</v>
      </c>
      <c r="G571" s="90">
        <v>847001</v>
      </c>
      <c r="H571" s="37" t="s">
        <v>50</v>
      </c>
      <c r="I571" s="90">
        <v>200179</v>
      </c>
      <c r="J571" s="37" t="s">
        <v>61</v>
      </c>
      <c r="K571" s="265">
        <v>188920</v>
      </c>
      <c r="L571" s="265">
        <v>73919</v>
      </c>
      <c r="M571" s="265">
        <v>6348</v>
      </c>
      <c r="N571" s="265">
        <v>100000</v>
      </c>
      <c r="O571" s="265">
        <v>100000</v>
      </c>
      <c r="P571" s="265">
        <v>18095.900000000001</v>
      </c>
      <c r="Q571" s="265">
        <v>0</v>
      </c>
      <c r="R571" s="265">
        <v>0</v>
      </c>
      <c r="S571" s="265">
        <v>0</v>
      </c>
      <c r="T571" s="265">
        <v>0</v>
      </c>
      <c r="U571" s="265">
        <v>0</v>
      </c>
      <c r="V571" s="265">
        <v>0</v>
      </c>
      <c r="W571" s="265">
        <v>0</v>
      </c>
      <c r="X571" s="265">
        <v>0</v>
      </c>
      <c r="Y571" s="50">
        <f t="shared" si="8"/>
        <v>-100000</v>
      </c>
    </row>
    <row r="572" spans="1:25" s="39" customFormat="1" x14ac:dyDescent="0.35">
      <c r="A572" s="37" t="s">
        <v>1784</v>
      </c>
      <c r="B572" s="37" t="s">
        <v>2858</v>
      </c>
      <c r="C572" s="91">
        <v>8470435</v>
      </c>
      <c r="D572" s="37" t="s">
        <v>1993</v>
      </c>
      <c r="E572" s="91">
        <v>426610</v>
      </c>
      <c r="F572" s="37" t="s">
        <v>694</v>
      </c>
      <c r="G572" s="90">
        <v>847001</v>
      </c>
      <c r="H572" s="37" t="s">
        <v>50</v>
      </c>
      <c r="I572" s="90">
        <v>200179</v>
      </c>
      <c r="J572" s="37" t="s">
        <v>61</v>
      </c>
      <c r="K572" s="265">
        <v>0</v>
      </c>
      <c r="L572" s="265">
        <v>0</v>
      </c>
      <c r="M572" s="265">
        <v>688</v>
      </c>
      <c r="N572" s="265">
        <v>30000</v>
      </c>
      <c r="O572" s="265">
        <v>30000</v>
      </c>
      <c r="P572" s="265">
        <v>1156</v>
      </c>
      <c r="Q572" s="265">
        <v>0</v>
      </c>
      <c r="R572" s="265">
        <v>0</v>
      </c>
      <c r="S572" s="265">
        <v>0</v>
      </c>
      <c r="T572" s="265">
        <v>0</v>
      </c>
      <c r="U572" s="265">
        <v>0</v>
      </c>
      <c r="V572" s="265">
        <v>0</v>
      </c>
      <c r="W572" s="265">
        <v>0</v>
      </c>
      <c r="X572" s="265">
        <v>0</v>
      </c>
      <c r="Y572" s="50">
        <f t="shared" si="8"/>
        <v>-30000</v>
      </c>
    </row>
    <row r="573" spans="1:25" s="39" customFormat="1" x14ac:dyDescent="0.35">
      <c r="A573" s="37" t="s">
        <v>1784</v>
      </c>
      <c r="B573" s="37" t="s">
        <v>2859</v>
      </c>
      <c r="C573" s="91">
        <v>8470435</v>
      </c>
      <c r="D573" s="37" t="s">
        <v>1993</v>
      </c>
      <c r="E573" s="91">
        <v>435340</v>
      </c>
      <c r="F573" s="37" t="s">
        <v>655</v>
      </c>
      <c r="G573" s="90">
        <v>847001</v>
      </c>
      <c r="H573" s="37" t="s">
        <v>50</v>
      </c>
      <c r="I573" s="90">
        <v>200179</v>
      </c>
      <c r="J573" s="37" t="s">
        <v>61</v>
      </c>
      <c r="K573" s="265">
        <v>0</v>
      </c>
      <c r="L573" s="265">
        <v>0</v>
      </c>
      <c r="M573" s="265">
        <v>0</v>
      </c>
      <c r="N573" s="265">
        <v>35000</v>
      </c>
      <c r="O573" s="265">
        <v>35000</v>
      </c>
      <c r="P573" s="265">
        <v>0</v>
      </c>
      <c r="Q573" s="265">
        <v>0</v>
      </c>
      <c r="R573" s="265">
        <v>0</v>
      </c>
      <c r="S573" s="265">
        <v>0</v>
      </c>
      <c r="T573" s="265">
        <v>0</v>
      </c>
      <c r="U573" s="265">
        <v>0</v>
      </c>
      <c r="V573" s="265">
        <v>0</v>
      </c>
      <c r="W573" s="265">
        <v>0</v>
      </c>
      <c r="X573" s="265">
        <v>0</v>
      </c>
      <c r="Y573" s="50">
        <f t="shared" si="8"/>
        <v>-35000</v>
      </c>
    </row>
    <row r="574" spans="1:25" s="39" customFormat="1" x14ac:dyDescent="0.35">
      <c r="A574" s="37" t="s">
        <v>47</v>
      </c>
      <c r="B574" s="37" t="s">
        <v>2860</v>
      </c>
      <c r="C574" s="91">
        <v>8470530</v>
      </c>
      <c r="D574" s="37" t="s">
        <v>2412</v>
      </c>
      <c r="E574" s="91">
        <v>430110</v>
      </c>
      <c r="F574" s="37" t="s">
        <v>3344</v>
      </c>
      <c r="G574" s="90">
        <v>847020</v>
      </c>
      <c r="H574" s="37" t="s">
        <v>2093</v>
      </c>
      <c r="I574" s="90">
        <v>200179</v>
      </c>
      <c r="J574" s="37" t="s">
        <v>61</v>
      </c>
      <c r="K574" s="265">
        <v>0</v>
      </c>
      <c r="L574" s="265">
        <v>0</v>
      </c>
      <c r="M574" s="265">
        <v>0</v>
      </c>
      <c r="N574" s="265">
        <v>200211</v>
      </c>
      <c r="O574" s="265">
        <v>200211</v>
      </c>
      <c r="P574" s="265">
        <v>199212.79999999999</v>
      </c>
      <c r="Q574" s="265">
        <v>0</v>
      </c>
      <c r="R574" s="265">
        <v>0</v>
      </c>
      <c r="S574" s="265">
        <v>0</v>
      </c>
      <c r="T574" s="265">
        <v>0</v>
      </c>
      <c r="U574" s="265">
        <v>0</v>
      </c>
      <c r="V574" s="265">
        <v>0</v>
      </c>
      <c r="W574" s="265">
        <v>0</v>
      </c>
      <c r="X574" s="265">
        <v>0</v>
      </c>
      <c r="Y574" s="50">
        <f t="shared" si="8"/>
        <v>-200211</v>
      </c>
    </row>
    <row r="575" spans="1:25" s="39" customFormat="1" x14ac:dyDescent="0.35">
      <c r="A575" s="37" t="s">
        <v>47</v>
      </c>
      <c r="B575" s="37" t="s">
        <v>2473</v>
      </c>
      <c r="C575" s="91">
        <v>8470530</v>
      </c>
      <c r="D575" s="37" t="s">
        <v>2412</v>
      </c>
      <c r="E575" s="91">
        <v>436340</v>
      </c>
      <c r="F575" s="37" t="s">
        <v>3348</v>
      </c>
      <c r="G575" s="90">
        <v>847001</v>
      </c>
      <c r="H575" s="37" t="s">
        <v>50</v>
      </c>
      <c r="I575" s="90">
        <v>200179</v>
      </c>
      <c r="J575" s="37" t="s">
        <v>61</v>
      </c>
      <c r="K575" s="265">
        <v>0</v>
      </c>
      <c r="L575" s="265">
        <v>0</v>
      </c>
      <c r="M575" s="265">
        <v>0</v>
      </c>
      <c r="N575" s="265">
        <v>20000</v>
      </c>
      <c r="O575" s="265">
        <v>20000</v>
      </c>
      <c r="P575" s="265">
        <v>0</v>
      </c>
      <c r="Q575" s="265">
        <v>0</v>
      </c>
      <c r="R575" s="265">
        <v>0</v>
      </c>
      <c r="S575" s="265">
        <v>0</v>
      </c>
      <c r="T575" s="265">
        <v>0</v>
      </c>
      <c r="U575" s="265">
        <v>0</v>
      </c>
      <c r="V575" s="265">
        <v>0</v>
      </c>
      <c r="W575" s="265">
        <v>0</v>
      </c>
      <c r="X575" s="265">
        <v>0</v>
      </c>
      <c r="Y575" s="50">
        <f t="shared" si="8"/>
        <v>-20000</v>
      </c>
    </row>
    <row r="576" spans="1:25" s="39" customFormat="1" x14ac:dyDescent="0.35">
      <c r="A576" s="37" t="s">
        <v>47</v>
      </c>
      <c r="B576" s="37" t="s">
        <v>2861</v>
      </c>
      <c r="C576" s="91">
        <v>8470530</v>
      </c>
      <c r="D576" s="37" t="s">
        <v>2412</v>
      </c>
      <c r="E576" s="91">
        <v>495113</v>
      </c>
      <c r="F576" s="37" t="s">
        <v>214</v>
      </c>
      <c r="G576" s="90">
        <v>847010</v>
      </c>
      <c r="H576" s="37" t="s">
        <v>2413</v>
      </c>
      <c r="I576" s="90">
        <v>300180</v>
      </c>
      <c r="J576" s="37" t="s">
        <v>192</v>
      </c>
      <c r="K576" s="265">
        <v>0</v>
      </c>
      <c r="L576" s="265">
        <v>0</v>
      </c>
      <c r="M576" s="265">
        <v>0</v>
      </c>
      <c r="N576" s="265">
        <v>1000000</v>
      </c>
      <c r="O576" s="265">
        <v>1000000</v>
      </c>
      <c r="P576" s="265">
        <v>0</v>
      </c>
      <c r="Q576" s="265">
        <v>1000000</v>
      </c>
      <c r="R576" s="265">
        <v>0</v>
      </c>
      <c r="S576" s="265">
        <v>0</v>
      </c>
      <c r="T576" s="265">
        <v>0</v>
      </c>
      <c r="U576" s="265">
        <v>0</v>
      </c>
      <c r="V576" s="265">
        <v>0</v>
      </c>
      <c r="W576" s="265">
        <v>0</v>
      </c>
      <c r="X576" s="265">
        <v>0</v>
      </c>
      <c r="Y576" s="50">
        <f t="shared" si="8"/>
        <v>-1000000</v>
      </c>
    </row>
    <row r="577" spans="1:25" s="39" customFormat="1" x14ac:dyDescent="0.35">
      <c r="A577" s="37" t="s">
        <v>47</v>
      </c>
      <c r="B577" s="37" t="s">
        <v>2862</v>
      </c>
      <c r="C577" s="91">
        <v>8470540</v>
      </c>
      <c r="D577" s="37" t="s">
        <v>2557</v>
      </c>
      <c r="E577" s="91">
        <v>421100</v>
      </c>
      <c r="F577" s="37" t="s">
        <v>3042</v>
      </c>
      <c r="G577" s="90">
        <v>847010</v>
      </c>
      <c r="H577" s="37" t="s">
        <v>2413</v>
      </c>
      <c r="I577" s="90">
        <v>200179</v>
      </c>
      <c r="J577" s="37" t="s">
        <v>61</v>
      </c>
      <c r="K577" s="265">
        <v>0</v>
      </c>
      <c r="L577" s="265">
        <v>0</v>
      </c>
      <c r="M577" s="265">
        <v>2818067</v>
      </c>
      <c r="N577" s="265">
        <v>589128</v>
      </c>
      <c r="O577" s="265">
        <v>589128</v>
      </c>
      <c r="P577" s="265">
        <v>168512.62</v>
      </c>
      <c r="Q577" s="265">
        <v>1</v>
      </c>
      <c r="R577" s="265">
        <v>253016.89</v>
      </c>
      <c r="S577" s="265">
        <v>0</v>
      </c>
      <c r="T577" s="265">
        <v>0</v>
      </c>
      <c r="U577" s="265">
        <v>0</v>
      </c>
      <c r="V577" s="265">
        <v>0</v>
      </c>
      <c r="W577" s="265">
        <v>0</v>
      </c>
      <c r="X577" s="265">
        <v>0</v>
      </c>
      <c r="Y577" s="50">
        <f t="shared" si="8"/>
        <v>-589128</v>
      </c>
    </row>
    <row r="578" spans="1:25" s="39" customFormat="1" x14ac:dyDescent="0.35">
      <c r="A578" s="37" t="s">
        <v>47</v>
      </c>
      <c r="B578" s="37" t="s">
        <v>2863</v>
      </c>
      <c r="C578" s="91">
        <v>8470540</v>
      </c>
      <c r="D578" s="37" t="s">
        <v>2557</v>
      </c>
      <c r="E578" s="91">
        <v>427710</v>
      </c>
      <c r="F578" s="37" t="s">
        <v>1090</v>
      </c>
      <c r="G578" s="90">
        <v>847001</v>
      </c>
      <c r="H578" s="37" t="s">
        <v>50</v>
      </c>
      <c r="I578" s="90">
        <v>200179</v>
      </c>
      <c r="J578" s="37" t="s">
        <v>61</v>
      </c>
      <c r="K578" s="265">
        <v>0</v>
      </c>
      <c r="L578" s="265">
        <v>0</v>
      </c>
      <c r="M578" s="265">
        <v>0</v>
      </c>
      <c r="N578" s="265">
        <v>7000</v>
      </c>
      <c r="O578" s="265">
        <v>7000</v>
      </c>
      <c r="P578" s="265">
        <v>0</v>
      </c>
      <c r="Q578" s="265">
        <v>5106</v>
      </c>
      <c r="R578" s="265">
        <v>0</v>
      </c>
      <c r="S578" s="265">
        <v>0</v>
      </c>
      <c r="T578" s="265">
        <v>0</v>
      </c>
      <c r="U578" s="265">
        <v>0</v>
      </c>
      <c r="V578" s="265">
        <v>0</v>
      </c>
      <c r="W578" s="265">
        <v>0</v>
      </c>
      <c r="X578" s="265">
        <v>0</v>
      </c>
      <c r="Y578" s="50">
        <f t="shared" si="8"/>
        <v>-7000</v>
      </c>
    </row>
    <row r="579" spans="1:25" s="39" customFormat="1" x14ac:dyDescent="0.35">
      <c r="A579" s="37" t="s">
        <v>47</v>
      </c>
      <c r="B579" s="37" t="s">
        <v>2864</v>
      </c>
      <c r="C579" s="91">
        <v>8470540</v>
      </c>
      <c r="D579" s="37" t="s">
        <v>2557</v>
      </c>
      <c r="E579" s="91">
        <v>432120</v>
      </c>
      <c r="F579" s="37" t="s">
        <v>1480</v>
      </c>
      <c r="G579" s="90">
        <v>847010</v>
      </c>
      <c r="H579" s="37" t="s">
        <v>2413</v>
      </c>
      <c r="I579" s="90">
        <v>200179</v>
      </c>
      <c r="J579" s="37" t="s">
        <v>61</v>
      </c>
      <c r="K579" s="265">
        <v>0</v>
      </c>
      <c r="L579" s="265">
        <v>0</v>
      </c>
      <c r="M579" s="265">
        <v>8245171</v>
      </c>
      <c r="N579" s="265">
        <v>-367211</v>
      </c>
      <c r="O579" s="265">
        <v>-367211</v>
      </c>
      <c r="P579" s="265">
        <v>-367211.82</v>
      </c>
      <c r="Q579" s="265">
        <v>0</v>
      </c>
      <c r="R579" s="265">
        <v>-7.0000000006984905E-2</v>
      </c>
      <c r="S579" s="265">
        <v>0</v>
      </c>
      <c r="T579" s="265">
        <v>0</v>
      </c>
      <c r="U579" s="265">
        <v>0</v>
      </c>
      <c r="V579" s="265">
        <v>0</v>
      </c>
      <c r="W579" s="265">
        <v>0</v>
      </c>
      <c r="X579" s="265">
        <v>0</v>
      </c>
      <c r="Y579" s="50">
        <f t="shared" ref="Y579:Y609" si="9">S579-N579</f>
        <v>367211</v>
      </c>
    </row>
    <row r="580" spans="1:25" s="39" customFormat="1" x14ac:dyDescent="0.35">
      <c r="A580" s="37" t="s">
        <v>47</v>
      </c>
      <c r="B580" s="37" t="s">
        <v>2865</v>
      </c>
      <c r="C580" s="91">
        <v>8470540</v>
      </c>
      <c r="D580" s="37" t="s">
        <v>2557</v>
      </c>
      <c r="E580" s="91">
        <v>432120</v>
      </c>
      <c r="F580" s="37" t="s">
        <v>1480</v>
      </c>
      <c r="G580" s="90">
        <v>847020</v>
      </c>
      <c r="H580" s="37" t="s">
        <v>2093</v>
      </c>
      <c r="I580" s="90">
        <v>200179</v>
      </c>
      <c r="J580" s="37" t="s">
        <v>61</v>
      </c>
      <c r="K580" s="265">
        <v>0</v>
      </c>
      <c r="L580" s="265">
        <v>0</v>
      </c>
      <c r="M580" s="265">
        <v>3409177</v>
      </c>
      <c r="N580" s="265">
        <v>-241882</v>
      </c>
      <c r="O580" s="265">
        <v>-241882</v>
      </c>
      <c r="P580" s="265">
        <v>-242103.6</v>
      </c>
      <c r="Q580" s="265">
        <v>0</v>
      </c>
      <c r="R580" s="265">
        <v>0</v>
      </c>
      <c r="S580" s="265">
        <v>0</v>
      </c>
      <c r="T580" s="265">
        <v>0</v>
      </c>
      <c r="U580" s="265">
        <v>0</v>
      </c>
      <c r="V580" s="265">
        <v>0</v>
      </c>
      <c r="W580" s="265">
        <v>0</v>
      </c>
      <c r="X580" s="265">
        <v>0</v>
      </c>
      <c r="Y580" s="50">
        <f t="shared" si="9"/>
        <v>241882</v>
      </c>
    </row>
    <row r="581" spans="1:25" s="39" customFormat="1" x14ac:dyDescent="0.35">
      <c r="A581" s="37" t="s">
        <v>47</v>
      </c>
      <c r="B581" s="37" t="s">
        <v>2866</v>
      </c>
      <c r="C581" s="91">
        <v>8470620</v>
      </c>
      <c r="D581" s="37" t="s">
        <v>1150</v>
      </c>
      <c r="E581" s="91">
        <v>421100</v>
      </c>
      <c r="F581" s="37" t="s">
        <v>3042</v>
      </c>
      <c r="G581" s="90">
        <v>847001</v>
      </c>
      <c r="H581" s="37" t="s">
        <v>50</v>
      </c>
      <c r="I581" s="90">
        <v>200179</v>
      </c>
      <c r="J581" s="37" t="s">
        <v>61</v>
      </c>
      <c r="K581" s="265">
        <v>0</v>
      </c>
      <c r="L581" s="265">
        <v>502724</v>
      </c>
      <c r="M581" s="265">
        <v>451033</v>
      </c>
      <c r="N581" s="265">
        <v>31160</v>
      </c>
      <c r="O581" s="265">
        <v>31160</v>
      </c>
      <c r="P581" s="265">
        <v>31000</v>
      </c>
      <c r="Q581" s="265">
        <v>0</v>
      </c>
      <c r="R581" s="265">
        <v>0</v>
      </c>
      <c r="S581" s="265">
        <v>0</v>
      </c>
      <c r="T581" s="265">
        <v>0</v>
      </c>
      <c r="U581" s="265">
        <v>0</v>
      </c>
      <c r="V581" s="265">
        <v>0</v>
      </c>
      <c r="W581" s="265">
        <v>0</v>
      </c>
      <c r="X581" s="265">
        <v>0</v>
      </c>
      <c r="Y581" s="50">
        <f t="shared" si="9"/>
        <v>-31160</v>
      </c>
    </row>
    <row r="582" spans="1:25" s="39" customFormat="1" x14ac:dyDescent="0.35">
      <c r="A582" s="37" t="s">
        <v>47</v>
      </c>
      <c r="B582" s="37" t="s">
        <v>2867</v>
      </c>
      <c r="C582" s="91">
        <v>8470720</v>
      </c>
      <c r="D582" s="37" t="s">
        <v>3032</v>
      </c>
      <c r="E582" s="91">
        <v>421700</v>
      </c>
      <c r="F582" s="37" t="s">
        <v>2438</v>
      </c>
      <c r="G582" s="90">
        <v>847001</v>
      </c>
      <c r="H582" s="37" t="s">
        <v>50</v>
      </c>
      <c r="I582" s="90">
        <v>200179</v>
      </c>
      <c r="J582" s="37" t="s">
        <v>61</v>
      </c>
      <c r="K582" s="265">
        <v>0</v>
      </c>
      <c r="L582" s="265">
        <v>0</v>
      </c>
      <c r="M582" s="265">
        <v>2000</v>
      </c>
      <c r="N582" s="265">
        <v>2000</v>
      </c>
      <c r="O582" s="265">
        <v>2000</v>
      </c>
      <c r="P582" s="265">
        <v>0</v>
      </c>
      <c r="Q582" s="265">
        <v>0</v>
      </c>
      <c r="R582" s="265">
        <v>0</v>
      </c>
      <c r="S582" s="38">
        <v>0</v>
      </c>
      <c r="T582" s="265">
        <v>0</v>
      </c>
      <c r="U582" s="265">
        <v>0</v>
      </c>
      <c r="V582" s="265">
        <v>0</v>
      </c>
      <c r="W582" s="265">
        <v>0</v>
      </c>
      <c r="X582" s="265">
        <v>0</v>
      </c>
      <c r="Y582" s="50">
        <f t="shared" si="9"/>
        <v>-2000</v>
      </c>
    </row>
    <row r="583" spans="1:25" s="39" customFormat="1" x14ac:dyDescent="0.35">
      <c r="A583" s="37" t="s">
        <v>47</v>
      </c>
      <c r="B583" s="37" t="s">
        <v>2868</v>
      </c>
      <c r="C583" s="91">
        <v>8470720</v>
      </c>
      <c r="D583" s="37" t="s">
        <v>3032</v>
      </c>
      <c r="E583" s="91">
        <v>426900</v>
      </c>
      <c r="F583" s="37" t="s">
        <v>1080</v>
      </c>
      <c r="G583" s="90">
        <v>847001</v>
      </c>
      <c r="H583" s="37" t="s">
        <v>50</v>
      </c>
      <c r="I583" s="90">
        <v>200179</v>
      </c>
      <c r="J583" s="37" t="s">
        <v>61</v>
      </c>
      <c r="K583" s="265">
        <v>123949</v>
      </c>
      <c r="L583" s="265">
        <v>-5803</v>
      </c>
      <c r="M583" s="265">
        <v>-10121</v>
      </c>
      <c r="N583" s="265">
        <v>10000</v>
      </c>
      <c r="O583" s="265">
        <v>10000</v>
      </c>
      <c r="P583" s="265">
        <v>8268.2900000000009</v>
      </c>
      <c r="Q583" s="265">
        <v>0</v>
      </c>
      <c r="R583" s="265">
        <v>0</v>
      </c>
      <c r="S583" s="265">
        <v>0</v>
      </c>
      <c r="T583" s="265">
        <v>0</v>
      </c>
      <c r="U583" s="265">
        <v>0</v>
      </c>
      <c r="V583" s="265">
        <v>0</v>
      </c>
      <c r="W583" s="265">
        <v>0</v>
      </c>
      <c r="X583" s="265">
        <v>0</v>
      </c>
      <c r="Y583" s="50">
        <f t="shared" si="9"/>
        <v>-10000</v>
      </c>
    </row>
    <row r="584" spans="1:25" s="39" customFormat="1" x14ac:dyDescent="0.35">
      <c r="A584" s="37" t="s">
        <v>47</v>
      </c>
      <c r="B584" s="37" t="s">
        <v>2869</v>
      </c>
      <c r="C584" s="91">
        <v>8470720</v>
      </c>
      <c r="D584" s="37" t="s">
        <v>3032</v>
      </c>
      <c r="E584" s="91">
        <v>428200</v>
      </c>
      <c r="F584" s="37" t="s">
        <v>2383</v>
      </c>
      <c r="G584" s="90">
        <v>847001</v>
      </c>
      <c r="H584" s="37" t="s">
        <v>50</v>
      </c>
      <c r="I584" s="90">
        <v>200179</v>
      </c>
      <c r="J584" s="37" t="s">
        <v>61</v>
      </c>
      <c r="K584" s="265">
        <v>0</v>
      </c>
      <c r="L584" s="265">
        <v>166689</v>
      </c>
      <c r="M584" s="265">
        <v>192932</v>
      </c>
      <c r="N584" s="265">
        <v>250000</v>
      </c>
      <c r="O584" s="265">
        <v>250000</v>
      </c>
      <c r="P584" s="265">
        <v>132395.32</v>
      </c>
      <c r="Q584" s="265">
        <v>0</v>
      </c>
      <c r="R584" s="265">
        <v>0</v>
      </c>
      <c r="S584" s="265">
        <v>0</v>
      </c>
      <c r="T584" s="265">
        <v>0</v>
      </c>
      <c r="U584" s="265">
        <v>0</v>
      </c>
      <c r="V584" s="265">
        <v>0</v>
      </c>
      <c r="W584" s="265">
        <v>0</v>
      </c>
      <c r="X584" s="265">
        <v>0</v>
      </c>
      <c r="Y584" s="50">
        <f t="shared" si="9"/>
        <v>-250000</v>
      </c>
    </row>
    <row r="585" spans="1:25" s="39" customFormat="1" x14ac:dyDescent="0.35">
      <c r="A585" s="37" t="s">
        <v>47</v>
      </c>
      <c r="B585" s="37" t="s">
        <v>2870</v>
      </c>
      <c r="C585" s="91">
        <v>8470720</v>
      </c>
      <c r="D585" s="37" t="s">
        <v>3032</v>
      </c>
      <c r="E585" s="91">
        <v>432120</v>
      </c>
      <c r="F585" s="37" t="s">
        <v>1480</v>
      </c>
      <c r="G585" s="90">
        <v>847001</v>
      </c>
      <c r="H585" s="37" t="s">
        <v>50</v>
      </c>
      <c r="I585" s="90">
        <v>200179</v>
      </c>
      <c r="J585" s="37" t="s">
        <v>61</v>
      </c>
      <c r="K585" s="265">
        <v>0</v>
      </c>
      <c r="L585" s="265">
        <v>0</v>
      </c>
      <c r="M585" s="265">
        <v>-6590</v>
      </c>
      <c r="N585" s="265">
        <v>236400</v>
      </c>
      <c r="O585" s="265">
        <v>236400</v>
      </c>
      <c r="P585" s="265">
        <v>0</v>
      </c>
      <c r="Q585" s="265">
        <v>0</v>
      </c>
      <c r="R585" s="265">
        <v>0</v>
      </c>
      <c r="S585" s="265">
        <v>0</v>
      </c>
      <c r="T585" s="265">
        <v>0</v>
      </c>
      <c r="U585" s="265">
        <v>0</v>
      </c>
      <c r="V585" s="265">
        <v>0</v>
      </c>
      <c r="W585" s="265">
        <v>0</v>
      </c>
      <c r="X585" s="265">
        <v>0</v>
      </c>
      <c r="Y585" s="50">
        <f t="shared" si="9"/>
        <v>-236400</v>
      </c>
    </row>
    <row r="586" spans="1:25" s="39" customFormat="1" x14ac:dyDescent="0.35">
      <c r="A586" s="37" t="s">
        <v>47</v>
      </c>
      <c r="B586" s="37" t="s">
        <v>2871</v>
      </c>
      <c r="C586" s="91">
        <v>8470720</v>
      </c>
      <c r="D586" s="37" t="s">
        <v>3032</v>
      </c>
      <c r="E586" s="91">
        <v>435410</v>
      </c>
      <c r="F586" s="37" t="s">
        <v>2590</v>
      </c>
      <c r="G586" s="90">
        <v>847001</v>
      </c>
      <c r="H586" s="37" t="s">
        <v>50</v>
      </c>
      <c r="I586" s="90">
        <v>200179</v>
      </c>
      <c r="J586" s="37" t="s">
        <v>61</v>
      </c>
      <c r="K586" s="265">
        <v>1235808</v>
      </c>
      <c r="L586" s="265">
        <v>538850</v>
      </c>
      <c r="M586" s="265">
        <v>631727</v>
      </c>
      <c r="N586" s="265">
        <v>164310</v>
      </c>
      <c r="O586" s="265">
        <v>164310</v>
      </c>
      <c r="P586" s="265">
        <v>163340.39000000001</v>
      </c>
      <c r="Q586" s="265">
        <v>0</v>
      </c>
      <c r="R586" s="265">
        <v>450</v>
      </c>
      <c r="S586" s="265">
        <v>0</v>
      </c>
      <c r="T586" s="265">
        <v>0</v>
      </c>
      <c r="U586" s="265">
        <v>0</v>
      </c>
      <c r="V586" s="265">
        <v>0</v>
      </c>
      <c r="W586" s="265">
        <v>0</v>
      </c>
      <c r="X586" s="265">
        <v>0</v>
      </c>
      <c r="Y586" s="50">
        <f t="shared" si="9"/>
        <v>-164310</v>
      </c>
    </row>
    <row r="587" spans="1:25" s="39" customFormat="1" x14ac:dyDescent="0.35">
      <c r="A587" s="37" t="s">
        <v>47</v>
      </c>
      <c r="B587" s="37" t="s">
        <v>2872</v>
      </c>
      <c r="C587" s="91">
        <v>8470720</v>
      </c>
      <c r="D587" s="37" t="s">
        <v>3032</v>
      </c>
      <c r="E587" s="91">
        <v>436110</v>
      </c>
      <c r="F587" s="37" t="s">
        <v>190</v>
      </c>
      <c r="G587" s="90">
        <v>847001</v>
      </c>
      <c r="H587" s="37" t="s">
        <v>50</v>
      </c>
      <c r="I587" s="90">
        <v>200179</v>
      </c>
      <c r="J587" s="37" t="s">
        <v>61</v>
      </c>
      <c r="K587" s="265">
        <v>117150</v>
      </c>
      <c r="L587" s="265">
        <v>65</v>
      </c>
      <c r="M587" s="265">
        <v>0</v>
      </c>
      <c r="N587" s="265">
        <v>50000</v>
      </c>
      <c r="O587" s="265">
        <v>50000</v>
      </c>
      <c r="P587" s="265">
        <v>0</v>
      </c>
      <c r="Q587" s="265">
        <v>0</v>
      </c>
      <c r="R587" s="265">
        <v>0</v>
      </c>
      <c r="S587" s="265">
        <v>0</v>
      </c>
      <c r="T587" s="265">
        <v>0</v>
      </c>
      <c r="U587" s="265">
        <v>0</v>
      </c>
      <c r="V587" s="265">
        <v>0</v>
      </c>
      <c r="W587" s="265">
        <v>0</v>
      </c>
      <c r="X587" s="265">
        <v>0</v>
      </c>
      <c r="Y587" s="50">
        <f t="shared" si="9"/>
        <v>-50000</v>
      </c>
    </row>
    <row r="588" spans="1:25" s="39" customFormat="1" x14ac:dyDescent="0.35">
      <c r="A588" s="37" t="s">
        <v>47</v>
      </c>
      <c r="B588" s="37" t="s">
        <v>2873</v>
      </c>
      <c r="C588" s="91">
        <v>8470720</v>
      </c>
      <c r="D588" s="37" t="s">
        <v>3032</v>
      </c>
      <c r="E588" s="91">
        <v>436120</v>
      </c>
      <c r="F588" s="37" t="s">
        <v>291</v>
      </c>
      <c r="G588" s="90">
        <v>847001</v>
      </c>
      <c r="H588" s="37" t="s">
        <v>50</v>
      </c>
      <c r="I588" s="90">
        <v>200179</v>
      </c>
      <c r="J588" s="37" t="s">
        <v>61</v>
      </c>
      <c r="K588" s="265">
        <v>310492</v>
      </c>
      <c r="L588" s="265">
        <v>115060</v>
      </c>
      <c r="M588" s="265">
        <v>32301</v>
      </c>
      <c r="N588" s="265">
        <v>120000</v>
      </c>
      <c r="O588" s="265">
        <v>120000</v>
      </c>
      <c r="P588" s="265">
        <v>112763.08</v>
      </c>
      <c r="Q588" s="265">
        <v>54.01</v>
      </c>
      <c r="R588" s="265">
        <v>-7.2759576141834308E-12</v>
      </c>
      <c r="S588" s="265">
        <v>0</v>
      </c>
      <c r="T588" s="265">
        <v>0</v>
      </c>
      <c r="U588" s="265">
        <v>0</v>
      </c>
      <c r="V588" s="265">
        <v>0</v>
      </c>
      <c r="W588" s="265">
        <v>0</v>
      </c>
      <c r="X588" s="265">
        <v>0</v>
      </c>
      <c r="Y588" s="50">
        <f t="shared" si="9"/>
        <v>-120000</v>
      </c>
    </row>
    <row r="589" spans="1:25" s="39" customFormat="1" x14ac:dyDescent="0.35">
      <c r="A589" s="37" t="s">
        <v>47</v>
      </c>
      <c r="B589" s="37" t="s">
        <v>2874</v>
      </c>
      <c r="C589" s="91">
        <v>8470720</v>
      </c>
      <c r="D589" s="37" t="s">
        <v>3032</v>
      </c>
      <c r="E589" s="91">
        <v>495110</v>
      </c>
      <c r="F589" s="37" t="s">
        <v>213</v>
      </c>
      <c r="G589" s="90">
        <v>847001</v>
      </c>
      <c r="H589" s="37" t="s">
        <v>50</v>
      </c>
      <c r="I589" s="90">
        <v>300180</v>
      </c>
      <c r="J589" s="37" t="s">
        <v>192</v>
      </c>
      <c r="K589" s="265">
        <v>0</v>
      </c>
      <c r="L589" s="265">
        <v>0</v>
      </c>
      <c r="M589" s="265">
        <v>0</v>
      </c>
      <c r="N589" s="265">
        <v>0</v>
      </c>
      <c r="O589" s="265">
        <v>0</v>
      </c>
      <c r="P589" s="265">
        <v>0</v>
      </c>
      <c r="Q589" s="265">
        <v>0</v>
      </c>
      <c r="R589" s="265">
        <v>0</v>
      </c>
      <c r="S589" s="265">
        <v>0</v>
      </c>
      <c r="T589" s="265">
        <v>0</v>
      </c>
      <c r="U589" s="265">
        <v>0</v>
      </c>
      <c r="V589" s="265">
        <v>0</v>
      </c>
      <c r="W589" s="265">
        <v>0</v>
      </c>
      <c r="X589" s="265">
        <v>0</v>
      </c>
      <c r="Y589" s="50">
        <f t="shared" si="9"/>
        <v>0</v>
      </c>
    </row>
    <row r="590" spans="1:25" s="39" customFormat="1" x14ac:dyDescent="0.35">
      <c r="A590" s="37" t="s">
        <v>47</v>
      </c>
      <c r="B590" s="37" t="s">
        <v>2875</v>
      </c>
      <c r="C590" s="91">
        <v>8470720</v>
      </c>
      <c r="D590" s="37" t="s">
        <v>3032</v>
      </c>
      <c r="E590" s="91">
        <v>495113</v>
      </c>
      <c r="F590" s="37" t="s">
        <v>214</v>
      </c>
      <c r="G590" s="90">
        <v>847001</v>
      </c>
      <c r="H590" s="37" t="s">
        <v>50</v>
      </c>
      <c r="I590" s="90">
        <v>300180</v>
      </c>
      <c r="J590" s="37" t="s">
        <v>192</v>
      </c>
      <c r="K590" s="265">
        <v>0</v>
      </c>
      <c r="L590" s="265">
        <v>0</v>
      </c>
      <c r="M590" s="265">
        <v>0</v>
      </c>
      <c r="N590" s="265">
        <v>69286</v>
      </c>
      <c r="O590" s="265">
        <v>69286</v>
      </c>
      <c r="P590" s="265">
        <v>69286</v>
      </c>
      <c r="Q590" s="265">
        <v>0</v>
      </c>
      <c r="R590" s="265">
        <v>0</v>
      </c>
      <c r="S590" s="265">
        <v>0</v>
      </c>
      <c r="T590" s="265">
        <v>0</v>
      </c>
      <c r="U590" s="265">
        <v>0</v>
      </c>
      <c r="V590" s="265">
        <v>0</v>
      </c>
      <c r="W590" s="265">
        <v>0</v>
      </c>
      <c r="X590" s="265">
        <v>0</v>
      </c>
      <c r="Y590" s="50">
        <f t="shared" si="9"/>
        <v>-69286</v>
      </c>
    </row>
    <row r="591" spans="1:25" s="39" customFormat="1" x14ac:dyDescent="0.35">
      <c r="A591" s="37" t="s">
        <v>47</v>
      </c>
      <c r="B591" s="37" t="s">
        <v>2876</v>
      </c>
      <c r="C591" s="91">
        <v>8470730</v>
      </c>
      <c r="D591" s="37" t="s">
        <v>1190</v>
      </c>
      <c r="E591" s="91">
        <v>421000</v>
      </c>
      <c r="F591" s="37" t="s">
        <v>1011</v>
      </c>
      <c r="G591" s="90">
        <v>847001</v>
      </c>
      <c r="H591" s="37" t="s">
        <v>50</v>
      </c>
      <c r="I591" s="90">
        <v>200179</v>
      </c>
      <c r="J591" s="37" t="s">
        <v>61</v>
      </c>
      <c r="K591" s="265">
        <v>0</v>
      </c>
      <c r="L591" s="265">
        <v>-5100</v>
      </c>
      <c r="M591" s="265">
        <v>7345</v>
      </c>
      <c r="N591" s="265">
        <v>600000</v>
      </c>
      <c r="O591" s="265">
        <v>600000</v>
      </c>
      <c r="P591" s="265">
        <v>2000</v>
      </c>
      <c r="Q591" s="265">
        <v>590000</v>
      </c>
      <c r="R591" s="265">
        <v>0</v>
      </c>
      <c r="S591" s="265">
        <v>0</v>
      </c>
      <c r="T591" s="265">
        <v>0</v>
      </c>
      <c r="U591" s="265">
        <v>0</v>
      </c>
      <c r="V591" s="265">
        <v>0</v>
      </c>
      <c r="W591" s="265">
        <v>0</v>
      </c>
      <c r="X591" s="265">
        <v>0</v>
      </c>
      <c r="Y591" s="50">
        <f t="shared" si="9"/>
        <v>-600000</v>
      </c>
    </row>
    <row r="592" spans="1:25" s="39" customFormat="1" x14ac:dyDescent="0.35">
      <c r="A592" s="37" t="s">
        <v>47</v>
      </c>
      <c r="B592" s="37" t="s">
        <v>2877</v>
      </c>
      <c r="C592" s="91">
        <v>8470730</v>
      </c>
      <c r="D592" s="37" t="s">
        <v>1190</v>
      </c>
      <c r="E592" s="91">
        <v>425510</v>
      </c>
      <c r="F592" s="37" t="s">
        <v>247</v>
      </c>
      <c r="G592" s="90">
        <v>847001</v>
      </c>
      <c r="H592" s="37" t="s">
        <v>50</v>
      </c>
      <c r="I592" s="90">
        <v>200179</v>
      </c>
      <c r="J592" s="37" t="s">
        <v>61</v>
      </c>
      <c r="K592" s="265">
        <v>209623</v>
      </c>
      <c r="L592" s="265">
        <v>34864</v>
      </c>
      <c r="M592" s="265">
        <v>8765</v>
      </c>
      <c r="N592" s="38">
        <v>42000</v>
      </c>
      <c r="O592" s="265">
        <v>42000</v>
      </c>
      <c r="P592" s="265">
        <v>12490</v>
      </c>
      <c r="Q592" s="265">
        <v>0</v>
      </c>
      <c r="R592" s="265">
        <v>0</v>
      </c>
      <c r="S592" s="38">
        <v>0</v>
      </c>
      <c r="T592" s="265">
        <v>0</v>
      </c>
      <c r="U592" s="265">
        <v>0</v>
      </c>
      <c r="V592" s="265">
        <v>0</v>
      </c>
      <c r="W592" s="265">
        <v>0</v>
      </c>
      <c r="X592" s="265">
        <v>0</v>
      </c>
      <c r="Y592" s="38">
        <f t="shared" si="9"/>
        <v>-42000</v>
      </c>
    </row>
    <row r="593" spans="1:25" s="39" customFormat="1" x14ac:dyDescent="0.35">
      <c r="A593" s="37" t="s">
        <v>47</v>
      </c>
      <c r="B593" s="37" t="s">
        <v>2878</v>
      </c>
      <c r="C593" s="91">
        <v>8470730</v>
      </c>
      <c r="D593" s="37" t="s">
        <v>1190</v>
      </c>
      <c r="E593" s="91">
        <v>428090</v>
      </c>
      <c r="F593" s="37" t="s">
        <v>154</v>
      </c>
      <c r="G593" s="90">
        <v>847001</v>
      </c>
      <c r="H593" s="37" t="s">
        <v>50</v>
      </c>
      <c r="I593" s="90">
        <v>200179</v>
      </c>
      <c r="J593" s="37" t="s">
        <v>61</v>
      </c>
      <c r="K593" s="265">
        <v>13533</v>
      </c>
      <c r="L593" s="265">
        <v>0</v>
      </c>
      <c r="M593" s="265">
        <v>0</v>
      </c>
      <c r="N593" s="265">
        <v>8000</v>
      </c>
      <c r="O593" s="265">
        <v>8000</v>
      </c>
      <c r="P593" s="265">
        <v>8000</v>
      </c>
      <c r="Q593" s="265">
        <v>0</v>
      </c>
      <c r="R593" s="265">
        <v>0</v>
      </c>
      <c r="S593" s="265">
        <v>0</v>
      </c>
      <c r="T593" s="265">
        <v>0</v>
      </c>
      <c r="U593" s="265">
        <v>0</v>
      </c>
      <c r="V593" s="265">
        <v>0</v>
      </c>
      <c r="W593" s="265">
        <v>0</v>
      </c>
      <c r="X593" s="265">
        <v>0</v>
      </c>
      <c r="Y593" s="50">
        <f t="shared" si="9"/>
        <v>-8000</v>
      </c>
    </row>
    <row r="594" spans="1:25" s="39" customFormat="1" x14ac:dyDescent="0.35">
      <c r="A594" s="37" t="s">
        <v>47</v>
      </c>
      <c r="B594" s="37" t="s">
        <v>2879</v>
      </c>
      <c r="C594" s="91">
        <v>8470730</v>
      </c>
      <c r="D594" s="37" t="s">
        <v>1190</v>
      </c>
      <c r="E594" s="91">
        <v>492610</v>
      </c>
      <c r="F594" s="37" t="s">
        <v>2537</v>
      </c>
      <c r="G594" s="90">
        <v>847001</v>
      </c>
      <c r="H594" s="37" t="s">
        <v>50</v>
      </c>
      <c r="I594" s="90">
        <v>300180</v>
      </c>
      <c r="J594" s="37" t="s">
        <v>192</v>
      </c>
      <c r="K594" s="265">
        <v>0</v>
      </c>
      <c r="L594" s="265">
        <v>0</v>
      </c>
      <c r="M594" s="265">
        <v>0</v>
      </c>
      <c r="N594" s="265">
        <v>0</v>
      </c>
      <c r="O594" s="265">
        <v>0</v>
      </c>
      <c r="P594" s="265">
        <v>0</v>
      </c>
      <c r="Q594" s="265">
        <v>0</v>
      </c>
      <c r="R594" s="265">
        <v>0</v>
      </c>
      <c r="S594" s="265">
        <v>0</v>
      </c>
      <c r="T594" s="265">
        <v>0</v>
      </c>
      <c r="U594" s="265">
        <v>0</v>
      </c>
      <c r="V594" s="265">
        <v>0</v>
      </c>
      <c r="W594" s="265">
        <v>0</v>
      </c>
      <c r="X594" s="265">
        <v>0</v>
      </c>
      <c r="Y594" s="50">
        <f t="shared" si="9"/>
        <v>0</v>
      </c>
    </row>
    <row r="595" spans="1:25" s="39" customFormat="1" x14ac:dyDescent="0.35">
      <c r="A595" s="37" t="s">
        <v>1209</v>
      </c>
      <c r="B595" s="37" t="s">
        <v>2880</v>
      </c>
      <c r="C595" s="91">
        <v>8471110</v>
      </c>
      <c r="D595" s="37" t="s">
        <v>1210</v>
      </c>
      <c r="E595" s="91">
        <v>492316</v>
      </c>
      <c r="F595" s="37" t="s">
        <v>221</v>
      </c>
      <c r="G595" s="90">
        <v>847001</v>
      </c>
      <c r="H595" s="37" t="s">
        <v>50</v>
      </c>
      <c r="I595" s="90">
        <v>300180</v>
      </c>
      <c r="J595" s="37" t="s">
        <v>192</v>
      </c>
      <c r="K595" s="265">
        <v>11106087</v>
      </c>
      <c r="L595" s="265">
        <v>0</v>
      </c>
      <c r="M595" s="265">
        <v>6996916</v>
      </c>
      <c r="N595" s="265">
        <v>2998678</v>
      </c>
      <c r="O595" s="265">
        <v>2998678</v>
      </c>
      <c r="P595" s="265">
        <v>2998678.09</v>
      </c>
      <c r="Q595" s="265">
        <v>0</v>
      </c>
      <c r="R595" s="265">
        <v>-3749.9999999997699</v>
      </c>
      <c r="S595" s="265">
        <v>0</v>
      </c>
      <c r="T595" s="265">
        <v>0</v>
      </c>
      <c r="U595" s="265">
        <v>0</v>
      </c>
      <c r="V595" s="265">
        <v>0</v>
      </c>
      <c r="W595" s="265">
        <v>0</v>
      </c>
      <c r="X595" s="265">
        <v>0</v>
      </c>
      <c r="Y595" s="50">
        <f t="shared" si="9"/>
        <v>-2998678</v>
      </c>
    </row>
    <row r="596" spans="1:25" s="39" customFormat="1" x14ac:dyDescent="0.35">
      <c r="A596" s="37" t="s">
        <v>1209</v>
      </c>
      <c r="B596" s="37" t="s">
        <v>2881</v>
      </c>
      <c r="C596" s="91">
        <v>8471120</v>
      </c>
      <c r="D596" s="37" t="s">
        <v>3033</v>
      </c>
      <c r="E596" s="91">
        <v>425900</v>
      </c>
      <c r="F596" s="37" t="s">
        <v>266</v>
      </c>
      <c r="G596" s="90">
        <v>847001</v>
      </c>
      <c r="H596" s="37" t="s">
        <v>50</v>
      </c>
      <c r="I596" s="90">
        <v>200179</v>
      </c>
      <c r="J596" s="37" t="s">
        <v>61</v>
      </c>
      <c r="K596" s="265">
        <v>2311</v>
      </c>
      <c r="L596" s="265">
        <v>0</v>
      </c>
      <c r="M596" s="265">
        <v>0</v>
      </c>
      <c r="N596" s="265">
        <v>110000</v>
      </c>
      <c r="O596" s="265">
        <v>110000</v>
      </c>
      <c r="P596" s="265">
        <v>0</v>
      </c>
      <c r="Q596" s="265">
        <v>0</v>
      </c>
      <c r="R596" s="265">
        <v>0</v>
      </c>
      <c r="S596" s="265">
        <v>0</v>
      </c>
      <c r="T596" s="265">
        <v>0</v>
      </c>
      <c r="U596" s="265">
        <v>0</v>
      </c>
      <c r="V596" s="265">
        <v>0</v>
      </c>
      <c r="W596" s="265">
        <v>0</v>
      </c>
      <c r="X596" s="265">
        <v>0</v>
      </c>
      <c r="Y596" s="50">
        <f t="shared" si="9"/>
        <v>-110000</v>
      </c>
    </row>
    <row r="597" spans="1:25" s="39" customFormat="1" x14ac:dyDescent="0.35">
      <c r="A597" s="37" t="s">
        <v>1209</v>
      </c>
      <c r="B597" s="37" t="s">
        <v>2882</v>
      </c>
      <c r="C597" s="91">
        <v>8471120</v>
      </c>
      <c r="D597" s="37" t="s">
        <v>3033</v>
      </c>
      <c r="E597" s="91">
        <v>428090</v>
      </c>
      <c r="F597" s="37" t="s">
        <v>154</v>
      </c>
      <c r="G597" s="90">
        <v>847001</v>
      </c>
      <c r="H597" s="37" t="s">
        <v>50</v>
      </c>
      <c r="I597" s="90">
        <v>200179</v>
      </c>
      <c r="J597" s="37" t="s">
        <v>61</v>
      </c>
      <c r="K597" s="265">
        <v>0</v>
      </c>
      <c r="L597" s="265">
        <v>3300</v>
      </c>
      <c r="M597" s="265">
        <v>0</v>
      </c>
      <c r="N597" s="265">
        <v>220000</v>
      </c>
      <c r="O597" s="265">
        <v>220000</v>
      </c>
      <c r="P597" s="265">
        <v>0</v>
      </c>
      <c r="Q597" s="265">
        <v>0</v>
      </c>
      <c r="R597" s="265">
        <v>0</v>
      </c>
      <c r="S597" s="265">
        <v>0</v>
      </c>
      <c r="T597" s="265">
        <v>0</v>
      </c>
      <c r="U597" s="265">
        <v>0</v>
      </c>
      <c r="V597" s="265">
        <v>0</v>
      </c>
      <c r="W597" s="265">
        <v>0</v>
      </c>
      <c r="X597" s="265">
        <v>0</v>
      </c>
      <c r="Y597" s="50">
        <f t="shared" si="9"/>
        <v>-220000</v>
      </c>
    </row>
    <row r="598" spans="1:25" s="39" customFormat="1" x14ac:dyDescent="0.35">
      <c r="A598" s="37" t="s">
        <v>1209</v>
      </c>
      <c r="B598" s="37" t="s">
        <v>2883</v>
      </c>
      <c r="C598" s="91">
        <v>8471120</v>
      </c>
      <c r="D598" s="37" t="s">
        <v>3033</v>
      </c>
      <c r="E598" s="91">
        <v>429900</v>
      </c>
      <c r="F598" s="37" t="s">
        <v>2359</v>
      </c>
      <c r="G598" s="90">
        <v>847001</v>
      </c>
      <c r="H598" s="37" t="s">
        <v>50</v>
      </c>
      <c r="I598" s="90">
        <v>200179</v>
      </c>
      <c r="J598" s="37" t="s">
        <v>61</v>
      </c>
      <c r="K598" s="265">
        <v>0</v>
      </c>
      <c r="L598" s="265">
        <v>0</v>
      </c>
      <c r="M598" s="265">
        <v>0</v>
      </c>
      <c r="N598" s="265">
        <v>55510</v>
      </c>
      <c r="O598" s="265">
        <v>55510</v>
      </c>
      <c r="P598" s="265">
        <v>0</v>
      </c>
      <c r="Q598" s="265">
        <v>0</v>
      </c>
      <c r="R598" s="265">
        <v>0</v>
      </c>
      <c r="S598" s="265">
        <v>0</v>
      </c>
      <c r="T598" s="265">
        <v>0</v>
      </c>
      <c r="U598" s="265">
        <v>0</v>
      </c>
      <c r="V598" s="265">
        <v>0</v>
      </c>
      <c r="W598" s="265">
        <v>0</v>
      </c>
      <c r="X598" s="265">
        <v>0</v>
      </c>
      <c r="Y598" s="50">
        <f t="shared" si="9"/>
        <v>-55510</v>
      </c>
    </row>
    <row r="599" spans="1:25" s="39" customFormat="1" x14ac:dyDescent="0.35">
      <c r="A599" s="37" t="s">
        <v>1209</v>
      </c>
      <c r="B599" s="37" t="s">
        <v>2884</v>
      </c>
      <c r="C599" s="91">
        <v>8471120</v>
      </c>
      <c r="D599" s="37" t="s">
        <v>3033</v>
      </c>
      <c r="E599" s="91">
        <v>435523</v>
      </c>
      <c r="F599" s="37" t="s">
        <v>1243</v>
      </c>
      <c r="G599" s="90">
        <v>847001</v>
      </c>
      <c r="H599" s="37" t="s">
        <v>50</v>
      </c>
      <c r="I599" s="90">
        <v>200179</v>
      </c>
      <c r="J599" s="37" t="s">
        <v>61</v>
      </c>
      <c r="K599" s="265">
        <v>0</v>
      </c>
      <c r="L599" s="265">
        <v>0</v>
      </c>
      <c r="M599" s="265">
        <v>0</v>
      </c>
      <c r="N599" s="265">
        <v>0</v>
      </c>
      <c r="O599" s="265">
        <v>0</v>
      </c>
      <c r="P599" s="265">
        <v>0</v>
      </c>
      <c r="Q599" s="265">
        <v>0</v>
      </c>
      <c r="R599" s="265">
        <v>0</v>
      </c>
      <c r="S599" s="265">
        <v>0</v>
      </c>
      <c r="T599" s="265">
        <v>0</v>
      </c>
      <c r="U599" s="265">
        <v>0</v>
      </c>
      <c r="V599" s="265">
        <v>0</v>
      </c>
      <c r="W599" s="265">
        <v>0</v>
      </c>
      <c r="X599" s="265">
        <v>0</v>
      </c>
      <c r="Y599" s="50">
        <f t="shared" si="9"/>
        <v>0</v>
      </c>
    </row>
    <row r="600" spans="1:25" s="39" customFormat="1" x14ac:dyDescent="0.35">
      <c r="A600" s="37" t="s">
        <v>1209</v>
      </c>
      <c r="B600" s="37" t="s">
        <v>2885</v>
      </c>
      <c r="C600" s="91">
        <v>8471121</v>
      </c>
      <c r="D600" s="37" t="s">
        <v>3034</v>
      </c>
      <c r="E600" s="91">
        <v>425510</v>
      </c>
      <c r="F600" s="37" t="s">
        <v>247</v>
      </c>
      <c r="G600" s="90">
        <v>847001</v>
      </c>
      <c r="H600" s="37" t="s">
        <v>50</v>
      </c>
      <c r="I600" s="90">
        <v>200179</v>
      </c>
      <c r="J600" s="37" t="s">
        <v>61</v>
      </c>
      <c r="K600" s="265">
        <v>0</v>
      </c>
      <c r="L600" s="265">
        <v>0</v>
      </c>
      <c r="M600" s="265">
        <v>0</v>
      </c>
      <c r="N600" s="38">
        <v>50000</v>
      </c>
      <c r="O600" s="265">
        <v>50000</v>
      </c>
      <c r="P600" s="265">
        <v>0</v>
      </c>
      <c r="Q600" s="265">
        <v>0</v>
      </c>
      <c r="R600" s="265">
        <v>0</v>
      </c>
      <c r="S600" s="38">
        <v>0</v>
      </c>
      <c r="T600" s="265">
        <v>0</v>
      </c>
      <c r="U600" s="265">
        <v>0</v>
      </c>
      <c r="V600" s="265">
        <v>0</v>
      </c>
      <c r="W600" s="265">
        <v>0</v>
      </c>
      <c r="X600" s="265">
        <v>0</v>
      </c>
      <c r="Y600" s="38">
        <f t="shared" si="9"/>
        <v>-50000</v>
      </c>
    </row>
    <row r="601" spans="1:25" s="39" customFormat="1" x14ac:dyDescent="0.35">
      <c r="A601" s="37" t="s">
        <v>1209</v>
      </c>
      <c r="B601" s="37" t="s">
        <v>2886</v>
      </c>
      <c r="C601" s="91">
        <v>8471121</v>
      </c>
      <c r="D601" s="37" t="s">
        <v>3034</v>
      </c>
      <c r="E601" s="91">
        <v>425900</v>
      </c>
      <c r="F601" s="37" t="s">
        <v>266</v>
      </c>
      <c r="G601" s="90">
        <v>847001</v>
      </c>
      <c r="H601" s="37" t="s">
        <v>50</v>
      </c>
      <c r="I601" s="90">
        <v>200179</v>
      </c>
      <c r="J601" s="37" t="s">
        <v>61</v>
      </c>
      <c r="K601" s="265">
        <v>0</v>
      </c>
      <c r="L601" s="265">
        <v>0</v>
      </c>
      <c r="M601" s="265">
        <v>0</v>
      </c>
      <c r="N601" s="265">
        <v>15000</v>
      </c>
      <c r="O601" s="265">
        <v>15000</v>
      </c>
      <c r="P601" s="265">
        <v>0</v>
      </c>
      <c r="Q601" s="265">
        <v>0</v>
      </c>
      <c r="R601" s="265">
        <v>0</v>
      </c>
      <c r="S601" s="265">
        <v>0</v>
      </c>
      <c r="T601" s="265">
        <v>0</v>
      </c>
      <c r="U601" s="265">
        <v>0</v>
      </c>
      <c r="V601" s="265">
        <v>0</v>
      </c>
      <c r="W601" s="265">
        <v>0</v>
      </c>
      <c r="X601" s="265">
        <v>0</v>
      </c>
      <c r="Y601" s="50">
        <f t="shared" si="9"/>
        <v>-15000</v>
      </c>
    </row>
    <row r="602" spans="1:25" s="39" customFormat="1" x14ac:dyDescent="0.35">
      <c r="A602" s="37" t="s">
        <v>1209</v>
      </c>
      <c r="B602" s="37" t="s">
        <v>2887</v>
      </c>
      <c r="C602" s="91">
        <v>8471121</v>
      </c>
      <c r="D602" s="37" t="s">
        <v>3034</v>
      </c>
      <c r="E602" s="91">
        <v>428090</v>
      </c>
      <c r="F602" s="37" t="s">
        <v>154</v>
      </c>
      <c r="G602" s="90">
        <v>847001</v>
      </c>
      <c r="H602" s="37" t="s">
        <v>50</v>
      </c>
      <c r="I602" s="90">
        <v>200179</v>
      </c>
      <c r="J602" s="37" t="s">
        <v>61</v>
      </c>
      <c r="K602" s="265">
        <v>0</v>
      </c>
      <c r="L602" s="265">
        <v>0</v>
      </c>
      <c r="M602" s="265">
        <v>0</v>
      </c>
      <c r="N602" s="265">
        <v>50000</v>
      </c>
      <c r="O602" s="265">
        <v>50000</v>
      </c>
      <c r="P602" s="265">
        <v>0</v>
      </c>
      <c r="Q602" s="265">
        <v>0</v>
      </c>
      <c r="R602" s="265">
        <v>0</v>
      </c>
      <c r="S602" s="265">
        <v>0</v>
      </c>
      <c r="T602" s="265">
        <v>0</v>
      </c>
      <c r="U602" s="265">
        <v>0</v>
      </c>
      <c r="V602" s="265">
        <v>0</v>
      </c>
      <c r="W602" s="265">
        <v>0</v>
      </c>
      <c r="X602" s="265">
        <v>0</v>
      </c>
      <c r="Y602" s="50">
        <f t="shared" si="9"/>
        <v>-50000</v>
      </c>
    </row>
    <row r="603" spans="1:25" s="39" customFormat="1" x14ac:dyDescent="0.35">
      <c r="A603" s="37" t="s">
        <v>1209</v>
      </c>
      <c r="B603" s="37" t="s">
        <v>2888</v>
      </c>
      <c r="C603" s="91">
        <v>8471121</v>
      </c>
      <c r="D603" s="37" t="s">
        <v>3034</v>
      </c>
      <c r="E603" s="91">
        <v>432170</v>
      </c>
      <c r="F603" s="37" t="s">
        <v>1536</v>
      </c>
      <c r="G603" s="90">
        <v>847001</v>
      </c>
      <c r="H603" s="37" t="s">
        <v>50</v>
      </c>
      <c r="I603" s="90">
        <v>200179</v>
      </c>
      <c r="J603" s="37" t="s">
        <v>61</v>
      </c>
      <c r="K603" s="265">
        <v>0</v>
      </c>
      <c r="L603" s="265">
        <v>0</v>
      </c>
      <c r="M603" s="265">
        <v>0</v>
      </c>
      <c r="N603" s="265">
        <v>0</v>
      </c>
      <c r="O603" s="265">
        <v>0</v>
      </c>
      <c r="P603" s="265">
        <v>0</v>
      </c>
      <c r="Q603" s="265">
        <v>0</v>
      </c>
      <c r="R603" s="265">
        <v>0</v>
      </c>
      <c r="S603" s="265">
        <v>0</v>
      </c>
      <c r="T603" s="265">
        <v>0</v>
      </c>
      <c r="U603" s="265">
        <v>0</v>
      </c>
      <c r="V603" s="265">
        <v>0</v>
      </c>
      <c r="W603" s="265">
        <v>0</v>
      </c>
      <c r="X603" s="265">
        <v>0</v>
      </c>
      <c r="Y603" s="50">
        <f t="shared" si="9"/>
        <v>0</v>
      </c>
    </row>
    <row r="604" spans="1:25" s="39" customFormat="1" x14ac:dyDescent="0.35">
      <c r="A604" s="37" t="s">
        <v>1209</v>
      </c>
      <c r="B604" s="37" t="s">
        <v>2889</v>
      </c>
      <c r="C604" s="91">
        <v>8471121</v>
      </c>
      <c r="D604" s="37" t="s">
        <v>3034</v>
      </c>
      <c r="E604" s="91">
        <v>435523</v>
      </c>
      <c r="F604" s="37" t="s">
        <v>1243</v>
      </c>
      <c r="G604" s="90">
        <v>847001</v>
      </c>
      <c r="H604" s="37" t="s">
        <v>50</v>
      </c>
      <c r="I604" s="90">
        <v>200179</v>
      </c>
      <c r="J604" s="37" t="s">
        <v>61</v>
      </c>
      <c r="K604" s="265">
        <v>0</v>
      </c>
      <c r="L604" s="265">
        <v>0</v>
      </c>
      <c r="M604" s="265">
        <v>0</v>
      </c>
      <c r="N604" s="265">
        <v>826280</v>
      </c>
      <c r="O604" s="265">
        <v>826280</v>
      </c>
      <c r="P604" s="265">
        <v>0</v>
      </c>
      <c r="Q604" s="265">
        <v>0</v>
      </c>
      <c r="R604" s="265">
        <v>0</v>
      </c>
      <c r="S604" s="265">
        <v>0</v>
      </c>
      <c r="T604" s="265">
        <v>0</v>
      </c>
      <c r="U604" s="265">
        <v>0</v>
      </c>
      <c r="V604" s="265">
        <v>0</v>
      </c>
      <c r="W604" s="265">
        <v>0</v>
      </c>
      <c r="X604" s="265">
        <v>0</v>
      </c>
      <c r="Y604" s="50">
        <f t="shared" si="9"/>
        <v>-826280</v>
      </c>
    </row>
    <row r="605" spans="1:25" s="39" customFormat="1" x14ac:dyDescent="0.35">
      <c r="A605" s="37" t="s">
        <v>1209</v>
      </c>
      <c r="B605" s="37" t="s">
        <v>2890</v>
      </c>
      <c r="C605" s="91">
        <v>8471122</v>
      </c>
      <c r="D605" s="37" t="s">
        <v>3035</v>
      </c>
      <c r="E605" s="91">
        <v>425900</v>
      </c>
      <c r="F605" s="37" t="s">
        <v>266</v>
      </c>
      <c r="G605" s="90">
        <v>847001</v>
      </c>
      <c r="H605" s="37" t="s">
        <v>50</v>
      </c>
      <c r="I605" s="90">
        <v>200179</v>
      </c>
      <c r="J605" s="37" t="s">
        <v>61</v>
      </c>
      <c r="K605" s="265">
        <v>0</v>
      </c>
      <c r="L605" s="265">
        <v>0</v>
      </c>
      <c r="M605" s="265">
        <v>0</v>
      </c>
      <c r="N605" s="265">
        <v>50000</v>
      </c>
      <c r="O605" s="265">
        <v>50000</v>
      </c>
      <c r="P605" s="265">
        <v>0</v>
      </c>
      <c r="Q605" s="265">
        <v>0</v>
      </c>
      <c r="R605" s="265">
        <v>0</v>
      </c>
      <c r="S605" s="265">
        <v>0</v>
      </c>
      <c r="T605" s="265">
        <v>0</v>
      </c>
      <c r="U605" s="265">
        <v>0</v>
      </c>
      <c r="V605" s="265">
        <v>0</v>
      </c>
      <c r="W605" s="265">
        <v>0</v>
      </c>
      <c r="X605" s="265">
        <v>0</v>
      </c>
      <c r="Y605" s="50">
        <f t="shared" si="9"/>
        <v>-50000</v>
      </c>
    </row>
    <row r="606" spans="1:25" s="39" customFormat="1" x14ac:dyDescent="0.35">
      <c r="A606" s="37" t="s">
        <v>1209</v>
      </c>
      <c r="B606" s="37" t="s">
        <v>2891</v>
      </c>
      <c r="C606" s="91">
        <v>8471122</v>
      </c>
      <c r="D606" s="37" t="s">
        <v>3035</v>
      </c>
      <c r="E606" s="91">
        <v>428090</v>
      </c>
      <c r="F606" s="37" t="s">
        <v>154</v>
      </c>
      <c r="G606" s="90">
        <v>847001</v>
      </c>
      <c r="H606" s="37" t="s">
        <v>50</v>
      </c>
      <c r="I606" s="90">
        <v>200179</v>
      </c>
      <c r="J606" s="37" t="s">
        <v>61</v>
      </c>
      <c r="K606" s="265">
        <v>0</v>
      </c>
      <c r="L606" s="265">
        <v>0</v>
      </c>
      <c r="M606" s="265">
        <v>0</v>
      </c>
      <c r="N606" s="265">
        <v>50000</v>
      </c>
      <c r="O606" s="265">
        <v>50000</v>
      </c>
      <c r="P606" s="265">
        <v>0</v>
      </c>
      <c r="Q606" s="265">
        <v>0</v>
      </c>
      <c r="R606" s="265">
        <v>0</v>
      </c>
      <c r="S606" s="265">
        <v>0</v>
      </c>
      <c r="T606" s="265">
        <v>0</v>
      </c>
      <c r="U606" s="265">
        <v>0</v>
      </c>
      <c r="V606" s="265">
        <v>0</v>
      </c>
      <c r="W606" s="265">
        <v>0</v>
      </c>
      <c r="X606" s="265">
        <v>0</v>
      </c>
      <c r="Y606" s="50">
        <f t="shared" si="9"/>
        <v>-50000</v>
      </c>
    </row>
    <row r="607" spans="1:25" s="39" customFormat="1" x14ac:dyDescent="0.35">
      <c r="A607" s="37" t="s">
        <v>1209</v>
      </c>
      <c r="B607" s="37" t="s">
        <v>2892</v>
      </c>
      <c r="C607" s="91">
        <v>8471140</v>
      </c>
      <c r="D607" s="37" t="s">
        <v>1249</v>
      </c>
      <c r="E607" s="91">
        <v>492316</v>
      </c>
      <c r="F607" s="37" t="s">
        <v>221</v>
      </c>
      <c r="G607" s="90">
        <v>847001</v>
      </c>
      <c r="H607" s="37" t="s">
        <v>50</v>
      </c>
      <c r="I607" s="90">
        <v>300180</v>
      </c>
      <c r="J607" s="37" t="s">
        <v>192</v>
      </c>
      <c r="K607" s="265">
        <v>0</v>
      </c>
      <c r="L607" s="265">
        <v>0</v>
      </c>
      <c r="M607" s="265">
        <v>1011700</v>
      </c>
      <c r="N607" s="265">
        <v>358538</v>
      </c>
      <c r="O607" s="265">
        <v>358538</v>
      </c>
      <c r="P607" s="265">
        <v>336314.5</v>
      </c>
      <c r="Q607" s="265">
        <v>0</v>
      </c>
      <c r="R607" s="265">
        <v>-3.6379788070917101E-12</v>
      </c>
      <c r="S607" s="265">
        <v>0</v>
      </c>
      <c r="T607" s="265">
        <v>0</v>
      </c>
      <c r="U607" s="265">
        <v>0</v>
      </c>
      <c r="V607" s="265">
        <v>0</v>
      </c>
      <c r="W607" s="265">
        <v>0</v>
      </c>
      <c r="X607" s="265">
        <v>0</v>
      </c>
      <c r="Y607" s="50">
        <f t="shared" si="9"/>
        <v>-358538</v>
      </c>
    </row>
    <row r="608" spans="1:25" s="39" customFormat="1" x14ac:dyDescent="0.35">
      <c r="A608" s="37" t="s">
        <v>1209</v>
      </c>
      <c r="B608" s="37" t="s">
        <v>2893</v>
      </c>
      <c r="C608" s="91">
        <v>8471160</v>
      </c>
      <c r="D608" s="37" t="s">
        <v>3036</v>
      </c>
      <c r="E608" s="91">
        <v>420810</v>
      </c>
      <c r="F608" s="37" t="s">
        <v>59</v>
      </c>
      <c r="G608" s="90">
        <v>847001</v>
      </c>
      <c r="H608" s="37" t="s">
        <v>50</v>
      </c>
      <c r="I608" s="90">
        <v>200179</v>
      </c>
      <c r="J608" s="37" t="s">
        <v>61</v>
      </c>
      <c r="K608" s="265">
        <v>0</v>
      </c>
      <c r="L608" s="265">
        <v>0</v>
      </c>
      <c r="M608" s="265">
        <v>0</v>
      </c>
      <c r="N608" s="265">
        <v>0</v>
      </c>
      <c r="O608" s="265">
        <v>0</v>
      </c>
      <c r="P608" s="265">
        <v>0</v>
      </c>
      <c r="Q608" s="265">
        <v>0</v>
      </c>
      <c r="R608" s="265">
        <v>0</v>
      </c>
      <c r="S608" s="265">
        <v>0</v>
      </c>
      <c r="T608" s="265">
        <v>0</v>
      </c>
      <c r="U608" s="265">
        <v>0</v>
      </c>
      <c r="V608" s="265">
        <v>0</v>
      </c>
      <c r="W608" s="265">
        <v>0</v>
      </c>
      <c r="X608" s="265">
        <v>0</v>
      </c>
      <c r="Y608" s="50">
        <f t="shared" si="9"/>
        <v>0</v>
      </c>
    </row>
    <row r="609" spans="1:28" s="39" customFormat="1" x14ac:dyDescent="0.35">
      <c r="A609" s="37" t="s">
        <v>1209</v>
      </c>
      <c r="B609" s="37" t="s">
        <v>2894</v>
      </c>
      <c r="C609" s="91">
        <v>8471160</v>
      </c>
      <c r="D609" s="37" t="s">
        <v>3036</v>
      </c>
      <c r="E609" s="91">
        <v>420811</v>
      </c>
      <c r="F609" s="37" t="s">
        <v>65</v>
      </c>
      <c r="G609" s="90">
        <v>847001</v>
      </c>
      <c r="H609" s="37" t="s">
        <v>50</v>
      </c>
      <c r="I609" s="90">
        <v>200179</v>
      </c>
      <c r="J609" s="37" t="s">
        <v>61</v>
      </c>
      <c r="K609" s="265">
        <v>0</v>
      </c>
      <c r="L609" s="265">
        <v>0</v>
      </c>
      <c r="M609" s="265">
        <v>0</v>
      </c>
      <c r="N609" s="265">
        <v>588000</v>
      </c>
      <c r="O609" s="265">
        <v>588000</v>
      </c>
      <c r="P609" s="265">
        <v>0</v>
      </c>
      <c r="Q609" s="265">
        <v>0</v>
      </c>
      <c r="R609" s="265">
        <v>0</v>
      </c>
      <c r="S609" s="433">
        <v>1</v>
      </c>
      <c r="T609" s="265">
        <v>0.9</v>
      </c>
      <c r="U609" s="265">
        <v>0.8</v>
      </c>
      <c r="V609" s="265">
        <v>0.72000000000000008</v>
      </c>
      <c r="W609" s="265">
        <v>0</v>
      </c>
      <c r="X609" s="265">
        <v>0</v>
      </c>
      <c r="Y609" s="50">
        <f t="shared" si="9"/>
        <v>-587999</v>
      </c>
    </row>
    <row r="610" spans="1:28" s="39" customFormat="1" x14ac:dyDescent="0.35">
      <c r="A610" s="37" t="s">
        <v>1209</v>
      </c>
      <c r="B610" s="37" t="s">
        <v>2895</v>
      </c>
      <c r="C610" s="91">
        <v>8471160</v>
      </c>
      <c r="D610" s="37" t="s">
        <v>3036</v>
      </c>
      <c r="E610" s="91">
        <v>426610</v>
      </c>
      <c r="F610" s="37" t="s">
        <v>694</v>
      </c>
      <c r="G610" s="90">
        <v>847001</v>
      </c>
      <c r="H610" s="37" t="s">
        <v>50</v>
      </c>
      <c r="I610" s="90">
        <v>200179</v>
      </c>
      <c r="J610" s="37" t="s">
        <v>61</v>
      </c>
      <c r="K610" s="265">
        <v>0</v>
      </c>
      <c r="L610" s="265">
        <v>0</v>
      </c>
      <c r="M610" s="265">
        <v>51394</v>
      </c>
      <c r="N610" s="265">
        <v>361375</v>
      </c>
      <c r="O610" s="265">
        <v>361375</v>
      </c>
      <c r="P610" s="265">
        <v>68000</v>
      </c>
      <c r="Q610" s="265">
        <v>269963.64</v>
      </c>
      <c r="R610" s="265">
        <v>19650</v>
      </c>
      <c r="S610" s="432">
        <v>15330</v>
      </c>
      <c r="T610" s="265">
        <v>13797</v>
      </c>
      <c r="U610" s="265">
        <v>12264</v>
      </c>
      <c r="V610" s="265">
        <v>11037.6</v>
      </c>
      <c r="W610" s="265">
        <v>0</v>
      </c>
      <c r="X610" s="265">
        <v>0</v>
      </c>
      <c r="Y610" s="38">
        <v>-346045</v>
      </c>
    </row>
    <row r="611" spans="1:28" s="39" customFormat="1" x14ac:dyDescent="0.35">
      <c r="A611" s="37" t="s">
        <v>1209</v>
      </c>
      <c r="B611" s="37" t="s">
        <v>2896</v>
      </c>
      <c r="C611" s="91">
        <v>8471160</v>
      </c>
      <c r="D611" s="37" t="s">
        <v>3036</v>
      </c>
      <c r="E611" s="91">
        <v>432209</v>
      </c>
      <c r="F611" s="37" t="s">
        <v>393</v>
      </c>
      <c r="G611" s="90">
        <v>847001</v>
      </c>
      <c r="H611" s="37" t="s">
        <v>50</v>
      </c>
      <c r="I611" s="90">
        <v>200179</v>
      </c>
      <c r="J611" s="37" t="s">
        <v>61</v>
      </c>
      <c r="K611" s="265">
        <v>12238567</v>
      </c>
      <c r="L611" s="265">
        <v>12105813</v>
      </c>
      <c r="M611" s="265">
        <v>10701612</v>
      </c>
      <c r="N611" s="265">
        <v>15119303</v>
      </c>
      <c r="O611" s="265">
        <v>15119303</v>
      </c>
      <c r="P611" s="265">
        <v>1772372.92</v>
      </c>
      <c r="Q611" s="265">
        <v>4556561.6500000004</v>
      </c>
      <c r="R611" s="265">
        <v>5853212.0499999998</v>
      </c>
      <c r="S611" s="432">
        <v>17597270</v>
      </c>
      <c r="T611" s="265">
        <f>S611*0.9</f>
        <v>15837543</v>
      </c>
      <c r="U611" s="265">
        <f t="shared" ref="U611:V614" si="10">S611*0.8</f>
        <v>14077816</v>
      </c>
      <c r="V611" s="265">
        <f t="shared" si="10"/>
        <v>12670034.4</v>
      </c>
      <c r="W611" s="265">
        <v>19356997</v>
      </c>
      <c r="X611" s="265">
        <v>21292697</v>
      </c>
      <c r="Y611" s="50">
        <f t="shared" ref="Y611:Y642" si="11">S611-N611</f>
        <v>2477967</v>
      </c>
      <c r="Z611" s="275">
        <f>Y611/N611</f>
        <v>0.16389426152779663</v>
      </c>
    </row>
    <row r="612" spans="1:28" s="39" customFormat="1" x14ac:dyDescent="0.35">
      <c r="A612" s="37" t="s">
        <v>1209</v>
      </c>
      <c r="B612" s="37" t="s">
        <v>2897</v>
      </c>
      <c r="C612" s="91">
        <v>8471160</v>
      </c>
      <c r="D612" s="37" t="s">
        <v>3036</v>
      </c>
      <c r="E612" s="91">
        <v>435508</v>
      </c>
      <c r="F612" s="37" t="s">
        <v>405</v>
      </c>
      <c r="G612" s="90">
        <v>847001</v>
      </c>
      <c r="H612" s="37" t="s">
        <v>50</v>
      </c>
      <c r="I612" s="90">
        <v>200179</v>
      </c>
      <c r="J612" s="37" t="s">
        <v>61</v>
      </c>
      <c r="K612" s="265">
        <v>4347084</v>
      </c>
      <c r="L612" s="265">
        <v>361650</v>
      </c>
      <c r="M612" s="265">
        <v>1706316</v>
      </c>
      <c r="N612" s="265">
        <v>2753398</v>
      </c>
      <c r="O612" s="265">
        <v>2753398</v>
      </c>
      <c r="P612" s="265">
        <v>44444.41</v>
      </c>
      <c r="Q612" s="265">
        <v>808512.03</v>
      </c>
      <c r="R612" s="265">
        <v>21016.54</v>
      </c>
      <c r="S612" s="432">
        <v>14046375</v>
      </c>
      <c r="T612" s="265">
        <f>S612*0.9</f>
        <v>12641737.5</v>
      </c>
      <c r="U612" s="265">
        <f t="shared" si="10"/>
        <v>11237100</v>
      </c>
      <c r="V612" s="265">
        <f t="shared" si="10"/>
        <v>10113390</v>
      </c>
      <c r="W612" s="265">
        <v>15451013</v>
      </c>
      <c r="X612" s="265">
        <v>16996114</v>
      </c>
      <c r="Y612" s="50">
        <f t="shared" si="11"/>
        <v>11292977</v>
      </c>
      <c r="Z612" s="275"/>
      <c r="AB612" s="275">
        <f>Y612/N612</f>
        <v>4.1014691664626763</v>
      </c>
    </row>
    <row r="613" spans="1:28" s="39" customFormat="1" x14ac:dyDescent="0.35">
      <c r="A613" s="37" t="s">
        <v>1209</v>
      </c>
      <c r="B613" s="37" t="s">
        <v>2898</v>
      </c>
      <c r="C613" s="91">
        <v>8471160</v>
      </c>
      <c r="D613" s="37" t="s">
        <v>3036</v>
      </c>
      <c r="E613" s="91">
        <v>492200</v>
      </c>
      <c r="F613" s="37" t="s">
        <v>2475</v>
      </c>
      <c r="G613" s="90">
        <v>847001</v>
      </c>
      <c r="H613" s="37" t="s">
        <v>50</v>
      </c>
      <c r="I613" s="90">
        <v>300180</v>
      </c>
      <c r="J613" s="37" t="s">
        <v>192</v>
      </c>
      <c r="K613" s="265">
        <v>0</v>
      </c>
      <c r="L613" s="265">
        <v>0</v>
      </c>
      <c r="M613" s="265">
        <v>1834891</v>
      </c>
      <c r="N613" s="265">
        <v>1304891</v>
      </c>
      <c r="O613" s="265">
        <v>1304891</v>
      </c>
      <c r="P613" s="265">
        <v>350147.24</v>
      </c>
      <c r="Q613" s="265">
        <v>0</v>
      </c>
      <c r="R613" s="265">
        <v>954743.26</v>
      </c>
      <c r="S613" s="432">
        <v>865000</v>
      </c>
      <c r="T613" s="265">
        <f>S613*0.9</f>
        <v>778500</v>
      </c>
      <c r="U613" s="265">
        <f t="shared" si="10"/>
        <v>692000</v>
      </c>
      <c r="V613" s="265">
        <f t="shared" si="10"/>
        <v>622800</v>
      </c>
      <c r="W613" s="265">
        <f>VLOOKUP(B613,'2024 Detail B-01'!O:U,7,FALSE)</f>
        <v>0</v>
      </c>
      <c r="X613" s="265">
        <f>VLOOKUP(B613,'2025 Detail B-01'!O:U,7,FALSE)</f>
        <v>0</v>
      </c>
      <c r="Y613" s="50">
        <f t="shared" si="11"/>
        <v>-439891</v>
      </c>
    </row>
    <row r="614" spans="1:28" s="39" customFormat="1" x14ac:dyDescent="0.35">
      <c r="A614" s="37" t="s">
        <v>1209</v>
      </c>
      <c r="B614" s="37" t="s">
        <v>2899</v>
      </c>
      <c r="C614" s="91">
        <v>8471160</v>
      </c>
      <c r="D614" s="37" t="s">
        <v>3036</v>
      </c>
      <c r="E614" s="91">
        <v>492316</v>
      </c>
      <c r="F614" s="37" t="s">
        <v>221</v>
      </c>
      <c r="G614" s="90">
        <v>847001</v>
      </c>
      <c r="H614" s="37" t="s">
        <v>50</v>
      </c>
      <c r="I614" s="90">
        <v>300180</v>
      </c>
      <c r="J614" s="37" t="s">
        <v>192</v>
      </c>
      <c r="K614" s="265">
        <v>13263756</v>
      </c>
      <c r="L614" s="265">
        <v>9475691</v>
      </c>
      <c r="M614" s="265">
        <v>7403824</v>
      </c>
      <c r="N614" s="265">
        <v>15928069</v>
      </c>
      <c r="O614" s="265">
        <v>15928069</v>
      </c>
      <c r="P614" s="265">
        <v>2281711.5</v>
      </c>
      <c r="Q614" s="265">
        <v>11146925.789999999</v>
      </c>
      <c r="R614" s="265">
        <v>1223698.1000000001</v>
      </c>
      <c r="S614" s="432">
        <v>81669712</v>
      </c>
      <c r="T614" s="265">
        <f>S614*0.9</f>
        <v>73502740.799999997</v>
      </c>
      <c r="U614" s="265">
        <f t="shared" si="10"/>
        <v>65335769.600000001</v>
      </c>
      <c r="V614" s="265">
        <f t="shared" si="10"/>
        <v>58802192.640000001</v>
      </c>
      <c r="W614" s="265">
        <v>88763226</v>
      </c>
      <c r="X614" s="265">
        <v>55622099</v>
      </c>
      <c r="Y614" s="50">
        <f t="shared" si="11"/>
        <v>65741643</v>
      </c>
      <c r="Z614" s="274">
        <f>Y614</f>
        <v>65741643</v>
      </c>
      <c r="AA614" s="275">
        <f>Z614/N614</f>
        <v>4.127408225064821</v>
      </c>
      <c r="AB614" s="275">
        <f>Y614/N614</f>
        <v>4.127408225064821</v>
      </c>
    </row>
    <row r="615" spans="1:28" s="39" customFormat="1" x14ac:dyDescent="0.35">
      <c r="A615" s="37" t="s">
        <v>1209</v>
      </c>
      <c r="B615" s="37" t="s">
        <v>2900</v>
      </c>
      <c r="C615" s="91">
        <v>8471170</v>
      </c>
      <c r="D615" s="37" t="s">
        <v>1286</v>
      </c>
      <c r="E615" s="91">
        <v>420810</v>
      </c>
      <c r="F615" s="37" t="s">
        <v>59</v>
      </c>
      <c r="G615" s="90">
        <v>847001</v>
      </c>
      <c r="H615" s="37" t="s">
        <v>50</v>
      </c>
      <c r="I615" s="90">
        <v>200179</v>
      </c>
      <c r="J615" s="37" t="s">
        <v>61</v>
      </c>
      <c r="K615" s="265">
        <v>391825</v>
      </c>
      <c r="L615" s="265">
        <v>1018910</v>
      </c>
      <c r="M615" s="265">
        <v>798441</v>
      </c>
      <c r="N615" s="265">
        <v>0</v>
      </c>
      <c r="O615" s="265">
        <v>0</v>
      </c>
      <c r="P615" s="265">
        <v>0</v>
      </c>
      <c r="Q615" s="265">
        <v>0</v>
      </c>
      <c r="R615" s="265">
        <v>0</v>
      </c>
      <c r="S615" s="265">
        <v>0</v>
      </c>
      <c r="T615" s="265">
        <v>0</v>
      </c>
      <c r="U615" s="265">
        <v>0</v>
      </c>
      <c r="V615" s="265">
        <v>0</v>
      </c>
      <c r="W615" s="265">
        <v>0</v>
      </c>
      <c r="X615" s="265">
        <v>0</v>
      </c>
      <c r="Y615" s="50">
        <f t="shared" si="11"/>
        <v>0</v>
      </c>
    </row>
    <row r="616" spans="1:28" s="39" customFormat="1" x14ac:dyDescent="0.35">
      <c r="A616" s="37" t="s">
        <v>1350</v>
      </c>
      <c r="B616" s="37" t="s">
        <v>2901</v>
      </c>
      <c r="C616" s="91">
        <v>8471260</v>
      </c>
      <c r="D616" s="37" t="s">
        <v>1404</v>
      </c>
      <c r="E616" s="91">
        <v>425747</v>
      </c>
      <c r="F616" s="37" t="s">
        <v>2550</v>
      </c>
      <c r="G616" s="90">
        <v>847001</v>
      </c>
      <c r="H616" s="37" t="s">
        <v>50</v>
      </c>
      <c r="I616" s="90">
        <v>200179</v>
      </c>
      <c r="J616" s="37" t="s">
        <v>61</v>
      </c>
      <c r="K616" s="265">
        <v>1057128</v>
      </c>
      <c r="L616" s="265">
        <v>667536</v>
      </c>
      <c r="M616" s="265">
        <v>797</v>
      </c>
      <c r="N616" s="265">
        <v>225000</v>
      </c>
      <c r="O616" s="265">
        <v>225000</v>
      </c>
      <c r="P616" s="265">
        <v>0</v>
      </c>
      <c r="Q616" s="265">
        <v>81632</v>
      </c>
      <c r="R616" s="265">
        <v>0</v>
      </c>
      <c r="S616" s="265">
        <v>0</v>
      </c>
      <c r="T616" s="265">
        <v>0</v>
      </c>
      <c r="U616" s="265">
        <v>0</v>
      </c>
      <c r="V616" s="265">
        <v>0</v>
      </c>
      <c r="W616" s="265">
        <v>0</v>
      </c>
      <c r="X616" s="265">
        <v>0</v>
      </c>
      <c r="Y616" s="50">
        <f t="shared" si="11"/>
        <v>-225000</v>
      </c>
    </row>
    <row r="617" spans="1:28" s="39" customFormat="1" x14ac:dyDescent="0.35">
      <c r="A617" s="37" t="s">
        <v>1000</v>
      </c>
      <c r="B617" s="37" t="s">
        <v>2902</v>
      </c>
      <c r="C617" s="91">
        <v>8471305</v>
      </c>
      <c r="D617" s="37" t="s">
        <v>1001</v>
      </c>
      <c r="E617" s="91">
        <v>420810</v>
      </c>
      <c r="F617" s="37" t="s">
        <v>59</v>
      </c>
      <c r="G617" s="90">
        <v>847001</v>
      </c>
      <c r="H617" s="37" t="s">
        <v>50</v>
      </c>
      <c r="I617" s="90">
        <v>200179</v>
      </c>
      <c r="J617" s="37" t="s">
        <v>61</v>
      </c>
      <c r="K617" s="265">
        <v>0</v>
      </c>
      <c r="L617" s="265">
        <v>595</v>
      </c>
      <c r="M617" s="265">
        <v>41519</v>
      </c>
      <c r="N617" s="265">
        <v>0</v>
      </c>
      <c r="O617" s="265">
        <v>0</v>
      </c>
      <c r="P617" s="265">
        <v>0</v>
      </c>
      <c r="Q617" s="265">
        <v>0</v>
      </c>
      <c r="R617" s="265">
        <v>0</v>
      </c>
      <c r="S617" s="265">
        <v>0</v>
      </c>
      <c r="T617" s="265">
        <v>0</v>
      </c>
      <c r="U617" s="265">
        <v>0</v>
      </c>
      <c r="V617" s="265">
        <v>0</v>
      </c>
      <c r="W617" s="265">
        <v>0</v>
      </c>
      <c r="X617" s="265">
        <v>0</v>
      </c>
      <c r="Y617" s="50">
        <f t="shared" si="11"/>
        <v>0</v>
      </c>
    </row>
    <row r="618" spans="1:28" s="39" customFormat="1" x14ac:dyDescent="0.35">
      <c r="A618" s="37" t="s">
        <v>1000</v>
      </c>
      <c r="B618" s="37" t="s">
        <v>1644</v>
      </c>
      <c r="C618" s="91">
        <v>8471305</v>
      </c>
      <c r="D618" s="37" t="s">
        <v>1001</v>
      </c>
      <c r="E618" s="91">
        <v>492310</v>
      </c>
      <c r="F618" s="37" t="s">
        <v>191</v>
      </c>
      <c r="G618" s="90">
        <v>847001</v>
      </c>
      <c r="H618" s="37" t="s">
        <v>50</v>
      </c>
      <c r="I618" s="90">
        <v>300180</v>
      </c>
      <c r="J618" s="37" t="s">
        <v>192</v>
      </c>
      <c r="K618" s="265">
        <v>778267</v>
      </c>
      <c r="L618" s="265">
        <v>334480</v>
      </c>
      <c r="M618" s="265">
        <v>4058968</v>
      </c>
      <c r="N618" s="265">
        <v>913656</v>
      </c>
      <c r="O618" s="265">
        <v>913656</v>
      </c>
      <c r="P618" s="265">
        <v>509222</v>
      </c>
      <c r="Q618" s="265">
        <v>311500</v>
      </c>
      <c r="R618" s="265">
        <v>13412</v>
      </c>
      <c r="S618" s="265">
        <v>0</v>
      </c>
      <c r="T618" s="265">
        <v>0</v>
      </c>
      <c r="U618" s="265">
        <v>0</v>
      </c>
      <c r="V618" s="265">
        <v>0</v>
      </c>
      <c r="W618" s="265">
        <v>0</v>
      </c>
      <c r="X618" s="265">
        <v>0</v>
      </c>
      <c r="Y618" s="50">
        <f t="shared" si="11"/>
        <v>-913656</v>
      </c>
    </row>
    <row r="619" spans="1:28" s="39" customFormat="1" x14ac:dyDescent="0.35">
      <c r="A619" s="37" t="s">
        <v>1000</v>
      </c>
      <c r="B619" s="37" t="s">
        <v>2903</v>
      </c>
      <c r="C619" s="91">
        <v>8471305</v>
      </c>
      <c r="D619" s="37" t="s">
        <v>1001</v>
      </c>
      <c r="E619" s="91">
        <v>492610</v>
      </c>
      <c r="F619" s="37" t="s">
        <v>2537</v>
      </c>
      <c r="G619" s="90">
        <v>847001</v>
      </c>
      <c r="H619" s="37" t="s">
        <v>50</v>
      </c>
      <c r="I619" s="90">
        <v>300180</v>
      </c>
      <c r="J619" s="37" t="s">
        <v>192</v>
      </c>
      <c r="K619" s="265">
        <v>3277546</v>
      </c>
      <c r="L619" s="265">
        <v>391932</v>
      </c>
      <c r="M619" s="265">
        <v>327990</v>
      </c>
      <c r="N619" s="265">
        <v>19606</v>
      </c>
      <c r="O619" s="265">
        <v>19606</v>
      </c>
      <c r="P619" s="265">
        <v>0</v>
      </c>
      <c r="Q619" s="265">
        <v>0</v>
      </c>
      <c r="R619" s="265">
        <v>0</v>
      </c>
      <c r="S619" s="265">
        <v>0</v>
      </c>
      <c r="T619" s="265">
        <v>0</v>
      </c>
      <c r="U619" s="265">
        <v>0</v>
      </c>
      <c r="V619" s="265">
        <v>0</v>
      </c>
      <c r="W619" s="265">
        <v>0</v>
      </c>
      <c r="X619" s="265">
        <v>0</v>
      </c>
      <c r="Y619" s="50">
        <f t="shared" si="11"/>
        <v>-19606</v>
      </c>
    </row>
    <row r="620" spans="1:28" s="39" customFormat="1" x14ac:dyDescent="0.35">
      <c r="A620" s="37" t="s">
        <v>2711</v>
      </c>
      <c r="B620" s="89" t="s">
        <v>2949</v>
      </c>
      <c r="C620" s="91">
        <v>8470110</v>
      </c>
      <c r="D620" s="37" t="s">
        <v>2712</v>
      </c>
      <c r="E620" s="91">
        <v>425770</v>
      </c>
      <c r="F620" s="37" t="s">
        <v>367</v>
      </c>
      <c r="G620" s="90">
        <v>847001</v>
      </c>
      <c r="H620" s="37" t="s">
        <v>50</v>
      </c>
      <c r="I620" s="90">
        <v>200179</v>
      </c>
      <c r="J620" s="37" t="s">
        <v>61</v>
      </c>
      <c r="K620" s="265">
        <v>50370</v>
      </c>
      <c r="L620" s="265">
        <v>-13420</v>
      </c>
      <c r="M620" s="265">
        <v>0</v>
      </c>
      <c r="N620" s="265">
        <v>0</v>
      </c>
      <c r="O620" s="265">
        <v>0</v>
      </c>
      <c r="P620" s="265">
        <v>0</v>
      </c>
      <c r="Q620" s="265">
        <v>0</v>
      </c>
      <c r="R620" s="265">
        <v>0</v>
      </c>
      <c r="S620" s="265">
        <v>0</v>
      </c>
      <c r="T620" s="265">
        <v>0</v>
      </c>
      <c r="U620" s="265">
        <v>0</v>
      </c>
      <c r="V620" s="265">
        <v>0</v>
      </c>
      <c r="W620" s="265">
        <v>0</v>
      </c>
      <c r="X620" s="265">
        <v>0</v>
      </c>
      <c r="Y620" s="50">
        <f t="shared" si="11"/>
        <v>0</v>
      </c>
    </row>
    <row r="621" spans="1:28" s="39" customFormat="1" x14ac:dyDescent="0.35">
      <c r="A621" s="37" t="s">
        <v>2711</v>
      </c>
      <c r="B621" s="89" t="s">
        <v>2907</v>
      </c>
      <c r="C621" s="91">
        <v>8470110</v>
      </c>
      <c r="D621" s="37" t="s">
        <v>2712</v>
      </c>
      <c r="E621" s="91">
        <v>435310</v>
      </c>
      <c r="F621" s="37" t="s">
        <v>1336</v>
      </c>
      <c r="G621" s="90">
        <v>847001</v>
      </c>
      <c r="H621" s="37" t="s">
        <v>50</v>
      </c>
      <c r="I621" s="90">
        <v>200179</v>
      </c>
      <c r="J621" s="37" t="s">
        <v>61</v>
      </c>
      <c r="K621" s="265">
        <v>2031</v>
      </c>
      <c r="L621" s="265">
        <v>0</v>
      </c>
      <c r="M621" s="265">
        <v>0</v>
      </c>
      <c r="N621" s="265">
        <v>0</v>
      </c>
      <c r="O621" s="265">
        <v>0</v>
      </c>
      <c r="P621" s="265">
        <v>0</v>
      </c>
      <c r="Q621" s="265">
        <v>0</v>
      </c>
      <c r="R621" s="265">
        <v>0</v>
      </c>
      <c r="S621" s="265">
        <v>0</v>
      </c>
      <c r="T621" s="265">
        <v>0</v>
      </c>
      <c r="U621" s="265">
        <v>0</v>
      </c>
      <c r="V621" s="265">
        <v>0</v>
      </c>
      <c r="W621" s="265">
        <v>0</v>
      </c>
      <c r="X621" s="265">
        <v>0</v>
      </c>
      <c r="Y621" s="50">
        <f t="shared" si="11"/>
        <v>0</v>
      </c>
    </row>
    <row r="622" spans="1:28" s="39" customFormat="1" x14ac:dyDescent="0.35">
      <c r="A622" s="37" t="s">
        <v>2277</v>
      </c>
      <c r="B622" s="89" t="s">
        <v>2908</v>
      </c>
      <c r="C622" s="91">
        <v>8470130</v>
      </c>
      <c r="D622" s="37" t="s">
        <v>2278</v>
      </c>
      <c r="E622" s="91">
        <v>425100</v>
      </c>
      <c r="F622" s="37" t="s">
        <v>1184</v>
      </c>
      <c r="G622" s="90">
        <v>847001</v>
      </c>
      <c r="H622" s="37" t="s">
        <v>50</v>
      </c>
      <c r="I622" s="90">
        <v>200179</v>
      </c>
      <c r="J622" s="37" t="s">
        <v>61</v>
      </c>
      <c r="K622" s="265">
        <v>500630</v>
      </c>
      <c r="L622" s="265">
        <v>0</v>
      </c>
      <c r="M622" s="265">
        <v>0</v>
      </c>
      <c r="N622" s="265">
        <v>0</v>
      </c>
      <c r="O622" s="265">
        <v>0</v>
      </c>
      <c r="P622" s="265">
        <v>0</v>
      </c>
      <c r="Q622" s="265">
        <v>0</v>
      </c>
      <c r="R622" s="265">
        <v>0</v>
      </c>
      <c r="S622" s="265">
        <v>0</v>
      </c>
      <c r="T622" s="265">
        <v>0</v>
      </c>
      <c r="U622" s="265">
        <v>0</v>
      </c>
      <c r="V622" s="265">
        <v>0</v>
      </c>
      <c r="W622" s="265">
        <v>0</v>
      </c>
      <c r="X622" s="265">
        <v>0</v>
      </c>
      <c r="Y622" s="50">
        <f t="shared" si="11"/>
        <v>0</v>
      </c>
    </row>
    <row r="623" spans="1:28" s="39" customFormat="1" x14ac:dyDescent="0.35">
      <c r="A623" s="37" t="s">
        <v>2277</v>
      </c>
      <c r="B623" s="89" t="s">
        <v>2950</v>
      </c>
      <c r="C623" s="91">
        <v>8470130</v>
      </c>
      <c r="D623" s="37" t="s">
        <v>2278</v>
      </c>
      <c r="E623" s="91">
        <v>425510</v>
      </c>
      <c r="F623" s="37" t="s">
        <v>247</v>
      </c>
      <c r="G623" s="90">
        <v>847001</v>
      </c>
      <c r="H623" s="37" t="s">
        <v>50</v>
      </c>
      <c r="I623" s="90">
        <v>200179</v>
      </c>
      <c r="J623" s="37" t="s">
        <v>61</v>
      </c>
      <c r="K623" s="265">
        <v>920160</v>
      </c>
      <c r="L623" s="265">
        <v>2200</v>
      </c>
      <c r="M623" s="265">
        <v>0</v>
      </c>
      <c r="N623" s="38">
        <v>0</v>
      </c>
      <c r="O623" s="265">
        <v>0</v>
      </c>
      <c r="P623" s="265">
        <v>0</v>
      </c>
      <c r="Q623" s="265">
        <v>0</v>
      </c>
      <c r="R623" s="265">
        <v>0</v>
      </c>
      <c r="S623" s="38">
        <v>0</v>
      </c>
      <c r="T623" s="265">
        <v>0</v>
      </c>
      <c r="U623" s="265">
        <v>0</v>
      </c>
      <c r="V623" s="265">
        <v>0</v>
      </c>
      <c r="W623" s="265">
        <v>0</v>
      </c>
      <c r="X623" s="265">
        <v>0</v>
      </c>
      <c r="Y623" s="38">
        <f t="shared" si="11"/>
        <v>0</v>
      </c>
    </row>
    <row r="624" spans="1:28" s="39" customFormat="1" x14ac:dyDescent="0.35">
      <c r="A624" s="37" t="s">
        <v>1350</v>
      </c>
      <c r="B624" s="89" t="s">
        <v>2909</v>
      </c>
      <c r="C624" s="91">
        <v>8470230</v>
      </c>
      <c r="D624" s="37" t="s">
        <v>1583</v>
      </c>
      <c r="E624" s="91">
        <v>425741</v>
      </c>
      <c r="F624" s="37" t="s">
        <v>1485</v>
      </c>
      <c r="G624" s="90">
        <v>847001</v>
      </c>
      <c r="H624" s="37" t="s">
        <v>50</v>
      </c>
      <c r="I624" s="90">
        <v>200179</v>
      </c>
      <c r="J624" s="37" t="s">
        <v>61</v>
      </c>
      <c r="K624" s="265">
        <v>58645904</v>
      </c>
      <c r="L624" s="265">
        <v>39497428</v>
      </c>
      <c r="M624" s="265">
        <v>0</v>
      </c>
      <c r="N624" s="265">
        <v>0</v>
      </c>
      <c r="O624" s="265">
        <v>0</v>
      </c>
      <c r="P624" s="265">
        <v>0</v>
      </c>
      <c r="Q624" s="265">
        <v>0</v>
      </c>
      <c r="R624" s="265">
        <v>0</v>
      </c>
      <c r="S624" s="265">
        <v>0</v>
      </c>
      <c r="T624" s="265">
        <v>0</v>
      </c>
      <c r="U624" s="265">
        <v>0</v>
      </c>
      <c r="V624" s="265">
        <v>0</v>
      </c>
      <c r="W624" s="265">
        <v>0</v>
      </c>
      <c r="X624" s="265">
        <v>0</v>
      </c>
      <c r="Y624" s="50">
        <f t="shared" si="11"/>
        <v>0</v>
      </c>
    </row>
    <row r="625" spans="1:25" s="39" customFormat="1" x14ac:dyDescent="0.35">
      <c r="A625" s="37" t="s">
        <v>1350</v>
      </c>
      <c r="B625" s="89" t="s">
        <v>2951</v>
      </c>
      <c r="C625" s="91">
        <v>8470230</v>
      </c>
      <c r="D625" s="37" t="s">
        <v>1583</v>
      </c>
      <c r="E625" s="91">
        <v>425742</v>
      </c>
      <c r="F625" s="37" t="s">
        <v>1036</v>
      </c>
      <c r="G625" s="90">
        <v>847001</v>
      </c>
      <c r="H625" s="37" t="s">
        <v>50</v>
      </c>
      <c r="I625" s="90">
        <v>200179</v>
      </c>
      <c r="J625" s="37" t="s">
        <v>61</v>
      </c>
      <c r="K625" s="265">
        <v>7970</v>
      </c>
      <c r="L625" s="265">
        <v>-103009</v>
      </c>
      <c r="M625" s="265">
        <v>0</v>
      </c>
      <c r="N625" s="265">
        <v>0</v>
      </c>
      <c r="O625" s="265">
        <v>0</v>
      </c>
      <c r="P625" s="265">
        <v>0</v>
      </c>
      <c r="Q625" s="265">
        <v>0</v>
      </c>
      <c r="R625" s="265">
        <v>0</v>
      </c>
      <c r="S625" s="265">
        <v>0</v>
      </c>
      <c r="T625" s="265">
        <v>0</v>
      </c>
      <c r="U625" s="265">
        <v>0</v>
      </c>
      <c r="V625" s="265">
        <v>0</v>
      </c>
      <c r="W625" s="265">
        <v>0</v>
      </c>
      <c r="X625" s="265">
        <v>0</v>
      </c>
      <c r="Y625" s="50">
        <f t="shared" si="11"/>
        <v>0</v>
      </c>
    </row>
    <row r="626" spans="1:25" s="39" customFormat="1" x14ac:dyDescent="0.35">
      <c r="A626" s="37" t="s">
        <v>1350</v>
      </c>
      <c r="B626" s="89" t="s">
        <v>2952</v>
      </c>
      <c r="C626" s="91">
        <v>8470230</v>
      </c>
      <c r="D626" s="37" t="s">
        <v>1583</v>
      </c>
      <c r="E626" s="91">
        <v>425770</v>
      </c>
      <c r="F626" s="37" t="s">
        <v>367</v>
      </c>
      <c r="G626" s="90">
        <v>847001</v>
      </c>
      <c r="H626" s="37" t="s">
        <v>50</v>
      </c>
      <c r="I626" s="90">
        <v>200179</v>
      </c>
      <c r="J626" s="37" t="s">
        <v>61</v>
      </c>
      <c r="K626" s="265">
        <v>0</v>
      </c>
      <c r="L626" s="265">
        <v>-1720</v>
      </c>
      <c r="M626" s="265">
        <v>0</v>
      </c>
      <c r="N626" s="265">
        <v>0</v>
      </c>
      <c r="O626" s="265">
        <v>0</v>
      </c>
      <c r="P626" s="265">
        <v>0</v>
      </c>
      <c r="Q626" s="265">
        <v>0</v>
      </c>
      <c r="R626" s="265">
        <v>0</v>
      </c>
      <c r="S626" s="265">
        <v>0</v>
      </c>
      <c r="T626" s="265">
        <v>0</v>
      </c>
      <c r="U626" s="265">
        <v>0</v>
      </c>
      <c r="V626" s="265">
        <v>0</v>
      </c>
      <c r="W626" s="265">
        <v>0</v>
      </c>
      <c r="X626" s="265">
        <v>0</v>
      </c>
      <c r="Y626" s="50">
        <f t="shared" si="11"/>
        <v>0</v>
      </c>
    </row>
    <row r="627" spans="1:25" s="39" customFormat="1" x14ac:dyDescent="0.35">
      <c r="A627" s="37" t="s">
        <v>334</v>
      </c>
      <c r="B627" s="89" t="s">
        <v>2953</v>
      </c>
      <c r="C627" s="91">
        <v>8470305</v>
      </c>
      <c r="D627" s="37" t="s">
        <v>598</v>
      </c>
      <c r="E627" s="91">
        <v>492316</v>
      </c>
      <c r="F627" s="37" t="s">
        <v>221</v>
      </c>
      <c r="G627" s="90">
        <v>847001</v>
      </c>
      <c r="H627" s="37" t="s">
        <v>50</v>
      </c>
      <c r="I627" s="90">
        <v>300180</v>
      </c>
      <c r="J627" s="37" t="s">
        <v>192</v>
      </c>
      <c r="K627" s="265">
        <v>7011466</v>
      </c>
      <c r="L627" s="265">
        <v>2550</v>
      </c>
      <c r="M627" s="265">
        <v>0</v>
      </c>
      <c r="N627" s="265">
        <v>0</v>
      </c>
      <c r="O627" s="265">
        <v>0</v>
      </c>
      <c r="P627" s="265">
        <v>0</v>
      </c>
      <c r="Q627" s="265">
        <v>0</v>
      </c>
      <c r="R627" s="265">
        <v>0</v>
      </c>
      <c r="S627" s="265">
        <v>0</v>
      </c>
      <c r="T627" s="265">
        <v>0</v>
      </c>
      <c r="U627" s="265">
        <v>0</v>
      </c>
      <c r="V627" s="265">
        <v>0</v>
      </c>
      <c r="W627" s="265">
        <v>0</v>
      </c>
      <c r="X627" s="265">
        <v>0</v>
      </c>
      <c r="Y627" s="50">
        <f t="shared" si="11"/>
        <v>0</v>
      </c>
    </row>
    <row r="628" spans="1:25" s="39" customFormat="1" x14ac:dyDescent="0.35">
      <c r="A628" s="37" t="s">
        <v>334</v>
      </c>
      <c r="B628" s="89" t="s">
        <v>2954</v>
      </c>
      <c r="C628" s="91">
        <v>8470310</v>
      </c>
      <c r="D628" s="37" t="s">
        <v>335</v>
      </c>
      <c r="E628" s="91">
        <v>430120</v>
      </c>
      <c r="F628" s="37" t="s">
        <v>2428</v>
      </c>
      <c r="G628" s="90">
        <v>847001</v>
      </c>
      <c r="H628" s="37" t="s">
        <v>50</v>
      </c>
      <c r="I628" s="90">
        <v>200179</v>
      </c>
      <c r="J628" s="37" t="s">
        <v>61</v>
      </c>
      <c r="K628" s="265">
        <v>271840</v>
      </c>
      <c r="L628" s="265">
        <v>0</v>
      </c>
      <c r="M628" s="265">
        <v>0</v>
      </c>
      <c r="N628" s="265">
        <v>0</v>
      </c>
      <c r="O628" s="265">
        <v>0</v>
      </c>
      <c r="P628" s="265">
        <v>0</v>
      </c>
      <c r="Q628" s="265">
        <v>0</v>
      </c>
      <c r="R628" s="265">
        <v>0</v>
      </c>
      <c r="S628" s="265">
        <v>0</v>
      </c>
      <c r="T628" s="265">
        <v>0</v>
      </c>
      <c r="U628" s="265">
        <v>0</v>
      </c>
      <c r="V628" s="265">
        <v>0</v>
      </c>
      <c r="W628" s="265">
        <v>0</v>
      </c>
      <c r="X628" s="265">
        <v>0</v>
      </c>
      <c r="Y628" s="50">
        <f t="shared" si="11"/>
        <v>0</v>
      </c>
    </row>
    <row r="629" spans="1:25" s="39" customFormat="1" x14ac:dyDescent="0.35">
      <c r="A629" s="37" t="s">
        <v>334</v>
      </c>
      <c r="B629" s="89" t="s">
        <v>2955</v>
      </c>
      <c r="C629" s="91">
        <v>8470325</v>
      </c>
      <c r="D629" s="37" t="s">
        <v>560</v>
      </c>
      <c r="E629" s="91">
        <v>425900</v>
      </c>
      <c r="F629" s="37" t="s">
        <v>266</v>
      </c>
      <c r="G629" s="90">
        <v>847001</v>
      </c>
      <c r="H629" s="37" t="s">
        <v>50</v>
      </c>
      <c r="I629" s="90">
        <v>200179</v>
      </c>
      <c r="J629" s="37" t="s">
        <v>61</v>
      </c>
      <c r="K629" s="265">
        <v>6245</v>
      </c>
      <c r="L629" s="265">
        <v>1502</v>
      </c>
      <c r="M629" s="265">
        <v>0</v>
      </c>
      <c r="N629" s="265">
        <v>0</v>
      </c>
      <c r="O629" s="265">
        <v>0</v>
      </c>
      <c r="P629" s="265">
        <v>0</v>
      </c>
      <c r="Q629" s="265">
        <v>0</v>
      </c>
      <c r="R629" s="265">
        <v>0</v>
      </c>
      <c r="S629" s="265">
        <v>0</v>
      </c>
      <c r="T629" s="265">
        <v>0</v>
      </c>
      <c r="U629" s="265">
        <v>0</v>
      </c>
      <c r="V629" s="265">
        <v>0</v>
      </c>
      <c r="W629" s="265">
        <v>0</v>
      </c>
      <c r="X629" s="265">
        <v>0</v>
      </c>
      <c r="Y629" s="50">
        <f t="shared" si="11"/>
        <v>0</v>
      </c>
    </row>
    <row r="630" spans="1:25" s="39" customFormat="1" x14ac:dyDescent="0.35">
      <c r="A630" s="37" t="s">
        <v>334</v>
      </c>
      <c r="B630" s="89" t="s">
        <v>2910</v>
      </c>
      <c r="C630" s="91">
        <v>8470325</v>
      </c>
      <c r="D630" s="37" t="s">
        <v>560</v>
      </c>
      <c r="E630" s="91">
        <v>436110</v>
      </c>
      <c r="F630" s="37" t="s">
        <v>190</v>
      </c>
      <c r="G630" s="90">
        <v>847001</v>
      </c>
      <c r="H630" s="37" t="s">
        <v>50</v>
      </c>
      <c r="I630" s="90">
        <v>200179</v>
      </c>
      <c r="J630" s="37" t="s">
        <v>61</v>
      </c>
      <c r="K630" s="265">
        <v>368</v>
      </c>
      <c r="L630" s="265">
        <v>0</v>
      </c>
      <c r="M630" s="265">
        <v>0</v>
      </c>
      <c r="N630" s="265">
        <v>0</v>
      </c>
      <c r="O630" s="265">
        <v>0</v>
      </c>
      <c r="P630" s="265">
        <v>0</v>
      </c>
      <c r="Q630" s="265">
        <v>0</v>
      </c>
      <c r="R630" s="265">
        <v>0</v>
      </c>
      <c r="S630" s="265">
        <v>0</v>
      </c>
      <c r="T630" s="265">
        <v>0</v>
      </c>
      <c r="U630" s="265">
        <v>0</v>
      </c>
      <c r="V630" s="265">
        <v>0</v>
      </c>
      <c r="W630" s="265">
        <v>0</v>
      </c>
      <c r="X630" s="265">
        <v>0</v>
      </c>
      <c r="Y630" s="50">
        <f t="shared" si="11"/>
        <v>0</v>
      </c>
    </row>
    <row r="631" spans="1:25" s="39" customFormat="1" x14ac:dyDescent="0.35">
      <c r="A631" s="37" t="s">
        <v>334</v>
      </c>
      <c r="B631" s="89" t="s">
        <v>2956</v>
      </c>
      <c r="C631" s="91">
        <v>8470325</v>
      </c>
      <c r="D631" s="37" t="s">
        <v>560</v>
      </c>
      <c r="E631" s="91">
        <v>492200</v>
      </c>
      <c r="F631" s="37" t="s">
        <v>2475</v>
      </c>
      <c r="G631" s="90">
        <v>847001</v>
      </c>
      <c r="H631" s="37" t="s">
        <v>50</v>
      </c>
      <c r="I631" s="90">
        <v>300180</v>
      </c>
      <c r="J631" s="37" t="s">
        <v>192</v>
      </c>
      <c r="K631" s="265">
        <v>391826</v>
      </c>
      <c r="L631" s="265">
        <v>817887</v>
      </c>
      <c r="M631" s="265">
        <v>0</v>
      </c>
      <c r="N631" s="265">
        <v>0</v>
      </c>
      <c r="O631" s="265">
        <v>0</v>
      </c>
      <c r="P631" s="265">
        <v>0</v>
      </c>
      <c r="Q631" s="265">
        <v>0</v>
      </c>
      <c r="R631" s="265">
        <v>0</v>
      </c>
      <c r="S631" s="265">
        <v>0</v>
      </c>
      <c r="T631" s="265">
        <v>0</v>
      </c>
      <c r="U631" s="265">
        <v>0</v>
      </c>
      <c r="V631" s="265">
        <v>0</v>
      </c>
      <c r="W631" s="265">
        <v>0</v>
      </c>
      <c r="X631" s="265">
        <v>0</v>
      </c>
      <c r="Y631" s="50">
        <f t="shared" si="11"/>
        <v>0</v>
      </c>
    </row>
    <row r="632" spans="1:25" s="39" customFormat="1" x14ac:dyDescent="0.35">
      <c r="A632" s="37" t="s">
        <v>334</v>
      </c>
      <c r="B632" s="89" t="s">
        <v>2957</v>
      </c>
      <c r="C632" s="91">
        <v>8470330</v>
      </c>
      <c r="D632" s="37" t="s">
        <v>666</v>
      </c>
      <c r="E632" s="91">
        <v>425761</v>
      </c>
      <c r="F632" s="37" t="s">
        <v>1383</v>
      </c>
      <c r="G632" s="90">
        <v>847001</v>
      </c>
      <c r="H632" s="37" t="s">
        <v>50</v>
      </c>
      <c r="I632" s="90">
        <v>200179</v>
      </c>
      <c r="J632" s="37" t="s">
        <v>61</v>
      </c>
      <c r="K632" s="265">
        <v>-8500</v>
      </c>
      <c r="L632" s="265">
        <v>-3000</v>
      </c>
      <c r="M632" s="265">
        <v>0</v>
      </c>
      <c r="N632" s="265">
        <v>0</v>
      </c>
      <c r="O632" s="265">
        <v>0</v>
      </c>
      <c r="P632" s="265">
        <v>0</v>
      </c>
      <c r="Q632" s="265">
        <v>0</v>
      </c>
      <c r="R632" s="265">
        <v>0</v>
      </c>
      <c r="S632" s="265">
        <v>0</v>
      </c>
      <c r="T632" s="265">
        <v>0</v>
      </c>
      <c r="U632" s="265">
        <v>0</v>
      </c>
      <c r="V632" s="265">
        <v>0</v>
      </c>
      <c r="W632" s="265">
        <v>0</v>
      </c>
      <c r="X632" s="265">
        <v>0</v>
      </c>
      <c r="Y632" s="50">
        <f t="shared" si="11"/>
        <v>0</v>
      </c>
    </row>
    <row r="633" spans="1:25" s="39" customFormat="1" x14ac:dyDescent="0.35">
      <c r="A633" s="37" t="s">
        <v>334</v>
      </c>
      <c r="B633" s="89" t="s">
        <v>2958</v>
      </c>
      <c r="C633" s="91">
        <v>8470330</v>
      </c>
      <c r="D633" s="37" t="s">
        <v>666</v>
      </c>
      <c r="E633" s="91">
        <v>428090</v>
      </c>
      <c r="F633" s="37" t="s">
        <v>154</v>
      </c>
      <c r="G633" s="90">
        <v>847001</v>
      </c>
      <c r="H633" s="37" t="s">
        <v>50</v>
      </c>
      <c r="I633" s="90">
        <v>200179</v>
      </c>
      <c r="J633" s="37" t="s">
        <v>61</v>
      </c>
      <c r="K633" s="265">
        <v>688</v>
      </c>
      <c r="L633" s="265">
        <v>0</v>
      </c>
      <c r="M633" s="265">
        <v>0</v>
      </c>
      <c r="N633" s="265">
        <v>0</v>
      </c>
      <c r="O633" s="265">
        <v>0</v>
      </c>
      <c r="P633" s="265">
        <v>0</v>
      </c>
      <c r="Q633" s="265">
        <v>0</v>
      </c>
      <c r="R633" s="265">
        <v>0</v>
      </c>
      <c r="S633" s="265">
        <v>0</v>
      </c>
      <c r="T633" s="265">
        <v>0</v>
      </c>
      <c r="U633" s="265">
        <v>0</v>
      </c>
      <c r="V633" s="265">
        <v>0</v>
      </c>
      <c r="W633" s="265">
        <v>0</v>
      </c>
      <c r="X633" s="265">
        <v>0</v>
      </c>
      <c r="Y633" s="50">
        <f t="shared" si="11"/>
        <v>0</v>
      </c>
    </row>
    <row r="634" spans="1:25" s="39" customFormat="1" x14ac:dyDescent="0.35">
      <c r="A634" s="37" t="s">
        <v>334</v>
      </c>
      <c r="B634" s="89" t="s">
        <v>2959</v>
      </c>
      <c r="C634" s="91">
        <v>8470330</v>
      </c>
      <c r="D634" s="37" t="s">
        <v>666</v>
      </c>
      <c r="E634" s="91">
        <v>435340</v>
      </c>
      <c r="F634" s="37" t="s">
        <v>655</v>
      </c>
      <c r="G634" s="90">
        <v>847001</v>
      </c>
      <c r="H634" s="37" t="s">
        <v>50</v>
      </c>
      <c r="I634" s="90">
        <v>200179</v>
      </c>
      <c r="J634" s="37" t="s">
        <v>61</v>
      </c>
      <c r="K634" s="265">
        <v>70231</v>
      </c>
      <c r="L634" s="265">
        <v>0</v>
      </c>
      <c r="M634" s="265">
        <v>0</v>
      </c>
      <c r="N634" s="265">
        <v>0</v>
      </c>
      <c r="O634" s="265">
        <v>0</v>
      </c>
      <c r="P634" s="265">
        <v>0</v>
      </c>
      <c r="Q634" s="265">
        <v>0</v>
      </c>
      <c r="R634" s="265">
        <v>0</v>
      </c>
      <c r="S634" s="265">
        <v>0</v>
      </c>
      <c r="T634" s="265">
        <v>0</v>
      </c>
      <c r="U634" s="265">
        <v>0</v>
      </c>
      <c r="V634" s="265">
        <v>0</v>
      </c>
      <c r="W634" s="265">
        <v>0</v>
      </c>
      <c r="X634" s="265">
        <v>0</v>
      </c>
      <c r="Y634" s="50">
        <f t="shared" si="11"/>
        <v>0</v>
      </c>
    </row>
    <row r="635" spans="1:25" s="39" customFormat="1" x14ac:dyDescent="0.35">
      <c r="A635" s="37" t="s">
        <v>334</v>
      </c>
      <c r="B635" s="89" t="s">
        <v>2960</v>
      </c>
      <c r="C635" s="91">
        <v>8470340</v>
      </c>
      <c r="D635" s="37" t="s">
        <v>758</v>
      </c>
      <c r="E635" s="91">
        <v>428090</v>
      </c>
      <c r="F635" s="37" t="s">
        <v>154</v>
      </c>
      <c r="G635" s="90">
        <v>847001</v>
      </c>
      <c r="H635" s="37" t="s">
        <v>50</v>
      </c>
      <c r="I635" s="90">
        <v>200179</v>
      </c>
      <c r="J635" s="37" t="s">
        <v>61</v>
      </c>
      <c r="K635" s="265">
        <v>94830</v>
      </c>
      <c r="L635" s="265">
        <v>9903</v>
      </c>
      <c r="M635" s="265">
        <v>0</v>
      </c>
      <c r="N635" s="265">
        <v>0</v>
      </c>
      <c r="O635" s="265">
        <v>0</v>
      </c>
      <c r="P635" s="265">
        <v>0</v>
      </c>
      <c r="Q635" s="265">
        <v>0</v>
      </c>
      <c r="R635" s="265">
        <v>0</v>
      </c>
      <c r="S635" s="265">
        <v>0</v>
      </c>
      <c r="T635" s="265">
        <v>0</v>
      </c>
      <c r="U635" s="265">
        <v>0</v>
      </c>
      <c r="V635" s="265">
        <v>0</v>
      </c>
      <c r="W635" s="265">
        <v>0</v>
      </c>
      <c r="X635" s="265">
        <v>0</v>
      </c>
      <c r="Y635" s="50">
        <f t="shared" si="11"/>
        <v>0</v>
      </c>
    </row>
    <row r="636" spans="1:25" s="39" customFormat="1" x14ac:dyDescent="0.35">
      <c r="A636" s="37" t="s">
        <v>334</v>
      </c>
      <c r="B636" s="89" t="s">
        <v>2961</v>
      </c>
      <c r="C636" s="91">
        <v>8470340</v>
      </c>
      <c r="D636" s="37" t="s">
        <v>758</v>
      </c>
      <c r="E636" s="91">
        <v>436600</v>
      </c>
      <c r="F636" s="37" t="s">
        <v>416</v>
      </c>
      <c r="G636" s="90">
        <v>847001</v>
      </c>
      <c r="H636" s="37" t="s">
        <v>50</v>
      </c>
      <c r="I636" s="90">
        <v>200179</v>
      </c>
      <c r="J636" s="37" t="s">
        <v>61</v>
      </c>
      <c r="K636" s="265">
        <v>6842</v>
      </c>
      <c r="L636" s="265">
        <v>0</v>
      </c>
      <c r="M636" s="265">
        <v>0</v>
      </c>
      <c r="N636" s="265">
        <v>0</v>
      </c>
      <c r="O636" s="265">
        <v>0</v>
      </c>
      <c r="P636" s="265">
        <v>0</v>
      </c>
      <c r="Q636" s="265">
        <v>0</v>
      </c>
      <c r="R636" s="265">
        <v>0</v>
      </c>
      <c r="S636" s="265">
        <v>0</v>
      </c>
      <c r="T636" s="265">
        <v>0</v>
      </c>
      <c r="U636" s="265">
        <v>0</v>
      </c>
      <c r="V636" s="265">
        <v>0</v>
      </c>
      <c r="W636" s="265">
        <v>0</v>
      </c>
      <c r="X636" s="265">
        <v>0</v>
      </c>
      <c r="Y636" s="50">
        <f t="shared" si="11"/>
        <v>0</v>
      </c>
    </row>
    <row r="637" spans="1:25" s="39" customFormat="1" x14ac:dyDescent="0.35">
      <c r="A637" s="37" t="s">
        <v>334</v>
      </c>
      <c r="B637" s="89" t="s">
        <v>2962</v>
      </c>
      <c r="C637" s="91">
        <v>8470340</v>
      </c>
      <c r="D637" s="37" t="s">
        <v>758</v>
      </c>
      <c r="E637" s="91">
        <v>495140</v>
      </c>
      <c r="F637" s="37" t="s">
        <v>541</v>
      </c>
      <c r="G637" s="90">
        <v>847001</v>
      </c>
      <c r="H637" s="37" t="s">
        <v>50</v>
      </c>
      <c r="I637" s="90">
        <v>300180</v>
      </c>
      <c r="J637" s="37" t="s">
        <v>192</v>
      </c>
      <c r="K637" s="265">
        <v>7438</v>
      </c>
      <c r="L637" s="265">
        <v>7322</v>
      </c>
      <c r="M637" s="265">
        <v>0</v>
      </c>
      <c r="N637" s="265">
        <v>0</v>
      </c>
      <c r="O637" s="265">
        <v>0</v>
      </c>
      <c r="P637" s="265">
        <v>0</v>
      </c>
      <c r="Q637" s="265">
        <v>0</v>
      </c>
      <c r="R637" s="265">
        <v>0</v>
      </c>
      <c r="S637" s="265">
        <v>0</v>
      </c>
      <c r="T637" s="265">
        <v>0</v>
      </c>
      <c r="U637" s="265">
        <v>0</v>
      </c>
      <c r="V637" s="265">
        <v>0</v>
      </c>
      <c r="W637" s="265">
        <v>0</v>
      </c>
      <c r="X637" s="265">
        <v>0</v>
      </c>
      <c r="Y637" s="50">
        <f t="shared" si="11"/>
        <v>0</v>
      </c>
    </row>
    <row r="638" spans="1:25" s="39" customFormat="1" x14ac:dyDescent="0.35">
      <c r="A638" s="37" t="s">
        <v>334</v>
      </c>
      <c r="B638" s="89" t="s">
        <v>2963</v>
      </c>
      <c r="C638" s="91">
        <v>8470350</v>
      </c>
      <c r="D638" s="37" t="s">
        <v>843</v>
      </c>
      <c r="E638" s="91">
        <v>428090</v>
      </c>
      <c r="F638" s="37" t="s">
        <v>154</v>
      </c>
      <c r="G638" s="90">
        <v>847001</v>
      </c>
      <c r="H638" s="37" t="s">
        <v>50</v>
      </c>
      <c r="I638" s="90">
        <v>200179</v>
      </c>
      <c r="J638" s="37" t="s">
        <v>61</v>
      </c>
      <c r="K638" s="265">
        <v>4250</v>
      </c>
      <c r="L638" s="265">
        <v>0</v>
      </c>
      <c r="M638" s="265">
        <v>0</v>
      </c>
      <c r="N638" s="265">
        <v>0</v>
      </c>
      <c r="O638" s="265">
        <v>0</v>
      </c>
      <c r="P638" s="265">
        <v>0</v>
      </c>
      <c r="Q638" s="265">
        <v>0</v>
      </c>
      <c r="R638" s="265">
        <v>0</v>
      </c>
      <c r="S638" s="265">
        <v>0</v>
      </c>
      <c r="T638" s="265">
        <v>0</v>
      </c>
      <c r="U638" s="265">
        <v>0</v>
      </c>
      <c r="V638" s="265">
        <v>0</v>
      </c>
      <c r="W638" s="265">
        <v>0</v>
      </c>
      <c r="X638" s="265">
        <v>0</v>
      </c>
      <c r="Y638" s="50">
        <f t="shared" si="11"/>
        <v>0</v>
      </c>
    </row>
    <row r="639" spans="1:25" s="39" customFormat="1" x14ac:dyDescent="0.35">
      <c r="A639" s="37" t="s">
        <v>1784</v>
      </c>
      <c r="B639" s="89" t="s">
        <v>2964</v>
      </c>
      <c r="C639" s="91">
        <v>8470405</v>
      </c>
      <c r="D639" s="37" t="s">
        <v>1785</v>
      </c>
      <c r="E639" s="91">
        <v>425100</v>
      </c>
      <c r="F639" s="37" t="s">
        <v>1184</v>
      </c>
      <c r="G639" s="90">
        <v>847001</v>
      </c>
      <c r="H639" s="37" t="s">
        <v>50</v>
      </c>
      <c r="I639" s="90">
        <v>200179</v>
      </c>
      <c r="J639" s="37" t="s">
        <v>61</v>
      </c>
      <c r="K639" s="265">
        <v>44679</v>
      </c>
      <c r="L639" s="265">
        <v>0</v>
      </c>
      <c r="M639" s="265">
        <v>0</v>
      </c>
      <c r="N639" s="265">
        <v>0</v>
      </c>
      <c r="O639" s="265">
        <v>0</v>
      </c>
      <c r="P639" s="265">
        <v>0</v>
      </c>
      <c r="Q639" s="265">
        <v>0</v>
      </c>
      <c r="R639" s="265">
        <v>0</v>
      </c>
      <c r="S639" s="265">
        <v>0</v>
      </c>
      <c r="T639" s="265">
        <v>0</v>
      </c>
      <c r="U639" s="265">
        <v>0</v>
      </c>
      <c r="V639" s="265">
        <v>0</v>
      </c>
      <c r="W639" s="265">
        <v>0</v>
      </c>
      <c r="X639" s="265">
        <v>0</v>
      </c>
      <c r="Y639" s="50">
        <f t="shared" si="11"/>
        <v>0</v>
      </c>
    </row>
    <row r="640" spans="1:25" s="39" customFormat="1" x14ac:dyDescent="0.35">
      <c r="A640" s="37" t="s">
        <v>1784</v>
      </c>
      <c r="B640" s="89" t="s">
        <v>2965</v>
      </c>
      <c r="C640" s="91">
        <v>8470405</v>
      </c>
      <c r="D640" s="37" t="s">
        <v>1785</v>
      </c>
      <c r="E640" s="91">
        <v>428090</v>
      </c>
      <c r="F640" s="37" t="s">
        <v>154</v>
      </c>
      <c r="G640" s="90">
        <v>847001</v>
      </c>
      <c r="H640" s="37" t="s">
        <v>50</v>
      </c>
      <c r="I640" s="90">
        <v>200179</v>
      </c>
      <c r="J640" s="37" t="s">
        <v>61</v>
      </c>
      <c r="K640" s="265">
        <v>51855</v>
      </c>
      <c r="L640" s="265">
        <v>0</v>
      </c>
      <c r="M640" s="265">
        <v>0</v>
      </c>
      <c r="N640" s="265">
        <v>0</v>
      </c>
      <c r="O640" s="265">
        <v>0</v>
      </c>
      <c r="P640" s="265">
        <v>0</v>
      </c>
      <c r="Q640" s="265">
        <v>0</v>
      </c>
      <c r="R640" s="265">
        <v>0</v>
      </c>
      <c r="S640" s="265">
        <v>0</v>
      </c>
      <c r="T640" s="265">
        <v>0</v>
      </c>
      <c r="U640" s="265">
        <v>0</v>
      </c>
      <c r="V640" s="265">
        <v>0</v>
      </c>
      <c r="W640" s="265">
        <v>0</v>
      </c>
      <c r="X640" s="265">
        <v>0</v>
      </c>
      <c r="Y640" s="50">
        <f t="shared" si="11"/>
        <v>0</v>
      </c>
    </row>
    <row r="641" spans="1:25" s="39" customFormat="1" x14ac:dyDescent="0.35">
      <c r="A641" s="37" t="s">
        <v>1784</v>
      </c>
      <c r="B641" s="89" t="s">
        <v>2911</v>
      </c>
      <c r="C641" s="91">
        <v>8470405</v>
      </c>
      <c r="D641" s="37" t="s">
        <v>1785</v>
      </c>
      <c r="E641" s="91">
        <v>492316</v>
      </c>
      <c r="F641" s="37" t="s">
        <v>221</v>
      </c>
      <c r="G641" s="90">
        <v>847001</v>
      </c>
      <c r="H641" s="37" t="s">
        <v>50</v>
      </c>
      <c r="I641" s="90">
        <v>300180</v>
      </c>
      <c r="J641" s="37" t="s">
        <v>192</v>
      </c>
      <c r="K641" s="265">
        <v>82819</v>
      </c>
      <c r="L641" s="265">
        <v>0</v>
      </c>
      <c r="M641" s="265">
        <v>0</v>
      </c>
      <c r="N641" s="265">
        <v>0</v>
      </c>
      <c r="O641" s="265">
        <v>0</v>
      </c>
      <c r="P641" s="265">
        <v>0</v>
      </c>
      <c r="Q641" s="265">
        <v>0</v>
      </c>
      <c r="R641" s="265">
        <v>0</v>
      </c>
      <c r="S641" s="265">
        <v>0</v>
      </c>
      <c r="T641" s="265">
        <v>0</v>
      </c>
      <c r="U641" s="265">
        <v>0</v>
      </c>
      <c r="V641" s="265">
        <v>0</v>
      </c>
      <c r="W641" s="265">
        <v>0</v>
      </c>
      <c r="X641" s="265">
        <v>0</v>
      </c>
      <c r="Y641" s="50">
        <f t="shared" si="11"/>
        <v>0</v>
      </c>
    </row>
    <row r="642" spans="1:25" s="39" customFormat="1" x14ac:dyDescent="0.35">
      <c r="A642" s="37" t="s">
        <v>1784</v>
      </c>
      <c r="B642" s="89" t="s">
        <v>2912</v>
      </c>
      <c r="C642" s="91">
        <v>8470410</v>
      </c>
      <c r="D642" s="37" t="s">
        <v>1822</v>
      </c>
      <c r="E642" s="91">
        <v>428090</v>
      </c>
      <c r="F642" s="37" t="s">
        <v>154</v>
      </c>
      <c r="G642" s="90">
        <v>847001</v>
      </c>
      <c r="H642" s="37" t="s">
        <v>50</v>
      </c>
      <c r="I642" s="90">
        <v>200179</v>
      </c>
      <c r="J642" s="37" t="s">
        <v>61</v>
      </c>
      <c r="K642" s="265">
        <v>11164</v>
      </c>
      <c r="L642" s="265">
        <v>0</v>
      </c>
      <c r="M642" s="265">
        <v>0</v>
      </c>
      <c r="N642" s="265">
        <v>0</v>
      </c>
      <c r="O642" s="265">
        <v>0</v>
      </c>
      <c r="P642" s="265">
        <v>0</v>
      </c>
      <c r="Q642" s="265">
        <v>0</v>
      </c>
      <c r="R642" s="265">
        <v>0</v>
      </c>
      <c r="S642" s="265">
        <v>0</v>
      </c>
      <c r="T642" s="265">
        <v>0</v>
      </c>
      <c r="U642" s="265">
        <v>0</v>
      </c>
      <c r="V642" s="265">
        <v>0</v>
      </c>
      <c r="W642" s="265">
        <v>0</v>
      </c>
      <c r="X642" s="265">
        <v>0</v>
      </c>
      <c r="Y642" s="50">
        <f t="shared" si="11"/>
        <v>0</v>
      </c>
    </row>
    <row r="643" spans="1:25" s="39" customFormat="1" x14ac:dyDescent="0.35">
      <c r="A643" s="37" t="s">
        <v>1784</v>
      </c>
      <c r="B643" s="89" t="s">
        <v>2966</v>
      </c>
      <c r="C643" s="91">
        <v>8470415</v>
      </c>
      <c r="D643" s="37" t="s">
        <v>1842</v>
      </c>
      <c r="E643" s="91">
        <v>425550</v>
      </c>
      <c r="F643" s="37" t="s">
        <v>253</v>
      </c>
      <c r="G643" s="90">
        <v>847001</v>
      </c>
      <c r="H643" s="37" t="s">
        <v>50</v>
      </c>
      <c r="I643" s="90">
        <v>200179</v>
      </c>
      <c r="J643" s="37" t="s">
        <v>61</v>
      </c>
      <c r="K643" s="265">
        <v>8134</v>
      </c>
      <c r="L643" s="265">
        <v>0</v>
      </c>
      <c r="M643" s="265">
        <v>918</v>
      </c>
      <c r="N643" s="38">
        <v>0</v>
      </c>
      <c r="O643" s="265">
        <v>0</v>
      </c>
      <c r="P643" s="265">
        <v>0</v>
      </c>
      <c r="Q643" s="265">
        <v>0</v>
      </c>
      <c r="R643" s="265">
        <v>0</v>
      </c>
      <c r="S643" s="38">
        <v>0</v>
      </c>
      <c r="T643" s="265">
        <v>0</v>
      </c>
      <c r="U643" s="265">
        <v>0</v>
      </c>
      <c r="V643" s="265">
        <v>0</v>
      </c>
      <c r="W643" s="265">
        <v>0</v>
      </c>
      <c r="X643" s="265">
        <v>0</v>
      </c>
      <c r="Y643" s="38">
        <f t="shared" ref="Y643:Y674" si="12">S643-N643</f>
        <v>0</v>
      </c>
    </row>
    <row r="644" spans="1:25" s="39" customFormat="1" x14ac:dyDescent="0.35">
      <c r="A644" s="37" t="s">
        <v>1784</v>
      </c>
      <c r="B644" s="89" t="s">
        <v>2913</v>
      </c>
      <c r="C644" s="91">
        <v>8470420</v>
      </c>
      <c r="D644" s="37" t="s">
        <v>3037</v>
      </c>
      <c r="E644" s="91">
        <v>425510</v>
      </c>
      <c r="F644" s="37" t="s">
        <v>247</v>
      </c>
      <c r="G644" s="90">
        <v>847001</v>
      </c>
      <c r="H644" s="37" t="s">
        <v>50</v>
      </c>
      <c r="I644" s="90">
        <v>200179</v>
      </c>
      <c r="J644" s="37" t="s">
        <v>61</v>
      </c>
      <c r="K644" s="265">
        <v>5800</v>
      </c>
      <c r="L644" s="265">
        <v>0</v>
      </c>
      <c r="M644" s="265">
        <v>0</v>
      </c>
      <c r="N644" s="38">
        <v>0</v>
      </c>
      <c r="O644" s="265">
        <v>0</v>
      </c>
      <c r="P644" s="265">
        <v>0</v>
      </c>
      <c r="Q644" s="265">
        <v>0</v>
      </c>
      <c r="R644" s="265">
        <v>0</v>
      </c>
      <c r="S644" s="38">
        <v>0</v>
      </c>
      <c r="T644" s="265">
        <v>0</v>
      </c>
      <c r="U644" s="265">
        <v>0</v>
      </c>
      <c r="V644" s="265">
        <v>0</v>
      </c>
      <c r="W644" s="265">
        <v>0</v>
      </c>
      <c r="X644" s="265">
        <v>0</v>
      </c>
      <c r="Y644" s="38">
        <f t="shared" si="12"/>
        <v>0</v>
      </c>
    </row>
    <row r="645" spans="1:25" s="39" customFormat="1" x14ac:dyDescent="0.35">
      <c r="A645" s="37" t="s">
        <v>1784</v>
      </c>
      <c r="B645" s="89" t="s">
        <v>2914</v>
      </c>
      <c r="C645" s="91">
        <v>8470420</v>
      </c>
      <c r="D645" s="37" t="s">
        <v>3037</v>
      </c>
      <c r="E645" s="91">
        <v>425770</v>
      </c>
      <c r="F645" s="37" t="s">
        <v>367</v>
      </c>
      <c r="G645" s="90">
        <v>847001</v>
      </c>
      <c r="H645" s="37" t="s">
        <v>50</v>
      </c>
      <c r="I645" s="90">
        <v>200179</v>
      </c>
      <c r="J645" s="37" t="s">
        <v>61</v>
      </c>
      <c r="K645" s="265">
        <v>31825</v>
      </c>
      <c r="L645" s="265">
        <v>0</v>
      </c>
      <c r="M645" s="265">
        <v>0</v>
      </c>
      <c r="N645" s="265">
        <v>0</v>
      </c>
      <c r="O645" s="265">
        <v>0</v>
      </c>
      <c r="P645" s="265">
        <v>0</v>
      </c>
      <c r="Q645" s="265">
        <v>0</v>
      </c>
      <c r="R645" s="265">
        <v>0</v>
      </c>
      <c r="S645" s="265">
        <v>0</v>
      </c>
      <c r="T645" s="265">
        <v>0</v>
      </c>
      <c r="U645" s="265">
        <v>0</v>
      </c>
      <c r="V645" s="265">
        <v>0</v>
      </c>
      <c r="W645" s="265">
        <v>0</v>
      </c>
      <c r="X645" s="265">
        <v>0</v>
      </c>
      <c r="Y645" s="50">
        <f t="shared" si="12"/>
        <v>0</v>
      </c>
    </row>
    <row r="646" spans="1:25" s="39" customFormat="1" x14ac:dyDescent="0.35">
      <c r="A646" s="37" t="s">
        <v>1784</v>
      </c>
      <c r="B646" s="89" t="s">
        <v>2915</v>
      </c>
      <c r="C646" s="91">
        <v>8470420</v>
      </c>
      <c r="D646" s="37" t="s">
        <v>3037</v>
      </c>
      <c r="E646" s="91">
        <v>428090</v>
      </c>
      <c r="F646" s="37" t="s">
        <v>154</v>
      </c>
      <c r="G646" s="90">
        <v>847001</v>
      </c>
      <c r="H646" s="37" t="s">
        <v>50</v>
      </c>
      <c r="I646" s="90">
        <v>200179</v>
      </c>
      <c r="J646" s="37" t="s">
        <v>61</v>
      </c>
      <c r="K646" s="265">
        <v>21792</v>
      </c>
      <c r="L646" s="265">
        <v>0</v>
      </c>
      <c r="M646" s="265">
        <v>0</v>
      </c>
      <c r="N646" s="265">
        <v>0</v>
      </c>
      <c r="O646" s="265">
        <v>0</v>
      </c>
      <c r="P646" s="265">
        <v>0</v>
      </c>
      <c r="Q646" s="265">
        <v>0</v>
      </c>
      <c r="R646" s="265">
        <v>0</v>
      </c>
      <c r="S646" s="265">
        <v>0</v>
      </c>
      <c r="T646" s="265">
        <v>0</v>
      </c>
      <c r="U646" s="265">
        <v>0</v>
      </c>
      <c r="V646" s="265">
        <v>0</v>
      </c>
      <c r="W646" s="265">
        <v>0</v>
      </c>
      <c r="X646" s="265">
        <v>0</v>
      </c>
      <c r="Y646" s="50">
        <f t="shared" si="12"/>
        <v>0</v>
      </c>
    </row>
    <row r="647" spans="1:25" s="39" customFormat="1" x14ac:dyDescent="0.35">
      <c r="A647" s="37" t="s">
        <v>1784</v>
      </c>
      <c r="B647" s="89" t="s">
        <v>2916</v>
      </c>
      <c r="C647" s="91">
        <v>8470420</v>
      </c>
      <c r="D647" s="37" t="s">
        <v>3037</v>
      </c>
      <c r="E647" s="91">
        <v>492316</v>
      </c>
      <c r="F647" s="37" t="s">
        <v>221</v>
      </c>
      <c r="G647" s="90">
        <v>847001</v>
      </c>
      <c r="H647" s="37" t="s">
        <v>50</v>
      </c>
      <c r="I647" s="90">
        <v>300180</v>
      </c>
      <c r="J647" s="37" t="s">
        <v>192</v>
      </c>
      <c r="K647" s="265">
        <v>1813790</v>
      </c>
      <c r="L647" s="265">
        <v>0</v>
      </c>
      <c r="M647" s="265">
        <v>0</v>
      </c>
      <c r="N647" s="265">
        <v>0</v>
      </c>
      <c r="O647" s="265">
        <v>0</v>
      </c>
      <c r="P647" s="265">
        <v>0</v>
      </c>
      <c r="Q647" s="265">
        <v>0</v>
      </c>
      <c r="R647" s="265">
        <v>0</v>
      </c>
      <c r="S647" s="265">
        <v>0</v>
      </c>
      <c r="T647" s="265">
        <v>0</v>
      </c>
      <c r="U647" s="265">
        <v>0</v>
      </c>
      <c r="V647" s="265">
        <v>0</v>
      </c>
      <c r="W647" s="265">
        <v>0</v>
      </c>
      <c r="X647" s="265">
        <v>0</v>
      </c>
      <c r="Y647" s="50">
        <f t="shared" si="12"/>
        <v>0</v>
      </c>
    </row>
    <row r="648" spans="1:25" s="39" customFormat="1" x14ac:dyDescent="0.35">
      <c r="A648" s="37" t="s">
        <v>1784</v>
      </c>
      <c r="B648" s="89" t="s">
        <v>2967</v>
      </c>
      <c r="C648" s="91">
        <v>8470425</v>
      </c>
      <c r="D648" s="37" t="s">
        <v>1943</v>
      </c>
      <c r="E648" s="91">
        <v>421700</v>
      </c>
      <c r="F648" s="37" t="s">
        <v>2438</v>
      </c>
      <c r="G648" s="90">
        <v>847001</v>
      </c>
      <c r="H648" s="37" t="s">
        <v>50</v>
      </c>
      <c r="I648" s="90">
        <v>200179</v>
      </c>
      <c r="J648" s="37" t="s">
        <v>61</v>
      </c>
      <c r="K648" s="265">
        <v>5952</v>
      </c>
      <c r="L648" s="265">
        <v>0</v>
      </c>
      <c r="M648" s="265">
        <v>0</v>
      </c>
      <c r="N648" s="265">
        <v>0</v>
      </c>
      <c r="O648" s="265">
        <v>0</v>
      </c>
      <c r="P648" s="265">
        <v>0</v>
      </c>
      <c r="Q648" s="265">
        <v>0</v>
      </c>
      <c r="R648" s="265">
        <v>0</v>
      </c>
      <c r="S648" s="38">
        <v>0</v>
      </c>
      <c r="T648" s="265">
        <v>0</v>
      </c>
      <c r="U648" s="265">
        <v>0</v>
      </c>
      <c r="V648" s="265">
        <v>0</v>
      </c>
      <c r="W648" s="265">
        <v>0</v>
      </c>
      <c r="X648" s="265">
        <v>0</v>
      </c>
      <c r="Y648" s="50">
        <f t="shared" si="12"/>
        <v>0</v>
      </c>
    </row>
    <row r="649" spans="1:25" s="39" customFormat="1" x14ac:dyDescent="0.35">
      <c r="A649" s="37" t="s">
        <v>1784</v>
      </c>
      <c r="B649" s="89" t="s">
        <v>2968</v>
      </c>
      <c r="C649" s="91">
        <v>8470425</v>
      </c>
      <c r="D649" s="37" t="s">
        <v>1943</v>
      </c>
      <c r="E649" s="91">
        <v>425761</v>
      </c>
      <c r="F649" s="37" t="s">
        <v>1383</v>
      </c>
      <c r="G649" s="90">
        <v>847001</v>
      </c>
      <c r="H649" s="37" t="s">
        <v>50</v>
      </c>
      <c r="I649" s="90">
        <v>200179</v>
      </c>
      <c r="J649" s="37" t="s">
        <v>61</v>
      </c>
      <c r="K649" s="265">
        <v>650</v>
      </c>
      <c r="L649" s="265">
        <v>0</v>
      </c>
      <c r="M649" s="265">
        <v>0</v>
      </c>
      <c r="N649" s="265">
        <v>0</v>
      </c>
      <c r="O649" s="265">
        <v>0</v>
      </c>
      <c r="P649" s="265">
        <v>0</v>
      </c>
      <c r="Q649" s="265">
        <v>0</v>
      </c>
      <c r="R649" s="265">
        <v>0</v>
      </c>
      <c r="S649" s="265">
        <v>0</v>
      </c>
      <c r="T649" s="265">
        <v>0</v>
      </c>
      <c r="U649" s="265">
        <v>0</v>
      </c>
      <c r="V649" s="265">
        <v>0</v>
      </c>
      <c r="W649" s="265">
        <v>0</v>
      </c>
      <c r="X649" s="265">
        <v>0</v>
      </c>
      <c r="Y649" s="50">
        <f t="shared" si="12"/>
        <v>0</v>
      </c>
    </row>
    <row r="650" spans="1:25" s="39" customFormat="1" x14ac:dyDescent="0.35">
      <c r="A650" s="37" t="s">
        <v>1784</v>
      </c>
      <c r="B650" s="89" t="s">
        <v>2917</v>
      </c>
      <c r="C650" s="91">
        <v>8470430</v>
      </c>
      <c r="D650" s="37" t="s">
        <v>1974</v>
      </c>
      <c r="E650" s="91">
        <v>436600</v>
      </c>
      <c r="F650" s="37" t="s">
        <v>416</v>
      </c>
      <c r="G650" s="90">
        <v>847001</v>
      </c>
      <c r="H650" s="37" t="s">
        <v>50</v>
      </c>
      <c r="I650" s="90">
        <v>200179</v>
      </c>
      <c r="J650" s="37" t="s">
        <v>61</v>
      </c>
      <c r="K650" s="265">
        <v>895</v>
      </c>
      <c r="L650" s="265">
        <v>0</v>
      </c>
      <c r="M650" s="265">
        <v>0</v>
      </c>
      <c r="N650" s="265">
        <v>0</v>
      </c>
      <c r="O650" s="265">
        <v>0</v>
      </c>
      <c r="P650" s="265">
        <v>0</v>
      </c>
      <c r="Q650" s="265">
        <v>0</v>
      </c>
      <c r="R650" s="265">
        <v>0</v>
      </c>
      <c r="S650" s="265">
        <v>0</v>
      </c>
      <c r="T650" s="265">
        <v>0</v>
      </c>
      <c r="U650" s="265">
        <v>0</v>
      </c>
      <c r="V650" s="265">
        <v>0</v>
      </c>
      <c r="W650" s="265">
        <v>0</v>
      </c>
      <c r="X650" s="265">
        <v>0</v>
      </c>
      <c r="Y650" s="50">
        <f t="shared" si="12"/>
        <v>0</v>
      </c>
    </row>
    <row r="651" spans="1:25" s="39" customFormat="1" x14ac:dyDescent="0.35">
      <c r="A651" s="37" t="s">
        <v>1784</v>
      </c>
      <c r="B651" s="89" t="s">
        <v>2969</v>
      </c>
      <c r="C651" s="91">
        <v>8470430</v>
      </c>
      <c r="D651" s="37" t="s">
        <v>1974</v>
      </c>
      <c r="E651" s="91">
        <v>492316</v>
      </c>
      <c r="F651" s="37" t="s">
        <v>221</v>
      </c>
      <c r="G651" s="90">
        <v>847001</v>
      </c>
      <c r="H651" s="37" t="s">
        <v>50</v>
      </c>
      <c r="I651" s="90">
        <v>300180</v>
      </c>
      <c r="J651" s="37" t="s">
        <v>192</v>
      </c>
      <c r="K651" s="265">
        <v>9198</v>
      </c>
      <c r="L651" s="265">
        <v>0</v>
      </c>
      <c r="M651" s="265">
        <v>0</v>
      </c>
      <c r="N651" s="265">
        <v>0</v>
      </c>
      <c r="O651" s="265">
        <v>0</v>
      </c>
      <c r="P651" s="265">
        <v>0</v>
      </c>
      <c r="Q651" s="265">
        <v>0</v>
      </c>
      <c r="R651" s="265">
        <v>0</v>
      </c>
      <c r="S651" s="265">
        <v>0</v>
      </c>
      <c r="T651" s="265">
        <v>0</v>
      </c>
      <c r="U651" s="265">
        <v>0</v>
      </c>
      <c r="V651" s="265">
        <v>0</v>
      </c>
      <c r="W651" s="265">
        <v>0</v>
      </c>
      <c r="X651" s="265">
        <v>0</v>
      </c>
      <c r="Y651" s="50">
        <f t="shared" si="12"/>
        <v>0</v>
      </c>
    </row>
    <row r="652" spans="1:25" s="39" customFormat="1" x14ac:dyDescent="0.35">
      <c r="A652" s="37" t="s">
        <v>1784</v>
      </c>
      <c r="B652" s="89" t="s">
        <v>2970</v>
      </c>
      <c r="C652" s="91">
        <v>8470440</v>
      </c>
      <c r="D652" s="37" t="s">
        <v>2001</v>
      </c>
      <c r="E652" s="91">
        <v>495140</v>
      </c>
      <c r="F652" s="37" t="s">
        <v>541</v>
      </c>
      <c r="G652" s="90">
        <v>847001</v>
      </c>
      <c r="H652" s="37" t="s">
        <v>50</v>
      </c>
      <c r="I652" s="90">
        <v>300180</v>
      </c>
      <c r="J652" s="37" t="s">
        <v>192</v>
      </c>
      <c r="K652" s="265">
        <v>24679</v>
      </c>
      <c r="L652" s="265">
        <v>0</v>
      </c>
      <c r="M652" s="265">
        <v>0</v>
      </c>
      <c r="N652" s="265">
        <v>0</v>
      </c>
      <c r="O652" s="265">
        <v>0</v>
      </c>
      <c r="P652" s="265">
        <v>0</v>
      </c>
      <c r="Q652" s="265">
        <v>0</v>
      </c>
      <c r="R652" s="265">
        <v>0</v>
      </c>
      <c r="S652" s="265">
        <v>0</v>
      </c>
      <c r="T652" s="265">
        <v>0</v>
      </c>
      <c r="U652" s="265">
        <v>0</v>
      </c>
      <c r="V652" s="265">
        <v>0</v>
      </c>
      <c r="W652" s="265">
        <v>0</v>
      </c>
      <c r="X652" s="265">
        <v>0</v>
      </c>
      <c r="Y652" s="50">
        <f t="shared" si="12"/>
        <v>0</v>
      </c>
    </row>
    <row r="653" spans="1:25" s="39" customFormat="1" x14ac:dyDescent="0.35">
      <c r="A653" s="37" t="s">
        <v>1784</v>
      </c>
      <c r="B653" s="89" t="s">
        <v>2971</v>
      </c>
      <c r="C653" s="91">
        <v>8470450</v>
      </c>
      <c r="D653" s="37" t="s">
        <v>2100</v>
      </c>
      <c r="E653" s="91">
        <v>436600</v>
      </c>
      <c r="F653" s="37" t="s">
        <v>416</v>
      </c>
      <c r="G653" s="90">
        <v>847001</v>
      </c>
      <c r="H653" s="37" t="s">
        <v>50</v>
      </c>
      <c r="I653" s="90">
        <v>200179</v>
      </c>
      <c r="J653" s="37" t="s">
        <v>61</v>
      </c>
      <c r="K653" s="265">
        <v>10200</v>
      </c>
      <c r="L653" s="265">
        <v>0</v>
      </c>
      <c r="M653" s="265">
        <v>0</v>
      </c>
      <c r="N653" s="265">
        <v>0</v>
      </c>
      <c r="O653" s="265">
        <v>0</v>
      </c>
      <c r="P653" s="265">
        <v>0</v>
      </c>
      <c r="Q653" s="265">
        <v>0</v>
      </c>
      <c r="R653" s="265">
        <v>0</v>
      </c>
      <c r="S653" s="265">
        <v>0</v>
      </c>
      <c r="T653" s="265">
        <v>0</v>
      </c>
      <c r="U653" s="265">
        <v>0</v>
      </c>
      <c r="V653" s="265">
        <v>0</v>
      </c>
      <c r="W653" s="265">
        <v>0</v>
      </c>
      <c r="X653" s="265">
        <v>0</v>
      </c>
      <c r="Y653" s="50">
        <f t="shared" si="12"/>
        <v>0</v>
      </c>
    </row>
    <row r="654" spans="1:25" s="39" customFormat="1" x14ac:dyDescent="0.35">
      <c r="A654" s="37" t="s">
        <v>47</v>
      </c>
      <c r="B654" s="89" t="s">
        <v>2918</v>
      </c>
      <c r="C654" s="91">
        <v>8470520</v>
      </c>
      <c r="D654" s="37" t="s">
        <v>2375</v>
      </c>
      <c r="E654" s="91">
        <v>421600</v>
      </c>
      <c r="F654" s="37" t="s">
        <v>1475</v>
      </c>
      <c r="G654" s="90">
        <v>847010</v>
      </c>
      <c r="H654" s="37" t="s">
        <v>2413</v>
      </c>
      <c r="I654" s="90">
        <v>200179</v>
      </c>
      <c r="J654" s="37" t="s">
        <v>61</v>
      </c>
      <c r="K654" s="265">
        <v>3850039</v>
      </c>
      <c r="L654" s="265">
        <v>330004</v>
      </c>
      <c r="M654" s="265">
        <v>0</v>
      </c>
      <c r="N654" s="265">
        <v>0</v>
      </c>
      <c r="O654" s="265">
        <v>0</v>
      </c>
      <c r="P654" s="265">
        <v>0</v>
      </c>
      <c r="Q654" s="265">
        <v>0</v>
      </c>
      <c r="R654" s="265">
        <v>0</v>
      </c>
      <c r="S654" s="265">
        <v>0</v>
      </c>
      <c r="T654" s="265">
        <v>0</v>
      </c>
      <c r="U654" s="265">
        <v>0</v>
      </c>
      <c r="V654" s="265">
        <v>0</v>
      </c>
      <c r="W654" s="265">
        <v>0</v>
      </c>
      <c r="X654" s="265">
        <v>0</v>
      </c>
      <c r="Y654" s="50">
        <f t="shared" si="12"/>
        <v>0</v>
      </c>
    </row>
    <row r="655" spans="1:25" s="39" customFormat="1" x14ac:dyDescent="0.35">
      <c r="A655" s="37" t="s">
        <v>47</v>
      </c>
      <c r="B655" s="89" t="s">
        <v>2972</v>
      </c>
      <c r="C655" s="91">
        <v>8470520</v>
      </c>
      <c r="D655" s="37" t="s">
        <v>2375</v>
      </c>
      <c r="E655" s="91">
        <v>421600</v>
      </c>
      <c r="F655" s="37" t="s">
        <v>1475</v>
      </c>
      <c r="G655" s="90">
        <v>847020</v>
      </c>
      <c r="H655" s="37" t="s">
        <v>2093</v>
      </c>
      <c r="I655" s="90">
        <v>200179</v>
      </c>
      <c r="J655" s="37" t="s">
        <v>61</v>
      </c>
      <c r="K655" s="265">
        <v>3706862</v>
      </c>
      <c r="L655" s="265">
        <v>0</v>
      </c>
      <c r="M655" s="265">
        <v>0</v>
      </c>
      <c r="N655" s="265">
        <v>0</v>
      </c>
      <c r="O655" s="265">
        <v>0</v>
      </c>
      <c r="P655" s="265">
        <v>0</v>
      </c>
      <c r="Q655" s="265">
        <v>0</v>
      </c>
      <c r="R655" s="265">
        <v>0</v>
      </c>
      <c r="S655" s="265">
        <v>0</v>
      </c>
      <c r="T655" s="265">
        <v>0</v>
      </c>
      <c r="U655" s="265">
        <v>0</v>
      </c>
      <c r="V655" s="265">
        <v>0</v>
      </c>
      <c r="W655" s="265">
        <v>0</v>
      </c>
      <c r="X655" s="265">
        <v>0</v>
      </c>
      <c r="Y655" s="50">
        <f t="shared" si="12"/>
        <v>0</v>
      </c>
    </row>
    <row r="656" spans="1:25" s="39" customFormat="1" x14ac:dyDescent="0.35">
      <c r="A656" s="37" t="s">
        <v>47</v>
      </c>
      <c r="B656" s="89" t="s">
        <v>2973</v>
      </c>
      <c r="C656" s="91">
        <v>8470520</v>
      </c>
      <c r="D656" s="37" t="s">
        <v>2375</v>
      </c>
      <c r="E656" s="91">
        <v>421700</v>
      </c>
      <c r="F656" s="37" t="s">
        <v>2438</v>
      </c>
      <c r="G656" s="90">
        <v>847001</v>
      </c>
      <c r="H656" s="37" t="s">
        <v>50</v>
      </c>
      <c r="I656" s="90">
        <v>200179</v>
      </c>
      <c r="J656" s="37" t="s">
        <v>61</v>
      </c>
      <c r="K656" s="265">
        <v>86250</v>
      </c>
      <c r="L656" s="265">
        <v>0</v>
      </c>
      <c r="M656" s="265">
        <v>0</v>
      </c>
      <c r="N656" s="265">
        <v>0</v>
      </c>
      <c r="O656" s="265">
        <v>0</v>
      </c>
      <c r="P656" s="265">
        <v>0</v>
      </c>
      <c r="Q656" s="265">
        <v>0</v>
      </c>
      <c r="R656" s="265">
        <v>0</v>
      </c>
      <c r="S656" s="38">
        <v>0</v>
      </c>
      <c r="T656" s="265">
        <v>0</v>
      </c>
      <c r="U656" s="265">
        <v>0</v>
      </c>
      <c r="V656" s="265">
        <v>0</v>
      </c>
      <c r="W656" s="265">
        <v>0</v>
      </c>
      <c r="X656" s="265">
        <v>0</v>
      </c>
      <c r="Y656" s="50">
        <f t="shared" si="12"/>
        <v>0</v>
      </c>
    </row>
    <row r="657" spans="1:25" s="39" customFormat="1" x14ac:dyDescent="0.35">
      <c r="A657" s="37" t="s">
        <v>47</v>
      </c>
      <c r="B657" s="89" t="s">
        <v>2974</v>
      </c>
      <c r="C657" s="91">
        <v>8470520</v>
      </c>
      <c r="D657" s="37" t="s">
        <v>2375</v>
      </c>
      <c r="E657" s="91">
        <v>426610</v>
      </c>
      <c r="F657" s="37" t="s">
        <v>694</v>
      </c>
      <c r="G657" s="90">
        <v>847001</v>
      </c>
      <c r="H657" s="37" t="s">
        <v>50</v>
      </c>
      <c r="I657" s="90">
        <v>200179</v>
      </c>
      <c r="J657" s="37" t="s">
        <v>61</v>
      </c>
      <c r="K657" s="265">
        <v>178096</v>
      </c>
      <c r="L657" s="265">
        <v>-918</v>
      </c>
      <c r="M657" s="265">
        <v>0</v>
      </c>
      <c r="N657" s="265">
        <v>0</v>
      </c>
      <c r="O657" s="265">
        <v>0</v>
      </c>
      <c r="P657" s="265">
        <v>0</v>
      </c>
      <c r="Q657" s="265">
        <v>0</v>
      </c>
      <c r="R657" s="265">
        <v>0</v>
      </c>
      <c r="S657" s="265">
        <v>0</v>
      </c>
      <c r="T657" s="265">
        <v>0</v>
      </c>
      <c r="U657" s="265">
        <v>0</v>
      </c>
      <c r="V657" s="265">
        <v>0</v>
      </c>
      <c r="W657" s="265">
        <v>0</v>
      </c>
      <c r="X657" s="265">
        <v>0</v>
      </c>
      <c r="Y657" s="50">
        <f t="shared" si="12"/>
        <v>0</v>
      </c>
    </row>
    <row r="658" spans="1:25" s="39" customFormat="1" x14ac:dyDescent="0.35">
      <c r="A658" s="37" t="s">
        <v>47</v>
      </c>
      <c r="B658" s="89" t="s">
        <v>2975</v>
      </c>
      <c r="C658" s="91">
        <v>8470530</v>
      </c>
      <c r="D658" s="37" t="s">
        <v>2412</v>
      </c>
      <c r="E658" s="91">
        <v>420310</v>
      </c>
      <c r="F658" s="37" t="s">
        <v>3038</v>
      </c>
      <c r="G658" s="90">
        <v>847030</v>
      </c>
      <c r="H658" s="37" t="s">
        <v>2429</v>
      </c>
      <c r="I658" s="90">
        <v>200179</v>
      </c>
      <c r="J658" s="37" t="s">
        <v>61</v>
      </c>
      <c r="K658" s="265">
        <v>1955517</v>
      </c>
      <c r="L658" s="265">
        <v>2457310</v>
      </c>
      <c r="M658" s="265">
        <v>0</v>
      </c>
      <c r="N658" s="265">
        <v>0</v>
      </c>
      <c r="O658" s="265">
        <v>0</v>
      </c>
      <c r="P658" s="265">
        <v>0</v>
      </c>
      <c r="Q658" s="265">
        <v>0</v>
      </c>
      <c r="R658" s="265">
        <v>0</v>
      </c>
      <c r="S658" s="265">
        <v>0</v>
      </c>
      <c r="T658" s="265">
        <v>0</v>
      </c>
      <c r="U658" s="265">
        <v>0</v>
      </c>
      <c r="V658" s="265">
        <v>0</v>
      </c>
      <c r="W658" s="265">
        <v>0</v>
      </c>
      <c r="X658" s="265">
        <v>0</v>
      </c>
      <c r="Y658" s="50">
        <f t="shared" si="12"/>
        <v>0</v>
      </c>
    </row>
    <row r="659" spans="1:25" s="39" customFormat="1" x14ac:dyDescent="0.35">
      <c r="A659" s="37" t="s">
        <v>47</v>
      </c>
      <c r="B659" s="89" t="s">
        <v>2919</v>
      </c>
      <c r="C659" s="91">
        <v>8470530</v>
      </c>
      <c r="D659" s="37" t="s">
        <v>2412</v>
      </c>
      <c r="E659" s="91">
        <v>421100</v>
      </c>
      <c r="F659" s="37" t="s">
        <v>3042</v>
      </c>
      <c r="G659" s="90">
        <v>847020</v>
      </c>
      <c r="H659" s="37" t="s">
        <v>2093</v>
      </c>
      <c r="I659" s="90">
        <v>200179</v>
      </c>
      <c r="J659" s="37" t="s">
        <v>61</v>
      </c>
      <c r="K659" s="265">
        <v>140889</v>
      </c>
      <c r="L659" s="265">
        <v>0</v>
      </c>
      <c r="M659" s="265">
        <v>0</v>
      </c>
      <c r="N659" s="265">
        <v>0</v>
      </c>
      <c r="O659" s="265">
        <v>0</v>
      </c>
      <c r="P659" s="265">
        <v>0</v>
      </c>
      <c r="Q659" s="265">
        <v>0</v>
      </c>
      <c r="R659" s="265">
        <v>0</v>
      </c>
      <c r="S659" s="265">
        <v>0</v>
      </c>
      <c r="T659" s="265">
        <v>0</v>
      </c>
      <c r="U659" s="265">
        <v>0</v>
      </c>
      <c r="V659" s="265">
        <v>0</v>
      </c>
      <c r="W659" s="265">
        <v>0</v>
      </c>
      <c r="X659" s="265">
        <v>0</v>
      </c>
      <c r="Y659" s="50">
        <f t="shared" si="12"/>
        <v>0</v>
      </c>
    </row>
    <row r="660" spans="1:25" s="39" customFormat="1" x14ac:dyDescent="0.35">
      <c r="A660" s="37" t="s">
        <v>47</v>
      </c>
      <c r="B660" s="89" t="s">
        <v>2976</v>
      </c>
      <c r="C660" s="91">
        <v>8470530</v>
      </c>
      <c r="D660" s="37" t="s">
        <v>2412</v>
      </c>
      <c r="E660" s="91">
        <v>421100</v>
      </c>
      <c r="F660" s="37" t="s">
        <v>3042</v>
      </c>
      <c r="G660" s="90">
        <v>847030</v>
      </c>
      <c r="H660" s="37" t="s">
        <v>2429</v>
      </c>
      <c r="I660" s="90">
        <v>200179</v>
      </c>
      <c r="J660" s="37" t="s">
        <v>61</v>
      </c>
      <c r="K660" s="265">
        <v>267837</v>
      </c>
      <c r="L660" s="265">
        <v>0</v>
      </c>
      <c r="M660" s="265">
        <v>0</v>
      </c>
      <c r="N660" s="265">
        <v>0</v>
      </c>
      <c r="O660" s="265">
        <v>0</v>
      </c>
      <c r="P660" s="265">
        <v>0</v>
      </c>
      <c r="Q660" s="265">
        <v>0</v>
      </c>
      <c r="R660" s="265">
        <v>0</v>
      </c>
      <c r="S660" s="265">
        <v>0</v>
      </c>
      <c r="T660" s="265">
        <v>0</v>
      </c>
      <c r="U660" s="265">
        <v>0</v>
      </c>
      <c r="V660" s="265">
        <v>0</v>
      </c>
      <c r="W660" s="265">
        <v>0</v>
      </c>
      <c r="X660" s="265">
        <v>0</v>
      </c>
      <c r="Y660" s="50">
        <f t="shared" si="12"/>
        <v>0</v>
      </c>
    </row>
    <row r="661" spans="1:25" s="39" customFormat="1" x14ac:dyDescent="0.35">
      <c r="A661" s="37" t="s">
        <v>47</v>
      </c>
      <c r="B661" s="89" t="s">
        <v>2977</v>
      </c>
      <c r="C661" s="91">
        <v>8470530</v>
      </c>
      <c r="D661" s="37" t="s">
        <v>2412</v>
      </c>
      <c r="E661" s="91">
        <v>422100</v>
      </c>
      <c r="F661" s="37" t="s">
        <v>1021</v>
      </c>
      <c r="G661" s="90">
        <v>847030</v>
      </c>
      <c r="H661" s="37" t="s">
        <v>2429</v>
      </c>
      <c r="I661" s="90">
        <v>200179</v>
      </c>
      <c r="J661" s="37" t="s">
        <v>61</v>
      </c>
      <c r="K661" s="265">
        <v>126268</v>
      </c>
      <c r="L661" s="265">
        <v>0</v>
      </c>
      <c r="M661" s="265">
        <v>0</v>
      </c>
      <c r="N661" s="265">
        <v>0</v>
      </c>
      <c r="O661" s="265">
        <v>0</v>
      </c>
      <c r="P661" s="265">
        <v>0</v>
      </c>
      <c r="Q661" s="265">
        <v>0</v>
      </c>
      <c r="R661" s="265">
        <v>0</v>
      </c>
      <c r="S661" s="265">
        <v>0</v>
      </c>
      <c r="T661" s="265">
        <v>0</v>
      </c>
      <c r="U661" s="265">
        <v>0</v>
      </c>
      <c r="V661" s="265">
        <v>0</v>
      </c>
      <c r="W661" s="265">
        <v>0</v>
      </c>
      <c r="X661" s="265">
        <v>0</v>
      </c>
      <c r="Y661" s="50">
        <f t="shared" si="12"/>
        <v>0</v>
      </c>
    </row>
    <row r="662" spans="1:25" s="39" customFormat="1" x14ac:dyDescent="0.35">
      <c r="A662" s="37" t="s">
        <v>47</v>
      </c>
      <c r="B662" s="89" t="s">
        <v>2978</v>
      </c>
      <c r="C662" s="91">
        <v>8470530</v>
      </c>
      <c r="D662" s="37" t="s">
        <v>2412</v>
      </c>
      <c r="E662" s="91">
        <v>426210</v>
      </c>
      <c r="F662" s="37" t="s">
        <v>2551</v>
      </c>
      <c r="G662" s="90">
        <v>847010</v>
      </c>
      <c r="H662" s="37" t="s">
        <v>2413</v>
      </c>
      <c r="I662" s="90">
        <v>200179</v>
      </c>
      <c r="J662" s="37" t="s">
        <v>61</v>
      </c>
      <c r="K662" s="265">
        <v>5079</v>
      </c>
      <c r="L662" s="265">
        <v>3157</v>
      </c>
      <c r="M662" s="265">
        <v>2826</v>
      </c>
      <c r="N662" s="265">
        <v>0</v>
      </c>
      <c r="O662" s="265">
        <v>0</v>
      </c>
      <c r="P662" s="265">
        <v>0</v>
      </c>
      <c r="Q662" s="265">
        <v>0</v>
      </c>
      <c r="R662" s="265">
        <v>0</v>
      </c>
      <c r="S662" s="265">
        <v>0</v>
      </c>
      <c r="T662" s="265">
        <v>0</v>
      </c>
      <c r="U662" s="265">
        <v>0</v>
      </c>
      <c r="V662" s="265">
        <v>0</v>
      </c>
      <c r="W662" s="265">
        <v>0</v>
      </c>
      <c r="X662" s="265">
        <v>0</v>
      </c>
      <c r="Y662" s="50">
        <f t="shared" si="12"/>
        <v>0</v>
      </c>
    </row>
    <row r="663" spans="1:25" s="39" customFormat="1" x14ac:dyDescent="0.35">
      <c r="A663" s="37" t="s">
        <v>47</v>
      </c>
      <c r="B663" s="89" t="s">
        <v>2920</v>
      </c>
      <c r="C663" s="91">
        <v>8470530</v>
      </c>
      <c r="D663" s="37" t="s">
        <v>2412</v>
      </c>
      <c r="E663" s="91">
        <v>426800</v>
      </c>
      <c r="F663" s="37" t="s">
        <v>2552</v>
      </c>
      <c r="G663" s="90">
        <v>847010</v>
      </c>
      <c r="H663" s="37" t="s">
        <v>2413</v>
      </c>
      <c r="I663" s="90">
        <v>200179</v>
      </c>
      <c r="J663" s="37" t="s">
        <v>61</v>
      </c>
      <c r="K663" s="265">
        <v>5629</v>
      </c>
      <c r="L663" s="265">
        <v>6771</v>
      </c>
      <c r="M663" s="265">
        <v>6245</v>
      </c>
      <c r="N663" s="265">
        <v>0</v>
      </c>
      <c r="O663" s="265">
        <v>0</v>
      </c>
      <c r="P663" s="265">
        <v>0</v>
      </c>
      <c r="Q663" s="265">
        <v>0</v>
      </c>
      <c r="R663" s="265">
        <v>0</v>
      </c>
      <c r="S663" s="265">
        <v>0</v>
      </c>
      <c r="T663" s="265">
        <v>0</v>
      </c>
      <c r="U663" s="265">
        <v>0</v>
      </c>
      <c r="V663" s="265">
        <v>0</v>
      </c>
      <c r="W663" s="265">
        <v>0</v>
      </c>
      <c r="X663" s="265">
        <v>0</v>
      </c>
      <c r="Y663" s="50">
        <f t="shared" si="12"/>
        <v>0</v>
      </c>
    </row>
    <row r="664" spans="1:25" s="39" customFormat="1" x14ac:dyDescent="0.35">
      <c r="A664" s="37" t="s">
        <v>47</v>
      </c>
      <c r="B664" s="89" t="s">
        <v>2921</v>
      </c>
      <c r="C664" s="91">
        <v>8470530</v>
      </c>
      <c r="D664" s="37" t="s">
        <v>2412</v>
      </c>
      <c r="E664" s="91">
        <v>426800</v>
      </c>
      <c r="F664" s="37" t="s">
        <v>2552</v>
      </c>
      <c r="G664" s="90">
        <v>847020</v>
      </c>
      <c r="H664" s="37" t="s">
        <v>2093</v>
      </c>
      <c r="I664" s="90">
        <v>200179</v>
      </c>
      <c r="J664" s="37" t="s">
        <v>61</v>
      </c>
      <c r="K664" s="265">
        <v>8235</v>
      </c>
      <c r="L664" s="265">
        <v>0</v>
      </c>
      <c r="M664" s="265">
        <v>0</v>
      </c>
      <c r="N664" s="265">
        <v>0</v>
      </c>
      <c r="O664" s="265">
        <v>0</v>
      </c>
      <c r="P664" s="265">
        <v>0</v>
      </c>
      <c r="Q664" s="265">
        <v>0</v>
      </c>
      <c r="R664" s="265">
        <v>0</v>
      </c>
      <c r="S664" s="265">
        <v>0</v>
      </c>
      <c r="T664" s="265">
        <v>0</v>
      </c>
      <c r="U664" s="265">
        <v>0</v>
      </c>
      <c r="V664" s="265">
        <v>0</v>
      </c>
      <c r="W664" s="265">
        <v>0</v>
      </c>
      <c r="X664" s="265">
        <v>0</v>
      </c>
      <c r="Y664" s="50">
        <f t="shared" si="12"/>
        <v>0</v>
      </c>
    </row>
    <row r="665" spans="1:25" s="39" customFormat="1" x14ac:dyDescent="0.35">
      <c r="A665" s="37" t="s">
        <v>47</v>
      </c>
      <c r="B665" s="89" t="s">
        <v>2922</v>
      </c>
      <c r="C665" s="91">
        <v>8470530</v>
      </c>
      <c r="D665" s="37" t="s">
        <v>2412</v>
      </c>
      <c r="E665" s="91">
        <v>426900</v>
      </c>
      <c r="F665" s="37" t="s">
        <v>1080</v>
      </c>
      <c r="G665" s="90">
        <v>847010</v>
      </c>
      <c r="H665" s="37" t="s">
        <v>2413</v>
      </c>
      <c r="I665" s="90">
        <v>200179</v>
      </c>
      <c r="J665" s="37" t="s">
        <v>61</v>
      </c>
      <c r="K665" s="265">
        <v>24109</v>
      </c>
      <c r="L665" s="265">
        <v>26537</v>
      </c>
      <c r="M665" s="265">
        <v>17871</v>
      </c>
      <c r="N665" s="265">
        <v>0</v>
      </c>
      <c r="O665" s="265">
        <v>0</v>
      </c>
      <c r="P665" s="265">
        <v>0</v>
      </c>
      <c r="Q665" s="265">
        <v>0</v>
      </c>
      <c r="R665" s="265">
        <v>0</v>
      </c>
      <c r="S665" s="265">
        <v>0</v>
      </c>
      <c r="T665" s="265">
        <v>0</v>
      </c>
      <c r="U665" s="265">
        <v>0</v>
      </c>
      <c r="V665" s="265">
        <v>0</v>
      </c>
      <c r="W665" s="265">
        <v>0</v>
      </c>
      <c r="X665" s="265">
        <v>0</v>
      </c>
      <c r="Y665" s="50">
        <f t="shared" si="12"/>
        <v>0</v>
      </c>
    </row>
    <row r="666" spans="1:25" s="39" customFormat="1" x14ac:dyDescent="0.35">
      <c r="A666" s="37" t="s">
        <v>47</v>
      </c>
      <c r="B666" s="89" t="s">
        <v>2979</v>
      </c>
      <c r="C666" s="91">
        <v>8470530</v>
      </c>
      <c r="D666" s="37" t="s">
        <v>2412</v>
      </c>
      <c r="E666" s="91">
        <v>428090</v>
      </c>
      <c r="F666" s="37" t="s">
        <v>154</v>
      </c>
      <c r="G666" s="90">
        <v>847010</v>
      </c>
      <c r="H666" s="37" t="s">
        <v>2413</v>
      </c>
      <c r="I666" s="90">
        <v>200179</v>
      </c>
      <c r="J666" s="37" t="s">
        <v>61</v>
      </c>
      <c r="K666" s="265">
        <v>99865</v>
      </c>
      <c r="L666" s="265">
        <v>0</v>
      </c>
      <c r="M666" s="265">
        <v>0</v>
      </c>
      <c r="N666" s="265">
        <v>0</v>
      </c>
      <c r="O666" s="265">
        <v>0</v>
      </c>
      <c r="P666" s="265">
        <v>0</v>
      </c>
      <c r="Q666" s="265">
        <v>0</v>
      </c>
      <c r="R666" s="265">
        <v>0</v>
      </c>
      <c r="S666" s="265">
        <v>0</v>
      </c>
      <c r="T666" s="265">
        <v>0</v>
      </c>
      <c r="U666" s="265">
        <v>0</v>
      </c>
      <c r="V666" s="265">
        <v>0</v>
      </c>
      <c r="W666" s="265">
        <v>0</v>
      </c>
      <c r="X666" s="265">
        <v>0</v>
      </c>
      <c r="Y666" s="50">
        <f t="shared" si="12"/>
        <v>0</v>
      </c>
    </row>
    <row r="667" spans="1:25" s="39" customFormat="1" x14ac:dyDescent="0.35">
      <c r="A667" s="37" t="s">
        <v>47</v>
      </c>
      <c r="B667" s="89" t="s">
        <v>2923</v>
      </c>
      <c r="C667" s="91">
        <v>8470530</v>
      </c>
      <c r="D667" s="37" t="s">
        <v>2412</v>
      </c>
      <c r="E667" s="91">
        <v>428200</v>
      </c>
      <c r="F667" s="37" t="s">
        <v>2383</v>
      </c>
      <c r="G667" s="90">
        <v>847010</v>
      </c>
      <c r="H667" s="37" t="s">
        <v>2413</v>
      </c>
      <c r="I667" s="90">
        <v>200179</v>
      </c>
      <c r="J667" s="37" t="s">
        <v>61</v>
      </c>
      <c r="K667" s="265">
        <v>210685</v>
      </c>
      <c r="L667" s="265">
        <v>0</v>
      </c>
      <c r="M667" s="265">
        <v>0</v>
      </c>
      <c r="N667" s="265">
        <v>0</v>
      </c>
      <c r="O667" s="265">
        <v>0</v>
      </c>
      <c r="P667" s="265">
        <v>0</v>
      </c>
      <c r="Q667" s="265">
        <v>0</v>
      </c>
      <c r="R667" s="265">
        <v>0</v>
      </c>
      <c r="S667" s="265">
        <v>0</v>
      </c>
      <c r="T667" s="265">
        <v>0</v>
      </c>
      <c r="U667" s="265">
        <v>0</v>
      </c>
      <c r="V667" s="265">
        <v>0</v>
      </c>
      <c r="W667" s="265">
        <v>0</v>
      </c>
      <c r="X667" s="265">
        <v>0</v>
      </c>
      <c r="Y667" s="50">
        <f t="shared" si="12"/>
        <v>0</v>
      </c>
    </row>
    <row r="668" spans="1:25" s="39" customFormat="1" x14ac:dyDescent="0.35">
      <c r="A668" s="37" t="s">
        <v>47</v>
      </c>
      <c r="B668" s="89" t="s">
        <v>2980</v>
      </c>
      <c r="C668" s="91">
        <v>8470530</v>
      </c>
      <c r="D668" s="37" t="s">
        <v>2412</v>
      </c>
      <c r="E668" s="91">
        <v>430330</v>
      </c>
      <c r="F668" s="37" t="s">
        <v>2553</v>
      </c>
      <c r="G668" s="90">
        <v>847020</v>
      </c>
      <c r="H668" s="37" t="s">
        <v>2093</v>
      </c>
      <c r="I668" s="90">
        <v>200179</v>
      </c>
      <c r="J668" s="37" t="s">
        <v>61</v>
      </c>
      <c r="K668" s="265">
        <v>408596</v>
      </c>
      <c r="L668" s="265">
        <v>0</v>
      </c>
      <c r="M668" s="265">
        <v>-3600</v>
      </c>
      <c r="N668" s="265">
        <v>0</v>
      </c>
      <c r="O668" s="265">
        <v>0</v>
      </c>
      <c r="P668" s="265">
        <v>0</v>
      </c>
      <c r="Q668" s="265">
        <v>0</v>
      </c>
      <c r="R668" s="265">
        <v>0</v>
      </c>
      <c r="S668" s="265">
        <v>0</v>
      </c>
      <c r="T668" s="265">
        <v>0</v>
      </c>
      <c r="U668" s="265">
        <v>0</v>
      </c>
      <c r="V668" s="265">
        <v>0</v>
      </c>
      <c r="W668" s="265">
        <v>0</v>
      </c>
      <c r="X668" s="265">
        <v>0</v>
      </c>
      <c r="Y668" s="50">
        <f t="shared" si="12"/>
        <v>0</v>
      </c>
    </row>
    <row r="669" spans="1:25" s="39" customFormat="1" x14ac:dyDescent="0.35">
      <c r="A669" s="37" t="s">
        <v>47</v>
      </c>
      <c r="B669" s="89" t="s">
        <v>2981</v>
      </c>
      <c r="C669" s="91">
        <v>8470530</v>
      </c>
      <c r="D669" s="37" t="s">
        <v>2412</v>
      </c>
      <c r="E669" s="91">
        <v>432170</v>
      </c>
      <c r="F669" s="37" t="s">
        <v>1536</v>
      </c>
      <c r="G669" s="90">
        <v>847030</v>
      </c>
      <c r="H669" s="37" t="s">
        <v>2429</v>
      </c>
      <c r="I669" s="90">
        <v>200179</v>
      </c>
      <c r="J669" s="37" t="s">
        <v>61</v>
      </c>
      <c r="K669" s="265">
        <v>44300</v>
      </c>
      <c r="L669" s="265">
        <v>0</v>
      </c>
      <c r="M669" s="265">
        <v>0</v>
      </c>
      <c r="N669" s="265">
        <v>0</v>
      </c>
      <c r="O669" s="265">
        <v>0</v>
      </c>
      <c r="P669" s="265">
        <v>0</v>
      </c>
      <c r="Q669" s="265">
        <v>0</v>
      </c>
      <c r="R669" s="265">
        <v>0</v>
      </c>
      <c r="S669" s="265">
        <v>0</v>
      </c>
      <c r="T669" s="265">
        <v>0</v>
      </c>
      <c r="U669" s="265">
        <v>0</v>
      </c>
      <c r="V669" s="265">
        <v>0</v>
      </c>
      <c r="W669" s="265">
        <v>0</v>
      </c>
      <c r="X669" s="265">
        <v>0</v>
      </c>
      <c r="Y669" s="50">
        <f t="shared" si="12"/>
        <v>0</v>
      </c>
    </row>
    <row r="670" spans="1:25" s="39" customFormat="1" x14ac:dyDescent="0.35">
      <c r="A670" s="37" t="s">
        <v>47</v>
      </c>
      <c r="B670" s="89" t="s">
        <v>2924</v>
      </c>
      <c r="C670" s="91">
        <v>8470530</v>
      </c>
      <c r="D670" s="37" t="s">
        <v>2412</v>
      </c>
      <c r="E670" s="91">
        <v>432540</v>
      </c>
      <c r="F670" s="37" t="s">
        <v>2554</v>
      </c>
      <c r="G670" s="90">
        <v>847010</v>
      </c>
      <c r="H670" s="37" t="s">
        <v>2413</v>
      </c>
      <c r="I670" s="90">
        <v>200179</v>
      </c>
      <c r="J670" s="37" t="s">
        <v>61</v>
      </c>
      <c r="K670" s="265">
        <v>35251</v>
      </c>
      <c r="L670" s="265">
        <v>43876</v>
      </c>
      <c r="M670" s="265">
        <v>14584</v>
      </c>
      <c r="N670" s="265">
        <v>0</v>
      </c>
      <c r="O670" s="265">
        <v>0</v>
      </c>
      <c r="P670" s="265">
        <v>0</v>
      </c>
      <c r="Q670" s="265">
        <v>0</v>
      </c>
      <c r="R670" s="265">
        <v>0</v>
      </c>
      <c r="S670" s="265">
        <v>0</v>
      </c>
      <c r="T670" s="265">
        <v>0</v>
      </c>
      <c r="U670" s="265">
        <v>0</v>
      </c>
      <c r="V670" s="265">
        <v>0</v>
      </c>
      <c r="W670" s="265">
        <v>0</v>
      </c>
      <c r="X670" s="265">
        <v>0</v>
      </c>
      <c r="Y670" s="50">
        <f t="shared" si="12"/>
        <v>0</v>
      </c>
    </row>
    <row r="671" spans="1:25" s="39" customFormat="1" x14ac:dyDescent="0.35">
      <c r="A671" s="37" t="s">
        <v>47</v>
      </c>
      <c r="B671" s="89" t="s">
        <v>2925</v>
      </c>
      <c r="C671" s="91">
        <v>8470530</v>
      </c>
      <c r="D671" s="37" t="s">
        <v>2412</v>
      </c>
      <c r="E671" s="91">
        <v>432540</v>
      </c>
      <c r="F671" s="37" t="s">
        <v>2554</v>
      </c>
      <c r="G671" s="90">
        <v>847020</v>
      </c>
      <c r="H671" s="37" t="s">
        <v>2093</v>
      </c>
      <c r="I671" s="90">
        <v>200179</v>
      </c>
      <c r="J671" s="37" t="s">
        <v>61</v>
      </c>
      <c r="K671" s="265">
        <v>28591</v>
      </c>
      <c r="L671" s="265">
        <v>0</v>
      </c>
      <c r="M671" s="265">
        <v>3160</v>
      </c>
      <c r="N671" s="265">
        <v>0</v>
      </c>
      <c r="O671" s="265">
        <v>0</v>
      </c>
      <c r="P671" s="265">
        <v>0</v>
      </c>
      <c r="Q671" s="265">
        <v>0</v>
      </c>
      <c r="R671" s="265">
        <v>0</v>
      </c>
      <c r="S671" s="265">
        <v>0</v>
      </c>
      <c r="T671" s="265">
        <v>0</v>
      </c>
      <c r="U671" s="265">
        <v>0</v>
      </c>
      <c r="V671" s="265">
        <v>0</v>
      </c>
      <c r="W671" s="265">
        <v>0</v>
      </c>
      <c r="X671" s="265">
        <v>0</v>
      </c>
      <c r="Y671" s="50">
        <f t="shared" si="12"/>
        <v>0</v>
      </c>
    </row>
    <row r="672" spans="1:25" s="39" customFormat="1" x14ac:dyDescent="0.35">
      <c r="A672" s="37" t="s">
        <v>47</v>
      </c>
      <c r="B672" s="89" t="s">
        <v>2926</v>
      </c>
      <c r="C672" s="91">
        <v>8470530</v>
      </c>
      <c r="D672" s="37" t="s">
        <v>2412</v>
      </c>
      <c r="E672" s="91">
        <v>435508</v>
      </c>
      <c r="F672" s="37" t="s">
        <v>405</v>
      </c>
      <c r="G672" s="90">
        <v>847020</v>
      </c>
      <c r="H672" s="37" t="s">
        <v>2093</v>
      </c>
      <c r="I672" s="90">
        <v>200179</v>
      </c>
      <c r="J672" s="37" t="s">
        <v>61</v>
      </c>
      <c r="K672" s="265">
        <v>150894</v>
      </c>
      <c r="L672" s="265">
        <v>-114764</v>
      </c>
      <c r="M672" s="265">
        <v>0</v>
      </c>
      <c r="N672" s="265">
        <v>0</v>
      </c>
      <c r="O672" s="265">
        <v>0</v>
      </c>
      <c r="P672" s="265">
        <v>0</v>
      </c>
      <c r="Q672" s="265">
        <v>0</v>
      </c>
      <c r="R672" s="265">
        <v>0</v>
      </c>
      <c r="S672" s="265">
        <v>0</v>
      </c>
      <c r="T672" s="265">
        <v>0</v>
      </c>
      <c r="U672" s="265">
        <v>0</v>
      </c>
      <c r="V672" s="265">
        <v>0</v>
      </c>
      <c r="W672" s="265">
        <v>0</v>
      </c>
      <c r="X672" s="265">
        <v>0</v>
      </c>
      <c r="Y672" s="50">
        <f t="shared" si="12"/>
        <v>0</v>
      </c>
    </row>
    <row r="673" spans="1:25" s="39" customFormat="1" x14ac:dyDescent="0.35">
      <c r="A673" s="37" t="s">
        <v>47</v>
      </c>
      <c r="B673" s="89" t="s">
        <v>2927</v>
      </c>
      <c r="C673" s="91">
        <v>8470530</v>
      </c>
      <c r="D673" s="37" t="s">
        <v>2412</v>
      </c>
      <c r="E673" s="91">
        <v>435508</v>
      </c>
      <c r="F673" s="37" t="s">
        <v>405</v>
      </c>
      <c r="G673" s="90">
        <v>847030</v>
      </c>
      <c r="H673" s="37" t="s">
        <v>2429</v>
      </c>
      <c r="I673" s="90">
        <v>200179</v>
      </c>
      <c r="J673" s="37" t="s">
        <v>61</v>
      </c>
      <c r="K673" s="265">
        <v>29220</v>
      </c>
      <c r="L673" s="265">
        <v>0</v>
      </c>
      <c r="M673" s="265">
        <v>0</v>
      </c>
      <c r="N673" s="265">
        <v>0</v>
      </c>
      <c r="O673" s="265">
        <v>0</v>
      </c>
      <c r="P673" s="265">
        <v>0</v>
      </c>
      <c r="Q673" s="265">
        <v>0</v>
      </c>
      <c r="R673" s="265">
        <v>0</v>
      </c>
      <c r="S673" s="265">
        <v>0</v>
      </c>
      <c r="T673" s="265">
        <v>0</v>
      </c>
      <c r="U673" s="265">
        <v>0</v>
      </c>
      <c r="V673" s="265">
        <v>0</v>
      </c>
      <c r="W673" s="265">
        <v>0</v>
      </c>
      <c r="X673" s="265">
        <v>0</v>
      </c>
      <c r="Y673" s="50">
        <f t="shared" si="12"/>
        <v>0</v>
      </c>
    </row>
    <row r="674" spans="1:25" s="39" customFormat="1" x14ac:dyDescent="0.35">
      <c r="A674" s="37" t="s">
        <v>47</v>
      </c>
      <c r="B674" s="89" t="s">
        <v>2928</v>
      </c>
      <c r="C674" s="91">
        <v>8470530</v>
      </c>
      <c r="D674" s="37" t="s">
        <v>2412</v>
      </c>
      <c r="E674" s="91">
        <v>435510</v>
      </c>
      <c r="F674" s="37" t="s">
        <v>3045</v>
      </c>
      <c r="G674" s="90">
        <v>847010</v>
      </c>
      <c r="H674" s="37" t="s">
        <v>2413</v>
      </c>
      <c r="I674" s="90">
        <v>200179</v>
      </c>
      <c r="J674" s="37" t="s">
        <v>61</v>
      </c>
      <c r="K674" s="265">
        <v>280604</v>
      </c>
      <c r="L674" s="265">
        <v>0</v>
      </c>
      <c r="M674" s="265">
        <v>0</v>
      </c>
      <c r="N674" s="265">
        <v>0</v>
      </c>
      <c r="O674" s="265">
        <v>0</v>
      </c>
      <c r="P674" s="265">
        <v>0</v>
      </c>
      <c r="Q674" s="265">
        <v>0</v>
      </c>
      <c r="R674" s="265">
        <v>0</v>
      </c>
      <c r="S674" s="265">
        <v>0</v>
      </c>
      <c r="T674" s="265">
        <v>0</v>
      </c>
      <c r="U674" s="265">
        <v>0</v>
      </c>
      <c r="V674" s="265">
        <v>0</v>
      </c>
      <c r="W674" s="265">
        <v>0</v>
      </c>
      <c r="X674" s="265">
        <v>0</v>
      </c>
      <c r="Y674" s="50">
        <f t="shared" si="12"/>
        <v>0</v>
      </c>
    </row>
    <row r="675" spans="1:25" s="39" customFormat="1" x14ac:dyDescent="0.35">
      <c r="A675" s="37" t="s">
        <v>47</v>
      </c>
      <c r="B675" s="89" t="s">
        <v>2929</v>
      </c>
      <c r="C675" s="91">
        <v>8470530</v>
      </c>
      <c r="D675" s="37" t="s">
        <v>2412</v>
      </c>
      <c r="E675" s="91">
        <v>435510</v>
      </c>
      <c r="F675" s="37" t="s">
        <v>3045</v>
      </c>
      <c r="G675" s="90">
        <v>847020</v>
      </c>
      <c r="H675" s="37" t="s">
        <v>2093</v>
      </c>
      <c r="I675" s="90">
        <v>200179</v>
      </c>
      <c r="J675" s="37" t="s">
        <v>61</v>
      </c>
      <c r="K675" s="265">
        <v>1077935</v>
      </c>
      <c r="L675" s="265">
        <v>0</v>
      </c>
      <c r="M675" s="265">
        <v>0</v>
      </c>
      <c r="N675" s="265">
        <v>0</v>
      </c>
      <c r="O675" s="265">
        <v>0</v>
      </c>
      <c r="P675" s="265">
        <v>0</v>
      </c>
      <c r="Q675" s="265">
        <v>0</v>
      </c>
      <c r="R675" s="265">
        <v>0</v>
      </c>
      <c r="S675" s="265">
        <v>0</v>
      </c>
      <c r="T675" s="265">
        <v>0</v>
      </c>
      <c r="U675" s="265">
        <v>0</v>
      </c>
      <c r="V675" s="265">
        <v>0</v>
      </c>
      <c r="W675" s="265">
        <v>0</v>
      </c>
      <c r="X675" s="265">
        <v>0</v>
      </c>
      <c r="Y675" s="50">
        <f t="shared" ref="Y675:Y706" si="13">S675-N675</f>
        <v>0</v>
      </c>
    </row>
    <row r="676" spans="1:25" s="39" customFormat="1" x14ac:dyDescent="0.35">
      <c r="A676" s="37" t="s">
        <v>47</v>
      </c>
      <c r="B676" s="89" t="s">
        <v>2930</v>
      </c>
      <c r="C676" s="91">
        <v>8470530</v>
      </c>
      <c r="D676" s="37" t="s">
        <v>2412</v>
      </c>
      <c r="E676" s="91">
        <v>435510</v>
      </c>
      <c r="F676" s="37" t="s">
        <v>3045</v>
      </c>
      <c r="G676" s="90">
        <v>847030</v>
      </c>
      <c r="H676" s="37" t="s">
        <v>2429</v>
      </c>
      <c r="I676" s="90">
        <v>200179</v>
      </c>
      <c r="J676" s="37" t="s">
        <v>61</v>
      </c>
      <c r="K676" s="265">
        <v>6840</v>
      </c>
      <c r="L676" s="265">
        <v>0</v>
      </c>
      <c r="M676" s="265">
        <v>0</v>
      </c>
      <c r="N676" s="265">
        <v>0</v>
      </c>
      <c r="O676" s="265">
        <v>0</v>
      </c>
      <c r="P676" s="265">
        <v>0</v>
      </c>
      <c r="Q676" s="265">
        <v>0</v>
      </c>
      <c r="R676" s="265">
        <v>0</v>
      </c>
      <c r="S676" s="265">
        <v>0</v>
      </c>
      <c r="T676" s="265">
        <v>0</v>
      </c>
      <c r="U676" s="265">
        <v>0</v>
      </c>
      <c r="V676" s="265">
        <v>0</v>
      </c>
      <c r="W676" s="265">
        <v>0</v>
      </c>
      <c r="X676" s="265">
        <v>0</v>
      </c>
      <c r="Y676" s="50">
        <f t="shared" si="13"/>
        <v>0</v>
      </c>
    </row>
    <row r="677" spans="1:25" s="39" customFormat="1" x14ac:dyDescent="0.35">
      <c r="A677" s="37" t="s">
        <v>47</v>
      </c>
      <c r="B677" s="89" t="s">
        <v>2931</v>
      </c>
      <c r="C677" s="91">
        <v>8470530</v>
      </c>
      <c r="D677" s="37" t="s">
        <v>2412</v>
      </c>
      <c r="E677" s="91">
        <v>435740</v>
      </c>
      <c r="F677" s="37" t="s">
        <v>2593</v>
      </c>
      <c r="G677" s="90">
        <v>847010</v>
      </c>
      <c r="H677" s="37" t="s">
        <v>2413</v>
      </c>
      <c r="I677" s="90">
        <v>200179</v>
      </c>
      <c r="J677" s="37" t="s">
        <v>61</v>
      </c>
      <c r="K677" s="265">
        <v>25816</v>
      </c>
      <c r="L677" s="265">
        <v>3162</v>
      </c>
      <c r="M677" s="265">
        <v>0</v>
      </c>
      <c r="N677" s="265">
        <v>0</v>
      </c>
      <c r="O677" s="265">
        <v>0</v>
      </c>
      <c r="P677" s="265">
        <v>0</v>
      </c>
      <c r="Q677" s="265">
        <v>0</v>
      </c>
      <c r="R677" s="265">
        <v>0</v>
      </c>
      <c r="S677" s="265">
        <v>0</v>
      </c>
      <c r="T677" s="265">
        <v>0</v>
      </c>
      <c r="U677" s="265">
        <v>0</v>
      </c>
      <c r="V677" s="265">
        <v>0</v>
      </c>
      <c r="W677" s="265">
        <v>0</v>
      </c>
      <c r="X677" s="265">
        <v>0</v>
      </c>
      <c r="Y677" s="50">
        <f t="shared" si="13"/>
        <v>0</v>
      </c>
    </row>
    <row r="678" spans="1:25" s="39" customFormat="1" x14ac:dyDescent="0.35">
      <c r="A678" s="37" t="s">
        <v>47</v>
      </c>
      <c r="B678" s="89" t="s">
        <v>2932</v>
      </c>
      <c r="C678" s="91">
        <v>8470530</v>
      </c>
      <c r="D678" s="37" t="s">
        <v>2412</v>
      </c>
      <c r="E678" s="91">
        <v>435740</v>
      </c>
      <c r="F678" s="37" t="s">
        <v>2593</v>
      </c>
      <c r="G678" s="90">
        <v>847020</v>
      </c>
      <c r="H678" s="37" t="s">
        <v>2093</v>
      </c>
      <c r="I678" s="90">
        <v>200179</v>
      </c>
      <c r="J678" s="37" t="s">
        <v>61</v>
      </c>
      <c r="K678" s="265">
        <v>18873</v>
      </c>
      <c r="L678" s="265">
        <v>-14078</v>
      </c>
      <c r="M678" s="265">
        <v>0</v>
      </c>
      <c r="N678" s="265">
        <v>0</v>
      </c>
      <c r="O678" s="265">
        <v>0</v>
      </c>
      <c r="P678" s="265">
        <v>0</v>
      </c>
      <c r="Q678" s="265">
        <v>0</v>
      </c>
      <c r="R678" s="265">
        <v>0</v>
      </c>
      <c r="S678" s="265">
        <v>0</v>
      </c>
      <c r="T678" s="265">
        <v>0</v>
      </c>
      <c r="U678" s="265">
        <v>0</v>
      </c>
      <c r="V678" s="265">
        <v>0</v>
      </c>
      <c r="W678" s="265">
        <v>0</v>
      </c>
      <c r="X678" s="265">
        <v>0</v>
      </c>
      <c r="Y678" s="50">
        <f t="shared" si="13"/>
        <v>0</v>
      </c>
    </row>
    <row r="679" spans="1:25" s="39" customFormat="1" x14ac:dyDescent="0.35">
      <c r="A679" s="37" t="s">
        <v>47</v>
      </c>
      <c r="B679" s="89" t="s">
        <v>2933</v>
      </c>
      <c r="C679" s="91">
        <v>8470530</v>
      </c>
      <c r="D679" s="37" t="s">
        <v>2412</v>
      </c>
      <c r="E679" s="91">
        <v>436110</v>
      </c>
      <c r="F679" s="37" t="s">
        <v>190</v>
      </c>
      <c r="G679" s="90">
        <v>847010</v>
      </c>
      <c r="H679" s="37" t="s">
        <v>2413</v>
      </c>
      <c r="I679" s="90">
        <v>200179</v>
      </c>
      <c r="J679" s="37" t="s">
        <v>61</v>
      </c>
      <c r="K679" s="265">
        <v>340611</v>
      </c>
      <c r="L679" s="265">
        <v>205405</v>
      </c>
      <c r="M679" s="265">
        <v>299550</v>
      </c>
      <c r="N679" s="265">
        <v>0</v>
      </c>
      <c r="O679" s="265">
        <v>0</v>
      </c>
      <c r="P679" s="265">
        <v>0</v>
      </c>
      <c r="Q679" s="265">
        <v>0</v>
      </c>
      <c r="R679" s="265">
        <v>0</v>
      </c>
      <c r="S679" s="265">
        <v>0</v>
      </c>
      <c r="T679" s="265">
        <v>0</v>
      </c>
      <c r="U679" s="265">
        <v>0</v>
      </c>
      <c r="V679" s="265">
        <v>0</v>
      </c>
      <c r="W679" s="265">
        <v>0</v>
      </c>
      <c r="X679" s="265">
        <v>0</v>
      </c>
      <c r="Y679" s="50">
        <f t="shared" si="13"/>
        <v>0</v>
      </c>
    </row>
    <row r="680" spans="1:25" s="39" customFormat="1" x14ac:dyDescent="0.35">
      <c r="A680" s="37" t="s">
        <v>47</v>
      </c>
      <c r="B680" s="89" t="s">
        <v>2934</v>
      </c>
      <c r="C680" s="91">
        <v>8470530</v>
      </c>
      <c r="D680" s="37" t="s">
        <v>2412</v>
      </c>
      <c r="E680" s="91">
        <v>436120</v>
      </c>
      <c r="F680" s="37" t="s">
        <v>291</v>
      </c>
      <c r="G680" s="90">
        <v>847020</v>
      </c>
      <c r="H680" s="37" t="s">
        <v>2093</v>
      </c>
      <c r="I680" s="90">
        <v>200179</v>
      </c>
      <c r="J680" s="37" t="s">
        <v>61</v>
      </c>
      <c r="K680" s="265">
        <v>-362</v>
      </c>
      <c r="L680" s="265">
        <v>0</v>
      </c>
      <c r="M680" s="265">
        <v>0</v>
      </c>
      <c r="N680" s="265">
        <v>0</v>
      </c>
      <c r="O680" s="265">
        <v>0</v>
      </c>
      <c r="P680" s="265">
        <v>0</v>
      </c>
      <c r="Q680" s="265">
        <v>0</v>
      </c>
      <c r="R680" s="265">
        <v>0</v>
      </c>
      <c r="S680" s="265">
        <v>0</v>
      </c>
      <c r="T680" s="265">
        <v>0</v>
      </c>
      <c r="U680" s="265">
        <v>0</v>
      </c>
      <c r="V680" s="265">
        <v>0</v>
      </c>
      <c r="W680" s="265">
        <v>0</v>
      </c>
      <c r="X680" s="265">
        <v>0</v>
      </c>
      <c r="Y680" s="50">
        <f t="shared" si="13"/>
        <v>0</v>
      </c>
    </row>
    <row r="681" spans="1:25" s="39" customFormat="1" x14ac:dyDescent="0.35">
      <c r="A681" s="37" t="s">
        <v>47</v>
      </c>
      <c r="B681" s="89" t="s">
        <v>2982</v>
      </c>
      <c r="C681" s="91">
        <v>8470530</v>
      </c>
      <c r="D681" s="37" t="s">
        <v>2412</v>
      </c>
      <c r="E681" s="91">
        <v>436220</v>
      </c>
      <c r="F681" s="37" t="s">
        <v>2555</v>
      </c>
      <c r="G681" s="90">
        <v>847010</v>
      </c>
      <c r="H681" s="37" t="s">
        <v>2413</v>
      </c>
      <c r="I681" s="90">
        <v>200179</v>
      </c>
      <c r="J681" s="37" t="s">
        <v>61</v>
      </c>
      <c r="K681" s="265">
        <v>71100</v>
      </c>
      <c r="L681" s="265">
        <v>0</v>
      </c>
      <c r="M681" s="265">
        <v>0</v>
      </c>
      <c r="N681" s="265">
        <v>0</v>
      </c>
      <c r="O681" s="265">
        <v>0</v>
      </c>
      <c r="P681" s="265">
        <v>0</v>
      </c>
      <c r="Q681" s="265">
        <v>0</v>
      </c>
      <c r="R681" s="265">
        <v>0</v>
      </c>
      <c r="S681" s="265">
        <v>0</v>
      </c>
      <c r="T681" s="265">
        <v>0</v>
      </c>
      <c r="U681" s="265">
        <v>0</v>
      </c>
      <c r="V681" s="265">
        <v>0</v>
      </c>
      <c r="W681" s="265">
        <v>0</v>
      </c>
      <c r="X681" s="265">
        <v>0</v>
      </c>
      <c r="Y681" s="50">
        <f t="shared" si="13"/>
        <v>0</v>
      </c>
    </row>
    <row r="682" spans="1:25" s="39" customFormat="1" x14ac:dyDescent="0.35">
      <c r="A682" s="37" t="s">
        <v>47</v>
      </c>
      <c r="B682" s="89" t="s">
        <v>2935</v>
      </c>
      <c r="C682" s="91">
        <v>8470530</v>
      </c>
      <c r="D682" s="37" t="s">
        <v>2412</v>
      </c>
      <c r="E682" s="91">
        <v>492200</v>
      </c>
      <c r="F682" s="37" t="s">
        <v>2475</v>
      </c>
      <c r="G682" s="90">
        <v>847030</v>
      </c>
      <c r="H682" s="37" t="s">
        <v>2429</v>
      </c>
      <c r="I682" s="90">
        <v>300180</v>
      </c>
      <c r="J682" s="37" t="s">
        <v>192</v>
      </c>
      <c r="K682" s="265">
        <v>563642</v>
      </c>
      <c r="L682" s="265">
        <v>0</v>
      </c>
      <c r="M682" s="265">
        <v>0</v>
      </c>
      <c r="N682" s="265">
        <v>0</v>
      </c>
      <c r="O682" s="265">
        <v>0</v>
      </c>
      <c r="P682" s="265">
        <v>0</v>
      </c>
      <c r="Q682" s="265">
        <v>0</v>
      </c>
      <c r="R682" s="265">
        <v>0</v>
      </c>
      <c r="S682" s="265">
        <v>0</v>
      </c>
      <c r="T682" s="265">
        <v>0</v>
      </c>
      <c r="U682" s="265">
        <v>0</v>
      </c>
      <c r="V682" s="265">
        <v>0</v>
      </c>
      <c r="W682" s="265">
        <v>0</v>
      </c>
      <c r="X682" s="265">
        <v>0</v>
      </c>
      <c r="Y682" s="50">
        <f t="shared" si="13"/>
        <v>0</v>
      </c>
    </row>
    <row r="683" spans="1:25" s="39" customFormat="1" x14ac:dyDescent="0.35">
      <c r="A683" s="37" t="s">
        <v>47</v>
      </c>
      <c r="B683" s="89" t="s">
        <v>2983</v>
      </c>
      <c r="C683" s="91">
        <v>8470530</v>
      </c>
      <c r="D683" s="37" t="s">
        <v>2412</v>
      </c>
      <c r="E683" s="91">
        <v>492316</v>
      </c>
      <c r="F683" s="37" t="s">
        <v>221</v>
      </c>
      <c r="G683" s="90">
        <v>847030</v>
      </c>
      <c r="H683" s="37" t="s">
        <v>2429</v>
      </c>
      <c r="I683" s="90">
        <v>300180</v>
      </c>
      <c r="J683" s="37" t="s">
        <v>192</v>
      </c>
      <c r="K683" s="265">
        <v>85500</v>
      </c>
      <c r="L683" s="265">
        <v>0</v>
      </c>
      <c r="M683" s="265">
        <v>0</v>
      </c>
      <c r="N683" s="265">
        <v>0</v>
      </c>
      <c r="O683" s="265">
        <v>0</v>
      </c>
      <c r="P683" s="265">
        <v>0</v>
      </c>
      <c r="Q683" s="265">
        <v>0</v>
      </c>
      <c r="R683" s="265">
        <v>0</v>
      </c>
      <c r="S683" s="265">
        <v>0</v>
      </c>
      <c r="T683" s="265">
        <v>0</v>
      </c>
      <c r="U683" s="265">
        <v>0</v>
      </c>
      <c r="V683" s="265">
        <v>0</v>
      </c>
      <c r="W683" s="265">
        <v>0</v>
      </c>
      <c r="X683" s="265">
        <v>0</v>
      </c>
      <c r="Y683" s="50">
        <f t="shared" si="13"/>
        <v>0</v>
      </c>
    </row>
    <row r="684" spans="1:25" s="39" customFormat="1" x14ac:dyDescent="0.35">
      <c r="A684" s="37" t="s">
        <v>47</v>
      </c>
      <c r="B684" s="89" t="s">
        <v>2984</v>
      </c>
      <c r="C684" s="91">
        <v>8470530</v>
      </c>
      <c r="D684" s="37" t="s">
        <v>2412</v>
      </c>
      <c r="E684" s="91">
        <v>492610</v>
      </c>
      <c r="F684" s="37" t="s">
        <v>2537</v>
      </c>
      <c r="G684" s="90">
        <v>847030</v>
      </c>
      <c r="H684" s="37" t="s">
        <v>2429</v>
      </c>
      <c r="I684" s="90">
        <v>300180</v>
      </c>
      <c r="J684" s="37" t="s">
        <v>192</v>
      </c>
      <c r="K684" s="265">
        <v>6598</v>
      </c>
      <c r="L684" s="265">
        <v>81760</v>
      </c>
      <c r="M684" s="265">
        <v>-41759</v>
      </c>
      <c r="N684" s="265">
        <v>0</v>
      </c>
      <c r="O684" s="265">
        <v>0</v>
      </c>
      <c r="P684" s="265">
        <v>0</v>
      </c>
      <c r="Q684" s="265">
        <v>0</v>
      </c>
      <c r="R684" s="265">
        <v>0</v>
      </c>
      <c r="S684" s="265">
        <v>0</v>
      </c>
      <c r="T684" s="265">
        <v>0</v>
      </c>
      <c r="U684" s="265">
        <v>0</v>
      </c>
      <c r="V684" s="265">
        <v>0</v>
      </c>
      <c r="W684" s="265">
        <v>0</v>
      </c>
      <c r="X684" s="265">
        <v>0</v>
      </c>
      <c r="Y684" s="50">
        <f t="shared" si="13"/>
        <v>0</v>
      </c>
    </row>
    <row r="685" spans="1:25" s="39" customFormat="1" x14ac:dyDescent="0.35">
      <c r="A685" s="37" t="s">
        <v>47</v>
      </c>
      <c r="B685" s="89" t="s">
        <v>2985</v>
      </c>
      <c r="C685" s="91">
        <v>8470620</v>
      </c>
      <c r="D685" s="37" t="s">
        <v>1150</v>
      </c>
      <c r="E685" s="91">
        <v>421000</v>
      </c>
      <c r="F685" s="37" t="s">
        <v>1011</v>
      </c>
      <c r="G685" s="90">
        <v>847001</v>
      </c>
      <c r="H685" s="37" t="s">
        <v>50</v>
      </c>
      <c r="I685" s="90">
        <v>200179</v>
      </c>
      <c r="J685" s="37" t="s">
        <v>61</v>
      </c>
      <c r="K685" s="265">
        <v>212500</v>
      </c>
      <c r="L685" s="265">
        <v>10000</v>
      </c>
      <c r="M685" s="265">
        <v>0</v>
      </c>
      <c r="N685" s="265">
        <v>0</v>
      </c>
      <c r="O685" s="265">
        <v>0</v>
      </c>
      <c r="P685" s="265">
        <v>0</v>
      </c>
      <c r="Q685" s="265">
        <v>0</v>
      </c>
      <c r="R685" s="265">
        <v>0</v>
      </c>
      <c r="S685" s="265">
        <v>0</v>
      </c>
      <c r="T685" s="265">
        <v>0</v>
      </c>
      <c r="U685" s="265">
        <v>0</v>
      </c>
      <c r="V685" s="265">
        <v>0</v>
      </c>
      <c r="W685" s="265">
        <v>0</v>
      </c>
      <c r="X685" s="265">
        <v>0</v>
      </c>
      <c r="Y685" s="50">
        <f t="shared" si="13"/>
        <v>0</v>
      </c>
    </row>
    <row r="686" spans="1:25" s="39" customFormat="1" x14ac:dyDescent="0.35">
      <c r="A686" s="37" t="s">
        <v>47</v>
      </c>
      <c r="B686" s="89" t="s">
        <v>2986</v>
      </c>
      <c r="C686" s="91">
        <v>8470620</v>
      </c>
      <c r="D686" s="37" t="s">
        <v>1150</v>
      </c>
      <c r="E686" s="91">
        <v>425510</v>
      </c>
      <c r="F686" s="37" t="s">
        <v>247</v>
      </c>
      <c r="G686" s="90">
        <v>847001</v>
      </c>
      <c r="H686" s="37" t="s">
        <v>50</v>
      </c>
      <c r="I686" s="90">
        <v>200179</v>
      </c>
      <c r="J686" s="37" t="s">
        <v>61</v>
      </c>
      <c r="K686" s="265">
        <v>0</v>
      </c>
      <c r="L686" s="265">
        <v>0</v>
      </c>
      <c r="M686" s="265">
        <v>0</v>
      </c>
      <c r="N686" s="38">
        <v>0</v>
      </c>
      <c r="O686" s="265">
        <v>0</v>
      </c>
      <c r="P686" s="265">
        <v>0</v>
      </c>
      <c r="Q686" s="265">
        <v>0</v>
      </c>
      <c r="R686" s="265">
        <v>0</v>
      </c>
      <c r="S686" s="38">
        <v>0</v>
      </c>
      <c r="T686" s="265">
        <v>0</v>
      </c>
      <c r="U686" s="265">
        <v>0</v>
      </c>
      <c r="V686" s="265">
        <v>0</v>
      </c>
      <c r="W686" s="265">
        <v>0</v>
      </c>
      <c r="X686" s="265">
        <v>0</v>
      </c>
      <c r="Y686" s="38">
        <f t="shared" si="13"/>
        <v>0</v>
      </c>
    </row>
    <row r="687" spans="1:25" s="39" customFormat="1" x14ac:dyDescent="0.35">
      <c r="A687" s="37" t="s">
        <v>47</v>
      </c>
      <c r="B687" s="89" t="s">
        <v>2936</v>
      </c>
      <c r="C687" s="91">
        <v>8470620</v>
      </c>
      <c r="D687" s="37" t="s">
        <v>1150</v>
      </c>
      <c r="E687" s="91">
        <v>428090</v>
      </c>
      <c r="F687" s="37" t="s">
        <v>154</v>
      </c>
      <c r="G687" s="90">
        <v>847001</v>
      </c>
      <c r="H687" s="37" t="s">
        <v>50</v>
      </c>
      <c r="I687" s="90">
        <v>200179</v>
      </c>
      <c r="J687" s="37" t="s">
        <v>61</v>
      </c>
      <c r="K687" s="265">
        <v>3790</v>
      </c>
      <c r="L687" s="265">
        <v>0</v>
      </c>
      <c r="M687" s="265">
        <v>0</v>
      </c>
      <c r="N687" s="265">
        <v>0</v>
      </c>
      <c r="O687" s="265">
        <v>0</v>
      </c>
      <c r="P687" s="265">
        <v>0</v>
      </c>
      <c r="Q687" s="265">
        <v>0</v>
      </c>
      <c r="R687" s="265">
        <v>0</v>
      </c>
      <c r="S687" s="265">
        <v>0</v>
      </c>
      <c r="T687" s="265">
        <v>0</v>
      </c>
      <c r="U687" s="265">
        <v>0</v>
      </c>
      <c r="V687" s="265">
        <v>0</v>
      </c>
      <c r="W687" s="265">
        <v>0</v>
      </c>
      <c r="X687" s="265">
        <v>0</v>
      </c>
      <c r="Y687" s="50">
        <f t="shared" si="13"/>
        <v>0</v>
      </c>
    </row>
    <row r="688" spans="1:25" s="39" customFormat="1" x14ac:dyDescent="0.35">
      <c r="A688" s="37" t="s">
        <v>47</v>
      </c>
      <c r="B688" s="89" t="s">
        <v>2937</v>
      </c>
      <c r="C688" s="91">
        <v>8470630</v>
      </c>
      <c r="D688" s="37" t="s">
        <v>2785</v>
      </c>
      <c r="E688" s="91">
        <v>428090</v>
      </c>
      <c r="F688" s="37" t="s">
        <v>154</v>
      </c>
      <c r="G688" s="90">
        <v>847001</v>
      </c>
      <c r="H688" s="37" t="s">
        <v>50</v>
      </c>
      <c r="I688" s="90">
        <v>200179</v>
      </c>
      <c r="J688" s="37" t="s">
        <v>61</v>
      </c>
      <c r="K688" s="265">
        <v>490</v>
      </c>
      <c r="L688" s="265">
        <v>0</v>
      </c>
      <c r="M688" s="265">
        <v>0</v>
      </c>
      <c r="N688" s="265">
        <v>0</v>
      </c>
      <c r="O688" s="265">
        <v>0</v>
      </c>
      <c r="P688" s="265">
        <v>0</v>
      </c>
      <c r="Q688" s="265">
        <v>0</v>
      </c>
      <c r="R688" s="265">
        <v>0</v>
      </c>
      <c r="S688" s="265">
        <v>0</v>
      </c>
      <c r="T688" s="265">
        <v>0</v>
      </c>
      <c r="U688" s="265">
        <v>0</v>
      </c>
      <c r="V688" s="265">
        <v>0</v>
      </c>
      <c r="W688" s="265">
        <v>0</v>
      </c>
      <c r="X688" s="265">
        <v>0</v>
      </c>
      <c r="Y688" s="50">
        <f t="shared" si="13"/>
        <v>0</v>
      </c>
    </row>
    <row r="689" spans="1:25" s="39" customFormat="1" x14ac:dyDescent="0.35">
      <c r="A689" s="37" t="s">
        <v>47</v>
      </c>
      <c r="B689" s="89" t="s">
        <v>2987</v>
      </c>
      <c r="C689" s="91">
        <v>8470720</v>
      </c>
      <c r="D689" s="37" t="s">
        <v>3032</v>
      </c>
      <c r="E689" s="91">
        <v>421000</v>
      </c>
      <c r="F689" s="37" t="s">
        <v>1011</v>
      </c>
      <c r="G689" s="90">
        <v>847001</v>
      </c>
      <c r="H689" s="37" t="s">
        <v>50</v>
      </c>
      <c r="I689" s="90">
        <v>200179</v>
      </c>
      <c r="J689" s="37" t="s">
        <v>61</v>
      </c>
      <c r="K689" s="265">
        <v>548400</v>
      </c>
      <c r="L689" s="265">
        <v>-60833</v>
      </c>
      <c r="M689" s="265">
        <v>-97933</v>
      </c>
      <c r="N689" s="265">
        <v>0</v>
      </c>
      <c r="O689" s="265">
        <v>0</v>
      </c>
      <c r="P689" s="265">
        <v>0</v>
      </c>
      <c r="Q689" s="265">
        <v>0</v>
      </c>
      <c r="R689" s="265">
        <v>0</v>
      </c>
      <c r="S689" s="265">
        <v>0</v>
      </c>
      <c r="T689" s="265">
        <v>0</v>
      </c>
      <c r="U689" s="265">
        <v>0</v>
      </c>
      <c r="V689" s="265">
        <v>0</v>
      </c>
      <c r="W689" s="265">
        <v>0</v>
      </c>
      <c r="X689" s="265">
        <v>0</v>
      </c>
      <c r="Y689" s="50">
        <f t="shared" si="13"/>
        <v>0</v>
      </c>
    </row>
    <row r="690" spans="1:25" s="39" customFormat="1" x14ac:dyDescent="0.35">
      <c r="A690" s="37" t="s">
        <v>47</v>
      </c>
      <c r="B690" s="89" t="s">
        <v>2988</v>
      </c>
      <c r="C690" s="91">
        <v>8470730</v>
      </c>
      <c r="D690" s="37" t="s">
        <v>1190</v>
      </c>
      <c r="E690" s="91">
        <v>421100</v>
      </c>
      <c r="F690" s="37" t="s">
        <v>3042</v>
      </c>
      <c r="G690" s="90">
        <v>847001</v>
      </c>
      <c r="H690" s="37" t="s">
        <v>50</v>
      </c>
      <c r="I690" s="90">
        <v>200179</v>
      </c>
      <c r="J690" s="37" t="s">
        <v>61</v>
      </c>
      <c r="K690" s="265">
        <v>532246</v>
      </c>
      <c r="L690" s="265">
        <v>0</v>
      </c>
      <c r="M690" s="265">
        <v>0</v>
      </c>
      <c r="N690" s="265">
        <v>0</v>
      </c>
      <c r="O690" s="265">
        <v>0</v>
      </c>
      <c r="P690" s="265">
        <v>0</v>
      </c>
      <c r="Q690" s="265">
        <v>0</v>
      </c>
      <c r="R690" s="265">
        <v>0</v>
      </c>
      <c r="S690" s="265">
        <v>0</v>
      </c>
      <c r="T690" s="265">
        <v>0</v>
      </c>
      <c r="U690" s="265">
        <v>0</v>
      </c>
      <c r="V690" s="265">
        <v>0</v>
      </c>
      <c r="W690" s="265">
        <v>0</v>
      </c>
      <c r="X690" s="265">
        <v>0</v>
      </c>
      <c r="Y690" s="50">
        <f t="shared" si="13"/>
        <v>0</v>
      </c>
    </row>
    <row r="691" spans="1:25" s="39" customFormat="1" x14ac:dyDescent="0.35">
      <c r="A691" s="37" t="s">
        <v>47</v>
      </c>
      <c r="B691" s="89" t="s">
        <v>2989</v>
      </c>
      <c r="C691" s="91">
        <v>8470730</v>
      </c>
      <c r="D691" s="37" t="s">
        <v>1190</v>
      </c>
      <c r="E691" s="91">
        <v>426290</v>
      </c>
      <c r="F691" s="37" t="s">
        <v>3046</v>
      </c>
      <c r="G691" s="90">
        <v>847001</v>
      </c>
      <c r="H691" s="37" t="s">
        <v>50</v>
      </c>
      <c r="I691" s="90">
        <v>200179</v>
      </c>
      <c r="J691" s="37" t="s">
        <v>61</v>
      </c>
      <c r="K691" s="265">
        <v>15608924</v>
      </c>
      <c r="L691" s="265">
        <v>0</v>
      </c>
      <c r="M691" s="265">
        <v>0</v>
      </c>
      <c r="N691" s="265">
        <v>0</v>
      </c>
      <c r="O691" s="265">
        <v>0</v>
      </c>
      <c r="P691" s="265">
        <v>0</v>
      </c>
      <c r="Q691" s="265">
        <v>0</v>
      </c>
      <c r="R691" s="265">
        <v>0</v>
      </c>
      <c r="S691" s="265">
        <v>0</v>
      </c>
      <c r="T691" s="265">
        <v>0</v>
      </c>
      <c r="U691" s="265">
        <v>0</v>
      </c>
      <c r="V691" s="265">
        <v>0</v>
      </c>
      <c r="W691" s="265">
        <v>0</v>
      </c>
      <c r="X691" s="265">
        <v>0</v>
      </c>
      <c r="Y691" s="50">
        <f t="shared" si="13"/>
        <v>0</v>
      </c>
    </row>
    <row r="692" spans="1:25" s="39" customFormat="1" x14ac:dyDescent="0.35">
      <c r="A692" s="37" t="s">
        <v>47</v>
      </c>
      <c r="B692" s="89" t="s">
        <v>2938</v>
      </c>
      <c r="C692" s="91">
        <v>8470730</v>
      </c>
      <c r="D692" s="37" t="s">
        <v>1190</v>
      </c>
      <c r="E692" s="91">
        <v>432205</v>
      </c>
      <c r="F692" s="37" t="s">
        <v>3040</v>
      </c>
      <c r="G692" s="90">
        <v>847001</v>
      </c>
      <c r="H692" s="37" t="s">
        <v>50</v>
      </c>
      <c r="I692" s="90">
        <v>200179</v>
      </c>
      <c r="J692" s="37" t="s">
        <v>61</v>
      </c>
      <c r="K692" s="265">
        <v>24000</v>
      </c>
      <c r="L692" s="265">
        <v>0</v>
      </c>
      <c r="M692" s="265">
        <v>0</v>
      </c>
      <c r="N692" s="265">
        <v>0</v>
      </c>
      <c r="O692" s="265">
        <v>0</v>
      </c>
      <c r="P692" s="265">
        <v>0</v>
      </c>
      <c r="Q692" s="265">
        <v>0</v>
      </c>
      <c r="R692" s="265">
        <v>0</v>
      </c>
      <c r="S692" s="265">
        <v>0</v>
      </c>
      <c r="T692" s="265">
        <v>0</v>
      </c>
      <c r="U692" s="265">
        <v>0</v>
      </c>
      <c r="V692" s="265">
        <v>0</v>
      </c>
      <c r="W692" s="265">
        <v>0</v>
      </c>
      <c r="X692" s="265">
        <v>0</v>
      </c>
      <c r="Y692" s="50">
        <f t="shared" si="13"/>
        <v>0</v>
      </c>
    </row>
    <row r="693" spans="1:25" s="39" customFormat="1" x14ac:dyDescent="0.35">
      <c r="A693" s="37" t="s">
        <v>47</v>
      </c>
      <c r="B693" s="89" t="s">
        <v>2990</v>
      </c>
      <c r="C693" s="91">
        <v>8470810</v>
      </c>
      <c r="D693" s="37" t="s">
        <v>48</v>
      </c>
      <c r="E693" s="91">
        <v>421000</v>
      </c>
      <c r="F693" s="37" t="s">
        <v>1011</v>
      </c>
      <c r="G693" s="90">
        <v>847001</v>
      </c>
      <c r="H693" s="37" t="s">
        <v>50</v>
      </c>
      <c r="I693" s="90">
        <v>200179</v>
      </c>
      <c r="J693" s="37" t="s">
        <v>61</v>
      </c>
      <c r="K693" s="265">
        <v>875149</v>
      </c>
      <c r="L693" s="265">
        <v>83751</v>
      </c>
      <c r="M693" s="265">
        <v>0</v>
      </c>
      <c r="N693" s="265">
        <v>0</v>
      </c>
      <c r="O693" s="265">
        <v>0</v>
      </c>
      <c r="P693" s="265">
        <v>0</v>
      </c>
      <c r="Q693" s="265">
        <v>0</v>
      </c>
      <c r="R693" s="265">
        <v>0</v>
      </c>
      <c r="S693" s="265">
        <v>0</v>
      </c>
      <c r="T693" s="265">
        <v>0</v>
      </c>
      <c r="U693" s="265">
        <v>0</v>
      </c>
      <c r="V693" s="265">
        <v>0</v>
      </c>
      <c r="W693" s="265">
        <v>0</v>
      </c>
      <c r="X693" s="265">
        <v>0</v>
      </c>
      <c r="Y693" s="50">
        <f t="shared" si="13"/>
        <v>0</v>
      </c>
    </row>
    <row r="694" spans="1:25" s="39" customFormat="1" x14ac:dyDescent="0.35">
      <c r="A694" s="37" t="s">
        <v>47</v>
      </c>
      <c r="B694" s="89" t="s">
        <v>2991</v>
      </c>
      <c r="C694" s="91">
        <v>8470810</v>
      </c>
      <c r="D694" s="37" t="s">
        <v>48</v>
      </c>
      <c r="E694" s="91">
        <v>425900</v>
      </c>
      <c r="F694" s="37" t="s">
        <v>266</v>
      </c>
      <c r="G694" s="90">
        <v>847001</v>
      </c>
      <c r="H694" s="37" t="s">
        <v>50</v>
      </c>
      <c r="I694" s="90">
        <v>200179</v>
      </c>
      <c r="J694" s="37" t="s">
        <v>61</v>
      </c>
      <c r="K694" s="265">
        <v>1704</v>
      </c>
      <c r="L694" s="265">
        <v>0</v>
      </c>
      <c r="M694" s="265">
        <v>0</v>
      </c>
      <c r="N694" s="265">
        <v>0</v>
      </c>
      <c r="O694" s="265">
        <v>0</v>
      </c>
      <c r="P694" s="265">
        <v>0</v>
      </c>
      <c r="Q694" s="265">
        <v>0</v>
      </c>
      <c r="R694" s="265">
        <v>0</v>
      </c>
      <c r="S694" s="265">
        <v>0</v>
      </c>
      <c r="T694" s="265">
        <v>0</v>
      </c>
      <c r="U694" s="265">
        <v>0</v>
      </c>
      <c r="V694" s="265">
        <v>0</v>
      </c>
      <c r="W694" s="265">
        <v>0</v>
      </c>
      <c r="X694" s="265">
        <v>0</v>
      </c>
      <c r="Y694" s="50">
        <f t="shared" si="13"/>
        <v>0</v>
      </c>
    </row>
    <row r="695" spans="1:25" s="39" customFormat="1" x14ac:dyDescent="0.35">
      <c r="A695" s="37" t="s">
        <v>47</v>
      </c>
      <c r="B695" s="89" t="s">
        <v>2992</v>
      </c>
      <c r="C695" s="91">
        <v>8470810</v>
      </c>
      <c r="D695" s="37" t="s">
        <v>48</v>
      </c>
      <c r="E695" s="91">
        <v>436120</v>
      </c>
      <c r="F695" s="37" t="s">
        <v>291</v>
      </c>
      <c r="G695" s="90">
        <v>847001</v>
      </c>
      <c r="H695" s="37" t="s">
        <v>50</v>
      </c>
      <c r="I695" s="90">
        <v>200179</v>
      </c>
      <c r="J695" s="37" t="s">
        <v>61</v>
      </c>
      <c r="K695" s="265">
        <v>11591</v>
      </c>
      <c r="L695" s="265">
        <v>0</v>
      </c>
      <c r="M695" s="265">
        <v>0</v>
      </c>
      <c r="N695" s="265">
        <v>0</v>
      </c>
      <c r="O695" s="265">
        <v>0</v>
      </c>
      <c r="P695" s="265">
        <v>0</v>
      </c>
      <c r="Q695" s="265">
        <v>0</v>
      </c>
      <c r="R695" s="265">
        <v>0</v>
      </c>
      <c r="S695" s="265">
        <v>0</v>
      </c>
      <c r="T695" s="265">
        <v>0</v>
      </c>
      <c r="U695" s="265">
        <v>0</v>
      </c>
      <c r="V695" s="265">
        <v>0</v>
      </c>
      <c r="W695" s="265">
        <v>0</v>
      </c>
      <c r="X695" s="265">
        <v>0</v>
      </c>
      <c r="Y695" s="50">
        <f t="shared" si="13"/>
        <v>0</v>
      </c>
    </row>
    <row r="696" spans="1:25" s="39" customFormat="1" x14ac:dyDescent="0.35">
      <c r="A696" s="37" t="s">
        <v>1209</v>
      </c>
      <c r="B696" s="89" t="s">
        <v>2993</v>
      </c>
      <c r="C696" s="91">
        <v>8471110</v>
      </c>
      <c r="D696" s="37" t="s">
        <v>1210</v>
      </c>
      <c r="E696" s="91">
        <v>421000</v>
      </c>
      <c r="F696" s="37" t="s">
        <v>1011</v>
      </c>
      <c r="G696" s="90">
        <v>847001</v>
      </c>
      <c r="H696" s="37" t="s">
        <v>50</v>
      </c>
      <c r="I696" s="90">
        <v>200179</v>
      </c>
      <c r="J696" s="37" t="s">
        <v>61</v>
      </c>
      <c r="K696" s="265">
        <v>398169</v>
      </c>
      <c r="L696" s="265">
        <v>0</v>
      </c>
      <c r="M696" s="265">
        <v>0</v>
      </c>
      <c r="N696" s="265">
        <v>0</v>
      </c>
      <c r="O696" s="265">
        <v>0</v>
      </c>
      <c r="P696" s="265">
        <v>0</v>
      </c>
      <c r="Q696" s="265">
        <v>0</v>
      </c>
      <c r="R696" s="265">
        <v>0</v>
      </c>
      <c r="S696" s="265">
        <v>0</v>
      </c>
      <c r="T696" s="265">
        <v>0</v>
      </c>
      <c r="U696" s="265">
        <v>0</v>
      </c>
      <c r="V696" s="265">
        <v>0</v>
      </c>
      <c r="W696" s="265">
        <v>0</v>
      </c>
      <c r="X696" s="265">
        <v>0</v>
      </c>
      <c r="Y696" s="50">
        <f t="shared" si="13"/>
        <v>0</v>
      </c>
    </row>
    <row r="697" spans="1:25" s="39" customFormat="1" x14ac:dyDescent="0.35">
      <c r="A697" s="37" t="s">
        <v>1209</v>
      </c>
      <c r="B697" s="89" t="s">
        <v>2994</v>
      </c>
      <c r="C697" s="91">
        <v>8471130</v>
      </c>
      <c r="D697" s="37" t="s">
        <v>1225</v>
      </c>
      <c r="E697" s="91">
        <v>420570</v>
      </c>
      <c r="F697" s="37" t="s">
        <v>231</v>
      </c>
      <c r="G697" s="90">
        <v>847001</v>
      </c>
      <c r="H697" s="37" t="s">
        <v>50</v>
      </c>
      <c r="I697" s="90">
        <v>200179</v>
      </c>
      <c r="J697" s="37" t="s">
        <v>61</v>
      </c>
      <c r="K697" s="265">
        <v>115883</v>
      </c>
      <c r="L697" s="265">
        <v>100824</v>
      </c>
      <c r="M697" s="265">
        <v>-551</v>
      </c>
      <c r="N697" s="265">
        <v>0</v>
      </c>
      <c r="O697" s="265">
        <v>0</v>
      </c>
      <c r="P697" s="265">
        <v>0</v>
      </c>
      <c r="Q697" s="265">
        <v>0</v>
      </c>
      <c r="R697" s="265">
        <v>0</v>
      </c>
      <c r="S697" s="265">
        <v>0</v>
      </c>
      <c r="T697" s="265">
        <v>0</v>
      </c>
      <c r="U697" s="265">
        <v>0</v>
      </c>
      <c r="V697" s="265">
        <v>0</v>
      </c>
      <c r="W697" s="265">
        <v>0</v>
      </c>
      <c r="X697" s="265">
        <v>0</v>
      </c>
      <c r="Y697" s="50">
        <f t="shared" si="13"/>
        <v>0</v>
      </c>
    </row>
    <row r="698" spans="1:25" s="39" customFormat="1" x14ac:dyDescent="0.35">
      <c r="A698" s="37" t="s">
        <v>1209</v>
      </c>
      <c r="B698" s="89" t="s">
        <v>2939</v>
      </c>
      <c r="C698" s="91">
        <v>8471130</v>
      </c>
      <c r="D698" s="37" t="s">
        <v>1225</v>
      </c>
      <c r="E698" s="91">
        <v>492316</v>
      </c>
      <c r="F698" s="37" t="s">
        <v>221</v>
      </c>
      <c r="G698" s="90">
        <v>847001</v>
      </c>
      <c r="H698" s="37" t="s">
        <v>50</v>
      </c>
      <c r="I698" s="90">
        <v>300180</v>
      </c>
      <c r="J698" s="37" t="s">
        <v>192</v>
      </c>
      <c r="K698" s="265">
        <v>27025</v>
      </c>
      <c r="L698" s="265">
        <v>3032179</v>
      </c>
      <c r="M698" s="265">
        <v>0</v>
      </c>
      <c r="N698" s="265">
        <v>0</v>
      </c>
      <c r="O698" s="265">
        <v>0</v>
      </c>
      <c r="P698" s="265">
        <v>0</v>
      </c>
      <c r="Q698" s="265">
        <v>0</v>
      </c>
      <c r="R698" s="265">
        <v>0</v>
      </c>
      <c r="S698" s="265">
        <v>0</v>
      </c>
      <c r="T698" s="265">
        <v>0</v>
      </c>
      <c r="U698" s="265">
        <v>0</v>
      </c>
      <c r="V698" s="265">
        <v>0</v>
      </c>
      <c r="W698" s="265">
        <v>0</v>
      </c>
      <c r="X698" s="265">
        <v>0</v>
      </c>
      <c r="Y698" s="50">
        <f t="shared" si="13"/>
        <v>0</v>
      </c>
    </row>
    <row r="699" spans="1:25" s="39" customFormat="1" x14ac:dyDescent="0.35">
      <c r="A699" s="37" t="s">
        <v>1209</v>
      </c>
      <c r="B699" s="89" t="s">
        <v>2940</v>
      </c>
      <c r="C699" s="91">
        <v>8471130</v>
      </c>
      <c r="D699" s="37" t="s">
        <v>1225</v>
      </c>
      <c r="E699" s="91">
        <v>495140</v>
      </c>
      <c r="F699" s="37" t="s">
        <v>541</v>
      </c>
      <c r="G699" s="90">
        <v>847001</v>
      </c>
      <c r="H699" s="37" t="s">
        <v>50</v>
      </c>
      <c r="I699" s="90">
        <v>300180</v>
      </c>
      <c r="J699" s="37" t="s">
        <v>192</v>
      </c>
      <c r="K699" s="265">
        <v>420727</v>
      </c>
      <c r="L699" s="265">
        <v>280485</v>
      </c>
      <c r="M699" s="265">
        <v>0</v>
      </c>
      <c r="N699" s="265">
        <v>0</v>
      </c>
      <c r="O699" s="265">
        <v>0</v>
      </c>
      <c r="P699" s="265">
        <v>0</v>
      </c>
      <c r="Q699" s="265">
        <v>0</v>
      </c>
      <c r="R699" s="265">
        <v>0</v>
      </c>
      <c r="S699" s="265">
        <v>0</v>
      </c>
      <c r="T699" s="265">
        <v>0</v>
      </c>
      <c r="U699" s="265">
        <v>0</v>
      </c>
      <c r="V699" s="265">
        <v>0</v>
      </c>
      <c r="W699" s="265">
        <v>0</v>
      </c>
      <c r="X699" s="265">
        <v>0</v>
      </c>
      <c r="Y699" s="50">
        <f t="shared" si="13"/>
        <v>0</v>
      </c>
    </row>
    <row r="700" spans="1:25" s="39" customFormat="1" x14ac:dyDescent="0.35">
      <c r="A700" s="37" t="s">
        <v>1209</v>
      </c>
      <c r="B700" s="89" t="s">
        <v>2942</v>
      </c>
      <c r="C700" s="91">
        <v>8471140</v>
      </c>
      <c r="D700" s="37" t="s">
        <v>1249</v>
      </c>
      <c r="E700" s="91">
        <v>425900</v>
      </c>
      <c r="F700" s="37" t="s">
        <v>266</v>
      </c>
      <c r="G700" s="90">
        <v>847001</v>
      </c>
      <c r="H700" s="37" t="s">
        <v>50</v>
      </c>
      <c r="I700" s="90">
        <v>200179</v>
      </c>
      <c r="J700" s="37" t="s">
        <v>61</v>
      </c>
      <c r="K700" s="265">
        <v>3342</v>
      </c>
      <c r="L700" s="265">
        <v>0</v>
      </c>
      <c r="M700" s="265">
        <v>0</v>
      </c>
      <c r="N700" s="265">
        <v>0</v>
      </c>
      <c r="O700" s="265">
        <v>0</v>
      </c>
      <c r="P700" s="265">
        <v>0</v>
      </c>
      <c r="Q700" s="265">
        <v>0</v>
      </c>
      <c r="R700" s="265">
        <v>0</v>
      </c>
      <c r="S700" s="265">
        <v>0</v>
      </c>
      <c r="T700" s="265">
        <v>0</v>
      </c>
      <c r="U700" s="265">
        <v>0</v>
      </c>
      <c r="V700" s="265">
        <v>0</v>
      </c>
      <c r="W700" s="265">
        <v>0</v>
      </c>
      <c r="X700" s="265">
        <v>0</v>
      </c>
      <c r="Y700" s="50">
        <f t="shared" si="13"/>
        <v>0</v>
      </c>
    </row>
    <row r="701" spans="1:25" s="39" customFormat="1" x14ac:dyDescent="0.35">
      <c r="A701" s="37" t="s">
        <v>1209</v>
      </c>
      <c r="B701" s="89" t="s">
        <v>2995</v>
      </c>
      <c r="C701" s="91">
        <v>8471150</v>
      </c>
      <c r="D701" s="37" t="s">
        <v>1265</v>
      </c>
      <c r="E701" s="91">
        <v>421000</v>
      </c>
      <c r="F701" s="37" t="s">
        <v>1011</v>
      </c>
      <c r="G701" s="90">
        <v>847001</v>
      </c>
      <c r="H701" s="37" t="s">
        <v>50</v>
      </c>
      <c r="I701" s="90">
        <v>200179</v>
      </c>
      <c r="J701" s="37" t="s">
        <v>61</v>
      </c>
      <c r="K701" s="265">
        <v>91825</v>
      </c>
      <c r="L701" s="265">
        <v>71624</v>
      </c>
      <c r="M701" s="265">
        <v>0</v>
      </c>
      <c r="N701" s="265">
        <v>0</v>
      </c>
      <c r="O701" s="265">
        <v>0</v>
      </c>
      <c r="P701" s="265">
        <v>0</v>
      </c>
      <c r="Q701" s="265">
        <v>0</v>
      </c>
      <c r="R701" s="265">
        <v>0</v>
      </c>
      <c r="S701" s="265">
        <v>0</v>
      </c>
      <c r="T701" s="265">
        <v>0</v>
      </c>
      <c r="U701" s="265">
        <v>0</v>
      </c>
      <c r="V701" s="265">
        <v>0</v>
      </c>
      <c r="W701" s="265">
        <v>0</v>
      </c>
      <c r="X701" s="265">
        <v>0</v>
      </c>
      <c r="Y701" s="50">
        <f t="shared" si="13"/>
        <v>0</v>
      </c>
    </row>
    <row r="702" spans="1:25" s="39" customFormat="1" x14ac:dyDescent="0.35">
      <c r="A702" s="37" t="s">
        <v>1209</v>
      </c>
      <c r="B702" s="37" t="s">
        <v>2996</v>
      </c>
      <c r="C702" s="91">
        <v>8471160</v>
      </c>
      <c r="D702" s="37" t="s">
        <v>3036</v>
      </c>
      <c r="E702" s="91">
        <v>422100</v>
      </c>
      <c r="F702" s="37" t="s">
        <v>1021</v>
      </c>
      <c r="G702" s="90">
        <v>847001</v>
      </c>
      <c r="H702" s="37" t="s">
        <v>50</v>
      </c>
      <c r="I702" s="90">
        <v>200179</v>
      </c>
      <c r="J702" s="37" t="s">
        <v>61</v>
      </c>
      <c r="K702" s="265">
        <v>72233</v>
      </c>
      <c r="L702" s="265">
        <v>3122</v>
      </c>
      <c r="M702" s="265">
        <v>100000</v>
      </c>
      <c r="N702" s="265">
        <v>0</v>
      </c>
      <c r="O702" s="265">
        <v>0</v>
      </c>
      <c r="P702" s="265">
        <v>0</v>
      </c>
      <c r="Q702" s="265">
        <v>0</v>
      </c>
      <c r="R702" s="265">
        <v>0</v>
      </c>
      <c r="S702" s="265">
        <f>VLOOKUP(B702,'2023 Detail B-01'!O:X,10,FALSE)</f>
        <v>0</v>
      </c>
      <c r="T702" s="265">
        <f>S702*0.9</f>
        <v>0</v>
      </c>
      <c r="U702" s="265">
        <f>S702*0.8</f>
        <v>0</v>
      </c>
      <c r="V702" s="265">
        <f>T702*0.8</f>
        <v>0</v>
      </c>
      <c r="W702" s="265">
        <f>VLOOKUP(B702,'2024 Detail B-01'!O:U,7,FALSE)</f>
        <v>0</v>
      </c>
      <c r="X702" s="265">
        <f>VLOOKUP(B702,'2025 Detail B-01'!O:U,7,FALSE)</f>
        <v>0</v>
      </c>
      <c r="Y702" s="50">
        <f t="shared" si="13"/>
        <v>0</v>
      </c>
    </row>
    <row r="703" spans="1:25" s="39" customFormat="1" x14ac:dyDescent="0.35">
      <c r="A703" s="37" t="s">
        <v>1209</v>
      </c>
      <c r="B703" s="37" t="s">
        <v>2943</v>
      </c>
      <c r="C703" s="91">
        <v>8471160</v>
      </c>
      <c r="D703" s="37" t="s">
        <v>3036</v>
      </c>
      <c r="E703" s="91">
        <v>430330</v>
      </c>
      <c r="F703" s="37" t="s">
        <v>2553</v>
      </c>
      <c r="G703" s="90">
        <v>847001</v>
      </c>
      <c r="H703" s="37" t="s">
        <v>50</v>
      </c>
      <c r="I703" s="90">
        <v>200179</v>
      </c>
      <c r="J703" s="37" t="s">
        <v>61</v>
      </c>
      <c r="K703" s="265">
        <v>97138</v>
      </c>
      <c r="L703" s="265">
        <v>-86772</v>
      </c>
      <c r="M703" s="265">
        <v>-3673</v>
      </c>
      <c r="N703" s="265">
        <v>0</v>
      </c>
      <c r="O703" s="265">
        <v>0</v>
      </c>
      <c r="P703" s="265">
        <v>0</v>
      </c>
      <c r="Q703" s="265">
        <v>0</v>
      </c>
      <c r="R703" s="265">
        <v>0</v>
      </c>
      <c r="S703" s="265">
        <f>VLOOKUP(B703,'2023 Detail B-01'!O:X,10,FALSE)</f>
        <v>0</v>
      </c>
      <c r="T703" s="265">
        <f>S703*0.9</f>
        <v>0</v>
      </c>
      <c r="U703" s="265">
        <f>S703*0.8</f>
        <v>0</v>
      </c>
      <c r="V703" s="265">
        <f>T703*0.8</f>
        <v>0</v>
      </c>
      <c r="W703" s="265">
        <f>VLOOKUP(B703,'2024 Detail B-01'!O:U,7,FALSE)</f>
        <v>0</v>
      </c>
      <c r="X703" s="265">
        <f>VLOOKUP(B703,'2025 Detail B-01'!O:U,7,FALSE)</f>
        <v>0</v>
      </c>
      <c r="Y703" s="50">
        <f t="shared" si="13"/>
        <v>0</v>
      </c>
    </row>
    <row r="704" spans="1:25" s="39" customFormat="1" x14ac:dyDescent="0.35">
      <c r="A704" s="37" t="s">
        <v>1209</v>
      </c>
      <c r="B704" s="89" t="s">
        <v>2997</v>
      </c>
      <c r="C704" s="91">
        <v>8471170</v>
      </c>
      <c r="D704" s="37" t="s">
        <v>1286</v>
      </c>
      <c r="E704" s="91">
        <v>421100</v>
      </c>
      <c r="F704" s="37" t="s">
        <v>3042</v>
      </c>
      <c r="G704" s="90">
        <v>847001</v>
      </c>
      <c r="H704" s="37" t="s">
        <v>50</v>
      </c>
      <c r="I704" s="90">
        <v>200179</v>
      </c>
      <c r="J704" s="37" t="s">
        <v>61</v>
      </c>
      <c r="K704" s="265">
        <v>444672</v>
      </c>
      <c r="L704" s="265">
        <v>-866</v>
      </c>
      <c r="M704" s="265">
        <v>0</v>
      </c>
      <c r="N704" s="265">
        <v>0</v>
      </c>
      <c r="O704" s="265">
        <v>0</v>
      </c>
      <c r="P704" s="265">
        <v>0</v>
      </c>
      <c r="Q704" s="265">
        <v>0</v>
      </c>
      <c r="R704" s="265">
        <v>0</v>
      </c>
      <c r="S704" s="265">
        <v>0</v>
      </c>
      <c r="T704" s="265">
        <v>0</v>
      </c>
      <c r="U704" s="265">
        <v>0</v>
      </c>
      <c r="V704" s="265">
        <v>0</v>
      </c>
      <c r="W704" s="265">
        <v>0</v>
      </c>
      <c r="X704" s="265">
        <v>0</v>
      </c>
      <c r="Y704" s="50">
        <f t="shared" si="13"/>
        <v>0</v>
      </c>
    </row>
    <row r="705" spans="1:25" s="39" customFormat="1" x14ac:dyDescent="0.35">
      <c r="A705" s="37" t="s">
        <v>1350</v>
      </c>
      <c r="B705" s="89" t="s">
        <v>2944</v>
      </c>
      <c r="C705" s="91">
        <v>8471210</v>
      </c>
      <c r="D705" s="37" t="s">
        <v>1351</v>
      </c>
      <c r="E705" s="91">
        <v>426610</v>
      </c>
      <c r="F705" s="37" t="s">
        <v>694</v>
      </c>
      <c r="G705" s="90">
        <v>847001</v>
      </c>
      <c r="H705" s="37" t="s">
        <v>50</v>
      </c>
      <c r="I705" s="90">
        <v>200179</v>
      </c>
      <c r="J705" s="37" t="s">
        <v>61</v>
      </c>
      <c r="K705" s="265">
        <v>5599</v>
      </c>
      <c r="L705" s="265">
        <v>0</v>
      </c>
      <c r="M705" s="265">
        <v>0</v>
      </c>
      <c r="N705" s="265">
        <v>0</v>
      </c>
      <c r="O705" s="265">
        <v>0</v>
      </c>
      <c r="P705" s="265">
        <v>0</v>
      </c>
      <c r="Q705" s="265">
        <v>0</v>
      </c>
      <c r="R705" s="265">
        <v>0</v>
      </c>
      <c r="S705" s="265">
        <v>0</v>
      </c>
      <c r="T705" s="265">
        <v>0</v>
      </c>
      <c r="U705" s="265">
        <v>0</v>
      </c>
      <c r="V705" s="265">
        <v>0</v>
      </c>
      <c r="W705" s="265">
        <v>0</v>
      </c>
      <c r="X705" s="265">
        <v>0</v>
      </c>
      <c r="Y705" s="50">
        <f t="shared" si="13"/>
        <v>0</v>
      </c>
    </row>
    <row r="706" spans="1:25" s="39" customFormat="1" x14ac:dyDescent="0.35">
      <c r="A706" s="37" t="s">
        <v>1350</v>
      </c>
      <c r="B706" s="89" t="s">
        <v>2998</v>
      </c>
      <c r="C706" s="91">
        <v>8471250</v>
      </c>
      <c r="D706" s="37" t="s">
        <v>1545</v>
      </c>
      <c r="E706" s="91">
        <v>425761</v>
      </c>
      <c r="F706" s="37" t="s">
        <v>1383</v>
      </c>
      <c r="G706" s="90">
        <v>847001</v>
      </c>
      <c r="H706" s="37" t="s">
        <v>50</v>
      </c>
      <c r="I706" s="90">
        <v>200179</v>
      </c>
      <c r="J706" s="37" t="s">
        <v>61</v>
      </c>
      <c r="K706" s="265">
        <v>18335</v>
      </c>
      <c r="L706" s="265">
        <v>0</v>
      </c>
      <c r="M706" s="265">
        <v>0</v>
      </c>
      <c r="N706" s="265">
        <v>0</v>
      </c>
      <c r="O706" s="265">
        <v>0</v>
      </c>
      <c r="P706" s="265">
        <v>0</v>
      </c>
      <c r="Q706" s="265">
        <v>0</v>
      </c>
      <c r="R706" s="265">
        <v>0</v>
      </c>
      <c r="S706" s="265">
        <v>0</v>
      </c>
      <c r="T706" s="265">
        <v>0</v>
      </c>
      <c r="U706" s="265">
        <v>0</v>
      </c>
      <c r="V706" s="265">
        <v>0</v>
      </c>
      <c r="W706" s="265">
        <v>0</v>
      </c>
      <c r="X706" s="265">
        <v>0</v>
      </c>
      <c r="Y706" s="50">
        <f t="shared" si="13"/>
        <v>0</v>
      </c>
    </row>
    <row r="707" spans="1:25" s="39" customFormat="1" x14ac:dyDescent="0.35">
      <c r="A707" s="37" t="s">
        <v>1350</v>
      </c>
      <c r="B707" s="89" t="s">
        <v>2999</v>
      </c>
      <c r="C707" s="91">
        <v>8471260</v>
      </c>
      <c r="D707" s="37" t="s">
        <v>1404</v>
      </c>
      <c r="E707" s="91">
        <v>425720</v>
      </c>
      <c r="F707" s="37" t="s">
        <v>620</v>
      </c>
      <c r="G707" s="90">
        <v>847001</v>
      </c>
      <c r="H707" s="37" t="s">
        <v>50</v>
      </c>
      <c r="I707" s="90">
        <v>200179</v>
      </c>
      <c r="J707" s="37" t="s">
        <v>61</v>
      </c>
      <c r="K707" s="265">
        <v>27190</v>
      </c>
      <c r="L707" s="265">
        <v>10500</v>
      </c>
      <c r="M707" s="265">
        <v>0</v>
      </c>
      <c r="N707" s="265">
        <v>0</v>
      </c>
      <c r="O707" s="265">
        <v>0</v>
      </c>
      <c r="P707" s="265">
        <v>0</v>
      </c>
      <c r="Q707" s="265">
        <v>0</v>
      </c>
      <c r="R707" s="265">
        <v>0</v>
      </c>
      <c r="S707" s="265">
        <v>0</v>
      </c>
      <c r="T707" s="265">
        <v>0</v>
      </c>
      <c r="U707" s="265">
        <v>0</v>
      </c>
      <c r="V707" s="265">
        <v>0</v>
      </c>
      <c r="W707" s="265">
        <v>0</v>
      </c>
      <c r="X707" s="265">
        <v>0</v>
      </c>
      <c r="Y707" s="50">
        <f t="shared" ref="Y707:Y741" si="14">S707-N707</f>
        <v>0</v>
      </c>
    </row>
    <row r="708" spans="1:25" s="39" customFormat="1" x14ac:dyDescent="0.35">
      <c r="A708" s="37" t="s">
        <v>1350</v>
      </c>
      <c r="B708" s="89" t="s">
        <v>2945</v>
      </c>
      <c r="C708" s="91">
        <v>8471260</v>
      </c>
      <c r="D708" s="37" t="s">
        <v>1404</v>
      </c>
      <c r="E708" s="91">
        <v>427810</v>
      </c>
      <c r="F708" s="37" t="s">
        <v>3043</v>
      </c>
      <c r="G708" s="90">
        <v>847001</v>
      </c>
      <c r="H708" s="37" t="s">
        <v>50</v>
      </c>
      <c r="I708" s="90">
        <v>200179</v>
      </c>
      <c r="J708" s="37" t="s">
        <v>61</v>
      </c>
      <c r="K708" s="265">
        <v>39752</v>
      </c>
      <c r="L708" s="265">
        <v>87520</v>
      </c>
      <c r="M708" s="265">
        <v>0</v>
      </c>
      <c r="N708" s="265">
        <v>0</v>
      </c>
      <c r="O708" s="265">
        <v>0</v>
      </c>
      <c r="P708" s="265">
        <v>0</v>
      </c>
      <c r="Q708" s="265">
        <v>0</v>
      </c>
      <c r="R708" s="265">
        <v>0</v>
      </c>
      <c r="S708" s="265">
        <v>0</v>
      </c>
      <c r="T708" s="265">
        <v>0</v>
      </c>
      <c r="U708" s="265">
        <v>0</v>
      </c>
      <c r="V708" s="265">
        <v>0</v>
      </c>
      <c r="W708" s="265">
        <v>0</v>
      </c>
      <c r="X708" s="265">
        <v>0</v>
      </c>
      <c r="Y708" s="50">
        <f t="shared" si="14"/>
        <v>0</v>
      </c>
    </row>
    <row r="709" spans="1:25" s="39" customFormat="1" x14ac:dyDescent="0.35">
      <c r="A709" s="37" t="s">
        <v>1350</v>
      </c>
      <c r="B709" s="89" t="s">
        <v>3000</v>
      </c>
      <c r="C709" s="91">
        <v>8471260</v>
      </c>
      <c r="D709" s="37" t="s">
        <v>1404</v>
      </c>
      <c r="E709" s="91">
        <v>435410</v>
      </c>
      <c r="F709" s="37" t="s">
        <v>2590</v>
      </c>
      <c r="G709" s="90">
        <v>847001</v>
      </c>
      <c r="H709" s="37" t="s">
        <v>50</v>
      </c>
      <c r="I709" s="90">
        <v>200179</v>
      </c>
      <c r="J709" s="37" t="s">
        <v>61</v>
      </c>
      <c r="K709" s="265">
        <v>155664</v>
      </c>
      <c r="L709" s="265">
        <v>0</v>
      </c>
      <c r="M709" s="265">
        <v>0</v>
      </c>
      <c r="N709" s="265">
        <v>0</v>
      </c>
      <c r="O709" s="265">
        <v>0</v>
      </c>
      <c r="P709" s="265">
        <v>0</v>
      </c>
      <c r="Q709" s="265">
        <v>0</v>
      </c>
      <c r="R709" s="265">
        <v>0</v>
      </c>
      <c r="S709" s="265">
        <v>0</v>
      </c>
      <c r="T709" s="265">
        <v>0</v>
      </c>
      <c r="U709" s="265">
        <v>0</v>
      </c>
      <c r="V709" s="265">
        <v>0</v>
      </c>
      <c r="W709" s="265">
        <v>0</v>
      </c>
      <c r="X709" s="265">
        <v>0</v>
      </c>
      <c r="Y709" s="50">
        <f t="shared" si="14"/>
        <v>0</v>
      </c>
    </row>
    <row r="710" spans="1:25" s="39" customFormat="1" x14ac:dyDescent="0.35">
      <c r="A710" s="37" t="s">
        <v>1350</v>
      </c>
      <c r="B710" s="89" t="s">
        <v>2947</v>
      </c>
      <c r="C710" s="91">
        <v>8471260</v>
      </c>
      <c r="D710" s="37" t="s">
        <v>1404</v>
      </c>
      <c r="E710" s="91">
        <v>492610</v>
      </c>
      <c r="F710" s="37" t="s">
        <v>2537</v>
      </c>
      <c r="G710" s="90">
        <v>847001</v>
      </c>
      <c r="H710" s="37" t="s">
        <v>50</v>
      </c>
      <c r="I710" s="90">
        <v>300180</v>
      </c>
      <c r="J710" s="37" t="s">
        <v>192</v>
      </c>
      <c r="K710" s="265">
        <v>9124622</v>
      </c>
      <c r="L710" s="265">
        <v>968930</v>
      </c>
      <c r="M710" s="265">
        <v>0</v>
      </c>
      <c r="N710" s="265">
        <v>0</v>
      </c>
      <c r="O710" s="265">
        <v>0</v>
      </c>
      <c r="P710" s="265">
        <v>0</v>
      </c>
      <c r="Q710" s="265">
        <v>0</v>
      </c>
      <c r="R710" s="265">
        <v>0</v>
      </c>
      <c r="S710" s="265">
        <v>0</v>
      </c>
      <c r="T710" s="265">
        <v>0</v>
      </c>
      <c r="U710" s="265">
        <v>0</v>
      </c>
      <c r="V710" s="265">
        <v>0</v>
      </c>
      <c r="W710" s="265">
        <v>0</v>
      </c>
      <c r="X710" s="265">
        <v>0</v>
      </c>
      <c r="Y710" s="50">
        <f t="shared" si="14"/>
        <v>0</v>
      </c>
    </row>
    <row r="711" spans="1:25" s="39" customFormat="1" x14ac:dyDescent="0.35">
      <c r="A711" s="37" t="s">
        <v>1350</v>
      </c>
      <c r="B711" s="89" t="s">
        <v>3001</v>
      </c>
      <c r="C711" s="91">
        <v>8471270</v>
      </c>
      <c r="D711" s="37" t="s">
        <v>1497</v>
      </c>
      <c r="E711" s="91">
        <v>425510</v>
      </c>
      <c r="F711" s="37" t="s">
        <v>247</v>
      </c>
      <c r="G711" s="90">
        <v>847001</v>
      </c>
      <c r="H711" s="37" t="s">
        <v>50</v>
      </c>
      <c r="I711" s="90">
        <v>200179</v>
      </c>
      <c r="J711" s="37" t="s">
        <v>61</v>
      </c>
      <c r="K711" s="265">
        <v>0</v>
      </c>
      <c r="L711" s="265">
        <v>16513</v>
      </c>
      <c r="M711" s="265">
        <v>0</v>
      </c>
      <c r="N711" s="38">
        <v>0</v>
      </c>
      <c r="O711" s="265">
        <v>0</v>
      </c>
      <c r="P711" s="265">
        <v>0</v>
      </c>
      <c r="Q711" s="265">
        <v>0</v>
      </c>
      <c r="R711" s="265">
        <v>0</v>
      </c>
      <c r="S711" s="38">
        <v>0</v>
      </c>
      <c r="T711" s="265">
        <v>0</v>
      </c>
      <c r="U711" s="265">
        <v>0</v>
      </c>
      <c r="V711" s="265">
        <v>0</v>
      </c>
      <c r="W711" s="265">
        <v>0</v>
      </c>
      <c r="X711" s="265">
        <v>0</v>
      </c>
      <c r="Y711" s="38">
        <f t="shared" si="14"/>
        <v>0</v>
      </c>
    </row>
    <row r="712" spans="1:25" s="39" customFormat="1" x14ac:dyDescent="0.35">
      <c r="A712" s="37" t="s">
        <v>1350</v>
      </c>
      <c r="B712" s="89" t="s">
        <v>3002</v>
      </c>
      <c r="C712" s="91">
        <v>8471270</v>
      </c>
      <c r="D712" s="37" t="s">
        <v>1497</v>
      </c>
      <c r="E712" s="91">
        <v>436120</v>
      </c>
      <c r="F712" s="37" t="s">
        <v>291</v>
      </c>
      <c r="G712" s="90">
        <v>847001</v>
      </c>
      <c r="H712" s="37" t="s">
        <v>50</v>
      </c>
      <c r="I712" s="90">
        <v>200179</v>
      </c>
      <c r="J712" s="37" t="s">
        <v>61</v>
      </c>
      <c r="K712" s="265">
        <v>6479</v>
      </c>
      <c r="L712" s="265">
        <v>0</v>
      </c>
      <c r="M712" s="265">
        <v>0</v>
      </c>
      <c r="N712" s="265">
        <v>0</v>
      </c>
      <c r="O712" s="265">
        <v>0</v>
      </c>
      <c r="P712" s="265">
        <v>0</v>
      </c>
      <c r="Q712" s="265">
        <v>0</v>
      </c>
      <c r="R712" s="265">
        <v>0</v>
      </c>
      <c r="S712" s="265">
        <v>0</v>
      </c>
      <c r="T712" s="265">
        <v>0</v>
      </c>
      <c r="U712" s="265">
        <v>0</v>
      </c>
      <c r="V712" s="265">
        <v>0</v>
      </c>
      <c r="W712" s="265">
        <v>0</v>
      </c>
      <c r="X712" s="265">
        <v>0</v>
      </c>
      <c r="Y712" s="50">
        <f t="shared" si="14"/>
        <v>0</v>
      </c>
    </row>
    <row r="713" spans="1:25" s="39" customFormat="1" x14ac:dyDescent="0.35">
      <c r="A713" s="37" t="s">
        <v>1000</v>
      </c>
      <c r="B713" s="89" t="s">
        <v>3003</v>
      </c>
      <c r="C713" s="91">
        <v>8471305</v>
      </c>
      <c r="D713" s="37" t="s">
        <v>1001</v>
      </c>
      <c r="E713" s="91">
        <v>420550</v>
      </c>
      <c r="F713" s="37" t="s">
        <v>225</v>
      </c>
      <c r="G713" s="90">
        <v>847001</v>
      </c>
      <c r="H713" s="37" t="s">
        <v>50</v>
      </c>
      <c r="I713" s="90">
        <v>200179</v>
      </c>
      <c r="J713" s="37" t="s">
        <v>61</v>
      </c>
      <c r="K713" s="265">
        <v>72720</v>
      </c>
      <c r="L713" s="265">
        <v>0</v>
      </c>
      <c r="M713" s="265">
        <v>0</v>
      </c>
      <c r="N713" s="265">
        <v>0</v>
      </c>
      <c r="O713" s="265">
        <v>0</v>
      </c>
      <c r="P713" s="265">
        <v>0</v>
      </c>
      <c r="Q713" s="265">
        <v>0</v>
      </c>
      <c r="R713" s="265">
        <v>0</v>
      </c>
      <c r="S713" s="265">
        <v>0</v>
      </c>
      <c r="T713" s="265">
        <v>0</v>
      </c>
      <c r="U713" s="265">
        <v>0</v>
      </c>
      <c r="V713" s="265">
        <v>0</v>
      </c>
      <c r="W713" s="265">
        <v>0</v>
      </c>
      <c r="X713" s="265">
        <v>0</v>
      </c>
      <c r="Y713" s="50">
        <f t="shared" si="14"/>
        <v>0</v>
      </c>
    </row>
    <row r="714" spans="1:25" s="39" customFormat="1" x14ac:dyDescent="0.35">
      <c r="A714" s="37" t="s">
        <v>1000</v>
      </c>
      <c r="B714" s="89" t="s">
        <v>3004</v>
      </c>
      <c r="C714" s="91">
        <v>8471305</v>
      </c>
      <c r="D714" s="37" t="s">
        <v>1001</v>
      </c>
      <c r="E714" s="91">
        <v>425741</v>
      </c>
      <c r="F714" s="37" t="s">
        <v>1485</v>
      </c>
      <c r="G714" s="90">
        <v>847001</v>
      </c>
      <c r="H714" s="37" t="s">
        <v>50</v>
      </c>
      <c r="I714" s="90">
        <v>200179</v>
      </c>
      <c r="J714" s="37" t="s">
        <v>61</v>
      </c>
      <c r="K714" s="265">
        <v>3126671</v>
      </c>
      <c r="L714" s="265">
        <v>5265867</v>
      </c>
      <c r="M714" s="265">
        <v>0</v>
      </c>
      <c r="N714" s="265">
        <v>0</v>
      </c>
      <c r="O714" s="265">
        <v>0</v>
      </c>
      <c r="P714" s="265">
        <v>0</v>
      </c>
      <c r="Q714" s="265">
        <v>0</v>
      </c>
      <c r="R714" s="265">
        <v>0</v>
      </c>
      <c r="S714" s="265">
        <v>0</v>
      </c>
      <c r="T714" s="265">
        <v>0</v>
      </c>
      <c r="U714" s="265">
        <v>0</v>
      </c>
      <c r="V714" s="265">
        <v>0</v>
      </c>
      <c r="W714" s="265">
        <v>0</v>
      </c>
      <c r="X714" s="265">
        <v>0</v>
      </c>
      <c r="Y714" s="50">
        <f t="shared" si="14"/>
        <v>0</v>
      </c>
    </row>
    <row r="715" spans="1:25" s="39" customFormat="1" x14ac:dyDescent="0.35">
      <c r="A715" s="37" t="s">
        <v>1000</v>
      </c>
      <c r="B715" s="89" t="s">
        <v>3005</v>
      </c>
      <c r="C715" s="91">
        <v>8471305</v>
      </c>
      <c r="D715" s="37" t="s">
        <v>1001</v>
      </c>
      <c r="E715" s="91">
        <v>425760</v>
      </c>
      <c r="F715" s="37" t="s">
        <v>352</v>
      </c>
      <c r="G715" s="90">
        <v>847001</v>
      </c>
      <c r="H715" s="37" t="s">
        <v>50</v>
      </c>
      <c r="I715" s="90">
        <v>200179</v>
      </c>
      <c r="J715" s="37" t="s">
        <v>61</v>
      </c>
      <c r="K715" s="265">
        <v>1365</v>
      </c>
      <c r="L715" s="265">
        <v>4145</v>
      </c>
      <c r="M715" s="265">
        <v>8694</v>
      </c>
      <c r="N715" s="265">
        <v>0</v>
      </c>
      <c r="O715" s="265">
        <v>0</v>
      </c>
      <c r="P715" s="265">
        <v>0</v>
      </c>
      <c r="Q715" s="265">
        <v>0</v>
      </c>
      <c r="R715" s="265">
        <v>0</v>
      </c>
      <c r="S715" s="265">
        <v>0</v>
      </c>
      <c r="T715" s="265">
        <v>0</v>
      </c>
      <c r="U715" s="265">
        <v>0</v>
      </c>
      <c r="V715" s="265">
        <v>0</v>
      </c>
      <c r="W715" s="265">
        <v>0</v>
      </c>
      <c r="X715" s="265">
        <v>0</v>
      </c>
      <c r="Y715" s="50">
        <f t="shared" si="14"/>
        <v>0</v>
      </c>
    </row>
    <row r="716" spans="1:25" s="39" customFormat="1" x14ac:dyDescent="0.35">
      <c r="A716" s="37" t="s">
        <v>1000</v>
      </c>
      <c r="B716" s="89" t="s">
        <v>3006</v>
      </c>
      <c r="C716" s="91">
        <v>8471305</v>
      </c>
      <c r="D716" s="37" t="s">
        <v>1001</v>
      </c>
      <c r="E716" s="91">
        <v>435310</v>
      </c>
      <c r="F716" s="37" t="s">
        <v>1336</v>
      </c>
      <c r="G716" s="90">
        <v>847001</v>
      </c>
      <c r="H716" s="37" t="s">
        <v>50</v>
      </c>
      <c r="I716" s="90">
        <v>200179</v>
      </c>
      <c r="J716" s="37" t="s">
        <v>61</v>
      </c>
      <c r="K716" s="265">
        <v>1377</v>
      </c>
      <c r="L716" s="265">
        <v>0</v>
      </c>
      <c r="M716" s="265">
        <v>11085</v>
      </c>
      <c r="N716" s="265">
        <v>0</v>
      </c>
      <c r="O716" s="265">
        <v>0</v>
      </c>
      <c r="P716" s="265">
        <v>0</v>
      </c>
      <c r="Q716" s="265">
        <v>0</v>
      </c>
      <c r="R716" s="265">
        <v>0</v>
      </c>
      <c r="S716" s="265">
        <v>0</v>
      </c>
      <c r="T716" s="265">
        <v>0</v>
      </c>
      <c r="U716" s="265">
        <v>0</v>
      </c>
      <c r="V716" s="265">
        <v>0</v>
      </c>
      <c r="W716" s="265">
        <v>0</v>
      </c>
      <c r="X716" s="265">
        <v>0</v>
      </c>
      <c r="Y716" s="50">
        <f t="shared" si="14"/>
        <v>0</v>
      </c>
    </row>
    <row r="717" spans="1:25" s="39" customFormat="1" x14ac:dyDescent="0.35">
      <c r="A717" s="37" t="s">
        <v>1000</v>
      </c>
      <c r="B717" s="89" t="s">
        <v>3007</v>
      </c>
      <c r="C717" s="91">
        <v>8471305</v>
      </c>
      <c r="D717" s="37" t="s">
        <v>1001</v>
      </c>
      <c r="E717" s="91">
        <v>435410</v>
      </c>
      <c r="F717" s="37" t="s">
        <v>2590</v>
      </c>
      <c r="G717" s="90">
        <v>847001</v>
      </c>
      <c r="H717" s="37" t="s">
        <v>50</v>
      </c>
      <c r="I717" s="90">
        <v>200179</v>
      </c>
      <c r="J717" s="37" t="s">
        <v>61</v>
      </c>
      <c r="K717" s="265">
        <v>2595</v>
      </c>
      <c r="L717" s="265">
        <v>0</v>
      </c>
      <c r="M717" s="265">
        <v>0</v>
      </c>
      <c r="N717" s="265">
        <v>0</v>
      </c>
      <c r="O717" s="265">
        <v>0</v>
      </c>
      <c r="P717" s="265">
        <v>0</v>
      </c>
      <c r="Q717" s="265">
        <v>0</v>
      </c>
      <c r="R717" s="265">
        <v>0</v>
      </c>
      <c r="S717" s="265">
        <v>0</v>
      </c>
      <c r="T717" s="265">
        <v>0</v>
      </c>
      <c r="U717" s="265">
        <v>0</v>
      </c>
      <c r="V717" s="265">
        <v>0</v>
      </c>
      <c r="W717" s="265">
        <v>0</v>
      </c>
      <c r="X717" s="265">
        <v>0</v>
      </c>
      <c r="Y717" s="50">
        <f t="shared" si="14"/>
        <v>0</v>
      </c>
    </row>
    <row r="718" spans="1:25" s="39" customFormat="1" x14ac:dyDescent="0.35">
      <c r="A718" s="37" t="s">
        <v>1000</v>
      </c>
      <c r="B718" s="89" t="s">
        <v>2948</v>
      </c>
      <c r="C718" s="91">
        <v>8471305</v>
      </c>
      <c r="D718" s="37" t="s">
        <v>1001</v>
      </c>
      <c r="E718" s="91">
        <v>435519</v>
      </c>
      <c r="F718" s="37" t="s">
        <v>2348</v>
      </c>
      <c r="G718" s="90">
        <v>847001</v>
      </c>
      <c r="H718" s="37" t="s">
        <v>50</v>
      </c>
      <c r="I718" s="90">
        <v>200179</v>
      </c>
      <c r="J718" s="37" t="s">
        <v>61</v>
      </c>
      <c r="K718" s="265">
        <v>5300</v>
      </c>
      <c r="L718" s="265">
        <v>2313</v>
      </c>
      <c r="M718" s="265">
        <v>1000</v>
      </c>
      <c r="N718" s="265">
        <v>0</v>
      </c>
      <c r="O718" s="265">
        <v>0</v>
      </c>
      <c r="P718" s="265">
        <v>0</v>
      </c>
      <c r="Q718" s="265">
        <v>0</v>
      </c>
      <c r="R718" s="265">
        <v>0</v>
      </c>
      <c r="S718" s="265">
        <v>0</v>
      </c>
      <c r="T718" s="265">
        <v>0</v>
      </c>
      <c r="U718" s="265">
        <v>0</v>
      </c>
      <c r="V718" s="265">
        <v>0</v>
      </c>
      <c r="W718" s="265">
        <v>0</v>
      </c>
      <c r="X718" s="265">
        <v>0</v>
      </c>
      <c r="Y718" s="50">
        <f t="shared" si="14"/>
        <v>0</v>
      </c>
    </row>
    <row r="719" spans="1:25" s="39" customFormat="1" x14ac:dyDescent="0.35">
      <c r="A719" s="37" t="s">
        <v>2711</v>
      </c>
      <c r="B719" s="37" t="s">
        <v>3008</v>
      </c>
      <c r="C719" s="91">
        <v>8470110</v>
      </c>
      <c r="D719" s="37" t="s">
        <v>2712</v>
      </c>
      <c r="E719" s="91">
        <v>427710</v>
      </c>
      <c r="F719" s="37" t="s">
        <v>1090</v>
      </c>
      <c r="G719" s="90">
        <v>847001</v>
      </c>
      <c r="H719" s="37" t="s">
        <v>50</v>
      </c>
      <c r="I719" s="90">
        <v>200179</v>
      </c>
      <c r="J719" s="37" t="s">
        <v>61</v>
      </c>
      <c r="K719" s="265">
        <v>0</v>
      </c>
      <c r="L719" s="265">
        <v>3882</v>
      </c>
      <c r="M719" s="265">
        <v>0</v>
      </c>
      <c r="N719" s="265">
        <v>0</v>
      </c>
      <c r="O719" s="265">
        <v>0</v>
      </c>
      <c r="P719" s="265">
        <v>0</v>
      </c>
      <c r="Q719" s="265">
        <v>0</v>
      </c>
      <c r="R719" s="265">
        <v>0</v>
      </c>
      <c r="S719" s="265">
        <v>0</v>
      </c>
      <c r="T719" s="265">
        <v>0</v>
      </c>
      <c r="U719" s="265">
        <v>0</v>
      </c>
      <c r="V719" s="265">
        <v>0</v>
      </c>
      <c r="W719" s="265">
        <v>0</v>
      </c>
      <c r="X719" s="265">
        <v>0</v>
      </c>
      <c r="Y719" s="50">
        <f t="shared" si="14"/>
        <v>0</v>
      </c>
    </row>
    <row r="720" spans="1:25" s="39" customFormat="1" x14ac:dyDescent="0.35">
      <c r="A720" s="37" t="s">
        <v>334</v>
      </c>
      <c r="B720" s="37" t="s">
        <v>3009</v>
      </c>
      <c r="C720" s="91">
        <v>8470330</v>
      </c>
      <c r="D720" s="37" t="s">
        <v>666</v>
      </c>
      <c r="E720" s="91">
        <v>421700</v>
      </c>
      <c r="F720" s="37" t="s">
        <v>2438</v>
      </c>
      <c r="G720" s="90">
        <v>847001</v>
      </c>
      <c r="H720" s="37" t="s">
        <v>50</v>
      </c>
      <c r="I720" s="90">
        <v>200179</v>
      </c>
      <c r="J720" s="37" t="s">
        <v>61</v>
      </c>
      <c r="K720" s="265">
        <v>0</v>
      </c>
      <c r="L720" s="265">
        <v>52799</v>
      </c>
      <c r="M720" s="265">
        <v>0</v>
      </c>
      <c r="N720" s="265">
        <v>0</v>
      </c>
      <c r="O720" s="265">
        <v>0</v>
      </c>
      <c r="P720" s="265">
        <v>0</v>
      </c>
      <c r="Q720" s="265">
        <v>0</v>
      </c>
      <c r="R720" s="265">
        <v>0</v>
      </c>
      <c r="S720" s="38">
        <v>0</v>
      </c>
      <c r="T720" s="265">
        <v>0</v>
      </c>
      <c r="U720" s="265">
        <v>0</v>
      </c>
      <c r="V720" s="265">
        <v>0</v>
      </c>
      <c r="W720" s="265">
        <v>0</v>
      </c>
      <c r="X720" s="265">
        <v>0</v>
      </c>
      <c r="Y720" s="50">
        <f t="shared" si="14"/>
        <v>0</v>
      </c>
    </row>
    <row r="721" spans="1:25" s="39" customFormat="1" x14ac:dyDescent="0.35">
      <c r="A721" s="37" t="s">
        <v>1784</v>
      </c>
      <c r="B721" s="37" t="s">
        <v>3010</v>
      </c>
      <c r="C721" s="91">
        <v>8470435</v>
      </c>
      <c r="D721" s="37" t="s">
        <v>1993</v>
      </c>
      <c r="E721" s="91">
        <v>425550</v>
      </c>
      <c r="F721" s="37" t="s">
        <v>253</v>
      </c>
      <c r="G721" s="90">
        <v>847001</v>
      </c>
      <c r="H721" s="37" t="s">
        <v>50</v>
      </c>
      <c r="I721" s="90">
        <v>200179</v>
      </c>
      <c r="J721" s="37" t="s">
        <v>61</v>
      </c>
      <c r="K721" s="265">
        <v>0</v>
      </c>
      <c r="L721" s="265">
        <v>5500</v>
      </c>
      <c r="M721" s="265">
        <v>0</v>
      </c>
      <c r="N721" s="38">
        <v>0</v>
      </c>
      <c r="O721" s="265">
        <v>0</v>
      </c>
      <c r="P721" s="265">
        <v>0</v>
      </c>
      <c r="Q721" s="265">
        <v>0</v>
      </c>
      <c r="R721" s="265">
        <v>0</v>
      </c>
      <c r="S721" s="38">
        <v>0</v>
      </c>
      <c r="T721" s="265">
        <v>0</v>
      </c>
      <c r="U721" s="265">
        <v>0</v>
      </c>
      <c r="V721" s="265">
        <v>0</v>
      </c>
      <c r="W721" s="265">
        <v>0</v>
      </c>
      <c r="X721" s="265">
        <v>0</v>
      </c>
      <c r="Y721" s="38">
        <f t="shared" si="14"/>
        <v>0</v>
      </c>
    </row>
    <row r="722" spans="1:25" s="39" customFormat="1" x14ac:dyDescent="0.35">
      <c r="A722" s="37" t="s">
        <v>47</v>
      </c>
      <c r="B722" s="37" t="s">
        <v>3011</v>
      </c>
      <c r="C722" s="91">
        <v>8470530</v>
      </c>
      <c r="D722" s="37" t="s">
        <v>2412</v>
      </c>
      <c r="E722" s="91">
        <v>430330</v>
      </c>
      <c r="F722" s="37" t="s">
        <v>2553</v>
      </c>
      <c r="G722" s="90">
        <v>847010</v>
      </c>
      <c r="H722" s="37" t="s">
        <v>2413</v>
      </c>
      <c r="I722" s="90">
        <v>200179</v>
      </c>
      <c r="J722" s="37" t="s">
        <v>61</v>
      </c>
      <c r="K722" s="265">
        <v>0</v>
      </c>
      <c r="L722" s="265">
        <v>486391</v>
      </c>
      <c r="M722" s="265">
        <v>0</v>
      </c>
      <c r="N722" s="265">
        <v>0</v>
      </c>
      <c r="O722" s="265">
        <v>0</v>
      </c>
      <c r="P722" s="265">
        <v>0</v>
      </c>
      <c r="Q722" s="265">
        <v>0</v>
      </c>
      <c r="R722" s="265">
        <v>0</v>
      </c>
      <c r="S722" s="265">
        <v>0</v>
      </c>
      <c r="T722" s="265">
        <v>0</v>
      </c>
      <c r="U722" s="265">
        <v>0</v>
      </c>
      <c r="V722" s="265">
        <v>0</v>
      </c>
      <c r="W722" s="265">
        <v>0</v>
      </c>
      <c r="X722" s="265">
        <v>0</v>
      </c>
      <c r="Y722" s="50">
        <f t="shared" si="14"/>
        <v>0</v>
      </c>
    </row>
    <row r="723" spans="1:25" s="39" customFormat="1" x14ac:dyDescent="0.35">
      <c r="A723" s="37" t="s">
        <v>47</v>
      </c>
      <c r="B723" s="37" t="s">
        <v>3012</v>
      </c>
      <c r="C723" s="91">
        <v>8470530</v>
      </c>
      <c r="D723" s="37" t="s">
        <v>2412</v>
      </c>
      <c r="E723" s="91">
        <v>436110</v>
      </c>
      <c r="F723" s="37" t="s">
        <v>190</v>
      </c>
      <c r="G723" s="90">
        <v>847020</v>
      </c>
      <c r="H723" s="37" t="s">
        <v>2093</v>
      </c>
      <c r="I723" s="90">
        <v>200179</v>
      </c>
      <c r="J723" s="37" t="s">
        <v>61</v>
      </c>
      <c r="K723" s="265">
        <v>0</v>
      </c>
      <c r="L723" s="265">
        <v>98063</v>
      </c>
      <c r="M723" s="265">
        <v>94794</v>
      </c>
      <c r="N723" s="265">
        <v>0</v>
      </c>
      <c r="O723" s="265">
        <v>0</v>
      </c>
      <c r="P723" s="265">
        <v>0</v>
      </c>
      <c r="Q723" s="265">
        <v>0</v>
      </c>
      <c r="R723" s="265">
        <v>0</v>
      </c>
      <c r="S723" s="265">
        <v>0</v>
      </c>
      <c r="T723" s="265">
        <v>0</v>
      </c>
      <c r="U723" s="265">
        <v>0</v>
      </c>
      <c r="V723" s="265">
        <v>0</v>
      </c>
      <c r="W723" s="265">
        <v>0</v>
      </c>
      <c r="X723" s="265">
        <v>0</v>
      </c>
      <c r="Y723" s="50">
        <f t="shared" si="14"/>
        <v>0</v>
      </c>
    </row>
    <row r="724" spans="1:25" s="39" customFormat="1" x14ac:dyDescent="0.35">
      <c r="A724" s="37" t="s">
        <v>47</v>
      </c>
      <c r="B724" s="37" t="s">
        <v>3013</v>
      </c>
      <c r="C724" s="91">
        <v>8470730</v>
      </c>
      <c r="D724" s="37" t="s">
        <v>1190</v>
      </c>
      <c r="E724" s="91">
        <v>427710</v>
      </c>
      <c r="F724" s="37" t="s">
        <v>1090</v>
      </c>
      <c r="G724" s="90">
        <v>847001</v>
      </c>
      <c r="H724" s="37" t="s">
        <v>50</v>
      </c>
      <c r="I724" s="90">
        <v>200179</v>
      </c>
      <c r="J724" s="37" t="s">
        <v>61</v>
      </c>
      <c r="K724" s="265">
        <v>0</v>
      </c>
      <c r="L724" s="265">
        <v>32</v>
      </c>
      <c r="M724" s="265">
        <v>0</v>
      </c>
      <c r="N724" s="265">
        <v>0</v>
      </c>
      <c r="O724" s="265">
        <v>0</v>
      </c>
      <c r="P724" s="265">
        <v>0</v>
      </c>
      <c r="Q724" s="265">
        <v>0</v>
      </c>
      <c r="R724" s="265">
        <v>0</v>
      </c>
      <c r="S724" s="265">
        <v>0</v>
      </c>
      <c r="T724" s="265">
        <v>0</v>
      </c>
      <c r="U724" s="265">
        <v>0</v>
      </c>
      <c r="V724" s="265">
        <v>0</v>
      </c>
      <c r="W724" s="265">
        <v>0</v>
      </c>
      <c r="X724" s="265">
        <v>0</v>
      </c>
      <c r="Y724" s="50">
        <f t="shared" si="14"/>
        <v>0</v>
      </c>
    </row>
    <row r="725" spans="1:25" s="39" customFormat="1" x14ac:dyDescent="0.35">
      <c r="A725" s="37" t="s">
        <v>47</v>
      </c>
      <c r="B725" s="37" t="s">
        <v>3014</v>
      </c>
      <c r="C725" s="91">
        <v>8470730</v>
      </c>
      <c r="D725" s="37" t="s">
        <v>1190</v>
      </c>
      <c r="E725" s="91">
        <v>495140</v>
      </c>
      <c r="F725" s="37" t="s">
        <v>541</v>
      </c>
      <c r="G725" s="90">
        <v>847001</v>
      </c>
      <c r="H725" s="37" t="s">
        <v>50</v>
      </c>
      <c r="I725" s="90">
        <v>300180</v>
      </c>
      <c r="J725" s="37" t="s">
        <v>192</v>
      </c>
      <c r="K725" s="265">
        <v>0</v>
      </c>
      <c r="L725" s="265">
        <v>29335</v>
      </c>
      <c r="M725" s="265">
        <v>18150</v>
      </c>
      <c r="N725" s="265">
        <v>0</v>
      </c>
      <c r="O725" s="265">
        <v>0</v>
      </c>
      <c r="P725" s="265">
        <v>0</v>
      </c>
      <c r="Q725" s="265">
        <v>0</v>
      </c>
      <c r="R725" s="265">
        <v>0</v>
      </c>
      <c r="S725" s="265">
        <v>0</v>
      </c>
      <c r="T725" s="265">
        <v>0</v>
      </c>
      <c r="U725" s="265">
        <v>0</v>
      </c>
      <c r="V725" s="265">
        <v>0</v>
      </c>
      <c r="W725" s="265">
        <v>0</v>
      </c>
      <c r="X725" s="265">
        <v>0</v>
      </c>
      <c r="Y725" s="50">
        <f t="shared" si="14"/>
        <v>0</v>
      </c>
    </row>
    <row r="726" spans="1:25" s="39" customFormat="1" x14ac:dyDescent="0.35">
      <c r="A726" s="37" t="s">
        <v>1209</v>
      </c>
      <c r="B726" s="37" t="s">
        <v>3015</v>
      </c>
      <c r="C726" s="91">
        <v>8471130</v>
      </c>
      <c r="D726" s="37" t="s">
        <v>1225</v>
      </c>
      <c r="E726" s="91">
        <v>428400</v>
      </c>
      <c r="F726" s="37" t="s">
        <v>2726</v>
      </c>
      <c r="G726" s="90">
        <v>847001</v>
      </c>
      <c r="H726" s="37" t="s">
        <v>50</v>
      </c>
      <c r="I726" s="90">
        <v>200179</v>
      </c>
      <c r="J726" s="37" t="s">
        <v>61</v>
      </c>
      <c r="K726" s="265">
        <v>0</v>
      </c>
      <c r="L726" s="265">
        <v>2400000</v>
      </c>
      <c r="M726" s="265">
        <v>0</v>
      </c>
      <c r="N726" s="265">
        <v>0</v>
      </c>
      <c r="O726" s="265">
        <v>0</v>
      </c>
      <c r="P726" s="265">
        <v>0</v>
      </c>
      <c r="Q726" s="265">
        <v>0</v>
      </c>
      <c r="R726" s="265">
        <v>0</v>
      </c>
      <c r="S726" s="265">
        <v>0</v>
      </c>
      <c r="T726" s="265">
        <v>0</v>
      </c>
      <c r="U726" s="265">
        <v>0</v>
      </c>
      <c r="V726" s="265">
        <v>0</v>
      </c>
      <c r="W726" s="265">
        <v>0</v>
      </c>
      <c r="X726" s="265">
        <v>0</v>
      </c>
      <c r="Y726" s="50">
        <f t="shared" si="14"/>
        <v>0</v>
      </c>
    </row>
    <row r="727" spans="1:25" s="39" customFormat="1" x14ac:dyDescent="0.35">
      <c r="A727" s="37" t="s">
        <v>1209</v>
      </c>
      <c r="B727" s="37" t="s">
        <v>2941</v>
      </c>
      <c r="C727" s="91">
        <v>8471140</v>
      </c>
      <c r="D727" s="37" t="s">
        <v>1249</v>
      </c>
      <c r="E727" s="91">
        <v>425510</v>
      </c>
      <c r="F727" s="37" t="s">
        <v>247</v>
      </c>
      <c r="G727" s="90">
        <v>847001</v>
      </c>
      <c r="H727" s="37" t="s">
        <v>50</v>
      </c>
      <c r="I727" s="90">
        <v>200179</v>
      </c>
      <c r="J727" s="37" t="s">
        <v>61</v>
      </c>
      <c r="K727" s="265">
        <v>0</v>
      </c>
      <c r="L727" s="265">
        <v>468159</v>
      </c>
      <c r="M727" s="265">
        <v>0</v>
      </c>
      <c r="N727" s="38">
        <v>0</v>
      </c>
      <c r="O727" s="265">
        <v>0</v>
      </c>
      <c r="P727" s="265">
        <v>0</v>
      </c>
      <c r="Q727" s="265">
        <v>0</v>
      </c>
      <c r="R727" s="265">
        <v>0</v>
      </c>
      <c r="S727" s="38">
        <v>0</v>
      </c>
      <c r="T727" s="265">
        <v>0</v>
      </c>
      <c r="U727" s="265">
        <v>0</v>
      </c>
      <c r="V727" s="265">
        <v>0</v>
      </c>
      <c r="W727" s="265">
        <v>0</v>
      </c>
      <c r="X727" s="265">
        <v>0</v>
      </c>
      <c r="Y727" s="38">
        <f t="shared" si="14"/>
        <v>0</v>
      </c>
    </row>
    <row r="728" spans="1:25" s="39" customFormat="1" x14ac:dyDescent="0.35">
      <c r="A728" s="37" t="s">
        <v>1209</v>
      </c>
      <c r="B728" s="37" t="s">
        <v>3016</v>
      </c>
      <c r="C728" s="91">
        <v>8471140</v>
      </c>
      <c r="D728" s="37" t="s">
        <v>1249</v>
      </c>
      <c r="E728" s="91">
        <v>427200</v>
      </c>
      <c r="F728" s="37" t="s">
        <v>1085</v>
      </c>
      <c r="G728" s="90">
        <v>847001</v>
      </c>
      <c r="H728" s="37" t="s">
        <v>50</v>
      </c>
      <c r="I728" s="90">
        <v>200179</v>
      </c>
      <c r="J728" s="37" t="s">
        <v>61</v>
      </c>
      <c r="K728" s="265">
        <v>0</v>
      </c>
      <c r="L728" s="265">
        <v>13774</v>
      </c>
      <c r="M728" s="265">
        <v>0</v>
      </c>
      <c r="N728" s="265">
        <v>0</v>
      </c>
      <c r="O728" s="265">
        <v>0</v>
      </c>
      <c r="P728" s="265">
        <v>0</v>
      </c>
      <c r="Q728" s="265">
        <v>0</v>
      </c>
      <c r="R728" s="265">
        <v>0</v>
      </c>
      <c r="S728" s="265">
        <v>0</v>
      </c>
      <c r="T728" s="265">
        <v>0</v>
      </c>
      <c r="U728" s="265">
        <v>0</v>
      </c>
      <c r="V728" s="265">
        <v>0</v>
      </c>
      <c r="W728" s="265">
        <v>0</v>
      </c>
      <c r="X728" s="265">
        <v>0</v>
      </c>
      <c r="Y728" s="50">
        <f t="shared" si="14"/>
        <v>0</v>
      </c>
    </row>
    <row r="729" spans="1:25" s="39" customFormat="1" x14ac:dyDescent="0.35">
      <c r="A729" s="37" t="s">
        <v>1209</v>
      </c>
      <c r="B729" s="37" t="s">
        <v>3017</v>
      </c>
      <c r="C729" s="91">
        <v>8471160</v>
      </c>
      <c r="D729" s="37" t="s">
        <v>3036</v>
      </c>
      <c r="E729" s="91">
        <v>421700</v>
      </c>
      <c r="F729" s="37" t="s">
        <v>2438</v>
      </c>
      <c r="G729" s="90">
        <v>847001</v>
      </c>
      <c r="H729" s="37" t="s">
        <v>50</v>
      </c>
      <c r="I729" s="90">
        <v>200179</v>
      </c>
      <c r="J729" s="37" t="s">
        <v>61</v>
      </c>
      <c r="K729" s="265">
        <v>0</v>
      </c>
      <c r="L729" s="265">
        <v>6300</v>
      </c>
      <c r="M729" s="265">
        <v>0</v>
      </c>
      <c r="N729" s="265">
        <v>0</v>
      </c>
      <c r="O729" s="265">
        <v>0</v>
      </c>
      <c r="P729" s="265">
        <v>0</v>
      </c>
      <c r="Q729" s="265">
        <v>0</v>
      </c>
      <c r="R729" s="265">
        <v>0</v>
      </c>
      <c r="S729" s="265">
        <v>0</v>
      </c>
      <c r="T729" s="265">
        <f>S729*0.9</f>
        <v>0</v>
      </c>
      <c r="U729" s="265">
        <f>S729*0.8</f>
        <v>0</v>
      </c>
      <c r="V729" s="265">
        <f>T729*0.8</f>
        <v>0</v>
      </c>
      <c r="W729" s="265">
        <v>0</v>
      </c>
      <c r="X729" s="265">
        <v>0</v>
      </c>
      <c r="Y729" s="50">
        <f t="shared" si="14"/>
        <v>0</v>
      </c>
    </row>
    <row r="730" spans="1:25" s="39" customFormat="1" x14ac:dyDescent="0.35">
      <c r="A730" s="37" t="s">
        <v>1350</v>
      </c>
      <c r="B730" s="37" t="s">
        <v>2946</v>
      </c>
      <c r="C730" s="91">
        <v>8471260</v>
      </c>
      <c r="D730" s="37" t="s">
        <v>1404</v>
      </c>
      <c r="E730" s="91">
        <v>427850</v>
      </c>
      <c r="F730" s="37" t="s">
        <v>3044</v>
      </c>
      <c r="G730" s="90">
        <v>847001</v>
      </c>
      <c r="H730" s="37" t="s">
        <v>50</v>
      </c>
      <c r="I730" s="90">
        <v>200179</v>
      </c>
      <c r="J730" s="37" t="s">
        <v>61</v>
      </c>
      <c r="K730" s="265">
        <v>0</v>
      </c>
      <c r="L730" s="265">
        <v>522604</v>
      </c>
      <c r="M730" s="265">
        <v>0</v>
      </c>
      <c r="N730" s="265">
        <v>0</v>
      </c>
      <c r="O730" s="265">
        <v>0</v>
      </c>
      <c r="P730" s="265">
        <v>0</v>
      </c>
      <c r="Q730" s="265">
        <v>0</v>
      </c>
      <c r="R730" s="265">
        <v>0</v>
      </c>
      <c r="S730" s="265">
        <v>0</v>
      </c>
      <c r="T730" s="265">
        <v>0</v>
      </c>
      <c r="U730" s="265">
        <v>0</v>
      </c>
      <c r="V730" s="265">
        <v>0</v>
      </c>
      <c r="W730" s="265">
        <v>0</v>
      </c>
      <c r="X730" s="265">
        <v>0</v>
      </c>
      <c r="Y730" s="50">
        <f t="shared" si="14"/>
        <v>0</v>
      </c>
    </row>
    <row r="731" spans="1:25" s="39" customFormat="1" x14ac:dyDescent="0.35">
      <c r="A731" s="37" t="s">
        <v>1350</v>
      </c>
      <c r="B731" s="37" t="s">
        <v>3018</v>
      </c>
      <c r="C731" s="91">
        <v>8471260</v>
      </c>
      <c r="D731" s="37" t="s">
        <v>1404</v>
      </c>
      <c r="E731" s="91">
        <v>492200</v>
      </c>
      <c r="F731" s="37" t="s">
        <v>2475</v>
      </c>
      <c r="G731" s="90">
        <v>847001</v>
      </c>
      <c r="H731" s="37" t="s">
        <v>50</v>
      </c>
      <c r="I731" s="90">
        <v>300180</v>
      </c>
      <c r="J731" s="37" t="s">
        <v>192</v>
      </c>
      <c r="K731" s="265">
        <v>0</v>
      </c>
      <c r="L731" s="265">
        <v>995000</v>
      </c>
      <c r="M731" s="265">
        <v>0</v>
      </c>
      <c r="N731" s="265">
        <v>0</v>
      </c>
      <c r="O731" s="265">
        <v>0</v>
      </c>
      <c r="P731" s="265">
        <v>0</v>
      </c>
      <c r="Q731" s="265">
        <v>0</v>
      </c>
      <c r="R731" s="265">
        <v>0</v>
      </c>
      <c r="S731" s="265">
        <v>0</v>
      </c>
      <c r="T731" s="265">
        <v>0</v>
      </c>
      <c r="U731" s="265">
        <v>0</v>
      </c>
      <c r="V731" s="265">
        <v>0</v>
      </c>
      <c r="W731" s="265">
        <v>0</v>
      </c>
      <c r="X731" s="265">
        <v>0</v>
      </c>
      <c r="Y731" s="50">
        <f t="shared" si="14"/>
        <v>0</v>
      </c>
    </row>
    <row r="732" spans="1:25" s="39" customFormat="1" x14ac:dyDescent="0.35">
      <c r="A732" s="37" t="s">
        <v>1000</v>
      </c>
      <c r="B732" s="37" t="s">
        <v>3019</v>
      </c>
      <c r="C732" s="91">
        <v>8471305</v>
      </c>
      <c r="D732" s="37" t="s">
        <v>1001</v>
      </c>
      <c r="E732" s="91">
        <v>425770</v>
      </c>
      <c r="F732" s="37" t="s">
        <v>367</v>
      </c>
      <c r="G732" s="90">
        <v>847001</v>
      </c>
      <c r="H732" s="37" t="s">
        <v>50</v>
      </c>
      <c r="I732" s="90">
        <v>200179</v>
      </c>
      <c r="J732" s="37" t="s">
        <v>61</v>
      </c>
      <c r="K732" s="265">
        <v>0</v>
      </c>
      <c r="L732" s="265">
        <v>13000</v>
      </c>
      <c r="M732" s="265">
        <v>25711</v>
      </c>
      <c r="N732" s="265">
        <v>0</v>
      </c>
      <c r="O732" s="265">
        <v>0</v>
      </c>
      <c r="P732" s="265">
        <v>0</v>
      </c>
      <c r="Q732" s="265">
        <v>0</v>
      </c>
      <c r="R732" s="265">
        <v>0</v>
      </c>
      <c r="S732" s="265">
        <v>0</v>
      </c>
      <c r="T732" s="265">
        <v>0</v>
      </c>
      <c r="U732" s="265">
        <v>0</v>
      </c>
      <c r="V732" s="265">
        <v>0</v>
      </c>
      <c r="W732" s="265">
        <v>0</v>
      </c>
      <c r="X732" s="265">
        <v>0</v>
      </c>
      <c r="Y732" s="50">
        <f t="shared" si="14"/>
        <v>0</v>
      </c>
    </row>
    <row r="733" spans="1:25" s="39" customFormat="1" x14ac:dyDescent="0.35">
      <c r="A733" s="37" t="s">
        <v>1000</v>
      </c>
      <c r="B733" s="37" t="s">
        <v>3020</v>
      </c>
      <c r="C733" s="91">
        <v>8471305</v>
      </c>
      <c r="D733" s="37" t="s">
        <v>1001</v>
      </c>
      <c r="E733" s="91">
        <v>492200</v>
      </c>
      <c r="F733" s="37" t="s">
        <v>2475</v>
      </c>
      <c r="G733" s="90">
        <v>847001</v>
      </c>
      <c r="H733" s="37" t="s">
        <v>50</v>
      </c>
      <c r="I733" s="90">
        <v>300180</v>
      </c>
      <c r="J733" s="37" t="s">
        <v>192</v>
      </c>
      <c r="K733" s="265">
        <v>0</v>
      </c>
      <c r="L733" s="265">
        <v>1143379</v>
      </c>
      <c r="M733" s="265">
        <v>0</v>
      </c>
      <c r="N733" s="265">
        <v>0</v>
      </c>
      <c r="O733" s="265">
        <v>0</v>
      </c>
      <c r="P733" s="265">
        <v>0</v>
      </c>
      <c r="Q733" s="265">
        <v>0</v>
      </c>
      <c r="R733" s="265">
        <v>0</v>
      </c>
      <c r="S733" s="265">
        <v>0</v>
      </c>
      <c r="T733" s="265">
        <v>0</v>
      </c>
      <c r="U733" s="265">
        <v>0</v>
      </c>
      <c r="V733" s="265">
        <v>0</v>
      </c>
      <c r="W733" s="265">
        <v>0</v>
      </c>
      <c r="X733" s="265">
        <v>0</v>
      </c>
      <c r="Y733" s="50">
        <f t="shared" si="14"/>
        <v>0</v>
      </c>
    </row>
    <row r="734" spans="1:25" s="39" customFormat="1" x14ac:dyDescent="0.35">
      <c r="A734" s="37" t="s">
        <v>47</v>
      </c>
      <c r="B734" s="37" t="s">
        <v>3021</v>
      </c>
      <c r="C734" s="91">
        <v>8470530</v>
      </c>
      <c r="D734" s="37" t="s">
        <v>2412</v>
      </c>
      <c r="E734" s="91">
        <v>436220</v>
      </c>
      <c r="F734" s="37" t="s">
        <v>2555</v>
      </c>
      <c r="G734" s="90">
        <v>847020</v>
      </c>
      <c r="H734" s="37" t="s">
        <v>2093</v>
      </c>
      <c r="I734" s="90">
        <v>200179</v>
      </c>
      <c r="J734" s="37" t="s">
        <v>61</v>
      </c>
      <c r="K734" s="265">
        <v>0</v>
      </c>
      <c r="L734" s="265">
        <v>0</v>
      </c>
      <c r="M734" s="265">
        <v>222400</v>
      </c>
      <c r="N734" s="265">
        <v>0</v>
      </c>
      <c r="O734" s="265">
        <v>0</v>
      </c>
      <c r="P734" s="265">
        <v>0</v>
      </c>
      <c r="Q734" s="265">
        <v>0</v>
      </c>
      <c r="R734" s="265">
        <v>0</v>
      </c>
      <c r="S734" s="265">
        <v>0</v>
      </c>
      <c r="T734" s="265">
        <v>0</v>
      </c>
      <c r="U734" s="265">
        <v>0</v>
      </c>
      <c r="V734" s="265">
        <v>0</v>
      </c>
      <c r="W734" s="265">
        <v>0</v>
      </c>
      <c r="X734" s="265">
        <v>0</v>
      </c>
      <c r="Y734" s="50">
        <f t="shared" si="14"/>
        <v>0</v>
      </c>
    </row>
    <row r="735" spans="1:25" s="39" customFormat="1" x14ac:dyDescent="0.35">
      <c r="A735" s="37" t="s">
        <v>47</v>
      </c>
      <c r="B735" s="37" t="s">
        <v>3022</v>
      </c>
      <c r="C735" s="91">
        <v>8470530</v>
      </c>
      <c r="D735" s="37" t="s">
        <v>2412</v>
      </c>
      <c r="E735" s="91">
        <v>492316</v>
      </c>
      <c r="F735" s="37" t="s">
        <v>221</v>
      </c>
      <c r="G735" s="90">
        <v>847010</v>
      </c>
      <c r="H735" s="37" t="s">
        <v>2413</v>
      </c>
      <c r="I735" s="90">
        <v>300180</v>
      </c>
      <c r="J735" s="37" t="s">
        <v>192</v>
      </c>
      <c r="K735" s="265">
        <v>0</v>
      </c>
      <c r="L735" s="265">
        <v>0</v>
      </c>
      <c r="M735" s="265">
        <v>146450</v>
      </c>
      <c r="N735" s="265">
        <v>0</v>
      </c>
      <c r="O735" s="265">
        <v>0</v>
      </c>
      <c r="P735" s="265">
        <v>0</v>
      </c>
      <c r="Q735" s="265">
        <v>0</v>
      </c>
      <c r="R735" s="265">
        <v>0</v>
      </c>
      <c r="S735" s="265">
        <v>0</v>
      </c>
      <c r="T735" s="265">
        <v>0</v>
      </c>
      <c r="U735" s="265">
        <v>0</v>
      </c>
      <c r="V735" s="265">
        <v>0</v>
      </c>
      <c r="W735" s="265">
        <v>0</v>
      </c>
      <c r="X735" s="265">
        <v>0</v>
      </c>
      <c r="Y735" s="50">
        <f t="shared" si="14"/>
        <v>0</v>
      </c>
    </row>
    <row r="736" spans="1:25" s="39" customFormat="1" x14ac:dyDescent="0.35">
      <c r="A736" s="37" t="s">
        <v>47</v>
      </c>
      <c r="B736" s="37" t="s">
        <v>3023</v>
      </c>
      <c r="C736" s="91">
        <v>8470720</v>
      </c>
      <c r="D736" s="37" t="s">
        <v>3032</v>
      </c>
      <c r="E736" s="91">
        <v>428200</v>
      </c>
      <c r="F736" s="37" t="s">
        <v>2383</v>
      </c>
      <c r="G736" s="90">
        <v>847951</v>
      </c>
      <c r="H736" s="37" t="s">
        <v>2411</v>
      </c>
      <c r="I736" s="90">
        <v>200179</v>
      </c>
      <c r="J736" s="37" t="s">
        <v>61</v>
      </c>
      <c r="K736" s="265">
        <v>0</v>
      </c>
      <c r="L736" s="265">
        <v>0</v>
      </c>
      <c r="M736" s="265">
        <v>9300</v>
      </c>
      <c r="N736" s="265">
        <v>0</v>
      </c>
      <c r="O736" s="265">
        <v>0</v>
      </c>
      <c r="P736" s="265">
        <v>0</v>
      </c>
      <c r="Q736" s="265">
        <v>0</v>
      </c>
      <c r="R736" s="265">
        <v>0</v>
      </c>
      <c r="S736" s="265">
        <v>0</v>
      </c>
      <c r="T736" s="265">
        <v>0</v>
      </c>
      <c r="U736" s="265">
        <v>0</v>
      </c>
      <c r="V736" s="265">
        <v>0</v>
      </c>
      <c r="W736" s="265">
        <v>0</v>
      </c>
      <c r="X736" s="265">
        <v>0</v>
      </c>
      <c r="Y736" s="50">
        <f t="shared" si="14"/>
        <v>0</v>
      </c>
    </row>
    <row r="737" spans="1:25" s="39" customFormat="1" x14ac:dyDescent="0.35">
      <c r="A737" s="37" t="s">
        <v>47</v>
      </c>
      <c r="B737" s="37" t="s">
        <v>3024</v>
      </c>
      <c r="C737" s="91">
        <v>8470730</v>
      </c>
      <c r="D737" s="37" t="s">
        <v>1190</v>
      </c>
      <c r="E737" s="91">
        <v>427200</v>
      </c>
      <c r="F737" s="37" t="s">
        <v>1085</v>
      </c>
      <c r="G737" s="90">
        <v>847001</v>
      </c>
      <c r="H737" s="37" t="s">
        <v>50</v>
      </c>
      <c r="I737" s="90">
        <v>200179</v>
      </c>
      <c r="J737" s="37" t="s">
        <v>61</v>
      </c>
      <c r="K737" s="265">
        <v>0</v>
      </c>
      <c r="L737" s="265">
        <v>0</v>
      </c>
      <c r="M737" s="265">
        <v>9360</v>
      </c>
      <c r="N737" s="265">
        <v>0</v>
      </c>
      <c r="O737" s="265">
        <v>0</v>
      </c>
      <c r="P737" s="265">
        <v>0</v>
      </c>
      <c r="Q737" s="265">
        <v>0</v>
      </c>
      <c r="R737" s="265">
        <v>0</v>
      </c>
      <c r="S737" s="265">
        <v>0</v>
      </c>
      <c r="T737" s="265">
        <v>0</v>
      </c>
      <c r="U737" s="265">
        <v>0</v>
      </c>
      <c r="V737" s="265">
        <v>0</v>
      </c>
      <c r="W737" s="265">
        <v>0</v>
      </c>
      <c r="X737" s="265">
        <v>0</v>
      </c>
      <c r="Y737" s="50">
        <f t="shared" si="14"/>
        <v>0</v>
      </c>
    </row>
    <row r="738" spans="1:25" s="39" customFormat="1" x14ac:dyDescent="0.35">
      <c r="A738" s="37" t="s">
        <v>47</v>
      </c>
      <c r="B738" s="37" t="s">
        <v>3025</v>
      </c>
      <c r="C738" s="91">
        <v>8470810</v>
      </c>
      <c r="D738" s="37" t="s">
        <v>48</v>
      </c>
      <c r="E738" s="91">
        <v>427850</v>
      </c>
      <c r="F738" s="37" t="s">
        <v>3044</v>
      </c>
      <c r="G738" s="90">
        <v>847951</v>
      </c>
      <c r="H738" s="37" t="s">
        <v>2411</v>
      </c>
      <c r="I738" s="90">
        <v>200179</v>
      </c>
      <c r="J738" s="37" t="s">
        <v>61</v>
      </c>
      <c r="K738" s="265">
        <v>0</v>
      </c>
      <c r="L738" s="265">
        <v>0</v>
      </c>
      <c r="M738" s="265">
        <v>1695109</v>
      </c>
      <c r="N738" s="265">
        <v>0</v>
      </c>
      <c r="O738" s="265">
        <v>0</v>
      </c>
      <c r="P738" s="265">
        <v>0</v>
      </c>
      <c r="Q738" s="265">
        <v>0</v>
      </c>
      <c r="R738" s="265">
        <v>0</v>
      </c>
      <c r="S738" s="265">
        <v>0</v>
      </c>
      <c r="T738" s="265">
        <v>0</v>
      </c>
      <c r="U738" s="265">
        <v>0</v>
      </c>
      <c r="V738" s="265">
        <v>0</v>
      </c>
      <c r="W738" s="265">
        <v>0</v>
      </c>
      <c r="X738" s="265">
        <v>0</v>
      </c>
      <c r="Y738" s="50">
        <f t="shared" si="14"/>
        <v>0</v>
      </c>
    </row>
    <row r="739" spans="1:25" s="39" customFormat="1" x14ac:dyDescent="0.35">
      <c r="A739" s="37" t="s">
        <v>1209</v>
      </c>
      <c r="B739" s="37" t="s">
        <v>3026</v>
      </c>
      <c r="C739" s="91">
        <v>8471170</v>
      </c>
      <c r="D739" s="37" t="s">
        <v>1286</v>
      </c>
      <c r="E739" s="91">
        <v>492310</v>
      </c>
      <c r="F739" s="37" t="s">
        <v>191</v>
      </c>
      <c r="G739" s="90">
        <v>847001</v>
      </c>
      <c r="H739" s="37" t="s">
        <v>50</v>
      </c>
      <c r="I739" s="90">
        <v>300180</v>
      </c>
      <c r="J739" s="37" t="s">
        <v>192</v>
      </c>
      <c r="K739" s="265">
        <v>0</v>
      </c>
      <c r="L739" s="265">
        <v>0</v>
      </c>
      <c r="M739" s="265">
        <v>9510</v>
      </c>
      <c r="N739" s="265">
        <v>0</v>
      </c>
      <c r="O739" s="265">
        <v>0</v>
      </c>
      <c r="P739" s="265">
        <v>0</v>
      </c>
      <c r="Q739" s="265">
        <v>0</v>
      </c>
      <c r="R739" s="265">
        <v>0</v>
      </c>
      <c r="S739" s="265">
        <v>0</v>
      </c>
      <c r="T739" s="265">
        <v>0</v>
      </c>
      <c r="U739" s="265">
        <v>0</v>
      </c>
      <c r="V739" s="265">
        <v>0</v>
      </c>
      <c r="W739" s="265">
        <v>0</v>
      </c>
      <c r="X739" s="265">
        <v>0</v>
      </c>
      <c r="Y739" s="50">
        <f t="shared" si="14"/>
        <v>0</v>
      </c>
    </row>
    <row r="740" spans="1:25" s="39" customFormat="1" x14ac:dyDescent="0.35">
      <c r="A740" s="37" t="s">
        <v>1350</v>
      </c>
      <c r="B740" s="419" t="s">
        <v>3433</v>
      </c>
      <c r="C740" s="91">
        <v>8471220</v>
      </c>
      <c r="D740" s="37" t="s">
        <v>1481</v>
      </c>
      <c r="E740" s="91">
        <v>425741</v>
      </c>
      <c r="F740" s="37" t="s">
        <v>1485</v>
      </c>
      <c r="G740" s="90">
        <v>847001</v>
      </c>
      <c r="H740" s="37" t="s">
        <v>50</v>
      </c>
      <c r="I740" s="422">
        <v>201211</v>
      </c>
      <c r="J740" s="423" t="s">
        <v>61</v>
      </c>
      <c r="K740" s="265">
        <v>0</v>
      </c>
      <c r="L740" s="265">
        <v>0</v>
      </c>
      <c r="M740" s="265">
        <v>40250800</v>
      </c>
      <c r="N740" s="265">
        <v>0</v>
      </c>
      <c r="O740" s="265">
        <v>0</v>
      </c>
      <c r="P740" s="265">
        <v>0</v>
      </c>
      <c r="Q740" s="265">
        <v>0</v>
      </c>
      <c r="R740" s="265">
        <v>0</v>
      </c>
      <c r="S740" s="265">
        <v>0</v>
      </c>
      <c r="T740" s="265">
        <v>0</v>
      </c>
      <c r="U740" s="265">
        <v>0</v>
      </c>
      <c r="V740" s="265">
        <v>0</v>
      </c>
      <c r="W740" s="265">
        <v>0</v>
      </c>
      <c r="X740" s="265">
        <v>0</v>
      </c>
      <c r="Y740" s="50">
        <f t="shared" si="14"/>
        <v>0</v>
      </c>
    </row>
    <row r="741" spans="1:25" s="39" customFormat="1" x14ac:dyDescent="0.35">
      <c r="A741" s="37" t="s">
        <v>1350</v>
      </c>
      <c r="B741" s="37" t="s">
        <v>3027</v>
      </c>
      <c r="C741" s="91">
        <v>8471260</v>
      </c>
      <c r="D741" s="37" t="s">
        <v>1404</v>
      </c>
      <c r="E741" s="91">
        <v>422400</v>
      </c>
      <c r="F741" s="37" t="s">
        <v>3039</v>
      </c>
      <c r="G741" s="90">
        <v>847951</v>
      </c>
      <c r="H741" s="37" t="s">
        <v>2411</v>
      </c>
      <c r="I741" s="90">
        <v>200179</v>
      </c>
      <c r="J741" s="37" t="s">
        <v>61</v>
      </c>
      <c r="K741" s="265">
        <v>0</v>
      </c>
      <c r="L741" s="265">
        <v>0</v>
      </c>
      <c r="M741" s="265">
        <v>1240</v>
      </c>
      <c r="N741" s="265">
        <v>0</v>
      </c>
      <c r="O741" s="265">
        <v>0</v>
      </c>
      <c r="P741" s="265">
        <v>0</v>
      </c>
      <c r="Q741" s="265">
        <v>0</v>
      </c>
      <c r="R741" s="265">
        <v>0</v>
      </c>
      <c r="S741" s="265">
        <v>0</v>
      </c>
      <c r="T741" s="265">
        <v>0</v>
      </c>
      <c r="U741" s="265">
        <v>0</v>
      </c>
      <c r="V741" s="265">
        <v>0</v>
      </c>
      <c r="W741" s="265">
        <v>0</v>
      </c>
      <c r="X741" s="265">
        <v>0</v>
      </c>
      <c r="Y741" s="50">
        <f t="shared" si="14"/>
        <v>0</v>
      </c>
    </row>
    <row r="742" spans="1:25" s="87" customFormat="1" ht="15" thickBot="1" x14ac:dyDescent="0.4">
      <c r="A742" s="88"/>
      <c r="B742" s="88"/>
      <c r="C742" s="88"/>
      <c r="D742" s="88"/>
      <c r="E742" s="92"/>
      <c r="F742" s="88"/>
      <c r="G742" s="88"/>
      <c r="H742" s="88"/>
      <c r="I742" s="88"/>
      <c r="J742" s="88"/>
      <c r="K742" s="266">
        <f>SUM(K2:K741)</f>
        <v>1344511026</v>
      </c>
      <c r="L742" s="266">
        <v>1062139672</v>
      </c>
      <c r="M742" s="266">
        <f t="shared" ref="M742:Y742" si="15">SUM(M2:M741)</f>
        <v>1106952317</v>
      </c>
      <c r="N742" s="266">
        <f t="shared" si="15"/>
        <v>1312696692</v>
      </c>
      <c r="O742" s="266">
        <f t="shared" si="15"/>
        <v>1291846721</v>
      </c>
      <c r="P742" s="266">
        <f t="shared" si="15"/>
        <v>485630918.72999972</v>
      </c>
      <c r="Q742" s="266">
        <f t="shared" si="15"/>
        <v>75238252.310000002</v>
      </c>
      <c r="R742" s="266">
        <f t="shared" si="15"/>
        <v>96690577.000000015</v>
      </c>
      <c r="S742" s="266">
        <f t="shared" si="15"/>
        <v>1874075813.0000002</v>
      </c>
      <c r="T742" s="266">
        <f t="shared" si="15"/>
        <v>880214532.56524849</v>
      </c>
      <c r="U742" s="266">
        <f t="shared" si="15"/>
        <v>553125505.28022087</v>
      </c>
      <c r="V742" s="266">
        <f t="shared" si="15"/>
        <v>686895174.75519335</v>
      </c>
      <c r="W742" s="266">
        <f t="shared" si="15"/>
        <v>1865217860</v>
      </c>
      <c r="X742" s="266">
        <f t="shared" si="15"/>
        <v>1982640764</v>
      </c>
      <c r="Y742" s="266">
        <f t="shared" si="15"/>
        <v>487725765.85027611</v>
      </c>
    </row>
    <row r="743" spans="1:25" ht="15" thickTop="1" x14ac:dyDescent="0.35">
      <c r="K743" s="40"/>
      <c r="M743" s="51"/>
      <c r="N743" s="40"/>
      <c r="O743" s="51"/>
      <c r="P743" s="40">
        <f>SUM(P3:P741)</f>
        <v>211963838.73000008</v>
      </c>
      <c r="Q743" s="40">
        <f>SUM(Q3:Q741)</f>
        <v>73594256.309999987</v>
      </c>
      <c r="R743" s="40">
        <f>SUM(R3:R741)</f>
        <v>88730884</v>
      </c>
      <c r="Y743" s="274"/>
    </row>
    <row r="744" spans="1:25" x14ac:dyDescent="0.35">
      <c r="K744" s="40"/>
      <c r="M744" s="51"/>
      <c r="N744" s="40"/>
      <c r="O744" s="51"/>
      <c r="P744" s="40"/>
      <c r="R744" s="54">
        <f>SUM(P743:R743)</f>
        <v>374288979.04000008</v>
      </c>
      <c r="Y744" s="274"/>
    </row>
    <row r="745" spans="1:25" x14ac:dyDescent="0.35">
      <c r="K745" s="40"/>
      <c r="M745" s="51"/>
      <c r="N745" s="40"/>
      <c r="O745" s="51"/>
      <c r="P745" s="40"/>
      <c r="R745" s="40">
        <v>374288979.03999996</v>
      </c>
      <c r="Y745" s="274"/>
    </row>
    <row r="746" spans="1:25" x14ac:dyDescent="0.35">
      <c r="K746" s="40"/>
      <c r="M746" s="51"/>
      <c r="N746" s="40"/>
      <c r="O746" s="51"/>
      <c r="P746" s="40"/>
      <c r="Y746" s="274"/>
    </row>
    <row r="747" spans="1:25" x14ac:dyDescent="0.35">
      <c r="K747" s="40"/>
      <c r="M747" s="51"/>
      <c r="N747" s="40"/>
      <c r="O747" s="51"/>
      <c r="P747" s="40"/>
      <c r="Y747" s="274"/>
    </row>
    <row r="748" spans="1:25" x14ac:dyDescent="0.35">
      <c r="K748" s="40"/>
      <c r="M748" s="51"/>
      <c r="N748" s="40"/>
      <c r="O748" s="51"/>
      <c r="P748" s="40"/>
      <c r="Y748" s="274"/>
    </row>
    <row r="749" spans="1:25" x14ac:dyDescent="0.35">
      <c r="K749" s="40"/>
      <c r="M749" s="51"/>
      <c r="N749" s="40"/>
      <c r="O749" s="51"/>
      <c r="P749" s="40"/>
      <c r="Y749" s="274"/>
    </row>
    <row r="750" spans="1:25" x14ac:dyDescent="0.35">
      <c r="K750" s="40"/>
      <c r="M750" s="51"/>
      <c r="N750" s="40"/>
      <c r="O750" s="51"/>
      <c r="P750" s="40"/>
      <c r="Y750" s="274"/>
    </row>
    <row r="751" spans="1:25" x14ac:dyDescent="0.35">
      <c r="K751" s="40"/>
      <c r="M751" s="51"/>
      <c r="N751" s="40"/>
      <c r="O751" s="51"/>
      <c r="P751" s="40"/>
      <c r="Y751" s="274"/>
    </row>
    <row r="752" spans="1:25" x14ac:dyDescent="0.35">
      <c r="K752" s="40"/>
      <c r="M752" s="51"/>
      <c r="N752" s="40"/>
      <c r="O752" s="51"/>
      <c r="P752" s="40"/>
      <c r="Y752" s="274"/>
    </row>
    <row r="753" spans="11:25" x14ac:dyDescent="0.35">
      <c r="K753" s="40"/>
      <c r="M753" s="51"/>
      <c r="N753" s="40"/>
      <c r="O753" s="51"/>
      <c r="P753" s="40"/>
      <c r="Y753" s="274"/>
    </row>
    <row r="754" spans="11:25" x14ac:dyDescent="0.35">
      <c r="K754" s="40"/>
      <c r="M754" s="51"/>
      <c r="N754" s="40"/>
      <c r="O754" s="51"/>
      <c r="P754" s="40"/>
      <c r="Y754" s="274"/>
    </row>
    <row r="755" spans="11:25" x14ac:dyDescent="0.35">
      <c r="K755" s="40"/>
      <c r="M755" s="51"/>
      <c r="N755" s="40"/>
      <c r="O755" s="51"/>
      <c r="P755" s="40"/>
      <c r="Y755" s="274"/>
    </row>
    <row r="756" spans="11:25" x14ac:dyDescent="0.35">
      <c r="K756" s="40"/>
      <c r="M756" s="51"/>
      <c r="N756" s="40"/>
      <c r="O756" s="51"/>
      <c r="P756" s="40"/>
      <c r="Y756" s="274"/>
    </row>
    <row r="757" spans="11:25" x14ac:dyDescent="0.35">
      <c r="K757" s="40"/>
      <c r="M757" s="51"/>
      <c r="N757" s="40"/>
      <c r="O757" s="51"/>
      <c r="P757" s="40"/>
      <c r="Y757" s="274"/>
    </row>
    <row r="758" spans="11:25" x14ac:dyDescent="0.35">
      <c r="K758" s="40"/>
      <c r="M758" s="51"/>
      <c r="N758" s="40"/>
      <c r="O758" s="51"/>
      <c r="P758" s="40"/>
      <c r="Y758" s="274"/>
    </row>
    <row r="759" spans="11:25" x14ac:dyDescent="0.35">
      <c r="K759" s="40"/>
      <c r="M759" s="51"/>
      <c r="N759" s="40"/>
      <c r="O759" s="51"/>
      <c r="P759" s="40"/>
      <c r="Y759" s="274"/>
    </row>
    <row r="760" spans="11:25" x14ac:dyDescent="0.35">
      <c r="K760" s="40"/>
      <c r="M760" s="51"/>
      <c r="N760" s="40"/>
      <c r="O760" s="51"/>
      <c r="P760" s="40"/>
      <c r="Y760" s="274"/>
    </row>
    <row r="761" spans="11:25" x14ac:dyDescent="0.35">
      <c r="K761" s="40"/>
      <c r="M761" s="51"/>
      <c r="N761" s="40"/>
      <c r="O761" s="51"/>
      <c r="P761" s="40"/>
      <c r="Y761" s="274"/>
    </row>
    <row r="762" spans="11:25" x14ac:dyDescent="0.35">
      <c r="K762" s="40"/>
      <c r="M762" s="51"/>
      <c r="N762" s="40"/>
      <c r="O762" s="51"/>
      <c r="P762" s="40"/>
      <c r="Y762" s="274"/>
    </row>
    <row r="763" spans="11:25" x14ac:dyDescent="0.35">
      <c r="K763" s="40"/>
      <c r="M763" s="51"/>
      <c r="N763" s="40"/>
      <c r="O763" s="51"/>
      <c r="P763" s="40"/>
      <c r="Y763" s="274"/>
    </row>
    <row r="764" spans="11:25" x14ac:dyDescent="0.35">
      <c r="K764" s="40"/>
      <c r="M764" s="51"/>
      <c r="N764" s="40"/>
      <c r="O764" s="51"/>
      <c r="P764" s="40"/>
      <c r="Y764" s="274"/>
    </row>
    <row r="765" spans="11:25" x14ac:dyDescent="0.35">
      <c r="K765" s="40"/>
      <c r="M765" s="51"/>
      <c r="N765" s="40"/>
      <c r="O765" s="51"/>
      <c r="P765" s="40"/>
      <c r="Y765" s="274"/>
    </row>
    <row r="766" spans="11:25" x14ac:dyDescent="0.35">
      <c r="K766" s="40"/>
      <c r="M766" s="51"/>
      <c r="N766" s="40"/>
      <c r="O766" s="51"/>
      <c r="P766" s="40"/>
      <c r="Y766" s="274"/>
    </row>
    <row r="767" spans="11:25" x14ac:dyDescent="0.35">
      <c r="K767" s="40"/>
      <c r="M767" s="51"/>
      <c r="N767" s="40"/>
      <c r="O767" s="51"/>
      <c r="P767" s="40"/>
      <c r="Y767" s="274"/>
    </row>
    <row r="768" spans="11:25" x14ac:dyDescent="0.35">
      <c r="K768" s="40"/>
      <c r="M768" s="51"/>
      <c r="N768" s="40"/>
      <c r="O768" s="51"/>
      <c r="P768" s="40"/>
      <c r="Y768" s="274"/>
    </row>
    <row r="769" spans="11:25" x14ac:dyDescent="0.35">
      <c r="K769" s="40"/>
      <c r="M769" s="51"/>
      <c r="N769" s="40"/>
      <c r="O769" s="51"/>
      <c r="P769" s="40"/>
      <c r="Y769" s="274"/>
    </row>
    <row r="770" spans="11:25" x14ac:dyDescent="0.35">
      <c r="K770" s="40"/>
      <c r="M770" s="51"/>
      <c r="N770" s="40"/>
      <c r="O770" s="51"/>
      <c r="P770" s="40"/>
      <c r="Y770" s="274"/>
    </row>
    <row r="771" spans="11:25" x14ac:dyDescent="0.35">
      <c r="K771" s="40"/>
      <c r="M771" s="51"/>
      <c r="N771" s="40"/>
      <c r="O771" s="51"/>
      <c r="P771" s="40"/>
      <c r="Y771" s="274"/>
    </row>
    <row r="772" spans="11:25" x14ac:dyDescent="0.35">
      <c r="K772" s="40"/>
      <c r="M772" s="51"/>
      <c r="N772" s="40"/>
      <c r="O772" s="51"/>
      <c r="P772" s="40"/>
      <c r="Y772" s="274"/>
    </row>
    <row r="773" spans="11:25" x14ac:dyDescent="0.35">
      <c r="K773" s="40"/>
      <c r="M773" s="51"/>
      <c r="N773" s="40"/>
      <c r="O773" s="51"/>
      <c r="P773" s="40"/>
      <c r="Y773" s="274"/>
    </row>
    <row r="774" spans="11:25" x14ac:dyDescent="0.35">
      <c r="K774" s="40"/>
      <c r="M774" s="51"/>
      <c r="N774" s="40"/>
      <c r="O774" s="51"/>
      <c r="P774" s="40"/>
      <c r="Y774" s="274"/>
    </row>
    <row r="775" spans="11:25" x14ac:dyDescent="0.35">
      <c r="K775" s="40"/>
      <c r="M775" s="51"/>
      <c r="N775" s="40"/>
      <c r="O775" s="51"/>
      <c r="P775" s="40"/>
      <c r="Y775" s="274"/>
    </row>
    <row r="776" spans="11:25" x14ac:dyDescent="0.35">
      <c r="K776" s="40"/>
      <c r="M776" s="51"/>
      <c r="N776" s="40"/>
      <c r="O776" s="51"/>
      <c r="P776" s="40"/>
      <c r="Y776" s="274"/>
    </row>
    <row r="777" spans="11:25" x14ac:dyDescent="0.35">
      <c r="K777" s="40"/>
      <c r="M777" s="51"/>
      <c r="N777" s="40"/>
      <c r="O777" s="51"/>
      <c r="P777" s="40"/>
      <c r="Y777" s="274"/>
    </row>
    <row r="778" spans="11:25" x14ac:dyDescent="0.35">
      <c r="K778" s="40"/>
      <c r="M778" s="51"/>
      <c r="N778" s="40"/>
      <c r="O778" s="51"/>
      <c r="P778" s="40"/>
      <c r="Y778" s="274"/>
    </row>
    <row r="779" spans="11:25" x14ac:dyDescent="0.35">
      <c r="K779" s="40"/>
      <c r="M779" s="51"/>
      <c r="N779" s="40"/>
      <c r="O779" s="51"/>
      <c r="P779" s="40"/>
      <c r="Y779" s="274"/>
    </row>
    <row r="780" spans="11:25" x14ac:dyDescent="0.35">
      <c r="K780" s="40"/>
      <c r="M780" s="51"/>
      <c r="N780" s="40"/>
      <c r="O780" s="51"/>
      <c r="P780" s="40"/>
      <c r="Y780" s="274"/>
    </row>
    <row r="781" spans="11:25" x14ac:dyDescent="0.35">
      <c r="K781" s="40"/>
      <c r="M781" s="51"/>
      <c r="N781" s="40"/>
      <c r="O781" s="51"/>
      <c r="P781" s="40"/>
      <c r="Y781" s="274"/>
    </row>
    <row r="782" spans="11:25" x14ac:dyDescent="0.35">
      <c r="K782" s="40"/>
      <c r="M782" s="51"/>
      <c r="N782" s="40"/>
      <c r="O782" s="51"/>
      <c r="P782" s="40"/>
      <c r="Y782" s="274"/>
    </row>
    <row r="783" spans="11:25" x14ac:dyDescent="0.35">
      <c r="K783" s="40"/>
      <c r="M783" s="51"/>
      <c r="N783" s="40"/>
      <c r="O783" s="51"/>
      <c r="P783" s="40"/>
      <c r="Y783" s="274"/>
    </row>
    <row r="784" spans="11:25" x14ac:dyDescent="0.35">
      <c r="K784" s="40"/>
      <c r="M784" s="51"/>
      <c r="N784" s="40"/>
      <c r="O784" s="51"/>
      <c r="P784" s="40"/>
      <c r="Y784" s="274"/>
    </row>
    <row r="785" spans="11:26" x14ac:dyDescent="0.35">
      <c r="K785" s="40"/>
      <c r="M785" s="51"/>
      <c r="N785" s="40"/>
      <c r="O785" s="51"/>
      <c r="P785" s="40"/>
      <c r="Y785" s="274"/>
    </row>
    <row r="786" spans="11:26" x14ac:dyDescent="0.35">
      <c r="K786" s="40"/>
      <c r="M786" s="51"/>
      <c r="N786" s="40"/>
      <c r="O786" s="51"/>
      <c r="P786" s="40"/>
      <c r="Y786" s="274"/>
    </row>
    <row r="787" spans="11:26" x14ac:dyDescent="0.35">
      <c r="K787" s="40"/>
      <c r="M787" s="51"/>
      <c r="N787" s="40"/>
      <c r="O787" s="51"/>
      <c r="P787" s="40"/>
      <c r="Y787" s="274"/>
    </row>
    <row r="788" spans="11:26" x14ac:dyDescent="0.35">
      <c r="K788" s="40"/>
      <c r="M788" s="51"/>
      <c r="N788" s="40"/>
      <c r="O788" s="51"/>
      <c r="P788" s="40"/>
      <c r="Y788" s="274"/>
    </row>
    <row r="789" spans="11:26" x14ac:dyDescent="0.35">
      <c r="K789" s="40"/>
      <c r="M789" s="51"/>
      <c r="N789" s="40"/>
      <c r="O789" s="51"/>
      <c r="P789" s="40"/>
      <c r="Y789" s="274"/>
    </row>
    <row r="790" spans="11:26" x14ac:dyDescent="0.35">
      <c r="K790" s="40"/>
      <c r="M790" s="51"/>
      <c r="N790" s="40"/>
      <c r="O790" s="51"/>
      <c r="P790" s="40"/>
      <c r="Y790" s="274"/>
    </row>
    <row r="791" spans="11:26" x14ac:dyDescent="0.35">
      <c r="K791" s="40"/>
      <c r="M791" s="51"/>
      <c r="N791" s="40"/>
      <c r="O791" s="51"/>
      <c r="P791" s="40"/>
      <c r="Y791" s="274"/>
    </row>
    <row r="792" spans="11:26" x14ac:dyDescent="0.35">
      <c r="K792" s="40"/>
      <c r="M792" s="51"/>
      <c r="N792" s="40"/>
      <c r="O792" s="51"/>
      <c r="P792" s="40"/>
      <c r="Y792" s="274"/>
    </row>
    <row r="793" spans="11:26" x14ac:dyDescent="0.35">
      <c r="K793" s="40"/>
      <c r="M793" s="51"/>
      <c r="N793" s="40"/>
      <c r="O793" s="51"/>
      <c r="P793" s="40"/>
      <c r="Y793" s="274"/>
    </row>
    <row r="794" spans="11:26" x14ac:dyDescent="0.35">
      <c r="K794" s="40"/>
      <c r="M794" s="51"/>
      <c r="N794" s="40"/>
      <c r="O794" s="51"/>
      <c r="P794" s="40"/>
      <c r="Y794" s="274"/>
    </row>
    <row r="795" spans="11:26" x14ac:dyDescent="0.35">
      <c r="K795" s="40"/>
      <c r="M795" s="51"/>
      <c r="N795" s="40"/>
      <c r="O795" s="51"/>
      <c r="P795" s="40"/>
      <c r="Y795" s="274"/>
    </row>
    <row r="796" spans="11:26" x14ac:dyDescent="0.35">
      <c r="K796" s="54"/>
      <c r="M796" s="54"/>
      <c r="N796" s="40"/>
      <c r="P796" s="40"/>
      <c r="Y796" s="274"/>
    </row>
    <row r="797" spans="11:26" x14ac:dyDescent="0.35">
      <c r="K797" s="51"/>
      <c r="P797" s="40">
        <v>211963838.73000011</v>
      </c>
      <c r="S797" s="40">
        <v>1099118554.8857849</v>
      </c>
      <c r="W797" s="54"/>
      <c r="Z797" s="54"/>
    </row>
    <row r="798" spans="11:26" x14ac:dyDescent="0.35">
      <c r="K798" s="54"/>
      <c r="N798" t="s">
        <v>3342</v>
      </c>
      <c r="P798" s="54">
        <f>P742-P797</f>
        <v>273667079.99999964</v>
      </c>
      <c r="S798" s="51">
        <f>S742-S797</f>
        <v>774957258.11421537</v>
      </c>
    </row>
    <row r="799" spans="11:26" x14ac:dyDescent="0.35">
      <c r="P799" s="5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4"/>
  <sheetViews>
    <sheetView workbookViewId="0">
      <selection activeCell="D14" sqref="D14"/>
    </sheetView>
  </sheetViews>
  <sheetFormatPr defaultRowHeight="14.5" x14ac:dyDescent="0.35"/>
  <cols>
    <col min="1" max="1" width="31" customWidth="1"/>
    <col min="2" max="2" width="48.26953125" customWidth="1"/>
    <col min="3" max="3" width="14.6328125" customWidth="1"/>
    <col min="4" max="4" width="18.08984375" customWidth="1"/>
    <col min="5" max="5" width="17.26953125" customWidth="1"/>
    <col min="6" max="27" width="17.26953125" bestFit="1" customWidth="1"/>
    <col min="28" max="28" width="14.81640625" bestFit="1" customWidth="1"/>
  </cols>
  <sheetData>
    <row r="1" spans="1:4" x14ac:dyDescent="0.35">
      <c r="A1" s="84" t="s">
        <v>3029</v>
      </c>
      <c r="B1" t="s">
        <v>3411</v>
      </c>
    </row>
    <row r="3" spans="1:4" x14ac:dyDescent="0.35">
      <c r="A3" s="84" t="s">
        <v>3031</v>
      </c>
      <c r="B3" s="84" t="s">
        <v>8</v>
      </c>
      <c r="C3" s="84" t="s">
        <v>7</v>
      </c>
      <c r="D3" t="s">
        <v>2788</v>
      </c>
    </row>
    <row r="4" spans="1:4" x14ac:dyDescent="0.35">
      <c r="A4" t="s">
        <v>3049</v>
      </c>
      <c r="B4" t="s">
        <v>3049</v>
      </c>
      <c r="C4" t="s">
        <v>3049</v>
      </c>
      <c r="D4" s="54">
        <v>696199047.14972389</v>
      </c>
    </row>
    <row r="5" spans="1:4" x14ac:dyDescent="0.35">
      <c r="A5" t="s">
        <v>61</v>
      </c>
      <c r="B5" t="s">
        <v>2734</v>
      </c>
      <c r="C5">
        <v>420120</v>
      </c>
      <c r="D5" s="54">
        <v>520000</v>
      </c>
    </row>
    <row r="6" spans="1:4" x14ac:dyDescent="0.35">
      <c r="A6" t="s">
        <v>61</v>
      </c>
      <c r="B6" t="s">
        <v>1151</v>
      </c>
      <c r="C6">
        <v>420130</v>
      </c>
      <c r="D6" s="54">
        <v>236850</v>
      </c>
    </row>
    <row r="7" spans="1:4" x14ac:dyDescent="0.35">
      <c r="A7" t="s">
        <v>61</v>
      </c>
      <c r="B7" t="s">
        <v>3038</v>
      </c>
      <c r="C7">
        <v>420310</v>
      </c>
      <c r="D7" s="54">
        <v>8921788</v>
      </c>
    </row>
    <row r="8" spans="1:4" x14ac:dyDescent="0.35">
      <c r="A8" t="s">
        <v>61</v>
      </c>
      <c r="B8" t="s">
        <v>225</v>
      </c>
      <c r="C8">
        <v>420550</v>
      </c>
      <c r="D8" s="54">
        <v>3540830</v>
      </c>
    </row>
    <row r="9" spans="1:4" x14ac:dyDescent="0.35">
      <c r="A9" t="s">
        <v>61</v>
      </c>
      <c r="B9" t="s">
        <v>231</v>
      </c>
      <c r="C9">
        <v>420570</v>
      </c>
      <c r="D9" s="54">
        <v>56595297</v>
      </c>
    </row>
    <row r="10" spans="1:4" x14ac:dyDescent="0.35">
      <c r="A10" t="s">
        <v>61</v>
      </c>
      <c r="B10" t="s">
        <v>59</v>
      </c>
      <c r="C10">
        <v>420810</v>
      </c>
      <c r="D10" s="54">
        <v>0</v>
      </c>
    </row>
    <row r="11" spans="1:4" x14ac:dyDescent="0.35">
      <c r="A11" t="s">
        <v>61</v>
      </c>
      <c r="B11" t="s">
        <v>65</v>
      </c>
      <c r="C11">
        <v>420811</v>
      </c>
      <c r="D11" s="54">
        <v>27999050.850276135</v>
      </c>
    </row>
    <row r="12" spans="1:4" x14ac:dyDescent="0.35">
      <c r="A12" t="s">
        <v>61</v>
      </c>
      <c r="B12" t="s">
        <v>1266</v>
      </c>
      <c r="C12">
        <v>420900</v>
      </c>
      <c r="D12" s="54">
        <v>5298500</v>
      </c>
    </row>
    <row r="13" spans="1:4" x14ac:dyDescent="0.35">
      <c r="A13" t="s">
        <v>61</v>
      </c>
      <c r="B13" t="s">
        <v>1011</v>
      </c>
      <c r="C13">
        <v>421000</v>
      </c>
      <c r="D13" s="54">
        <v>8290000</v>
      </c>
    </row>
    <row r="14" spans="1:4" x14ac:dyDescent="0.35">
      <c r="A14" t="s">
        <v>61</v>
      </c>
      <c r="B14" t="s">
        <v>3042</v>
      </c>
      <c r="C14">
        <v>421100</v>
      </c>
      <c r="D14" s="54">
        <v>0</v>
      </c>
    </row>
    <row r="15" spans="1:4" x14ac:dyDescent="0.35">
      <c r="A15" t="s">
        <v>61</v>
      </c>
      <c r="B15" t="s">
        <v>1475</v>
      </c>
      <c r="C15">
        <v>421600</v>
      </c>
      <c r="D15" s="54">
        <v>8915130</v>
      </c>
    </row>
    <row r="16" spans="1:4" x14ac:dyDescent="0.35">
      <c r="A16" t="s">
        <v>61</v>
      </c>
      <c r="B16" t="s">
        <v>2438</v>
      </c>
      <c r="C16">
        <v>421700</v>
      </c>
      <c r="D16" s="54">
        <v>5220000</v>
      </c>
    </row>
    <row r="17" spans="1:4" x14ac:dyDescent="0.35">
      <c r="A17" t="s">
        <v>61</v>
      </c>
      <c r="B17" t="s">
        <v>1021</v>
      </c>
      <c r="C17">
        <v>422100</v>
      </c>
      <c r="D17" s="54">
        <v>12000</v>
      </c>
    </row>
    <row r="18" spans="1:4" x14ac:dyDescent="0.35">
      <c r="A18" t="s">
        <v>61</v>
      </c>
      <c r="B18" t="s">
        <v>3039</v>
      </c>
      <c r="C18">
        <v>422400</v>
      </c>
      <c r="D18" s="54">
        <v>0</v>
      </c>
    </row>
    <row r="19" spans="1:4" x14ac:dyDescent="0.35">
      <c r="A19" t="s">
        <v>61</v>
      </c>
      <c r="B19" t="s">
        <v>1139</v>
      </c>
      <c r="C19">
        <v>422900</v>
      </c>
      <c r="D19" s="54">
        <v>1710000</v>
      </c>
    </row>
    <row r="20" spans="1:4" x14ac:dyDescent="0.35">
      <c r="A20" t="s">
        <v>61</v>
      </c>
      <c r="B20" t="s">
        <v>1184</v>
      </c>
      <c r="C20">
        <v>425100</v>
      </c>
      <c r="D20" s="54">
        <v>15916000</v>
      </c>
    </row>
    <row r="21" spans="1:4" x14ac:dyDescent="0.35">
      <c r="A21" t="s">
        <v>61</v>
      </c>
      <c r="B21" t="s">
        <v>1164</v>
      </c>
      <c r="C21">
        <v>425300</v>
      </c>
      <c r="D21" s="54">
        <v>2400</v>
      </c>
    </row>
    <row r="22" spans="1:4" x14ac:dyDescent="0.35">
      <c r="A22" t="s">
        <v>61</v>
      </c>
      <c r="B22" t="s">
        <v>3041</v>
      </c>
      <c r="C22">
        <v>425350</v>
      </c>
      <c r="D22" s="54">
        <v>117000</v>
      </c>
    </row>
    <row r="23" spans="1:4" x14ac:dyDescent="0.35">
      <c r="A23" t="s">
        <v>61</v>
      </c>
      <c r="B23" t="s">
        <v>247</v>
      </c>
      <c r="C23">
        <v>425510</v>
      </c>
      <c r="D23" s="54">
        <v>10949900</v>
      </c>
    </row>
    <row r="24" spans="1:4" x14ac:dyDescent="0.35">
      <c r="A24" t="s">
        <v>61</v>
      </c>
      <c r="B24" t="s">
        <v>253</v>
      </c>
      <c r="C24">
        <v>425550</v>
      </c>
      <c r="D24" s="54">
        <v>5035030</v>
      </c>
    </row>
    <row r="25" spans="1:4" x14ac:dyDescent="0.35">
      <c r="A25" t="s">
        <v>61</v>
      </c>
      <c r="B25" t="s">
        <v>1526</v>
      </c>
      <c r="C25">
        <v>425710</v>
      </c>
      <c r="D25" s="54">
        <v>360000</v>
      </c>
    </row>
    <row r="26" spans="1:4" x14ac:dyDescent="0.35">
      <c r="A26" t="s">
        <v>61</v>
      </c>
      <c r="B26" t="s">
        <v>620</v>
      </c>
      <c r="C26">
        <v>425720</v>
      </c>
      <c r="D26" s="54">
        <v>4400850</v>
      </c>
    </row>
    <row r="27" spans="1:4" x14ac:dyDescent="0.35">
      <c r="A27" t="s">
        <v>61</v>
      </c>
      <c r="B27" t="s">
        <v>259</v>
      </c>
      <c r="C27">
        <v>425740</v>
      </c>
      <c r="D27" s="54">
        <v>3600012</v>
      </c>
    </row>
    <row r="28" spans="1:4" x14ac:dyDescent="0.35">
      <c r="A28" t="s">
        <v>61</v>
      </c>
      <c r="B28" t="s">
        <v>1485</v>
      </c>
      <c r="C28">
        <v>425741</v>
      </c>
      <c r="D28" s="54">
        <v>98652604</v>
      </c>
    </row>
    <row r="29" spans="1:4" x14ac:dyDescent="0.35">
      <c r="A29" t="s">
        <v>61</v>
      </c>
      <c r="B29" t="s">
        <v>1036</v>
      </c>
      <c r="C29">
        <v>425742</v>
      </c>
      <c r="D29" s="54">
        <v>2277975</v>
      </c>
    </row>
    <row r="30" spans="1:4" x14ac:dyDescent="0.35">
      <c r="A30" t="s">
        <v>61</v>
      </c>
      <c r="B30" t="s">
        <v>1590</v>
      </c>
      <c r="C30">
        <v>425743</v>
      </c>
      <c r="D30" s="54">
        <v>0</v>
      </c>
    </row>
    <row r="31" spans="1:4" x14ac:dyDescent="0.35">
      <c r="A31" t="s">
        <v>61</v>
      </c>
      <c r="B31" t="s">
        <v>1592</v>
      </c>
      <c r="C31">
        <v>425744</v>
      </c>
      <c r="D31" s="54">
        <v>3700000</v>
      </c>
    </row>
    <row r="32" spans="1:4" x14ac:dyDescent="0.35">
      <c r="A32" t="s">
        <v>61</v>
      </c>
      <c r="B32" t="s">
        <v>1041</v>
      </c>
      <c r="C32">
        <v>425745</v>
      </c>
      <c r="D32" s="54">
        <v>3929115</v>
      </c>
    </row>
    <row r="33" spans="1:4" x14ac:dyDescent="0.35">
      <c r="A33" t="s">
        <v>61</v>
      </c>
      <c r="B33" t="s">
        <v>1047</v>
      </c>
      <c r="C33">
        <v>425746</v>
      </c>
      <c r="D33" s="54">
        <v>11693028</v>
      </c>
    </row>
    <row r="34" spans="1:4" x14ac:dyDescent="0.35">
      <c r="A34" t="s">
        <v>61</v>
      </c>
      <c r="B34" t="s">
        <v>2550</v>
      </c>
      <c r="C34">
        <v>425747</v>
      </c>
      <c r="D34" s="54">
        <v>0</v>
      </c>
    </row>
    <row r="35" spans="1:4" x14ac:dyDescent="0.35">
      <c r="A35" t="s">
        <v>61</v>
      </c>
      <c r="B35" t="s">
        <v>1052</v>
      </c>
      <c r="C35">
        <v>425749</v>
      </c>
      <c r="D35" s="54">
        <v>244626000</v>
      </c>
    </row>
    <row r="36" spans="1:4" x14ac:dyDescent="0.35">
      <c r="A36" t="s">
        <v>61</v>
      </c>
      <c r="B36" t="s">
        <v>1057</v>
      </c>
      <c r="C36">
        <v>425750</v>
      </c>
      <c r="D36" s="54">
        <v>2704485</v>
      </c>
    </row>
    <row r="37" spans="1:4" x14ac:dyDescent="0.35">
      <c r="A37" t="s">
        <v>61</v>
      </c>
      <c r="B37" t="s">
        <v>352</v>
      </c>
      <c r="C37">
        <v>425760</v>
      </c>
      <c r="D37" s="54">
        <v>1502870</v>
      </c>
    </row>
    <row r="38" spans="1:4" x14ac:dyDescent="0.35">
      <c r="A38" t="s">
        <v>61</v>
      </c>
      <c r="B38" t="s">
        <v>1383</v>
      </c>
      <c r="C38">
        <v>425761</v>
      </c>
      <c r="D38" s="54">
        <v>2439500</v>
      </c>
    </row>
    <row r="39" spans="1:4" x14ac:dyDescent="0.35">
      <c r="A39" t="s">
        <v>61</v>
      </c>
      <c r="B39" t="s">
        <v>573</v>
      </c>
      <c r="C39">
        <v>425762</v>
      </c>
      <c r="D39" s="54">
        <v>5675974</v>
      </c>
    </row>
    <row r="40" spans="1:4" x14ac:dyDescent="0.35">
      <c r="A40" t="s">
        <v>61</v>
      </c>
      <c r="B40" t="s">
        <v>359</v>
      </c>
      <c r="C40">
        <v>425763</v>
      </c>
      <c r="D40" s="54">
        <v>2809795</v>
      </c>
    </row>
    <row r="41" spans="1:4" x14ac:dyDescent="0.35">
      <c r="A41" t="s">
        <v>61</v>
      </c>
      <c r="B41" t="s">
        <v>367</v>
      </c>
      <c r="C41">
        <v>425770</v>
      </c>
      <c r="D41" s="54">
        <v>7561925</v>
      </c>
    </row>
    <row r="42" spans="1:4" x14ac:dyDescent="0.35">
      <c r="A42" t="s">
        <v>61</v>
      </c>
      <c r="B42" t="s">
        <v>266</v>
      </c>
      <c r="C42">
        <v>425900</v>
      </c>
      <c r="D42" s="54">
        <v>3419632</v>
      </c>
    </row>
    <row r="43" spans="1:4" x14ac:dyDescent="0.35">
      <c r="A43" t="s">
        <v>61</v>
      </c>
      <c r="B43" t="s">
        <v>1071</v>
      </c>
      <c r="C43">
        <v>426100</v>
      </c>
      <c r="D43" s="54">
        <v>122000</v>
      </c>
    </row>
    <row r="44" spans="1:4" x14ac:dyDescent="0.35">
      <c r="A44" t="s">
        <v>61</v>
      </c>
      <c r="B44" t="s">
        <v>2551</v>
      </c>
      <c r="C44">
        <v>426210</v>
      </c>
      <c r="D44" s="54">
        <v>0</v>
      </c>
    </row>
    <row r="45" spans="1:4" x14ac:dyDescent="0.35">
      <c r="A45" t="s">
        <v>61</v>
      </c>
      <c r="B45" t="s">
        <v>1477</v>
      </c>
      <c r="C45">
        <v>426220</v>
      </c>
      <c r="D45" s="54">
        <v>984151</v>
      </c>
    </row>
    <row r="46" spans="1:4" x14ac:dyDescent="0.35">
      <c r="A46" t="s">
        <v>61</v>
      </c>
      <c r="B46" t="s">
        <v>2442</v>
      </c>
      <c r="C46">
        <v>426250</v>
      </c>
      <c r="D46" s="54">
        <v>50000</v>
      </c>
    </row>
    <row r="47" spans="1:4" x14ac:dyDescent="0.35">
      <c r="A47" t="s">
        <v>61</v>
      </c>
      <c r="B47" t="s">
        <v>3046</v>
      </c>
      <c r="C47">
        <v>426290</v>
      </c>
      <c r="D47" s="54">
        <v>0</v>
      </c>
    </row>
    <row r="48" spans="1:4" x14ac:dyDescent="0.35">
      <c r="A48" t="s">
        <v>61</v>
      </c>
      <c r="B48" t="s">
        <v>694</v>
      </c>
      <c r="C48">
        <v>426610</v>
      </c>
      <c r="D48" s="54">
        <v>21231889</v>
      </c>
    </row>
    <row r="49" spans="1:4" x14ac:dyDescent="0.35">
      <c r="A49" t="s">
        <v>61</v>
      </c>
      <c r="B49" t="s">
        <v>2552</v>
      </c>
      <c r="C49">
        <v>426800</v>
      </c>
      <c r="D49" s="54">
        <v>10000</v>
      </c>
    </row>
    <row r="50" spans="1:4" x14ac:dyDescent="0.35">
      <c r="A50" t="s">
        <v>61</v>
      </c>
      <c r="B50" t="s">
        <v>1080</v>
      </c>
      <c r="C50">
        <v>426900</v>
      </c>
      <c r="D50" s="54">
        <v>56190</v>
      </c>
    </row>
    <row r="51" spans="1:4" x14ac:dyDescent="0.35">
      <c r="A51" t="s">
        <v>61</v>
      </c>
      <c r="B51" t="s">
        <v>2323</v>
      </c>
      <c r="C51">
        <v>427100</v>
      </c>
      <c r="D51" s="54">
        <v>2500000</v>
      </c>
    </row>
    <row r="52" spans="1:4" x14ac:dyDescent="0.35">
      <c r="A52" t="s">
        <v>61</v>
      </c>
      <c r="B52" t="s">
        <v>1085</v>
      </c>
      <c r="C52">
        <v>427200</v>
      </c>
      <c r="D52" s="54">
        <v>1445005</v>
      </c>
    </row>
    <row r="53" spans="1:4" x14ac:dyDescent="0.35">
      <c r="A53" t="s">
        <v>61</v>
      </c>
      <c r="B53" t="s">
        <v>1090</v>
      </c>
      <c r="C53">
        <v>427710</v>
      </c>
      <c r="D53" s="54">
        <v>822391</v>
      </c>
    </row>
    <row r="54" spans="1:4" x14ac:dyDescent="0.35">
      <c r="A54" t="s">
        <v>61</v>
      </c>
      <c r="B54" t="s">
        <v>3043</v>
      </c>
      <c r="C54">
        <v>427810</v>
      </c>
      <c r="D54" s="54">
        <v>820800</v>
      </c>
    </row>
    <row r="55" spans="1:4" x14ac:dyDescent="0.35">
      <c r="A55" t="s">
        <v>61</v>
      </c>
      <c r="B55" t="s">
        <v>3044</v>
      </c>
      <c r="C55">
        <v>427850</v>
      </c>
      <c r="D55" s="54">
        <v>2018028</v>
      </c>
    </row>
    <row r="56" spans="1:4" x14ac:dyDescent="0.35">
      <c r="A56" t="s">
        <v>61</v>
      </c>
      <c r="B56" t="s">
        <v>1205</v>
      </c>
      <c r="C56">
        <v>427900</v>
      </c>
      <c r="D56" s="54">
        <v>15000</v>
      </c>
    </row>
    <row r="57" spans="1:4" x14ac:dyDescent="0.35">
      <c r="A57" t="s">
        <v>61</v>
      </c>
      <c r="B57" t="s">
        <v>154</v>
      </c>
      <c r="C57">
        <v>428090</v>
      </c>
      <c r="D57" s="54">
        <v>5535090</v>
      </c>
    </row>
    <row r="58" spans="1:4" x14ac:dyDescent="0.35">
      <c r="A58" t="s">
        <v>61</v>
      </c>
      <c r="B58" t="s">
        <v>1478</v>
      </c>
      <c r="C58">
        <v>428111</v>
      </c>
      <c r="D58" s="54">
        <v>18698211</v>
      </c>
    </row>
    <row r="59" spans="1:4" x14ac:dyDescent="0.35">
      <c r="A59" t="s">
        <v>61</v>
      </c>
      <c r="B59" t="s">
        <v>1479</v>
      </c>
      <c r="C59">
        <v>428112</v>
      </c>
      <c r="D59" s="54">
        <v>5208419</v>
      </c>
    </row>
    <row r="60" spans="1:4" x14ac:dyDescent="0.35">
      <c r="A60" t="s">
        <v>61</v>
      </c>
      <c r="B60" t="s">
        <v>2383</v>
      </c>
      <c r="C60">
        <v>428200</v>
      </c>
      <c r="D60" s="54">
        <v>690000</v>
      </c>
    </row>
    <row r="61" spans="1:4" x14ac:dyDescent="0.35">
      <c r="A61" t="s">
        <v>61</v>
      </c>
      <c r="B61" t="s">
        <v>2726</v>
      </c>
      <c r="C61">
        <v>428400</v>
      </c>
      <c r="D61" s="54">
        <v>50000</v>
      </c>
    </row>
    <row r="62" spans="1:4" x14ac:dyDescent="0.35">
      <c r="A62" t="s">
        <v>61</v>
      </c>
      <c r="B62" t="s">
        <v>279</v>
      </c>
      <c r="C62">
        <v>428640</v>
      </c>
      <c r="D62" s="54">
        <v>4947721</v>
      </c>
    </row>
    <row r="63" spans="1:4" x14ac:dyDescent="0.35">
      <c r="A63" t="s">
        <v>61</v>
      </c>
      <c r="B63" t="s">
        <v>2359</v>
      </c>
      <c r="C63">
        <v>429900</v>
      </c>
      <c r="D63" s="54">
        <v>3288000</v>
      </c>
    </row>
    <row r="64" spans="1:4" x14ac:dyDescent="0.35">
      <c r="A64" t="s">
        <v>61</v>
      </c>
      <c r="B64" t="s">
        <v>3344</v>
      </c>
      <c r="C64">
        <v>430110</v>
      </c>
      <c r="D64" s="54">
        <v>233000</v>
      </c>
    </row>
    <row r="65" spans="1:4" x14ac:dyDescent="0.35">
      <c r="A65" t="s">
        <v>61</v>
      </c>
      <c r="B65" t="s">
        <v>2428</v>
      </c>
      <c r="C65">
        <v>430120</v>
      </c>
      <c r="D65" s="54">
        <v>22219870</v>
      </c>
    </row>
    <row r="66" spans="1:4" x14ac:dyDescent="0.35">
      <c r="A66" t="s">
        <v>61</v>
      </c>
      <c r="B66" t="s">
        <v>160</v>
      </c>
      <c r="C66">
        <v>430230</v>
      </c>
      <c r="D66" s="54">
        <v>0</v>
      </c>
    </row>
    <row r="67" spans="1:4" x14ac:dyDescent="0.35">
      <c r="A67" t="s">
        <v>61</v>
      </c>
      <c r="B67" t="s">
        <v>162</v>
      </c>
      <c r="C67">
        <v>430250</v>
      </c>
      <c r="D67" s="54">
        <v>1864650</v>
      </c>
    </row>
    <row r="68" spans="1:4" x14ac:dyDescent="0.35">
      <c r="A68" t="s">
        <v>61</v>
      </c>
      <c r="B68" t="s">
        <v>2553</v>
      </c>
      <c r="C68">
        <v>430330</v>
      </c>
      <c r="D68" s="54">
        <v>1870125</v>
      </c>
    </row>
    <row r="69" spans="1:4" x14ac:dyDescent="0.35">
      <c r="A69" t="s">
        <v>61</v>
      </c>
      <c r="B69" t="s">
        <v>1480</v>
      </c>
      <c r="C69">
        <v>432120</v>
      </c>
      <c r="D69" s="54">
        <v>34225569</v>
      </c>
    </row>
    <row r="70" spans="1:4" x14ac:dyDescent="0.35">
      <c r="A70" t="s">
        <v>61</v>
      </c>
      <c r="B70" t="s">
        <v>1536</v>
      </c>
      <c r="C70">
        <v>432170</v>
      </c>
      <c r="D70" s="54">
        <v>270000</v>
      </c>
    </row>
    <row r="71" spans="1:4" x14ac:dyDescent="0.35">
      <c r="A71" t="s">
        <v>61</v>
      </c>
      <c r="B71" t="s">
        <v>3040</v>
      </c>
      <c r="C71">
        <v>432205</v>
      </c>
      <c r="D71" s="54">
        <v>4339500</v>
      </c>
    </row>
    <row r="72" spans="1:4" x14ac:dyDescent="0.35">
      <c r="A72" t="s">
        <v>61</v>
      </c>
      <c r="B72" t="s">
        <v>393</v>
      </c>
      <c r="C72">
        <v>432209</v>
      </c>
      <c r="D72" s="54">
        <v>21267845</v>
      </c>
    </row>
    <row r="73" spans="1:4" x14ac:dyDescent="0.35">
      <c r="A73" t="s">
        <v>61</v>
      </c>
      <c r="B73" t="s">
        <v>1107</v>
      </c>
      <c r="C73">
        <v>432210</v>
      </c>
      <c r="D73" s="54">
        <v>200000</v>
      </c>
    </row>
    <row r="74" spans="1:4" x14ac:dyDescent="0.35">
      <c r="A74" t="s">
        <v>61</v>
      </c>
      <c r="B74" t="s">
        <v>184</v>
      </c>
      <c r="C74">
        <v>432226</v>
      </c>
      <c r="D74" s="54">
        <v>540000</v>
      </c>
    </row>
    <row r="75" spans="1:4" x14ac:dyDescent="0.35">
      <c r="A75" t="s">
        <v>61</v>
      </c>
      <c r="B75" t="s">
        <v>2467</v>
      </c>
      <c r="C75">
        <v>432320</v>
      </c>
      <c r="D75" s="54">
        <v>55000</v>
      </c>
    </row>
    <row r="76" spans="1:4" x14ac:dyDescent="0.35">
      <c r="A76" t="s">
        <v>61</v>
      </c>
      <c r="B76" t="s">
        <v>2554</v>
      </c>
      <c r="C76">
        <v>432540</v>
      </c>
      <c r="D76" s="54">
        <v>140000</v>
      </c>
    </row>
    <row r="77" spans="1:4" x14ac:dyDescent="0.35">
      <c r="A77" t="s">
        <v>61</v>
      </c>
      <c r="B77" t="s">
        <v>651</v>
      </c>
      <c r="C77">
        <v>432690</v>
      </c>
      <c r="D77" s="54">
        <v>0</v>
      </c>
    </row>
    <row r="78" spans="1:4" x14ac:dyDescent="0.35">
      <c r="A78" t="s">
        <v>61</v>
      </c>
      <c r="B78" t="s">
        <v>1336</v>
      </c>
      <c r="C78">
        <v>435310</v>
      </c>
      <c r="D78" s="54">
        <v>107228</v>
      </c>
    </row>
    <row r="79" spans="1:4" x14ac:dyDescent="0.35">
      <c r="A79" t="s">
        <v>61</v>
      </c>
      <c r="B79" t="s">
        <v>1111</v>
      </c>
      <c r="C79">
        <v>435330</v>
      </c>
      <c r="D79" s="54">
        <v>16210654</v>
      </c>
    </row>
    <row r="80" spans="1:4" x14ac:dyDescent="0.35">
      <c r="A80" t="s">
        <v>61</v>
      </c>
      <c r="B80" t="s">
        <v>655</v>
      </c>
      <c r="C80">
        <v>435340</v>
      </c>
      <c r="D80" s="54">
        <v>11842000</v>
      </c>
    </row>
    <row r="81" spans="1:4" x14ac:dyDescent="0.35">
      <c r="A81" t="s">
        <v>61</v>
      </c>
      <c r="B81" t="s">
        <v>399</v>
      </c>
      <c r="C81">
        <v>435350</v>
      </c>
      <c r="D81" s="54">
        <v>4515000</v>
      </c>
    </row>
    <row r="82" spans="1:4" x14ac:dyDescent="0.35">
      <c r="A82" t="s">
        <v>61</v>
      </c>
      <c r="B82" t="s">
        <v>2590</v>
      </c>
      <c r="C82">
        <v>435410</v>
      </c>
      <c r="D82" s="54">
        <v>840000</v>
      </c>
    </row>
    <row r="83" spans="1:4" x14ac:dyDescent="0.35">
      <c r="A83" t="s">
        <v>61</v>
      </c>
      <c r="B83" t="s">
        <v>405</v>
      </c>
      <c r="C83">
        <v>435508</v>
      </c>
      <c r="D83" s="54">
        <v>33397354</v>
      </c>
    </row>
    <row r="84" spans="1:4" x14ac:dyDescent="0.35">
      <c r="A84" t="s">
        <v>61</v>
      </c>
      <c r="B84" t="s">
        <v>3045</v>
      </c>
      <c r="C84">
        <v>435510</v>
      </c>
      <c r="D84" s="54">
        <v>0</v>
      </c>
    </row>
    <row r="85" spans="1:4" x14ac:dyDescent="0.35">
      <c r="A85" t="s">
        <v>61</v>
      </c>
      <c r="B85" t="s">
        <v>2348</v>
      </c>
      <c r="C85">
        <v>435519</v>
      </c>
      <c r="D85" s="54">
        <v>135000</v>
      </c>
    </row>
    <row r="86" spans="1:4" x14ac:dyDescent="0.35">
      <c r="A86" t="s">
        <v>61</v>
      </c>
      <c r="B86" t="s">
        <v>1243</v>
      </c>
      <c r="C86">
        <v>435523</v>
      </c>
      <c r="D86" s="54">
        <v>113648860</v>
      </c>
    </row>
    <row r="87" spans="1:4" x14ac:dyDescent="0.35">
      <c r="A87" t="s">
        <v>61</v>
      </c>
      <c r="B87" t="s">
        <v>1127</v>
      </c>
      <c r="C87">
        <v>435530</v>
      </c>
      <c r="D87" s="54">
        <v>331350</v>
      </c>
    </row>
    <row r="88" spans="1:4" x14ac:dyDescent="0.35">
      <c r="A88" t="s">
        <v>61</v>
      </c>
      <c r="B88" t="s">
        <v>2593</v>
      </c>
      <c r="C88">
        <v>435740</v>
      </c>
      <c r="D88" s="54">
        <v>336000</v>
      </c>
    </row>
    <row r="89" spans="1:4" x14ac:dyDescent="0.35">
      <c r="A89" t="s">
        <v>61</v>
      </c>
      <c r="B89" t="s">
        <v>190</v>
      </c>
      <c r="C89">
        <v>436110</v>
      </c>
      <c r="D89" s="54">
        <v>1007150</v>
      </c>
    </row>
    <row r="90" spans="1:4" x14ac:dyDescent="0.35">
      <c r="A90" t="s">
        <v>61</v>
      </c>
      <c r="B90" t="s">
        <v>291</v>
      </c>
      <c r="C90">
        <v>436120</v>
      </c>
      <c r="D90" s="54">
        <v>369400</v>
      </c>
    </row>
    <row r="91" spans="1:4" x14ac:dyDescent="0.35">
      <c r="A91" t="s">
        <v>61</v>
      </c>
      <c r="B91" t="s">
        <v>2555</v>
      </c>
      <c r="C91">
        <v>436220</v>
      </c>
      <c r="D91" s="54">
        <v>0</v>
      </c>
    </row>
    <row r="92" spans="1:4" x14ac:dyDescent="0.35">
      <c r="A92" t="s">
        <v>61</v>
      </c>
      <c r="B92" t="s">
        <v>3348</v>
      </c>
      <c r="C92">
        <v>436340</v>
      </c>
      <c r="D92" s="54">
        <v>0</v>
      </c>
    </row>
    <row r="93" spans="1:4" x14ac:dyDescent="0.35">
      <c r="A93" t="s">
        <v>61</v>
      </c>
      <c r="B93" t="s">
        <v>416</v>
      </c>
      <c r="C93">
        <v>436600</v>
      </c>
      <c r="D93" s="54">
        <v>889350</v>
      </c>
    </row>
    <row r="94" spans="1:4" x14ac:dyDescent="0.35">
      <c r="A94" t="s">
        <v>192</v>
      </c>
      <c r="B94" t="s">
        <v>2475</v>
      </c>
      <c r="C94">
        <v>492200</v>
      </c>
      <c r="D94" s="54">
        <v>104517560</v>
      </c>
    </row>
    <row r="95" spans="1:4" x14ac:dyDescent="0.35">
      <c r="A95" t="s">
        <v>192</v>
      </c>
      <c r="B95" t="s">
        <v>191</v>
      </c>
      <c r="C95">
        <v>492310</v>
      </c>
      <c r="D95" s="54">
        <v>2916500</v>
      </c>
    </row>
    <row r="96" spans="1:4" x14ac:dyDescent="0.35">
      <c r="A96" t="s">
        <v>192</v>
      </c>
      <c r="B96" t="s">
        <v>221</v>
      </c>
      <c r="C96">
        <v>492316</v>
      </c>
      <c r="D96" s="54">
        <v>150888360</v>
      </c>
    </row>
    <row r="97" spans="1:4" x14ac:dyDescent="0.35">
      <c r="A97" t="s">
        <v>192</v>
      </c>
      <c r="B97" t="s">
        <v>198</v>
      </c>
      <c r="C97">
        <v>492352</v>
      </c>
      <c r="D97" s="54">
        <v>1389000</v>
      </c>
    </row>
    <row r="98" spans="1:4" x14ac:dyDescent="0.35">
      <c r="A98" t="s">
        <v>192</v>
      </c>
      <c r="B98" t="s">
        <v>204</v>
      </c>
      <c r="C98">
        <v>492354</v>
      </c>
      <c r="D98" s="54">
        <v>2238800</v>
      </c>
    </row>
    <row r="99" spans="1:4" x14ac:dyDescent="0.35">
      <c r="A99" t="s">
        <v>192</v>
      </c>
      <c r="B99" t="s">
        <v>206</v>
      </c>
      <c r="C99">
        <v>492356</v>
      </c>
      <c r="D99" s="54">
        <v>4018539</v>
      </c>
    </row>
    <row r="100" spans="1:4" x14ac:dyDescent="0.35">
      <c r="A100" t="s">
        <v>192</v>
      </c>
      <c r="B100" t="s">
        <v>2537</v>
      </c>
      <c r="C100">
        <v>492610</v>
      </c>
      <c r="D100" s="54">
        <v>6326594</v>
      </c>
    </row>
    <row r="101" spans="1:4" x14ac:dyDescent="0.35">
      <c r="A101" t="s">
        <v>192</v>
      </c>
      <c r="B101" t="s">
        <v>213</v>
      </c>
      <c r="C101">
        <v>495110</v>
      </c>
      <c r="D101" s="54">
        <v>1859500</v>
      </c>
    </row>
    <row r="102" spans="1:4" x14ac:dyDescent="0.35">
      <c r="A102" t="s">
        <v>192</v>
      </c>
      <c r="B102" t="s">
        <v>214</v>
      </c>
      <c r="C102">
        <v>495113</v>
      </c>
      <c r="D102" s="54">
        <v>5722572</v>
      </c>
    </row>
    <row r="103" spans="1:4" x14ac:dyDescent="0.35">
      <c r="A103" t="s">
        <v>192</v>
      </c>
      <c r="B103" t="s">
        <v>541</v>
      </c>
      <c r="C103">
        <v>495140</v>
      </c>
      <c r="D103" s="54">
        <v>18000</v>
      </c>
    </row>
    <row r="104" spans="1:4" x14ac:dyDescent="0.35">
      <c r="A104" t="s">
        <v>2787</v>
      </c>
      <c r="D104" s="54">
        <v>1874075813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P8"/>
  <sheetViews>
    <sheetView topLeftCell="C1" workbookViewId="0">
      <selection activeCell="J20" sqref="J20"/>
    </sheetView>
  </sheetViews>
  <sheetFormatPr defaultRowHeight="14.5" x14ac:dyDescent="0.35"/>
  <cols>
    <col min="1" max="1" width="19.1796875" bestFit="1" customWidth="1"/>
    <col min="2" max="2" width="12.453125" bestFit="1" customWidth="1"/>
    <col min="3" max="5" width="13.1796875" bestFit="1" customWidth="1"/>
    <col min="6" max="6" width="27.54296875" bestFit="1" customWidth="1"/>
    <col min="7" max="7" width="15.453125" bestFit="1" customWidth="1"/>
    <col min="8" max="9" width="10.54296875" bestFit="1" customWidth="1"/>
    <col min="10" max="10" width="13.1796875" bestFit="1" customWidth="1"/>
    <col min="11" max="11" width="13.6328125" bestFit="1" customWidth="1"/>
    <col min="12" max="14" width="29.36328125" hidden="1" customWidth="1"/>
    <col min="15" max="16" width="13.1796875" bestFit="1" customWidth="1"/>
  </cols>
  <sheetData>
    <row r="4" spans="1:16" ht="28.5" customHeight="1" x14ac:dyDescent="0.35">
      <c r="A4" s="84" t="s">
        <v>2786</v>
      </c>
      <c r="B4" t="s">
        <v>3332</v>
      </c>
      <c r="C4" s="13" t="s">
        <v>3333</v>
      </c>
      <c r="D4" s="13" t="s">
        <v>3334</v>
      </c>
      <c r="E4" s="382" t="s">
        <v>3335</v>
      </c>
      <c r="F4" s="13" t="s">
        <v>3336</v>
      </c>
      <c r="G4" s="13" t="s">
        <v>3331</v>
      </c>
      <c r="H4" s="13" t="s">
        <v>3337</v>
      </c>
      <c r="I4" t="s">
        <v>3338</v>
      </c>
      <c r="J4" s="383" t="s">
        <v>3403</v>
      </c>
      <c r="K4" s="383" t="s">
        <v>3404</v>
      </c>
      <c r="L4" s="13" t="s">
        <v>3326</v>
      </c>
      <c r="M4" t="s">
        <v>3327</v>
      </c>
      <c r="N4" t="s">
        <v>3328</v>
      </c>
      <c r="O4" t="s">
        <v>3405</v>
      </c>
      <c r="P4" t="s">
        <v>3406</v>
      </c>
    </row>
    <row r="5" spans="1:16" x14ac:dyDescent="0.35">
      <c r="A5" s="8" t="s">
        <v>3049</v>
      </c>
      <c r="B5" s="51">
        <v>734104574</v>
      </c>
      <c r="C5" s="267">
        <v>541385100</v>
      </c>
      <c r="D5" s="267">
        <v>583579295</v>
      </c>
      <c r="E5" s="267">
        <v>622545692</v>
      </c>
      <c r="F5" s="267">
        <v>601695721</v>
      </c>
      <c r="G5" s="267">
        <v>273667080</v>
      </c>
      <c r="H5" s="267">
        <v>1643996</v>
      </c>
      <c r="I5" s="267">
        <v>7959693</v>
      </c>
      <c r="J5" s="267">
        <v>696199047.14972389</v>
      </c>
      <c r="K5" s="380">
        <v>0.11830995876480001</v>
      </c>
      <c r="L5" s="267"/>
      <c r="M5" s="267"/>
      <c r="N5" s="267"/>
      <c r="O5" s="267">
        <v>714862760</v>
      </c>
      <c r="P5" s="267">
        <v>779727079</v>
      </c>
    </row>
    <row r="6" spans="1:16" x14ac:dyDescent="0.35">
      <c r="A6" s="8" t="s">
        <v>61</v>
      </c>
      <c r="B6" s="51">
        <v>453454660</v>
      </c>
      <c r="C6" s="267">
        <v>436208140</v>
      </c>
      <c r="D6" s="267">
        <v>441110791</v>
      </c>
      <c r="E6" s="267">
        <v>579850000</v>
      </c>
      <c r="F6" s="267">
        <v>579850000</v>
      </c>
      <c r="G6" s="267">
        <v>189116588.65000004</v>
      </c>
      <c r="H6" s="267">
        <v>33388070</v>
      </c>
      <c r="I6" s="267">
        <v>50701579.969999999</v>
      </c>
      <c r="J6" s="267">
        <v>897981340.85027611</v>
      </c>
      <c r="K6" s="380">
        <v>0.54864420255286039</v>
      </c>
      <c r="L6" s="267">
        <v>726684006.76524854</v>
      </c>
      <c r="M6" s="267">
        <v>447065921.6802209</v>
      </c>
      <c r="N6" s="267">
        <v>565831851.11519337</v>
      </c>
      <c r="O6" s="267">
        <v>1016511648</v>
      </c>
      <c r="P6" s="267">
        <v>1116963424</v>
      </c>
    </row>
    <row r="7" spans="1:16" x14ac:dyDescent="0.35">
      <c r="A7" s="8" t="s">
        <v>192</v>
      </c>
      <c r="B7" s="51">
        <v>156951792</v>
      </c>
      <c r="C7" s="267">
        <v>84546442</v>
      </c>
      <c r="D7" s="267">
        <v>82262231</v>
      </c>
      <c r="E7" s="267">
        <v>110301000</v>
      </c>
      <c r="F7" s="267">
        <v>110301000</v>
      </c>
      <c r="G7" s="267">
        <v>22847250.079999998</v>
      </c>
      <c r="H7" s="267">
        <v>40206186.310000002</v>
      </c>
      <c r="I7" s="267">
        <v>38029304.030000001</v>
      </c>
      <c r="J7" s="267">
        <v>279895425</v>
      </c>
      <c r="K7" s="380">
        <v>1.5375601762450024</v>
      </c>
      <c r="L7" s="267">
        <v>153530525.80000001</v>
      </c>
      <c r="M7" s="267">
        <v>106059583.59999999</v>
      </c>
      <c r="N7" s="267">
        <v>121063323.64</v>
      </c>
      <c r="O7" s="267">
        <v>133843452</v>
      </c>
      <c r="P7" s="267">
        <v>85950261</v>
      </c>
    </row>
    <row r="8" spans="1:16" x14ac:dyDescent="0.35">
      <c r="A8" s="8" t="s">
        <v>2787</v>
      </c>
      <c r="B8" s="51">
        <v>1344511026</v>
      </c>
      <c r="C8" s="267">
        <v>1062139682</v>
      </c>
      <c r="D8" s="267">
        <v>1106952317</v>
      </c>
      <c r="E8" s="384">
        <v>1312696692</v>
      </c>
      <c r="F8" s="267">
        <v>1291846721</v>
      </c>
      <c r="G8" s="267">
        <v>485630918.73000002</v>
      </c>
      <c r="H8" s="267">
        <v>75238252.310000002</v>
      </c>
      <c r="I8" s="267">
        <v>96690577</v>
      </c>
      <c r="J8" s="384">
        <v>1874075813</v>
      </c>
      <c r="K8" s="385">
        <v>0.42765333715033105</v>
      </c>
      <c r="L8" s="267">
        <v>880214532.56524849</v>
      </c>
      <c r="M8" s="267">
        <v>553125505.28022087</v>
      </c>
      <c r="N8" s="267">
        <v>686895174.75519335</v>
      </c>
      <c r="O8" s="267">
        <v>1865217860</v>
      </c>
      <c r="P8" s="267">
        <v>1982640764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15"/>
  <sheetViews>
    <sheetView topLeftCell="B1" workbookViewId="0">
      <selection activeCell="H10" sqref="H10"/>
    </sheetView>
  </sheetViews>
  <sheetFormatPr defaultRowHeight="14.5" x14ac:dyDescent="0.35"/>
  <cols>
    <col min="1" max="1" width="34.6328125" customWidth="1"/>
    <col min="2" max="2" width="20.7265625" bestFit="1" customWidth="1"/>
    <col min="3" max="4" width="11.54296875" customWidth="1"/>
    <col min="5" max="5" width="11.6328125" customWidth="1"/>
    <col min="6" max="6" width="27.54296875" bestFit="1" customWidth="1"/>
    <col min="7" max="7" width="15.453125" customWidth="1"/>
    <col min="8" max="9" width="10.54296875" customWidth="1"/>
    <col min="10" max="10" width="12.08984375" customWidth="1"/>
    <col min="11" max="13" width="29.36328125" hidden="1" customWidth="1"/>
    <col min="14" max="14" width="13.1796875" bestFit="1" customWidth="1"/>
    <col min="15" max="15" width="13.1796875" customWidth="1"/>
  </cols>
  <sheetData>
    <row r="2" spans="1:15" ht="16" customHeight="1" x14ac:dyDescent="0.35">
      <c r="A2" s="84" t="s">
        <v>3031</v>
      </c>
      <c r="B2" t="s">
        <v>61</v>
      </c>
    </row>
    <row r="3" spans="1:15" ht="20.5" customHeight="1" thickBot="1" x14ac:dyDescent="0.4">
      <c r="A3" s="362" t="s">
        <v>2787</v>
      </c>
      <c r="B3" s="363">
        <v>453454660</v>
      </c>
      <c r="C3" s="364">
        <v>436208140</v>
      </c>
      <c r="D3" s="364">
        <v>441110791</v>
      </c>
      <c r="E3" s="364">
        <v>579850000</v>
      </c>
      <c r="F3" s="364">
        <v>579850000</v>
      </c>
      <c r="G3" s="364">
        <v>187138724</v>
      </c>
      <c r="H3" s="364">
        <v>32891483</v>
      </c>
      <c r="I3" s="364">
        <v>50586956.130000003</v>
      </c>
      <c r="J3" s="364">
        <v>910607955.83949995</v>
      </c>
      <c r="K3" s="364">
        <v>729954009.65555</v>
      </c>
      <c r="L3" s="364">
        <v>413876802.4716</v>
      </c>
      <c r="M3" s="364">
        <v>567742007.28764999</v>
      </c>
      <c r="N3" s="364">
        <v>981703638</v>
      </c>
      <c r="O3" s="364">
        <v>1078691613</v>
      </c>
    </row>
    <row r="4" spans="1:15" ht="28.5" customHeight="1" x14ac:dyDescent="0.35">
      <c r="A4" s="84" t="s">
        <v>2786</v>
      </c>
      <c r="B4" t="s">
        <v>3332</v>
      </c>
      <c r="C4" s="13" t="s">
        <v>3333</v>
      </c>
      <c r="D4" s="13" t="s">
        <v>3334</v>
      </c>
      <c r="E4" s="381" t="s">
        <v>3335</v>
      </c>
      <c r="F4" s="13" t="s">
        <v>3336</v>
      </c>
      <c r="G4" s="13" t="s">
        <v>3331</v>
      </c>
      <c r="H4" s="13" t="s">
        <v>3337</v>
      </c>
      <c r="I4" t="s">
        <v>3338</v>
      </c>
      <c r="J4" s="381" t="s">
        <v>3403</v>
      </c>
      <c r="K4" t="s">
        <v>3412</v>
      </c>
      <c r="L4" t="s">
        <v>3327</v>
      </c>
      <c r="M4" t="s">
        <v>3328</v>
      </c>
      <c r="N4" t="s">
        <v>3405</v>
      </c>
      <c r="O4" t="s">
        <v>3406</v>
      </c>
    </row>
    <row r="5" spans="1:15" x14ac:dyDescent="0.35">
      <c r="A5" s="8" t="s">
        <v>1350</v>
      </c>
      <c r="B5" s="51">
        <v>172187679</v>
      </c>
      <c r="C5" s="267">
        <v>146304242</v>
      </c>
      <c r="D5" s="267">
        <v>163185443</v>
      </c>
      <c r="E5" s="267">
        <v>243450134</v>
      </c>
      <c r="F5" s="267">
        <v>243450134</v>
      </c>
      <c r="G5" s="267">
        <v>108199142.95</v>
      </c>
      <c r="H5" s="267">
        <v>2840501.83</v>
      </c>
      <c r="I5" s="267">
        <v>6961704.3600000003</v>
      </c>
      <c r="J5" s="267">
        <v>364075874</v>
      </c>
      <c r="K5" s="267">
        <v>326036497.19999999</v>
      </c>
      <c r="L5" s="267">
        <v>289810219.39999998</v>
      </c>
      <c r="M5" s="267">
        <v>253583942.59999999</v>
      </c>
      <c r="N5" s="267">
        <v>438825848</v>
      </c>
      <c r="O5" s="267">
        <v>497434881</v>
      </c>
    </row>
    <row r="6" spans="1:15" x14ac:dyDescent="0.35">
      <c r="A6" s="8" t="s">
        <v>1209</v>
      </c>
      <c r="B6" s="51">
        <v>86138315</v>
      </c>
      <c r="C6" s="267">
        <v>113736508</v>
      </c>
      <c r="D6" s="267">
        <v>113399833</v>
      </c>
      <c r="E6" s="267">
        <v>129843909</v>
      </c>
      <c r="F6" s="267">
        <v>129843909</v>
      </c>
      <c r="G6" s="267">
        <v>39615564.349999994</v>
      </c>
      <c r="H6" s="267">
        <v>8839209.4800000004</v>
      </c>
      <c r="I6" s="267">
        <v>10502598.59</v>
      </c>
      <c r="J6" s="267">
        <v>163100430</v>
      </c>
      <c r="K6" s="267">
        <v>117779729.40000001</v>
      </c>
      <c r="L6" s="267">
        <v>25327180.800000001</v>
      </c>
      <c r="M6" s="267">
        <v>92239634.719999999</v>
      </c>
      <c r="N6" s="267">
        <v>185279342</v>
      </c>
      <c r="O6" s="267">
        <v>207394237</v>
      </c>
    </row>
    <row r="7" spans="1:15" x14ac:dyDescent="0.35">
      <c r="A7" s="8" t="s">
        <v>47</v>
      </c>
      <c r="B7" s="51">
        <v>135037634</v>
      </c>
      <c r="C7" s="267">
        <v>127285760</v>
      </c>
      <c r="D7" s="267">
        <v>115378848</v>
      </c>
      <c r="E7" s="267">
        <v>95346032</v>
      </c>
      <c r="F7" s="267">
        <v>95346032</v>
      </c>
      <c r="G7" s="267">
        <v>21689076.749999996</v>
      </c>
      <c r="H7" s="267">
        <v>11781162</v>
      </c>
      <c r="I7" s="267">
        <v>27404447.090000004</v>
      </c>
      <c r="J7" s="267">
        <v>153468456.85027614</v>
      </c>
      <c r="K7" s="267">
        <v>112202459.16524851</v>
      </c>
      <c r="L7" s="267">
        <v>92977350.480220914</v>
      </c>
      <c r="M7" s="267">
        <v>87268579.7951933</v>
      </c>
      <c r="N7" s="267">
        <v>172307627</v>
      </c>
      <c r="O7" s="267">
        <v>172132859</v>
      </c>
    </row>
    <row r="8" spans="1:15" x14ac:dyDescent="0.35">
      <c r="A8" s="8" t="s">
        <v>1000</v>
      </c>
      <c r="B8" s="51">
        <v>6964244</v>
      </c>
      <c r="C8" s="267">
        <v>13219211</v>
      </c>
      <c r="D8" s="267">
        <v>35241461</v>
      </c>
      <c r="E8" s="267">
        <v>61076587</v>
      </c>
      <c r="F8" s="267">
        <v>61076587</v>
      </c>
      <c r="G8" s="267">
        <v>13193664.490000002</v>
      </c>
      <c r="H8" s="267">
        <v>1126199.7</v>
      </c>
      <c r="I8" s="267">
        <v>2982880.24</v>
      </c>
      <c r="J8" s="267">
        <v>111377365</v>
      </c>
      <c r="K8" s="267">
        <v>100239631</v>
      </c>
      <c r="L8" s="267">
        <v>0</v>
      </c>
      <c r="M8" s="267">
        <v>77964157</v>
      </c>
      <c r="N8" s="267">
        <v>117633995</v>
      </c>
      <c r="O8" s="267">
        <v>123318820</v>
      </c>
    </row>
    <row r="9" spans="1:15" x14ac:dyDescent="0.35">
      <c r="A9" s="8" t="s">
        <v>2277</v>
      </c>
      <c r="B9" s="51">
        <v>18081624</v>
      </c>
      <c r="C9" s="267">
        <v>5434003</v>
      </c>
      <c r="D9" s="267">
        <v>6636134</v>
      </c>
      <c r="E9" s="267">
        <v>15481527</v>
      </c>
      <c r="F9" s="267">
        <v>15481527</v>
      </c>
      <c r="G9" s="267">
        <v>3186778.2499999995</v>
      </c>
      <c r="H9" s="267">
        <v>7012626.75</v>
      </c>
      <c r="I9" s="267">
        <v>862624</v>
      </c>
      <c r="J9" s="267">
        <v>48832983</v>
      </c>
      <c r="K9" s="267">
        <v>23005420</v>
      </c>
      <c r="L9" s="267">
        <v>20449262</v>
      </c>
      <c r="M9" s="267">
        <v>17893105</v>
      </c>
      <c r="N9" s="267">
        <v>50144220</v>
      </c>
      <c r="O9" s="267">
        <v>53053060</v>
      </c>
    </row>
    <row r="10" spans="1:15" x14ac:dyDescent="0.35">
      <c r="A10" s="8" t="s">
        <v>334</v>
      </c>
      <c r="B10" s="51">
        <v>7538448</v>
      </c>
      <c r="C10" s="267">
        <v>5920794</v>
      </c>
      <c r="D10" s="267">
        <v>6067820</v>
      </c>
      <c r="E10" s="267">
        <v>13353579</v>
      </c>
      <c r="F10" s="267">
        <v>13353579</v>
      </c>
      <c r="G10" s="267">
        <v>2240265.2899999996</v>
      </c>
      <c r="H10" s="267">
        <v>658897.37</v>
      </c>
      <c r="I10" s="267">
        <v>1524753.86</v>
      </c>
      <c r="J10" s="267">
        <v>17321285</v>
      </c>
      <c r="K10" s="267">
        <v>14699057</v>
      </c>
      <c r="L10" s="267">
        <v>0</v>
      </c>
      <c r="M10" s="267">
        <v>11432600</v>
      </c>
      <c r="N10" s="267">
        <v>17570423</v>
      </c>
      <c r="O10" s="267">
        <v>17626371</v>
      </c>
    </row>
    <row r="11" spans="1:15" x14ac:dyDescent="0.35">
      <c r="A11" s="8" t="s">
        <v>1784</v>
      </c>
      <c r="B11" s="51">
        <v>3165325</v>
      </c>
      <c r="C11" s="267">
        <v>1656687</v>
      </c>
      <c r="D11" s="267">
        <v>803563</v>
      </c>
      <c r="E11" s="267">
        <v>12241156</v>
      </c>
      <c r="F11" s="267">
        <v>12241156</v>
      </c>
      <c r="G11" s="267">
        <v>825355.75000000012</v>
      </c>
      <c r="H11" s="267">
        <v>629472.87</v>
      </c>
      <c r="I11" s="267">
        <v>462571.82999999996</v>
      </c>
      <c r="J11" s="267">
        <v>16260022</v>
      </c>
      <c r="K11" s="267">
        <v>11980780</v>
      </c>
      <c r="L11" s="267">
        <v>10649582</v>
      </c>
      <c r="M11" s="267">
        <v>9318385</v>
      </c>
      <c r="N11" s="267">
        <v>12760754</v>
      </c>
      <c r="O11" s="267">
        <v>21945034</v>
      </c>
    </row>
    <row r="12" spans="1:15" x14ac:dyDescent="0.35">
      <c r="A12" s="8" t="s">
        <v>223</v>
      </c>
      <c r="B12" s="51">
        <v>0</v>
      </c>
      <c r="C12" s="267">
        <v>0</v>
      </c>
      <c r="D12" s="267">
        <v>0</v>
      </c>
      <c r="E12" s="267">
        <v>1814597</v>
      </c>
      <c r="F12" s="267">
        <v>1814597</v>
      </c>
      <c r="G12" s="267">
        <v>45405</v>
      </c>
      <c r="H12" s="267">
        <v>0</v>
      </c>
      <c r="I12" s="267">
        <v>0</v>
      </c>
      <c r="J12" s="267">
        <v>13229516</v>
      </c>
      <c r="K12" s="267">
        <v>11906565</v>
      </c>
      <c r="L12" s="267">
        <v>0</v>
      </c>
      <c r="M12" s="267">
        <v>9260661</v>
      </c>
      <c r="N12" s="267">
        <v>10957230</v>
      </c>
      <c r="O12" s="267">
        <v>11736443</v>
      </c>
    </row>
    <row r="13" spans="1:15" x14ac:dyDescent="0.35">
      <c r="A13" s="8" t="s">
        <v>2711</v>
      </c>
      <c r="B13" s="51">
        <v>24341391</v>
      </c>
      <c r="C13" s="267">
        <v>22650935</v>
      </c>
      <c r="D13" s="267">
        <v>260675</v>
      </c>
      <c r="E13" s="267">
        <v>6740109</v>
      </c>
      <c r="F13" s="267">
        <v>6740109</v>
      </c>
      <c r="G13" s="267">
        <v>100575.82</v>
      </c>
      <c r="H13" s="267">
        <v>500000</v>
      </c>
      <c r="I13" s="267">
        <v>0</v>
      </c>
      <c r="J13" s="267">
        <v>9904889</v>
      </c>
      <c r="K13" s="267">
        <v>8464400</v>
      </c>
      <c r="L13" s="267">
        <v>7523911</v>
      </c>
      <c r="M13" s="267">
        <v>6583422</v>
      </c>
      <c r="N13" s="267">
        <v>10521389</v>
      </c>
      <c r="O13" s="267">
        <v>11772639</v>
      </c>
    </row>
    <row r="14" spans="1:15" x14ac:dyDescent="0.35">
      <c r="A14" s="8" t="s">
        <v>1569</v>
      </c>
      <c r="B14" s="51">
        <v>0</v>
      </c>
      <c r="C14" s="267">
        <v>0</v>
      </c>
      <c r="D14" s="267">
        <v>137014</v>
      </c>
      <c r="E14" s="267">
        <v>502370</v>
      </c>
      <c r="F14" s="267">
        <v>502370</v>
      </c>
      <c r="G14" s="267">
        <v>20760</v>
      </c>
      <c r="H14" s="267">
        <v>0</v>
      </c>
      <c r="I14" s="267">
        <v>0</v>
      </c>
      <c r="J14" s="267">
        <v>410520</v>
      </c>
      <c r="K14" s="267">
        <v>369468</v>
      </c>
      <c r="L14" s="267">
        <v>328416</v>
      </c>
      <c r="M14" s="267">
        <v>287364</v>
      </c>
      <c r="N14" s="267">
        <v>510820</v>
      </c>
      <c r="O14" s="267">
        <v>549080</v>
      </c>
    </row>
    <row r="15" spans="1:15" x14ac:dyDescent="0.35">
      <c r="A15" s="8" t="s">
        <v>2787</v>
      </c>
      <c r="B15" s="51">
        <v>453454660</v>
      </c>
      <c r="C15" s="267">
        <v>436208140</v>
      </c>
      <c r="D15" s="267">
        <v>441110791</v>
      </c>
      <c r="E15" s="267">
        <v>579850000</v>
      </c>
      <c r="F15" s="267">
        <v>579850000</v>
      </c>
      <c r="G15" s="267">
        <v>189116588.65000001</v>
      </c>
      <c r="H15" s="267">
        <v>33388070</v>
      </c>
      <c r="I15" s="267">
        <v>50701579.970000006</v>
      </c>
      <c r="J15" s="267">
        <v>897981340.85027611</v>
      </c>
      <c r="K15" s="267">
        <v>726684006.76524854</v>
      </c>
      <c r="L15" s="267">
        <v>447065921.6802209</v>
      </c>
      <c r="M15" s="267">
        <v>565831851.11519337</v>
      </c>
      <c r="N15" s="267">
        <v>1016511648</v>
      </c>
      <c r="O15" s="267">
        <v>1116963424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32"/>
  <sheetViews>
    <sheetView workbookViewId="0">
      <selection activeCell="E31" sqref="E31"/>
    </sheetView>
  </sheetViews>
  <sheetFormatPr defaultColWidth="14.81640625" defaultRowHeight="14.5" x14ac:dyDescent="0.35"/>
  <cols>
    <col min="1" max="1" width="12.1796875" bestFit="1" customWidth="1"/>
    <col min="2" max="2" width="15.453125" style="66" bestFit="1" customWidth="1"/>
    <col min="3" max="3" width="17.6328125" bestFit="1" customWidth="1"/>
    <col min="4" max="4" width="16.08984375" bestFit="1" customWidth="1"/>
    <col min="5" max="5" width="20.453125" bestFit="1" customWidth="1"/>
    <col min="6" max="6" width="16.1796875" customWidth="1"/>
    <col min="7" max="7" width="9.7265625" bestFit="1" customWidth="1"/>
  </cols>
  <sheetData>
    <row r="2" spans="1:10" x14ac:dyDescent="0.35">
      <c r="A2" s="228"/>
      <c r="B2" s="229" t="s">
        <v>3270</v>
      </c>
      <c r="C2" s="229" t="s">
        <v>3271</v>
      </c>
      <c r="D2" s="229" t="s">
        <v>3261</v>
      </c>
      <c r="E2" s="229" t="s">
        <v>3272</v>
      </c>
      <c r="F2" s="229" t="s">
        <v>3273</v>
      </c>
      <c r="G2" s="229" t="s">
        <v>3274</v>
      </c>
      <c r="H2" s="230" t="s">
        <v>3275</v>
      </c>
    </row>
    <row r="3" spans="1:10" ht="29" x14ac:dyDescent="0.35">
      <c r="A3" s="231" t="s">
        <v>3276</v>
      </c>
      <c r="B3" s="232">
        <v>2381</v>
      </c>
      <c r="C3" s="232">
        <v>2957.22</v>
      </c>
      <c r="D3" s="232">
        <f>D7-D5</f>
        <v>3257</v>
      </c>
      <c r="E3" s="232">
        <f>E7-E5</f>
        <v>3444</v>
      </c>
      <c r="F3" s="232">
        <f>F7-F5</f>
        <v>3619</v>
      </c>
      <c r="G3" s="232">
        <f>G7-G5</f>
        <v>3793</v>
      </c>
      <c r="H3" s="232">
        <f>H7-H5</f>
        <v>3976</v>
      </c>
    </row>
    <row r="4" spans="1:10" ht="29" x14ac:dyDescent="0.35">
      <c r="A4" s="233" t="s">
        <v>3277</v>
      </c>
      <c r="B4" s="232">
        <v>560</v>
      </c>
      <c r="C4" s="232">
        <f>SUM([2]UGProjections!J31,[2]UGProjections!J40)-C6</f>
        <v>819.53</v>
      </c>
      <c r="D4" s="232">
        <f>SUM([2]UGProjections!L31,[2]UGProjections!L40)-D6</f>
        <v>1042.5292999999999</v>
      </c>
      <c r="E4" s="232">
        <f>SUM([2]UGProjections!N31,[2]UGProjections!N40)-E6</f>
        <v>1197.418733</v>
      </c>
      <c r="F4" s="232">
        <f>SUM([2]UGProjections!P31,[2]UGProjections!P40)-F6</f>
        <v>1322.2991737299999</v>
      </c>
      <c r="G4" s="232">
        <f>SUM([2]UGProjections!R31,[2]UGProjections!R40)-G6</f>
        <v>1459.2723307213</v>
      </c>
      <c r="H4" s="232">
        <f>SUM([2]UGProjections!T31,[2]UGProjections!T40)-H6</f>
        <v>1573.6405878842529</v>
      </c>
    </row>
    <row r="5" spans="1:10" x14ac:dyDescent="0.35">
      <c r="A5" s="231" t="s">
        <v>3278</v>
      </c>
      <c r="B5" s="234">
        <v>923</v>
      </c>
      <c r="C5" s="234">
        <v>650</v>
      </c>
      <c r="D5" s="234">
        <v>550</v>
      </c>
      <c r="E5" s="234">
        <f>SUM([2]UGProjections!L9:M9)</f>
        <v>550</v>
      </c>
      <c r="F5" s="234">
        <f>SUM([2]UGProjections!M9:N9)</f>
        <v>550</v>
      </c>
      <c r="G5" s="234">
        <f>SUM([2]UGProjections!N9:O9)</f>
        <v>550</v>
      </c>
      <c r="H5" s="234">
        <f>SUM([2]UGProjections!O9:P9)</f>
        <v>550</v>
      </c>
    </row>
    <row r="6" spans="1:10" x14ac:dyDescent="0.35">
      <c r="A6" s="233" t="s">
        <v>3279</v>
      </c>
      <c r="B6" s="235">
        <v>417</v>
      </c>
      <c r="C6" s="236">
        <v>460</v>
      </c>
      <c r="D6" s="236">
        <v>460</v>
      </c>
      <c r="E6" s="236">
        <v>460</v>
      </c>
      <c r="F6" s="236">
        <v>500</v>
      </c>
      <c r="G6" s="236">
        <v>500</v>
      </c>
      <c r="H6" s="236">
        <v>500</v>
      </c>
    </row>
    <row r="7" spans="1:10" x14ac:dyDescent="0.35">
      <c r="A7" s="237" t="s">
        <v>3280</v>
      </c>
      <c r="B7" s="232">
        <f>SUM(B5,B3)</f>
        <v>3304</v>
      </c>
      <c r="C7" s="238">
        <v>3607.22</v>
      </c>
      <c r="D7" s="238">
        <v>3807</v>
      </c>
      <c r="E7" s="238">
        <v>3994</v>
      </c>
      <c r="F7" s="238">
        <v>4169</v>
      </c>
      <c r="G7" s="238">
        <v>4343</v>
      </c>
      <c r="H7" s="238">
        <v>4526</v>
      </c>
    </row>
    <row r="8" spans="1:10" x14ac:dyDescent="0.35">
      <c r="A8" s="239" t="s">
        <v>3281</v>
      </c>
      <c r="B8" s="236">
        <f t="shared" ref="B8:H8" si="0">SUM(B4,B6)</f>
        <v>977</v>
      </c>
      <c r="C8" s="236">
        <f t="shared" si="0"/>
        <v>1279.53</v>
      </c>
      <c r="D8" s="236">
        <f t="shared" si="0"/>
        <v>1502.5292999999999</v>
      </c>
      <c r="E8" s="236">
        <f t="shared" si="0"/>
        <v>1657.418733</v>
      </c>
      <c r="F8" s="236">
        <f t="shared" si="0"/>
        <v>1822.2991737299999</v>
      </c>
      <c r="G8" s="236">
        <f t="shared" si="0"/>
        <v>1959.2723307213</v>
      </c>
      <c r="H8" s="236">
        <f t="shared" si="0"/>
        <v>2073.6405878842529</v>
      </c>
    </row>
    <row r="9" spans="1:10" x14ac:dyDescent="0.35">
      <c r="A9" s="237" t="s">
        <v>2787</v>
      </c>
      <c r="B9" s="240">
        <f t="shared" ref="B9:H9" si="1">SUM(B7:B8)</f>
        <v>4281</v>
      </c>
      <c r="C9" s="240">
        <f t="shared" si="1"/>
        <v>4886.75</v>
      </c>
      <c r="D9" s="240">
        <f t="shared" si="1"/>
        <v>5309.5293000000001</v>
      </c>
      <c r="E9" s="240">
        <f t="shared" si="1"/>
        <v>5651.4187330000004</v>
      </c>
      <c r="F9" s="240">
        <f t="shared" si="1"/>
        <v>5991.2991737299999</v>
      </c>
      <c r="G9" s="240">
        <f t="shared" si="1"/>
        <v>6302.2723307213</v>
      </c>
      <c r="H9" s="240">
        <f t="shared" si="1"/>
        <v>6599.6405878842525</v>
      </c>
    </row>
    <row r="10" spans="1:10" x14ac:dyDescent="0.35">
      <c r="A10" s="2" t="s">
        <v>3282</v>
      </c>
      <c r="B10" s="284">
        <f t="shared" ref="B10:H10" si="2">B7/B9</f>
        <v>0.7717822938565756</v>
      </c>
      <c r="C10" s="284">
        <f t="shared" si="2"/>
        <v>0.73816340103340661</v>
      </c>
      <c r="D10" s="284">
        <f t="shared" si="2"/>
        <v>0.71701271146577905</v>
      </c>
      <c r="E10" s="284">
        <f t="shared" si="2"/>
        <v>0.70672519391954947</v>
      </c>
      <c r="F10" s="284">
        <f t="shared" si="2"/>
        <v>0.6958424006398779</v>
      </c>
      <c r="G10" s="284">
        <f t="shared" si="2"/>
        <v>0.68911652370676602</v>
      </c>
      <c r="H10" s="284">
        <f t="shared" si="2"/>
        <v>0.68579492166723721</v>
      </c>
    </row>
    <row r="11" spans="1:10" x14ac:dyDescent="0.35">
      <c r="A11" s="2" t="s">
        <v>3283</v>
      </c>
      <c r="B11" s="284">
        <f t="shared" ref="B11:G11" si="3">B8/B9</f>
        <v>0.22821770614342443</v>
      </c>
      <c r="C11" s="284">
        <f t="shared" si="3"/>
        <v>0.26183659896659334</v>
      </c>
      <c r="D11" s="284">
        <f t="shared" si="3"/>
        <v>0.28298728853422089</v>
      </c>
      <c r="E11" s="284">
        <f t="shared" si="3"/>
        <v>0.29327480608045042</v>
      </c>
      <c r="F11" s="284">
        <f t="shared" si="3"/>
        <v>0.3041575993601221</v>
      </c>
      <c r="G11" s="284">
        <f t="shared" si="3"/>
        <v>0.31088347629323404</v>
      </c>
      <c r="H11" s="284">
        <f>H8/H9</f>
        <v>0.3142050783327629</v>
      </c>
    </row>
    <row r="13" spans="1:10" x14ac:dyDescent="0.35">
      <c r="A13" s="87" t="s">
        <v>3373</v>
      </c>
      <c r="F13" s="221"/>
      <c r="G13" s="221"/>
      <c r="H13" s="221"/>
    </row>
    <row r="14" spans="1:10" ht="101.5" x14ac:dyDescent="0.35">
      <c r="A14" s="337"/>
      <c r="B14" s="341" t="s">
        <v>3414</v>
      </c>
      <c r="C14" s="341" t="s">
        <v>3397</v>
      </c>
      <c r="D14" s="341" t="s">
        <v>3270</v>
      </c>
      <c r="E14" s="397" t="s">
        <v>3271</v>
      </c>
      <c r="F14" s="397" t="s">
        <v>3421</v>
      </c>
      <c r="G14" s="397" t="s">
        <v>3339</v>
      </c>
      <c r="H14" s="343"/>
      <c r="I14" s="399" t="s">
        <v>3422</v>
      </c>
      <c r="J14" s="344"/>
    </row>
    <row r="15" spans="1:10" x14ac:dyDescent="0.35">
      <c r="A15" s="339" t="s">
        <v>3278</v>
      </c>
      <c r="B15" s="285">
        <v>798</v>
      </c>
      <c r="C15" s="342">
        <v>1144</v>
      </c>
      <c r="D15" s="285">
        <v>923</v>
      </c>
      <c r="E15" s="338">
        <v>650</v>
      </c>
      <c r="F15" s="398">
        <f>(E15-D15)/E15</f>
        <v>-0.42</v>
      </c>
      <c r="G15" s="338">
        <f>E15-D15</f>
        <v>-273</v>
      </c>
      <c r="H15" s="344"/>
      <c r="I15" s="344"/>
      <c r="J15" s="344"/>
    </row>
    <row r="16" spans="1:10" x14ac:dyDescent="0.35">
      <c r="A16" s="340" t="s">
        <v>3279</v>
      </c>
      <c r="B16" s="285">
        <v>287</v>
      </c>
      <c r="C16" s="342">
        <v>386</v>
      </c>
      <c r="D16" s="285">
        <v>431</v>
      </c>
      <c r="E16" s="338">
        <v>758</v>
      </c>
      <c r="F16" s="398">
        <f>(E16-D16)/431</f>
        <v>0.75870069605568446</v>
      </c>
      <c r="G16" s="338">
        <f>E16-D16</f>
        <v>327</v>
      </c>
      <c r="H16" s="344"/>
      <c r="I16" s="344"/>
      <c r="J16" s="344"/>
    </row>
    <row r="17" spans="1:10" x14ac:dyDescent="0.35">
      <c r="A17" s="338" t="s">
        <v>3374</v>
      </c>
      <c r="B17" s="285">
        <v>30</v>
      </c>
      <c r="C17" s="342">
        <v>36</v>
      </c>
      <c r="D17" s="285">
        <v>49</v>
      </c>
      <c r="E17" s="338">
        <v>60</v>
      </c>
      <c r="F17" s="398">
        <f>(E17-D17)/D17</f>
        <v>0.22448979591836735</v>
      </c>
      <c r="G17" s="338">
        <f>E17-D17</f>
        <v>11</v>
      </c>
      <c r="H17" s="344"/>
      <c r="I17" s="344"/>
      <c r="J17" s="344"/>
    </row>
    <row r="18" spans="1:10" x14ac:dyDescent="0.35">
      <c r="E18" s="58"/>
      <c r="F18" s="58"/>
      <c r="G18" s="58"/>
      <c r="H18" s="58"/>
      <c r="I18" s="58"/>
      <c r="J18" s="58"/>
    </row>
    <row r="26" spans="1:10" x14ac:dyDescent="0.35">
      <c r="A26" s="404" t="s">
        <v>3278</v>
      </c>
      <c r="B26" s="405" t="s">
        <v>3424</v>
      </c>
    </row>
    <row r="27" spans="1:10" x14ac:dyDescent="0.35">
      <c r="A27" s="400" t="s">
        <v>3414</v>
      </c>
      <c r="B27" s="401">
        <v>798</v>
      </c>
    </row>
    <row r="28" spans="1:10" x14ac:dyDescent="0.35">
      <c r="A28" s="400" t="s">
        <v>3397</v>
      </c>
      <c r="B28" s="402">
        <v>1144</v>
      </c>
    </row>
    <row r="29" spans="1:10" x14ac:dyDescent="0.35">
      <c r="A29" s="400" t="s">
        <v>3270</v>
      </c>
      <c r="B29" s="401">
        <v>923</v>
      </c>
    </row>
    <row r="30" spans="1:10" x14ac:dyDescent="0.35">
      <c r="A30" s="400" t="s">
        <v>3271</v>
      </c>
      <c r="B30" s="402">
        <v>650</v>
      </c>
    </row>
    <row r="31" spans="1:10" ht="15" thickBot="1" x14ac:dyDescent="0.4">
      <c r="A31" s="283"/>
      <c r="B31" s="403">
        <f>SUM(B27:B30)</f>
        <v>3515</v>
      </c>
    </row>
    <row r="32" spans="1:10" ht="15" thickTop="1" x14ac:dyDescent="0.35"/>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73"/>
  <sheetViews>
    <sheetView zoomScale="90" zoomScaleNormal="90" workbookViewId="0">
      <selection activeCell="A5" sqref="A5"/>
    </sheetView>
  </sheetViews>
  <sheetFormatPr defaultRowHeight="14.5" x14ac:dyDescent="0.35"/>
  <cols>
    <col min="1" max="1" width="71.6328125" customWidth="1"/>
    <col min="2" max="2" width="42" customWidth="1"/>
    <col min="3" max="4" width="16.7265625" style="40" customWidth="1"/>
    <col min="5" max="5" width="18.453125" style="40" bestFit="1" customWidth="1"/>
    <col min="6" max="6" width="47.7265625" customWidth="1"/>
  </cols>
  <sheetData>
    <row r="2" spans="1:6" x14ac:dyDescent="0.35">
      <c r="A2" s="84" t="s">
        <v>12</v>
      </c>
      <c r="B2" t="s">
        <v>3411</v>
      </c>
    </row>
    <row r="4" spans="1:6" ht="28.5" customHeight="1" x14ac:dyDescent="0.35">
      <c r="A4" s="84" t="s">
        <v>8</v>
      </c>
      <c r="B4" s="84" t="s">
        <v>22</v>
      </c>
      <c r="C4" s="84" t="s">
        <v>20</v>
      </c>
      <c r="D4" s="84" t="s">
        <v>21</v>
      </c>
      <c r="E4" t="s">
        <v>2788</v>
      </c>
    </row>
    <row r="5" spans="1:6" x14ac:dyDescent="0.35">
      <c r="A5" t="s">
        <v>1052</v>
      </c>
      <c r="C5"/>
      <c r="D5"/>
      <c r="E5" s="267">
        <v>244626000</v>
      </c>
    </row>
    <row r="6" spans="1:6" x14ac:dyDescent="0.35">
      <c r="A6" t="s">
        <v>221</v>
      </c>
      <c r="C6"/>
      <c r="D6"/>
      <c r="E6" s="267">
        <v>150888359.75</v>
      </c>
    </row>
    <row r="7" spans="1:6" x14ac:dyDescent="0.35">
      <c r="A7" t="s">
        <v>1243</v>
      </c>
      <c r="C7"/>
      <c r="D7"/>
      <c r="E7" s="267">
        <v>113648860.11000001</v>
      </c>
    </row>
    <row r="8" spans="1:6" x14ac:dyDescent="0.35">
      <c r="A8" t="s">
        <v>2475</v>
      </c>
      <c r="C8"/>
      <c r="D8"/>
      <c r="E8" s="267">
        <v>104517560</v>
      </c>
      <c r="F8" s="21"/>
    </row>
    <row r="9" spans="1:6" x14ac:dyDescent="0.35">
      <c r="A9" t="s">
        <v>1485</v>
      </c>
      <c r="C9"/>
      <c r="D9"/>
      <c r="E9" s="267">
        <v>98652604.176784843</v>
      </c>
    </row>
    <row r="10" spans="1:6" x14ac:dyDescent="0.35">
      <c r="A10" t="s">
        <v>231</v>
      </c>
      <c r="C10"/>
      <c r="D10"/>
      <c r="E10" s="267">
        <v>56595297</v>
      </c>
    </row>
    <row r="11" spans="1:6" x14ac:dyDescent="0.35">
      <c r="A11" t="s">
        <v>1480</v>
      </c>
      <c r="C11"/>
      <c r="D11"/>
      <c r="E11" s="267">
        <v>34225569</v>
      </c>
    </row>
    <row r="12" spans="1:6" x14ac:dyDescent="0.35">
      <c r="A12" t="s">
        <v>405</v>
      </c>
      <c r="C12"/>
      <c r="D12"/>
      <c r="E12" s="267">
        <v>33397354</v>
      </c>
    </row>
    <row r="13" spans="1:6" x14ac:dyDescent="0.35">
      <c r="A13" t="s">
        <v>65</v>
      </c>
      <c r="C13"/>
      <c r="D13"/>
      <c r="E13" s="267">
        <v>27999050.18</v>
      </c>
    </row>
    <row r="14" spans="1:6" x14ac:dyDescent="0.35">
      <c r="A14" t="s">
        <v>2428</v>
      </c>
      <c r="C14"/>
      <c r="D14"/>
      <c r="E14" s="267">
        <v>22219870</v>
      </c>
    </row>
    <row r="15" spans="1:6" x14ac:dyDescent="0.35">
      <c r="A15" t="s">
        <v>393</v>
      </c>
      <c r="C15"/>
      <c r="D15"/>
      <c r="E15" s="267">
        <v>21267845</v>
      </c>
    </row>
    <row r="16" spans="1:6" x14ac:dyDescent="0.35">
      <c r="A16" t="s">
        <v>74</v>
      </c>
      <c r="C16"/>
      <c r="D16"/>
      <c r="E16" s="267">
        <v>20346377.858999997</v>
      </c>
    </row>
    <row r="17" spans="1:5" x14ac:dyDescent="0.35">
      <c r="A17" t="s">
        <v>1478</v>
      </c>
      <c r="C17"/>
      <c r="D17"/>
      <c r="E17" s="267">
        <v>18698211</v>
      </c>
    </row>
    <row r="18" spans="1:5" x14ac:dyDescent="0.35">
      <c r="A18" t="s">
        <v>1111</v>
      </c>
      <c r="C18"/>
      <c r="D18"/>
      <c r="E18" s="267">
        <v>16210654</v>
      </c>
    </row>
    <row r="19" spans="1:5" x14ac:dyDescent="0.35">
      <c r="A19" t="s">
        <v>1521</v>
      </c>
      <c r="C19"/>
      <c r="D19"/>
      <c r="E19" s="267">
        <v>15446000</v>
      </c>
    </row>
    <row r="20" spans="1:5" x14ac:dyDescent="0.35">
      <c r="A20" t="s">
        <v>1047</v>
      </c>
      <c r="C20"/>
      <c r="D20"/>
      <c r="E20" s="267">
        <v>11993028</v>
      </c>
    </row>
    <row r="21" spans="1:5" x14ac:dyDescent="0.35">
      <c r="A21" t="s">
        <v>655</v>
      </c>
      <c r="C21"/>
      <c r="D21"/>
      <c r="E21" s="267">
        <v>11842000</v>
      </c>
    </row>
    <row r="22" spans="1:5" x14ac:dyDescent="0.35">
      <c r="A22" t="s">
        <v>247</v>
      </c>
      <c r="C22"/>
      <c r="D22"/>
      <c r="E22" s="267">
        <v>10949900</v>
      </c>
    </row>
    <row r="23" spans="1:5" x14ac:dyDescent="0.35">
      <c r="A23" t="s">
        <v>49</v>
      </c>
      <c r="C23"/>
      <c r="D23"/>
      <c r="E23" s="267">
        <v>9986400</v>
      </c>
    </row>
    <row r="24" spans="1:5" x14ac:dyDescent="0.35">
      <c r="A24" t="s">
        <v>1474</v>
      </c>
      <c r="C24"/>
      <c r="D24"/>
      <c r="E24" s="267">
        <v>8921787.6400000006</v>
      </c>
    </row>
    <row r="25" spans="1:5" x14ac:dyDescent="0.35">
      <c r="A25" t="s">
        <v>1475</v>
      </c>
      <c r="C25"/>
      <c r="D25"/>
      <c r="E25" s="267">
        <v>8915130</v>
      </c>
    </row>
    <row r="26" spans="1:5" x14ac:dyDescent="0.35">
      <c r="A26" t="s">
        <v>1011</v>
      </c>
      <c r="C26"/>
      <c r="D26"/>
      <c r="E26" s="267">
        <v>8290000</v>
      </c>
    </row>
    <row r="27" spans="1:5" x14ac:dyDescent="0.35">
      <c r="A27" t="s">
        <v>367</v>
      </c>
      <c r="C27"/>
      <c r="D27"/>
      <c r="E27" s="267">
        <v>7561925</v>
      </c>
    </row>
    <row r="28" spans="1:5" x14ac:dyDescent="0.35">
      <c r="A28" t="s">
        <v>2537</v>
      </c>
      <c r="C28"/>
      <c r="D28"/>
      <c r="E28" s="267">
        <v>6326594.4000000004</v>
      </c>
    </row>
    <row r="29" spans="1:5" x14ac:dyDescent="0.35">
      <c r="A29" t="s">
        <v>214</v>
      </c>
      <c r="C29"/>
      <c r="D29"/>
      <c r="E29" s="267">
        <v>5722572</v>
      </c>
    </row>
    <row r="30" spans="1:5" x14ac:dyDescent="0.35">
      <c r="A30" t="s">
        <v>573</v>
      </c>
      <c r="C30"/>
      <c r="D30"/>
      <c r="E30" s="267">
        <v>5675974</v>
      </c>
    </row>
    <row r="31" spans="1:5" x14ac:dyDescent="0.35">
      <c r="A31" t="s">
        <v>154</v>
      </c>
      <c r="C31"/>
      <c r="D31"/>
      <c r="E31" s="267">
        <v>5535090</v>
      </c>
    </row>
    <row r="32" spans="1:5" x14ac:dyDescent="0.35">
      <c r="A32" t="s">
        <v>1266</v>
      </c>
      <c r="C32"/>
      <c r="D32"/>
      <c r="E32" s="267">
        <v>5298500</v>
      </c>
    </row>
    <row r="33" spans="1:5" x14ac:dyDescent="0.35">
      <c r="A33" t="s">
        <v>1479</v>
      </c>
      <c r="C33"/>
      <c r="D33"/>
      <c r="E33" s="267">
        <v>5208419</v>
      </c>
    </row>
    <row r="34" spans="1:5" x14ac:dyDescent="0.35">
      <c r="A34" t="s">
        <v>253</v>
      </c>
      <c r="C34"/>
      <c r="D34"/>
      <c r="E34" s="267">
        <v>5035030</v>
      </c>
    </row>
    <row r="35" spans="1:5" x14ac:dyDescent="0.35">
      <c r="A35" t="s">
        <v>279</v>
      </c>
      <c r="C35"/>
      <c r="D35"/>
      <c r="E35" s="267">
        <v>4947721</v>
      </c>
    </row>
    <row r="36" spans="1:5" x14ac:dyDescent="0.35">
      <c r="A36" t="s">
        <v>239</v>
      </c>
      <c r="C36"/>
      <c r="D36"/>
      <c r="E36" s="267">
        <v>4820000</v>
      </c>
    </row>
    <row r="37" spans="1:5" x14ac:dyDescent="0.35">
      <c r="A37" t="s">
        <v>399</v>
      </c>
      <c r="C37"/>
      <c r="D37"/>
      <c r="E37" s="267">
        <v>4515000</v>
      </c>
    </row>
    <row r="38" spans="1:5" x14ac:dyDescent="0.35">
      <c r="A38" t="s">
        <v>620</v>
      </c>
      <c r="C38"/>
      <c r="D38"/>
      <c r="E38" s="267">
        <v>4400850</v>
      </c>
    </row>
    <row r="39" spans="1:5" x14ac:dyDescent="0.35">
      <c r="A39" t="s">
        <v>167</v>
      </c>
      <c r="C39"/>
      <c r="D39"/>
      <c r="E39" s="267">
        <v>4339500</v>
      </c>
    </row>
    <row r="40" spans="1:5" x14ac:dyDescent="0.35">
      <c r="A40" t="s">
        <v>206</v>
      </c>
      <c r="C40"/>
      <c r="D40"/>
      <c r="E40" s="267">
        <v>4018539</v>
      </c>
    </row>
    <row r="41" spans="1:5" x14ac:dyDescent="0.35">
      <c r="A41" t="s">
        <v>1041</v>
      </c>
      <c r="C41"/>
      <c r="D41"/>
      <c r="E41" s="267">
        <v>3929115</v>
      </c>
    </row>
    <row r="42" spans="1:5" x14ac:dyDescent="0.35">
      <c r="A42" t="s">
        <v>1592</v>
      </c>
      <c r="C42"/>
      <c r="D42"/>
      <c r="E42" s="267">
        <v>3700000</v>
      </c>
    </row>
    <row r="43" spans="1:5" x14ac:dyDescent="0.35">
      <c r="A43" t="s">
        <v>259</v>
      </c>
      <c r="C43"/>
      <c r="D43"/>
      <c r="E43" s="267">
        <v>3600012</v>
      </c>
    </row>
    <row r="44" spans="1:5" x14ac:dyDescent="0.35">
      <c r="A44" t="s">
        <v>225</v>
      </c>
      <c r="C44"/>
      <c r="D44"/>
      <c r="E44" s="267">
        <v>3540830</v>
      </c>
    </row>
    <row r="45" spans="1:5" x14ac:dyDescent="0.35">
      <c r="A45" t="s">
        <v>266</v>
      </c>
      <c r="C45"/>
      <c r="D45"/>
      <c r="E45" s="267">
        <v>3419632</v>
      </c>
    </row>
    <row r="46" spans="1:5" x14ac:dyDescent="0.35">
      <c r="A46" t="s">
        <v>2359</v>
      </c>
      <c r="C46"/>
      <c r="D46"/>
      <c r="E46" s="267">
        <v>3288000</v>
      </c>
    </row>
    <row r="47" spans="1:5" x14ac:dyDescent="0.35">
      <c r="A47" t="s">
        <v>191</v>
      </c>
      <c r="C47"/>
      <c r="D47"/>
      <c r="E47" s="267">
        <v>2916500</v>
      </c>
    </row>
    <row r="48" spans="1:5" x14ac:dyDescent="0.35">
      <c r="A48" t="s">
        <v>359</v>
      </c>
      <c r="C48"/>
      <c r="D48"/>
      <c r="E48" s="267">
        <v>2809795</v>
      </c>
    </row>
    <row r="49" spans="1:5" x14ac:dyDescent="0.35">
      <c r="A49" t="s">
        <v>1057</v>
      </c>
      <c r="C49"/>
      <c r="D49"/>
      <c r="E49" s="267">
        <v>2704485</v>
      </c>
    </row>
    <row r="50" spans="1:5" x14ac:dyDescent="0.35">
      <c r="A50" t="s">
        <v>2323</v>
      </c>
      <c r="C50"/>
      <c r="D50"/>
      <c r="E50" s="267">
        <v>2500000</v>
      </c>
    </row>
    <row r="51" spans="1:5" x14ac:dyDescent="0.35">
      <c r="A51" t="s">
        <v>1383</v>
      </c>
      <c r="C51"/>
      <c r="D51"/>
      <c r="E51" s="267">
        <v>2439500</v>
      </c>
    </row>
    <row r="52" spans="1:5" x14ac:dyDescent="0.35">
      <c r="A52" t="s">
        <v>1036</v>
      </c>
      <c r="C52"/>
      <c r="D52"/>
      <c r="E52" s="267">
        <v>2277975</v>
      </c>
    </row>
    <row r="53" spans="1:5" x14ac:dyDescent="0.35">
      <c r="A53" t="s">
        <v>204</v>
      </c>
      <c r="C53"/>
      <c r="D53"/>
      <c r="E53" s="267">
        <v>2238800</v>
      </c>
    </row>
    <row r="54" spans="1:5" x14ac:dyDescent="0.35">
      <c r="A54" t="s">
        <v>148</v>
      </c>
      <c r="C54"/>
      <c r="D54"/>
      <c r="E54" s="267">
        <v>2018028</v>
      </c>
    </row>
    <row r="55" spans="1:5" x14ac:dyDescent="0.35">
      <c r="A55" t="s">
        <v>2558</v>
      </c>
      <c r="C55"/>
      <c r="D55"/>
      <c r="E55" s="267">
        <v>2012308</v>
      </c>
    </row>
    <row r="56" spans="1:5" x14ac:dyDescent="0.35">
      <c r="A56" t="s">
        <v>2553</v>
      </c>
      <c r="C56"/>
      <c r="D56"/>
      <c r="E56" s="267">
        <v>1870124.77</v>
      </c>
    </row>
    <row r="57" spans="1:5" x14ac:dyDescent="0.35">
      <c r="A57" t="s">
        <v>162</v>
      </c>
      <c r="C57"/>
      <c r="D57"/>
      <c r="E57" s="267">
        <v>1864650</v>
      </c>
    </row>
    <row r="58" spans="1:5" x14ac:dyDescent="0.35">
      <c r="A58" t="s">
        <v>213</v>
      </c>
      <c r="C58"/>
      <c r="D58"/>
      <c r="E58" s="267">
        <v>1859500</v>
      </c>
    </row>
    <row r="59" spans="1:5" x14ac:dyDescent="0.35">
      <c r="A59" t="s">
        <v>352</v>
      </c>
      <c r="C59"/>
      <c r="D59"/>
      <c r="E59" s="267">
        <v>1502870</v>
      </c>
    </row>
    <row r="60" spans="1:5" x14ac:dyDescent="0.35">
      <c r="A60" t="s">
        <v>1085</v>
      </c>
      <c r="C60"/>
      <c r="D60"/>
      <c r="E60" s="267">
        <v>1445005</v>
      </c>
    </row>
    <row r="61" spans="1:5" x14ac:dyDescent="0.35">
      <c r="A61" t="s">
        <v>198</v>
      </c>
      <c r="C61"/>
      <c r="D61"/>
      <c r="E61" s="267">
        <v>1389000</v>
      </c>
    </row>
    <row r="62" spans="1:5" x14ac:dyDescent="0.35">
      <c r="A62" t="s">
        <v>1139</v>
      </c>
      <c r="C62"/>
      <c r="D62"/>
      <c r="E62" s="267">
        <v>1125000</v>
      </c>
    </row>
    <row r="63" spans="1:5" x14ac:dyDescent="0.35">
      <c r="A63" t="s">
        <v>190</v>
      </c>
      <c r="C63"/>
      <c r="D63"/>
      <c r="E63" s="267">
        <v>1007150</v>
      </c>
    </row>
    <row r="64" spans="1:5" x14ac:dyDescent="0.35">
      <c r="A64" t="s">
        <v>1477</v>
      </c>
      <c r="C64"/>
      <c r="D64"/>
      <c r="E64" s="267">
        <v>984151</v>
      </c>
    </row>
    <row r="65" spans="1:5" x14ac:dyDescent="0.35">
      <c r="A65" t="s">
        <v>694</v>
      </c>
      <c r="C65"/>
      <c r="D65"/>
      <c r="E65" s="267">
        <v>885511</v>
      </c>
    </row>
    <row r="66" spans="1:5" x14ac:dyDescent="0.35">
      <c r="A66" t="s">
        <v>416</v>
      </c>
      <c r="C66"/>
      <c r="D66"/>
      <c r="E66" s="267">
        <v>854350</v>
      </c>
    </row>
    <row r="67" spans="1:5" x14ac:dyDescent="0.35">
      <c r="A67" t="s">
        <v>2590</v>
      </c>
      <c r="C67"/>
      <c r="D67"/>
      <c r="E67" s="267">
        <v>840000</v>
      </c>
    </row>
    <row r="68" spans="1:5" x14ac:dyDescent="0.35">
      <c r="A68" t="s">
        <v>1090</v>
      </c>
      <c r="C68"/>
      <c r="D68"/>
      <c r="E68" s="267">
        <v>822391</v>
      </c>
    </row>
    <row r="69" spans="1:5" x14ac:dyDescent="0.35">
      <c r="A69" t="s">
        <v>141</v>
      </c>
      <c r="C69"/>
      <c r="D69"/>
      <c r="E69" s="267">
        <v>820800</v>
      </c>
    </row>
    <row r="70" spans="1:5" x14ac:dyDescent="0.35">
      <c r="A70" t="s">
        <v>2383</v>
      </c>
      <c r="C70"/>
      <c r="D70"/>
      <c r="E70" s="267">
        <v>690000</v>
      </c>
    </row>
    <row r="71" spans="1:5" x14ac:dyDescent="0.35">
      <c r="A71" t="s">
        <v>1157</v>
      </c>
      <c r="C71"/>
      <c r="D71"/>
      <c r="E71" s="267">
        <v>585000</v>
      </c>
    </row>
    <row r="72" spans="1:5" x14ac:dyDescent="0.35">
      <c r="A72" t="s">
        <v>184</v>
      </c>
      <c r="C72"/>
      <c r="D72"/>
      <c r="E72" s="267">
        <v>540000</v>
      </c>
    </row>
    <row r="73" spans="1:5" x14ac:dyDescent="0.35">
      <c r="A73" t="s">
        <v>2734</v>
      </c>
      <c r="C73"/>
      <c r="D73"/>
      <c r="E73" s="267">
        <v>520000</v>
      </c>
    </row>
    <row r="74" spans="1:5" x14ac:dyDescent="0.35">
      <c r="A74" t="s">
        <v>2438</v>
      </c>
      <c r="C74"/>
      <c r="D74"/>
      <c r="E74" s="267">
        <v>400000</v>
      </c>
    </row>
    <row r="75" spans="1:5" x14ac:dyDescent="0.35">
      <c r="A75" t="s">
        <v>291</v>
      </c>
      <c r="C75"/>
      <c r="D75"/>
      <c r="E75" s="267">
        <v>369400</v>
      </c>
    </row>
    <row r="76" spans="1:5" x14ac:dyDescent="0.35">
      <c r="A76" t="s">
        <v>1526</v>
      </c>
      <c r="C76"/>
      <c r="D76"/>
      <c r="E76" s="267">
        <v>360000</v>
      </c>
    </row>
    <row r="77" spans="1:5" x14ac:dyDescent="0.35">
      <c r="A77" t="s">
        <v>2593</v>
      </c>
      <c r="C77"/>
      <c r="D77"/>
      <c r="E77" s="267">
        <v>336000</v>
      </c>
    </row>
    <row r="78" spans="1:5" x14ac:dyDescent="0.35">
      <c r="A78" t="s">
        <v>1127</v>
      </c>
      <c r="C78"/>
      <c r="D78"/>
      <c r="E78" s="267">
        <v>331350</v>
      </c>
    </row>
    <row r="79" spans="1:5" x14ac:dyDescent="0.35">
      <c r="A79" t="s">
        <v>1536</v>
      </c>
      <c r="C79"/>
      <c r="D79"/>
      <c r="E79" s="267">
        <v>270000</v>
      </c>
    </row>
    <row r="80" spans="1:5" x14ac:dyDescent="0.35">
      <c r="A80" t="s">
        <v>1146</v>
      </c>
      <c r="C80"/>
      <c r="D80"/>
      <c r="E80" s="267">
        <v>250000</v>
      </c>
    </row>
    <row r="81" spans="1:5" x14ac:dyDescent="0.35">
      <c r="A81" t="s">
        <v>1151</v>
      </c>
      <c r="C81"/>
      <c r="D81"/>
      <c r="E81" s="267">
        <v>236850</v>
      </c>
    </row>
    <row r="82" spans="1:5" x14ac:dyDescent="0.35">
      <c r="A82" t="s">
        <v>2425</v>
      </c>
      <c r="C82"/>
      <c r="D82"/>
      <c r="E82" s="267">
        <v>233000</v>
      </c>
    </row>
    <row r="83" spans="1:5" x14ac:dyDescent="0.35">
      <c r="A83" t="s">
        <v>1184</v>
      </c>
      <c r="C83"/>
      <c r="D83"/>
      <c r="E83" s="267">
        <v>220000</v>
      </c>
    </row>
    <row r="84" spans="1:5" x14ac:dyDescent="0.35">
      <c r="A84" t="s">
        <v>1107</v>
      </c>
      <c r="C84"/>
      <c r="D84"/>
      <c r="E84" s="267">
        <v>200000</v>
      </c>
    </row>
    <row r="85" spans="1:5" x14ac:dyDescent="0.35">
      <c r="A85" t="s">
        <v>2554</v>
      </c>
      <c r="C85"/>
      <c r="D85"/>
      <c r="E85" s="267">
        <v>140000</v>
      </c>
    </row>
    <row r="86" spans="1:5" x14ac:dyDescent="0.35">
      <c r="A86" t="s">
        <v>2348</v>
      </c>
      <c r="C86"/>
      <c r="D86"/>
      <c r="E86" s="267">
        <v>135000</v>
      </c>
    </row>
    <row r="87" spans="1:5" x14ac:dyDescent="0.35">
      <c r="A87" t="s">
        <v>1071</v>
      </c>
      <c r="C87"/>
      <c r="D87"/>
      <c r="E87" s="267">
        <v>122000</v>
      </c>
    </row>
    <row r="88" spans="1:5" x14ac:dyDescent="0.35">
      <c r="A88" t="s">
        <v>1169</v>
      </c>
      <c r="C88"/>
      <c r="D88"/>
      <c r="E88" s="267">
        <v>117000</v>
      </c>
    </row>
    <row r="89" spans="1:5" x14ac:dyDescent="0.35">
      <c r="A89" t="s">
        <v>1336</v>
      </c>
      <c r="C89"/>
      <c r="D89"/>
      <c r="E89" s="267">
        <v>95228</v>
      </c>
    </row>
    <row r="90" spans="1:5" x14ac:dyDescent="0.35">
      <c r="A90" t="s">
        <v>1080</v>
      </c>
      <c r="C90"/>
      <c r="D90"/>
      <c r="E90" s="267">
        <v>56190</v>
      </c>
    </row>
    <row r="91" spans="1:5" x14ac:dyDescent="0.35">
      <c r="A91" t="s">
        <v>2467</v>
      </c>
      <c r="C91"/>
      <c r="D91"/>
      <c r="E91" s="267">
        <v>55000</v>
      </c>
    </row>
    <row r="92" spans="1:5" x14ac:dyDescent="0.35">
      <c r="A92" t="s">
        <v>2726</v>
      </c>
      <c r="C92"/>
      <c r="D92"/>
      <c r="E92" s="267">
        <v>50000</v>
      </c>
    </row>
    <row r="93" spans="1:5" x14ac:dyDescent="0.35">
      <c r="A93" t="s">
        <v>2442</v>
      </c>
      <c r="C93"/>
      <c r="D93"/>
      <c r="E93" s="267">
        <v>50000</v>
      </c>
    </row>
    <row r="94" spans="1:5" x14ac:dyDescent="0.35">
      <c r="A94" t="s">
        <v>1997</v>
      </c>
      <c r="C94"/>
      <c r="D94"/>
      <c r="E94" s="267">
        <v>35000</v>
      </c>
    </row>
    <row r="95" spans="1:5" x14ac:dyDescent="0.35">
      <c r="A95" t="s">
        <v>541</v>
      </c>
      <c r="C95"/>
      <c r="D95"/>
      <c r="E95" s="267">
        <v>18000</v>
      </c>
    </row>
    <row r="96" spans="1:5" x14ac:dyDescent="0.35">
      <c r="A96" t="s">
        <v>1205</v>
      </c>
      <c r="C96"/>
      <c r="D96"/>
      <c r="E96" s="267">
        <v>15000</v>
      </c>
    </row>
    <row r="97" spans="1:5" x14ac:dyDescent="0.35">
      <c r="A97" t="s">
        <v>1021</v>
      </c>
      <c r="C97"/>
      <c r="D97"/>
      <c r="E97" s="267">
        <v>12000</v>
      </c>
    </row>
    <row r="98" spans="1:5" x14ac:dyDescent="0.35">
      <c r="A98" t="s">
        <v>1283</v>
      </c>
      <c r="C98"/>
      <c r="D98"/>
      <c r="E98" s="267">
        <v>12000</v>
      </c>
    </row>
    <row r="99" spans="1:5" x14ac:dyDescent="0.35">
      <c r="A99" t="s">
        <v>2552</v>
      </c>
      <c r="C99"/>
      <c r="D99"/>
      <c r="E99" s="267">
        <v>10000</v>
      </c>
    </row>
    <row r="100" spans="1:5" x14ac:dyDescent="0.35">
      <c r="A100" t="s">
        <v>1164</v>
      </c>
      <c r="C100"/>
      <c r="D100"/>
      <c r="E100" s="267">
        <v>2400</v>
      </c>
    </row>
    <row r="101" spans="1:5" x14ac:dyDescent="0.35">
      <c r="A101" t="s">
        <v>3435</v>
      </c>
      <c r="B101" t="s">
        <v>3436</v>
      </c>
      <c r="C101">
        <v>1</v>
      </c>
      <c r="D101">
        <v>1</v>
      </c>
      <c r="E101" s="267">
        <v>1</v>
      </c>
    </row>
    <row r="102" spans="1:5" x14ac:dyDescent="0.35">
      <c r="A102" t="s">
        <v>2551</v>
      </c>
      <c r="C102"/>
      <c r="D102"/>
      <c r="E102" s="267">
        <v>0</v>
      </c>
    </row>
    <row r="103" spans="1:5" x14ac:dyDescent="0.35">
      <c r="A103" t="s">
        <v>160</v>
      </c>
      <c r="C103"/>
      <c r="D103"/>
      <c r="E103" s="267">
        <v>0</v>
      </c>
    </row>
    <row r="104" spans="1:5" x14ac:dyDescent="0.35">
      <c r="A104" t="s">
        <v>1476</v>
      </c>
      <c r="C104"/>
      <c r="D104"/>
      <c r="E104" s="267">
        <v>0</v>
      </c>
    </row>
    <row r="105" spans="1:5" x14ac:dyDescent="0.35">
      <c r="A105" t="s">
        <v>1590</v>
      </c>
      <c r="C105"/>
      <c r="D105"/>
      <c r="E105" s="267">
        <v>0</v>
      </c>
    </row>
    <row r="106" spans="1:5" x14ac:dyDescent="0.35">
      <c r="A106" t="s">
        <v>2555</v>
      </c>
      <c r="C106"/>
      <c r="D106"/>
      <c r="E106" s="267">
        <v>0</v>
      </c>
    </row>
    <row r="107" spans="1:5" x14ac:dyDescent="0.35">
      <c r="A107" t="s">
        <v>2550</v>
      </c>
      <c r="C107"/>
      <c r="D107"/>
      <c r="E107" s="267">
        <v>0</v>
      </c>
    </row>
    <row r="108" spans="1:5" x14ac:dyDescent="0.35">
      <c r="A108" t="s">
        <v>3434</v>
      </c>
      <c r="B108" t="s">
        <v>3434</v>
      </c>
      <c r="C108" t="s">
        <v>3434</v>
      </c>
      <c r="D108" t="s">
        <v>3434</v>
      </c>
      <c r="E108" s="267"/>
    </row>
    <row r="109" spans="1:5" x14ac:dyDescent="0.35">
      <c r="A109" t="s">
        <v>651</v>
      </c>
      <c r="C109"/>
      <c r="D109"/>
      <c r="E109" s="267">
        <v>0</v>
      </c>
    </row>
    <row r="110" spans="1:5" x14ac:dyDescent="0.35">
      <c r="A110" t="s">
        <v>72</v>
      </c>
      <c r="C110"/>
      <c r="D110"/>
      <c r="E110" s="267">
        <v>0</v>
      </c>
    </row>
    <row r="111" spans="1:5" x14ac:dyDescent="0.35">
      <c r="A111" t="s">
        <v>59</v>
      </c>
      <c r="C111"/>
      <c r="D111"/>
      <c r="E111" s="267">
        <v>0</v>
      </c>
    </row>
    <row r="112" spans="1:5" x14ac:dyDescent="0.35">
      <c r="A112" t="s">
        <v>2787</v>
      </c>
      <c r="C112"/>
      <c r="D112"/>
      <c r="E112" s="267">
        <v>1190175473.8857849</v>
      </c>
    </row>
    <row r="113" spans="3:5" x14ac:dyDescent="0.35">
      <c r="C113"/>
      <c r="D113"/>
      <c r="E113"/>
    </row>
    <row r="114" spans="3:5" x14ac:dyDescent="0.35">
      <c r="C114"/>
      <c r="D114"/>
      <c r="E114"/>
    </row>
    <row r="115" spans="3:5" x14ac:dyDescent="0.35">
      <c r="E115"/>
    </row>
    <row r="116" spans="3:5" x14ac:dyDescent="0.35">
      <c r="E116"/>
    </row>
    <row r="117" spans="3:5" x14ac:dyDescent="0.35">
      <c r="E117"/>
    </row>
    <row r="118" spans="3:5" x14ac:dyDescent="0.35">
      <c r="E118"/>
    </row>
    <row r="119" spans="3:5" x14ac:dyDescent="0.35">
      <c r="E119"/>
    </row>
    <row r="120" spans="3:5" x14ac:dyDescent="0.35">
      <c r="E120"/>
    </row>
    <row r="121" spans="3:5" x14ac:dyDescent="0.35">
      <c r="E121"/>
    </row>
    <row r="122" spans="3:5" x14ac:dyDescent="0.35">
      <c r="E122"/>
    </row>
    <row r="123" spans="3:5" x14ac:dyDescent="0.35">
      <c r="E123"/>
    </row>
    <row r="124" spans="3:5" x14ac:dyDescent="0.35">
      <c r="E124"/>
    </row>
    <row r="125" spans="3:5" x14ac:dyDescent="0.35">
      <c r="E125"/>
    </row>
    <row r="126" spans="3:5" x14ac:dyDescent="0.35">
      <c r="E126"/>
    </row>
    <row r="127" spans="3:5" x14ac:dyDescent="0.35">
      <c r="E127"/>
    </row>
    <row r="128" spans="3:5" x14ac:dyDescent="0.35">
      <c r="E128"/>
    </row>
    <row r="129" spans="5:5" x14ac:dyDescent="0.35">
      <c r="E129"/>
    </row>
    <row r="130" spans="5:5" x14ac:dyDescent="0.35">
      <c r="E130"/>
    </row>
    <row r="131" spans="5:5" x14ac:dyDescent="0.35">
      <c r="E131"/>
    </row>
    <row r="132" spans="5:5" x14ac:dyDescent="0.35">
      <c r="E132"/>
    </row>
    <row r="133" spans="5:5" x14ac:dyDescent="0.35">
      <c r="E133"/>
    </row>
    <row r="134" spans="5:5" x14ac:dyDescent="0.35">
      <c r="E134"/>
    </row>
    <row r="135" spans="5:5" x14ac:dyDescent="0.35">
      <c r="E135"/>
    </row>
    <row r="136" spans="5:5" x14ac:dyDescent="0.35">
      <c r="E136"/>
    </row>
    <row r="137" spans="5:5" x14ac:dyDescent="0.35">
      <c r="E137"/>
    </row>
    <row r="138" spans="5:5" x14ac:dyDescent="0.35">
      <c r="E138"/>
    </row>
    <row r="139" spans="5:5" x14ac:dyDescent="0.35">
      <c r="E139"/>
    </row>
    <row r="140" spans="5:5" x14ac:dyDescent="0.35">
      <c r="E140"/>
    </row>
    <row r="141" spans="5:5" x14ac:dyDescent="0.35">
      <c r="E141"/>
    </row>
    <row r="142" spans="5:5" x14ac:dyDescent="0.35">
      <c r="E142"/>
    </row>
    <row r="143" spans="5:5" x14ac:dyDescent="0.35">
      <c r="E143"/>
    </row>
    <row r="144" spans="5:5" x14ac:dyDescent="0.35">
      <c r="E144"/>
    </row>
    <row r="145" spans="5:5" x14ac:dyDescent="0.35">
      <c r="E145"/>
    </row>
    <row r="146" spans="5:5" x14ac:dyDescent="0.35">
      <c r="E146"/>
    </row>
    <row r="147" spans="5:5" x14ac:dyDescent="0.35">
      <c r="E147"/>
    </row>
    <row r="148" spans="5:5" x14ac:dyDescent="0.35">
      <c r="E148"/>
    </row>
    <row r="149" spans="5:5" x14ac:dyDescent="0.35">
      <c r="E149"/>
    </row>
    <row r="150" spans="5:5" x14ac:dyDescent="0.35">
      <c r="E150"/>
    </row>
    <row r="151" spans="5:5" x14ac:dyDescent="0.35">
      <c r="E151"/>
    </row>
    <row r="152" spans="5:5" x14ac:dyDescent="0.35">
      <c r="E152"/>
    </row>
    <row r="153" spans="5:5" x14ac:dyDescent="0.35">
      <c r="E153"/>
    </row>
    <row r="154" spans="5:5" x14ac:dyDescent="0.35">
      <c r="E154"/>
    </row>
    <row r="155" spans="5:5" x14ac:dyDescent="0.35">
      <c r="E155"/>
    </row>
    <row r="156" spans="5:5" x14ac:dyDescent="0.35">
      <c r="E156"/>
    </row>
    <row r="157" spans="5:5" x14ac:dyDescent="0.35">
      <c r="E157"/>
    </row>
    <row r="158" spans="5:5" x14ac:dyDescent="0.35">
      <c r="E158"/>
    </row>
    <row r="159" spans="5:5" x14ac:dyDescent="0.35">
      <c r="E159"/>
    </row>
    <row r="160" spans="5:5" x14ac:dyDescent="0.35">
      <c r="E160"/>
    </row>
    <row r="161" spans="5:5" x14ac:dyDescent="0.35">
      <c r="E161"/>
    </row>
    <row r="162" spans="5:5" x14ac:dyDescent="0.35">
      <c r="E162"/>
    </row>
    <row r="163" spans="5:5" x14ac:dyDescent="0.35">
      <c r="E163"/>
    </row>
    <row r="164" spans="5:5" x14ac:dyDescent="0.35">
      <c r="E164"/>
    </row>
    <row r="165" spans="5:5" x14ac:dyDescent="0.35">
      <c r="E165"/>
    </row>
    <row r="166" spans="5:5" x14ac:dyDescent="0.35">
      <c r="E166"/>
    </row>
    <row r="167" spans="5:5" x14ac:dyDescent="0.35">
      <c r="E167"/>
    </row>
    <row r="168" spans="5:5" x14ac:dyDescent="0.35">
      <c r="E168"/>
    </row>
    <row r="169" spans="5:5" x14ac:dyDescent="0.35">
      <c r="E169"/>
    </row>
    <row r="170" spans="5:5" x14ac:dyDescent="0.35">
      <c r="E170"/>
    </row>
    <row r="171" spans="5:5" x14ac:dyDescent="0.35">
      <c r="E171"/>
    </row>
    <row r="172" spans="5:5" x14ac:dyDescent="0.35">
      <c r="E172"/>
    </row>
    <row r="173" spans="5:5" x14ac:dyDescent="0.35">
      <c r="E17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theme="4" tint="0.39997558519241921"/>
  </sheetPr>
  <dimension ref="A1:AW917"/>
  <sheetViews>
    <sheetView topLeftCell="Q1" zoomScale="70" zoomScaleNormal="70" workbookViewId="0">
      <pane ySplit="1" topLeftCell="A2" activePane="bottomLeft" state="frozen"/>
      <selection pane="bottomLeft" activeCell="X4" sqref="X4"/>
    </sheetView>
  </sheetViews>
  <sheetFormatPr defaultRowHeight="16.5" customHeight="1" x14ac:dyDescent="0.35"/>
  <cols>
    <col min="1" max="1" width="24" bestFit="1" customWidth="1"/>
    <col min="2" max="2" width="38.26953125" bestFit="1" customWidth="1"/>
    <col min="3" max="3" width="26.54296875" customWidth="1"/>
    <col min="4" max="4" width="14.1796875" customWidth="1"/>
    <col min="5" max="5" width="13.453125" bestFit="1" customWidth="1"/>
    <col min="6" max="6" width="35.08984375" customWidth="1"/>
    <col min="7" max="7" width="6.453125" bestFit="1" customWidth="1"/>
    <col min="8" max="8" width="15.26953125" bestFit="1" customWidth="1"/>
    <col min="9" max="9" width="70.1796875" style="8" bestFit="1" customWidth="1"/>
    <col min="10" max="10" width="8.7265625" customWidth="1"/>
    <col min="11" max="11" width="24" customWidth="1"/>
    <col min="12" max="12" width="19" style="8" customWidth="1"/>
    <col min="13" max="13" width="23.36328125" customWidth="1"/>
    <col min="14" max="14" width="18.453125" customWidth="1"/>
    <col min="15" max="15" width="44.81640625" customWidth="1"/>
    <col min="16" max="16" width="14.6328125" customWidth="1"/>
    <col min="17" max="17" width="14.7265625" customWidth="1"/>
    <col min="18" max="18" width="15.54296875" customWidth="1"/>
    <col min="19" max="19" width="48.26953125" customWidth="1"/>
    <col min="20" max="20" width="15.81640625" customWidth="1"/>
    <col min="21" max="21" width="11.54296875" customWidth="1"/>
    <col min="22" max="22" width="17.08984375" bestFit="1" customWidth="1"/>
    <col min="23" max="23" width="41.36328125" customWidth="1"/>
    <col min="24" max="24" width="16.36328125" customWidth="1"/>
    <col min="25" max="26" width="11.7265625" customWidth="1"/>
    <col min="27" max="29" width="14.6328125" bestFit="1" customWidth="1"/>
    <col min="30" max="32" width="11.7265625" customWidth="1"/>
    <col min="33" max="33" width="13.6328125" style="51" bestFit="1" customWidth="1"/>
    <col min="34" max="34" width="11.7265625" style="51" customWidth="1"/>
    <col min="35" max="45" width="13.6328125" style="51" bestFit="1" customWidth="1"/>
    <col min="46" max="46" width="27.7265625" style="13" customWidth="1"/>
    <col min="47" max="47" width="12.1796875" style="12" customWidth="1"/>
    <col min="48" max="48" width="17.1796875" customWidth="1"/>
  </cols>
  <sheetData>
    <row r="1" spans="1:47" ht="45.5" customHeight="1" x14ac:dyDescent="0.35">
      <c r="A1" s="269" t="s">
        <v>0</v>
      </c>
      <c r="B1" s="269" t="s">
        <v>1</v>
      </c>
      <c r="C1" s="269" t="s">
        <v>2</v>
      </c>
      <c r="D1" s="269" t="s">
        <v>3</v>
      </c>
      <c r="E1" s="269" t="s">
        <v>4</v>
      </c>
      <c r="F1" s="269" t="s">
        <v>5</v>
      </c>
      <c r="G1" s="269" t="s">
        <v>6</v>
      </c>
      <c r="H1" s="269" t="s">
        <v>7</v>
      </c>
      <c r="I1" s="270" t="s">
        <v>8</v>
      </c>
      <c r="J1" s="269" t="s">
        <v>9</v>
      </c>
      <c r="K1" s="269" t="s">
        <v>10</v>
      </c>
      <c r="L1" s="270" t="s">
        <v>11</v>
      </c>
      <c r="M1" s="269" t="s">
        <v>12</v>
      </c>
      <c r="N1" s="269" t="s">
        <v>13</v>
      </c>
      <c r="O1" s="269" t="s">
        <v>14</v>
      </c>
      <c r="P1" s="269" t="s">
        <v>15</v>
      </c>
      <c r="Q1" s="269" t="s">
        <v>16</v>
      </c>
      <c r="R1" s="269" t="s">
        <v>17</v>
      </c>
      <c r="S1" s="269" t="s">
        <v>18</v>
      </c>
      <c r="T1" s="269" t="s">
        <v>19</v>
      </c>
      <c r="U1" s="417" t="s">
        <v>20</v>
      </c>
      <c r="V1" s="269" t="s">
        <v>21</v>
      </c>
      <c r="W1" s="269" t="s">
        <v>22</v>
      </c>
      <c r="X1" s="269" t="s">
        <v>23</v>
      </c>
      <c r="Y1" s="269" t="s">
        <v>24</v>
      </c>
      <c r="Z1" s="269" t="s">
        <v>25</v>
      </c>
      <c r="AA1" s="269" t="s">
        <v>26</v>
      </c>
      <c r="AB1" s="269" t="s">
        <v>27</v>
      </c>
      <c r="AC1" s="269" t="s">
        <v>28</v>
      </c>
      <c r="AD1" s="269" t="s">
        <v>29</v>
      </c>
      <c r="AE1" s="269" t="s">
        <v>30</v>
      </c>
      <c r="AF1" s="269" t="s">
        <v>31</v>
      </c>
      <c r="AG1" s="271" t="s">
        <v>32</v>
      </c>
      <c r="AH1" s="271" t="s">
        <v>33</v>
      </c>
      <c r="AI1" s="271" t="s">
        <v>34</v>
      </c>
      <c r="AJ1" s="271" t="s">
        <v>35</v>
      </c>
      <c r="AK1" s="271" t="s">
        <v>36</v>
      </c>
      <c r="AL1" s="271" t="s">
        <v>37</v>
      </c>
      <c r="AM1" s="271" t="s">
        <v>38</v>
      </c>
      <c r="AN1" s="271" t="s">
        <v>39</v>
      </c>
      <c r="AO1" s="271" t="s">
        <v>40</v>
      </c>
      <c r="AP1" s="271" t="s">
        <v>41</v>
      </c>
      <c r="AQ1" s="271" t="s">
        <v>42</v>
      </c>
      <c r="AR1" s="271" t="s">
        <v>43</v>
      </c>
      <c r="AS1" s="271" t="s">
        <v>44</v>
      </c>
      <c r="AT1" s="269" t="s">
        <v>45</v>
      </c>
      <c r="AU1" s="11" t="s">
        <v>330</v>
      </c>
    </row>
    <row r="2" spans="1:47" ht="16.5" customHeight="1" x14ac:dyDescent="0.35">
      <c r="A2" s="3" t="s">
        <v>46</v>
      </c>
      <c r="B2" s="3" t="s">
        <v>46</v>
      </c>
      <c r="C2" s="3" t="s">
        <v>47</v>
      </c>
      <c r="D2" s="3">
        <v>847</v>
      </c>
      <c r="E2" s="3">
        <v>8470810</v>
      </c>
      <c r="F2" s="3" t="s">
        <v>48</v>
      </c>
      <c r="G2" s="3">
        <v>1</v>
      </c>
      <c r="H2" s="276">
        <v>413328</v>
      </c>
      <c r="I2" s="6" t="s">
        <v>49</v>
      </c>
      <c r="J2" s="3" t="s">
        <v>60</v>
      </c>
      <c r="K2" s="3" t="s">
        <v>50</v>
      </c>
      <c r="L2" s="6">
        <v>847001</v>
      </c>
      <c r="M2" s="3" t="s">
        <v>322</v>
      </c>
      <c r="N2" s="3">
        <v>100178</v>
      </c>
      <c r="O2" s="3" t="s">
        <v>323</v>
      </c>
      <c r="P2" s="3"/>
      <c r="Q2" s="3"/>
      <c r="R2" s="3">
        <v>8000000</v>
      </c>
      <c r="S2" s="3" t="s">
        <v>52</v>
      </c>
      <c r="T2" s="3" t="s">
        <v>53</v>
      </c>
      <c r="U2" s="3">
        <v>12</v>
      </c>
      <c r="V2" s="9">
        <v>832200</v>
      </c>
      <c r="W2" s="3" t="s">
        <v>54</v>
      </c>
      <c r="X2" s="9">
        <v>9986400</v>
      </c>
      <c r="Y2" s="3" t="s">
        <v>55</v>
      </c>
      <c r="Z2" s="3" t="s">
        <v>56</v>
      </c>
      <c r="AA2" s="14">
        <f>X2*0.9</f>
        <v>8987760</v>
      </c>
      <c r="AB2" s="14">
        <f>X2*0.8</f>
        <v>7989120</v>
      </c>
      <c r="AC2" s="14">
        <f>X2*0.7</f>
        <v>6990480</v>
      </c>
      <c r="AD2" s="3" t="s">
        <v>57</v>
      </c>
      <c r="AE2" s="3" t="s">
        <v>57</v>
      </c>
      <c r="AF2" s="3" t="s">
        <v>57</v>
      </c>
      <c r="AG2" s="41">
        <v>832200</v>
      </c>
      <c r="AH2" s="41">
        <v>832200</v>
      </c>
      <c r="AI2" s="41">
        <v>832200</v>
      </c>
      <c r="AJ2" s="41">
        <v>832200</v>
      </c>
      <c r="AK2" s="41">
        <v>832200</v>
      </c>
      <c r="AL2" s="41">
        <v>832200</v>
      </c>
      <c r="AM2" s="41">
        <v>832200</v>
      </c>
      <c r="AN2" s="41">
        <v>832200</v>
      </c>
      <c r="AO2" s="41">
        <v>832200</v>
      </c>
      <c r="AP2" s="41">
        <v>832200</v>
      </c>
      <c r="AQ2" s="41">
        <v>832200</v>
      </c>
      <c r="AR2" s="41">
        <v>832200</v>
      </c>
      <c r="AS2" s="41">
        <v>9986400</v>
      </c>
      <c r="AT2" s="3"/>
      <c r="AU2" s="15" t="s">
        <v>331</v>
      </c>
    </row>
    <row r="3" spans="1:47" ht="16.5" customHeight="1" x14ac:dyDescent="0.35">
      <c r="A3" s="3">
        <v>0</v>
      </c>
      <c r="B3" s="3" t="s">
        <v>58</v>
      </c>
      <c r="C3" s="3" t="s">
        <v>47</v>
      </c>
      <c r="D3" s="3">
        <v>847</v>
      </c>
      <c r="E3" s="3">
        <v>8470810</v>
      </c>
      <c r="F3" s="3" t="s">
        <v>48</v>
      </c>
      <c r="G3" s="3">
        <v>1</v>
      </c>
      <c r="H3" s="276">
        <v>420810</v>
      </c>
      <c r="I3" s="6" t="s">
        <v>59</v>
      </c>
      <c r="J3" s="3" t="s">
        <v>60</v>
      </c>
      <c r="K3" s="3" t="s">
        <v>50</v>
      </c>
      <c r="L3" s="6" t="s">
        <v>51</v>
      </c>
      <c r="M3" s="3" t="s">
        <v>61</v>
      </c>
      <c r="N3" s="3">
        <v>200179</v>
      </c>
      <c r="O3" s="3" t="s">
        <v>324</v>
      </c>
      <c r="P3" s="3">
        <v>300000</v>
      </c>
      <c r="Q3" s="3">
        <v>0</v>
      </c>
      <c r="R3" s="3"/>
      <c r="S3" s="3"/>
      <c r="T3" s="3" t="s">
        <v>62</v>
      </c>
      <c r="U3" s="3">
        <v>1</v>
      </c>
      <c r="V3" s="9"/>
      <c r="W3" s="3"/>
      <c r="X3" s="9">
        <v>0</v>
      </c>
      <c r="Y3" s="3"/>
      <c r="Z3" s="3"/>
      <c r="AA3" s="14">
        <f t="shared" ref="AA3:AA66" si="0">X3*0.9</f>
        <v>0</v>
      </c>
      <c r="AB3" s="14">
        <f t="shared" ref="AB3:AB66" si="1">X3*0.8</f>
        <v>0</v>
      </c>
      <c r="AC3" s="14">
        <f t="shared" ref="AC3:AC66" si="2">X3*0.7</f>
        <v>0</v>
      </c>
      <c r="AD3" s="3"/>
      <c r="AE3" s="3"/>
      <c r="AF3" s="3"/>
      <c r="AG3" s="42"/>
      <c r="AH3" s="42">
        <v>0</v>
      </c>
      <c r="AI3" s="42"/>
      <c r="AJ3" s="42"/>
      <c r="AK3" s="42"/>
      <c r="AL3" s="42"/>
      <c r="AM3" s="42"/>
      <c r="AN3" s="42"/>
      <c r="AO3" s="42"/>
      <c r="AP3" s="42"/>
      <c r="AQ3" s="42"/>
      <c r="AR3" s="42"/>
      <c r="AS3" s="41">
        <v>0</v>
      </c>
      <c r="AT3" s="3"/>
      <c r="AU3" s="15"/>
    </row>
    <row r="4" spans="1:47" ht="17" customHeight="1" x14ac:dyDescent="0.35">
      <c r="A4" s="3" t="s">
        <v>63</v>
      </c>
      <c r="B4" s="3" t="s">
        <v>64</v>
      </c>
      <c r="C4" s="3" t="s">
        <v>47</v>
      </c>
      <c r="D4" s="3">
        <v>847</v>
      </c>
      <c r="E4" s="3">
        <v>8470810</v>
      </c>
      <c r="F4" s="3" t="s">
        <v>48</v>
      </c>
      <c r="G4" s="3">
        <v>1</v>
      </c>
      <c r="H4" s="276">
        <v>420811</v>
      </c>
      <c r="I4" s="6" t="s">
        <v>65</v>
      </c>
      <c r="J4" s="3" t="s">
        <v>60</v>
      </c>
      <c r="K4" s="3" t="s">
        <v>50</v>
      </c>
      <c r="L4" s="6" t="s">
        <v>51</v>
      </c>
      <c r="M4" s="3" t="s">
        <v>61</v>
      </c>
      <c r="N4" s="3">
        <v>200179</v>
      </c>
      <c r="O4" s="3" t="s">
        <v>66</v>
      </c>
      <c r="P4" s="3" t="s">
        <v>46</v>
      </c>
      <c r="Q4" s="3">
        <v>10351793</v>
      </c>
      <c r="R4" s="3">
        <v>10351793</v>
      </c>
      <c r="S4" s="3" t="s">
        <v>67</v>
      </c>
      <c r="T4" s="3" t="s">
        <v>68</v>
      </c>
      <c r="U4" s="3">
        <v>12</v>
      </c>
      <c r="V4" s="9">
        <v>3759978</v>
      </c>
      <c r="W4" s="3" t="s">
        <v>69</v>
      </c>
      <c r="X4" s="9">
        <v>21982967</v>
      </c>
      <c r="Y4" s="3" t="s">
        <v>55</v>
      </c>
      <c r="Z4" s="3" t="s">
        <v>56</v>
      </c>
      <c r="AA4" s="14">
        <f t="shared" si="0"/>
        <v>19784670.300000001</v>
      </c>
      <c r="AB4" s="14">
        <f t="shared" si="1"/>
        <v>17586373.600000001</v>
      </c>
      <c r="AC4" s="14">
        <f t="shared" si="2"/>
        <v>15388076.899999999</v>
      </c>
      <c r="AD4" s="3" t="s">
        <v>57</v>
      </c>
      <c r="AE4" s="3" t="s">
        <v>57</v>
      </c>
      <c r="AF4" s="3" t="s">
        <v>57</v>
      </c>
      <c r="AG4" s="42">
        <v>45119736</v>
      </c>
      <c r="AH4" s="42"/>
      <c r="AI4" s="42"/>
      <c r="AJ4" s="42"/>
      <c r="AK4" s="42"/>
      <c r="AL4" s="42"/>
      <c r="AM4" s="42"/>
      <c r="AN4" s="42"/>
      <c r="AO4" s="42"/>
      <c r="AP4" s="42"/>
      <c r="AQ4" s="42"/>
      <c r="AR4" s="42"/>
      <c r="AS4" s="41">
        <v>45119736</v>
      </c>
      <c r="AT4" s="3" t="s">
        <v>70</v>
      </c>
      <c r="AU4" s="7" t="s">
        <v>333</v>
      </c>
    </row>
    <row r="5" spans="1:47" ht="16.5" customHeight="1" x14ac:dyDescent="0.35">
      <c r="A5" s="3" t="s">
        <v>71</v>
      </c>
      <c r="B5" s="3" t="s">
        <v>58</v>
      </c>
      <c r="C5" s="3" t="s">
        <v>47</v>
      </c>
      <c r="D5" s="3">
        <v>847</v>
      </c>
      <c r="E5" s="3">
        <v>8470810</v>
      </c>
      <c r="F5" s="3" t="s">
        <v>48</v>
      </c>
      <c r="G5" s="3">
        <v>1</v>
      </c>
      <c r="H5" s="276">
        <v>421100</v>
      </c>
      <c r="I5" s="6" t="s">
        <v>72</v>
      </c>
      <c r="J5" s="3" t="s">
        <v>60</v>
      </c>
      <c r="K5" s="3" t="s">
        <v>50</v>
      </c>
      <c r="L5" s="6" t="s">
        <v>51</v>
      </c>
      <c r="M5" s="3" t="s">
        <v>61</v>
      </c>
      <c r="N5" s="3">
        <v>200179</v>
      </c>
      <c r="O5" s="3" t="s">
        <v>73</v>
      </c>
      <c r="P5" s="3">
        <v>1705887.11</v>
      </c>
      <c r="Q5" s="3">
        <v>445192</v>
      </c>
      <c r="R5" s="3">
        <v>445192</v>
      </c>
      <c r="S5" s="3"/>
      <c r="T5" s="3" t="s">
        <v>62</v>
      </c>
      <c r="U5" s="3"/>
      <c r="V5" s="9"/>
      <c r="W5" s="3"/>
      <c r="X5" s="9">
        <v>0</v>
      </c>
      <c r="Y5" s="3"/>
      <c r="Z5" s="3"/>
      <c r="AA5" s="14">
        <f t="shared" si="0"/>
        <v>0</v>
      </c>
      <c r="AB5" s="14">
        <f t="shared" si="1"/>
        <v>0</v>
      </c>
      <c r="AC5" s="14">
        <f t="shared" si="2"/>
        <v>0</v>
      </c>
      <c r="AD5" s="3"/>
      <c r="AE5" s="3"/>
      <c r="AF5" s="3"/>
      <c r="AG5" s="42"/>
      <c r="AH5" s="42">
        <v>0</v>
      </c>
      <c r="AI5" s="42"/>
      <c r="AJ5" s="42"/>
      <c r="AK5" s="42"/>
      <c r="AL5" s="42"/>
      <c r="AM5" s="42"/>
      <c r="AN5" s="42"/>
      <c r="AO5" s="42"/>
      <c r="AP5" s="42"/>
      <c r="AQ5" s="42"/>
      <c r="AR5" s="42"/>
      <c r="AS5" s="41">
        <v>0</v>
      </c>
      <c r="AT5" s="3"/>
      <c r="AU5" s="15"/>
    </row>
    <row r="6" spans="1:47" ht="16.5" customHeight="1" x14ac:dyDescent="0.35">
      <c r="A6" s="3" t="s">
        <v>63</v>
      </c>
      <c r="B6" s="3" t="s">
        <v>64</v>
      </c>
      <c r="C6" s="3" t="s">
        <v>47</v>
      </c>
      <c r="D6" s="3">
        <v>847</v>
      </c>
      <c r="E6" s="3">
        <v>8470810</v>
      </c>
      <c r="F6" s="3" t="s">
        <v>48</v>
      </c>
      <c r="G6" s="3">
        <v>1</v>
      </c>
      <c r="H6" s="276">
        <v>426610</v>
      </c>
      <c r="I6" s="6" t="s">
        <v>74</v>
      </c>
      <c r="J6" s="3" t="s">
        <v>60</v>
      </c>
      <c r="K6" s="3" t="s">
        <v>50</v>
      </c>
      <c r="L6" s="6" t="s">
        <v>51</v>
      </c>
      <c r="M6" s="3" t="s">
        <v>61</v>
      </c>
      <c r="N6" s="3">
        <v>200179</v>
      </c>
      <c r="O6" s="3" t="s">
        <v>298</v>
      </c>
      <c r="P6" s="3">
        <v>8722313.4399999995</v>
      </c>
      <c r="Q6" s="3">
        <v>7632571</v>
      </c>
      <c r="R6" s="3">
        <v>7632571</v>
      </c>
      <c r="S6" s="3" t="s">
        <v>75</v>
      </c>
      <c r="T6" s="3" t="s">
        <v>76</v>
      </c>
      <c r="U6" s="3">
        <v>1</v>
      </c>
      <c r="V6" s="9">
        <v>1235304</v>
      </c>
      <c r="W6" s="3" t="s">
        <v>77</v>
      </c>
      <c r="X6" s="9">
        <v>1235304</v>
      </c>
      <c r="Y6" s="3" t="s">
        <v>55</v>
      </c>
      <c r="Z6" s="3" t="s">
        <v>56</v>
      </c>
      <c r="AA6" s="14">
        <f t="shared" si="0"/>
        <v>1111773.6000000001</v>
      </c>
      <c r="AB6" s="14">
        <f t="shared" si="1"/>
        <v>988243.20000000007</v>
      </c>
      <c r="AC6" s="14">
        <f t="shared" si="2"/>
        <v>864712.79999999993</v>
      </c>
      <c r="AD6" s="3" t="s">
        <v>57</v>
      </c>
      <c r="AE6" s="3" t="s">
        <v>57</v>
      </c>
      <c r="AF6" s="3" t="s">
        <v>57</v>
      </c>
      <c r="AG6" s="42"/>
      <c r="AH6" s="42">
        <v>0</v>
      </c>
      <c r="AI6" s="42"/>
      <c r="AJ6" s="42"/>
      <c r="AK6" s="42">
        <v>1235304</v>
      </c>
      <c r="AL6" s="42"/>
      <c r="AM6" s="42"/>
      <c r="AN6" s="42"/>
      <c r="AO6" s="42"/>
      <c r="AP6" s="42"/>
      <c r="AQ6" s="42"/>
      <c r="AR6" s="42"/>
      <c r="AS6" s="41">
        <v>1235304</v>
      </c>
      <c r="AT6" s="3" t="s">
        <v>70</v>
      </c>
      <c r="AU6" s="15"/>
    </row>
    <row r="7" spans="1:47" ht="16.5" customHeight="1" x14ac:dyDescent="0.35">
      <c r="A7" s="3" t="s">
        <v>63</v>
      </c>
      <c r="B7" s="3" t="s">
        <v>64</v>
      </c>
      <c r="C7" s="3" t="s">
        <v>47</v>
      </c>
      <c r="D7" s="3">
        <v>847</v>
      </c>
      <c r="E7" s="3">
        <v>8470810</v>
      </c>
      <c r="F7" s="3" t="s">
        <v>48</v>
      </c>
      <c r="G7" s="3">
        <v>1</v>
      </c>
      <c r="H7" s="276">
        <v>426610</v>
      </c>
      <c r="I7" s="6" t="s">
        <v>74</v>
      </c>
      <c r="J7" s="3" t="s">
        <v>60</v>
      </c>
      <c r="K7" s="3" t="s">
        <v>50</v>
      </c>
      <c r="L7" s="6" t="s">
        <v>51</v>
      </c>
      <c r="M7" s="3" t="s">
        <v>61</v>
      </c>
      <c r="N7" s="3">
        <v>200179</v>
      </c>
      <c r="O7" s="3" t="s">
        <v>298</v>
      </c>
      <c r="P7" s="3"/>
      <c r="Q7" s="3"/>
      <c r="R7" s="3"/>
      <c r="S7" s="3" t="s">
        <v>75</v>
      </c>
      <c r="T7" s="3" t="s">
        <v>76</v>
      </c>
      <c r="U7" s="3">
        <v>1</v>
      </c>
      <c r="V7" s="9">
        <v>856000</v>
      </c>
      <c r="W7" s="3" t="s">
        <v>78</v>
      </c>
      <c r="X7" s="9">
        <v>856000</v>
      </c>
      <c r="Y7" s="3" t="s">
        <v>55</v>
      </c>
      <c r="Z7" s="3" t="s">
        <v>56</v>
      </c>
      <c r="AA7" s="14">
        <f t="shared" si="0"/>
        <v>770400</v>
      </c>
      <c r="AB7" s="14">
        <f t="shared" si="1"/>
        <v>684800</v>
      </c>
      <c r="AC7" s="14">
        <f t="shared" si="2"/>
        <v>599200</v>
      </c>
      <c r="AD7" s="3" t="s">
        <v>57</v>
      </c>
      <c r="AE7" s="3" t="s">
        <v>57</v>
      </c>
      <c r="AF7" s="3" t="s">
        <v>57</v>
      </c>
      <c r="AG7" s="42"/>
      <c r="AH7" s="42">
        <v>0</v>
      </c>
      <c r="AI7" s="42">
        <v>856000</v>
      </c>
      <c r="AJ7" s="42"/>
      <c r="AK7" s="42"/>
      <c r="AL7" s="42"/>
      <c r="AM7" s="42"/>
      <c r="AN7" s="42"/>
      <c r="AO7" s="42"/>
      <c r="AP7" s="42"/>
      <c r="AQ7" s="42"/>
      <c r="AR7" s="42"/>
      <c r="AS7" s="41">
        <v>856000</v>
      </c>
      <c r="AT7" s="3" t="s">
        <v>70</v>
      </c>
      <c r="AU7" s="15"/>
    </row>
    <row r="8" spans="1:47" ht="16.5" customHeight="1" x14ac:dyDescent="0.35">
      <c r="A8" s="3" t="s">
        <v>63</v>
      </c>
      <c r="B8" s="3" t="s">
        <v>64</v>
      </c>
      <c r="C8" s="3" t="s">
        <v>47</v>
      </c>
      <c r="D8" s="3">
        <v>847</v>
      </c>
      <c r="E8" s="3">
        <v>8470810</v>
      </c>
      <c r="F8" s="3" t="s">
        <v>48</v>
      </c>
      <c r="G8" s="3">
        <v>1</v>
      </c>
      <c r="H8" s="276">
        <v>426610</v>
      </c>
      <c r="I8" s="6" t="s">
        <v>74</v>
      </c>
      <c r="J8" s="3" t="s">
        <v>60</v>
      </c>
      <c r="K8" s="3" t="s">
        <v>50</v>
      </c>
      <c r="L8" s="6" t="s">
        <v>51</v>
      </c>
      <c r="M8" s="3" t="s">
        <v>61</v>
      </c>
      <c r="N8" s="3">
        <v>200179</v>
      </c>
      <c r="O8" s="3" t="s">
        <v>298</v>
      </c>
      <c r="P8" s="3"/>
      <c r="Q8" s="3"/>
      <c r="R8" s="3"/>
      <c r="S8" s="3" t="s">
        <v>75</v>
      </c>
      <c r="T8" s="3" t="s">
        <v>76</v>
      </c>
      <c r="U8" s="3">
        <v>1</v>
      </c>
      <c r="V8" s="9">
        <v>756066</v>
      </c>
      <c r="W8" s="3" t="s">
        <v>79</v>
      </c>
      <c r="X8" s="9">
        <v>756066</v>
      </c>
      <c r="Y8" s="3" t="s">
        <v>55</v>
      </c>
      <c r="Z8" s="3" t="s">
        <v>56</v>
      </c>
      <c r="AA8" s="14">
        <f t="shared" si="0"/>
        <v>680459.4</v>
      </c>
      <c r="AB8" s="14">
        <f t="shared" si="1"/>
        <v>604852.80000000005</v>
      </c>
      <c r="AC8" s="14">
        <f t="shared" si="2"/>
        <v>529246.19999999995</v>
      </c>
      <c r="AD8" s="3" t="s">
        <v>80</v>
      </c>
      <c r="AE8" s="3" t="s">
        <v>80</v>
      </c>
      <c r="AF8" s="3" t="s">
        <v>80</v>
      </c>
      <c r="AG8" s="42"/>
      <c r="AH8" s="42">
        <v>0</v>
      </c>
      <c r="AI8" s="42"/>
      <c r="AJ8" s="42"/>
      <c r="AK8" s="42"/>
      <c r="AL8" s="42"/>
      <c r="AM8" s="42">
        <v>756066</v>
      </c>
      <c r="AN8" s="42"/>
      <c r="AO8" s="42"/>
      <c r="AP8" s="42"/>
      <c r="AQ8" s="42"/>
      <c r="AR8" s="42"/>
      <c r="AS8" s="41">
        <v>756066</v>
      </c>
      <c r="AT8" s="3" t="s">
        <v>70</v>
      </c>
      <c r="AU8" s="15"/>
    </row>
    <row r="9" spans="1:47" ht="16.5" customHeight="1" x14ac:dyDescent="0.35">
      <c r="A9" s="3" t="s">
        <v>63</v>
      </c>
      <c r="B9" s="3" t="s">
        <v>64</v>
      </c>
      <c r="C9" s="3" t="s">
        <v>47</v>
      </c>
      <c r="D9" s="3">
        <v>847</v>
      </c>
      <c r="E9" s="3">
        <v>8470810</v>
      </c>
      <c r="F9" s="3" t="s">
        <v>48</v>
      </c>
      <c r="G9" s="3">
        <v>1</v>
      </c>
      <c r="H9" s="276">
        <v>426610</v>
      </c>
      <c r="I9" s="6" t="s">
        <v>74</v>
      </c>
      <c r="J9" s="3" t="s">
        <v>60</v>
      </c>
      <c r="K9" s="3" t="s">
        <v>50</v>
      </c>
      <c r="L9" s="6" t="s">
        <v>51</v>
      </c>
      <c r="M9" s="3" t="s">
        <v>61</v>
      </c>
      <c r="N9" s="3">
        <v>200179</v>
      </c>
      <c r="O9" s="3" t="s">
        <v>298</v>
      </c>
      <c r="P9" s="3"/>
      <c r="Q9" s="3"/>
      <c r="R9" s="3"/>
      <c r="S9" s="3" t="s">
        <v>75</v>
      </c>
      <c r="T9" s="3" t="s">
        <v>76</v>
      </c>
      <c r="U9" s="3">
        <v>1</v>
      </c>
      <c r="V9" s="9">
        <v>589375</v>
      </c>
      <c r="W9" s="3" t="s">
        <v>81</v>
      </c>
      <c r="X9" s="9">
        <v>589375</v>
      </c>
      <c r="Y9" s="3" t="s">
        <v>55</v>
      </c>
      <c r="Z9" s="3" t="s">
        <v>56</v>
      </c>
      <c r="AA9" s="14">
        <f t="shared" si="0"/>
        <v>530437.5</v>
      </c>
      <c r="AB9" s="14">
        <f t="shared" si="1"/>
        <v>471500</v>
      </c>
      <c r="AC9" s="14">
        <f t="shared" si="2"/>
        <v>412562.5</v>
      </c>
      <c r="AD9" s="3" t="s">
        <v>57</v>
      </c>
      <c r="AE9" s="3" t="s">
        <v>57</v>
      </c>
      <c r="AF9" s="3" t="s">
        <v>57</v>
      </c>
      <c r="AG9" s="42"/>
      <c r="AH9" s="42">
        <v>0</v>
      </c>
      <c r="AI9" s="42"/>
      <c r="AJ9" s="42"/>
      <c r="AK9" s="42">
        <v>589375</v>
      </c>
      <c r="AL9" s="42"/>
      <c r="AM9" s="42"/>
      <c r="AN9" s="42"/>
      <c r="AO9" s="42"/>
      <c r="AP9" s="42"/>
      <c r="AQ9" s="42"/>
      <c r="AR9" s="42"/>
      <c r="AS9" s="41">
        <v>589375</v>
      </c>
      <c r="AT9" s="3" t="s">
        <v>70</v>
      </c>
      <c r="AU9" s="15"/>
    </row>
    <row r="10" spans="1:47" ht="16.5" customHeight="1" x14ac:dyDescent="0.35">
      <c r="A10" s="3" t="s">
        <v>63</v>
      </c>
      <c r="B10" s="3" t="s">
        <v>64</v>
      </c>
      <c r="C10" s="3" t="s">
        <v>47</v>
      </c>
      <c r="D10" s="3">
        <v>847</v>
      </c>
      <c r="E10" s="3">
        <v>8470810</v>
      </c>
      <c r="F10" s="3" t="s">
        <v>48</v>
      </c>
      <c r="G10" s="3">
        <v>1</v>
      </c>
      <c r="H10" s="276">
        <v>426610</v>
      </c>
      <c r="I10" s="6" t="s">
        <v>74</v>
      </c>
      <c r="J10" s="3" t="s">
        <v>60</v>
      </c>
      <c r="K10" s="3" t="s">
        <v>50</v>
      </c>
      <c r="L10" s="6" t="s">
        <v>51</v>
      </c>
      <c r="M10" s="3" t="s">
        <v>61</v>
      </c>
      <c r="N10" s="3">
        <v>200179</v>
      </c>
      <c r="O10" s="3" t="s">
        <v>298</v>
      </c>
      <c r="P10" s="3"/>
      <c r="Q10" s="3"/>
      <c r="R10" s="3"/>
      <c r="S10" s="3" t="s">
        <v>75</v>
      </c>
      <c r="T10" s="3" t="s">
        <v>76</v>
      </c>
      <c r="U10" s="3">
        <v>1</v>
      </c>
      <c r="V10" s="9">
        <v>617276</v>
      </c>
      <c r="W10" s="3" t="s">
        <v>82</v>
      </c>
      <c r="X10" s="9">
        <v>617276</v>
      </c>
      <c r="Y10" s="3" t="s">
        <v>55</v>
      </c>
      <c r="Z10" s="3" t="s">
        <v>56</v>
      </c>
      <c r="AA10" s="14">
        <f t="shared" si="0"/>
        <v>555548.4</v>
      </c>
      <c r="AB10" s="14">
        <f t="shared" si="1"/>
        <v>493820.80000000005</v>
      </c>
      <c r="AC10" s="14">
        <f t="shared" si="2"/>
        <v>432093.19999999995</v>
      </c>
      <c r="AD10" s="3" t="s">
        <v>83</v>
      </c>
      <c r="AE10" s="3" t="s">
        <v>83</v>
      </c>
      <c r="AF10" s="3" t="s">
        <v>83</v>
      </c>
      <c r="AG10" s="42"/>
      <c r="AH10" s="42">
        <v>0</v>
      </c>
      <c r="AI10" s="42"/>
      <c r="AJ10" s="42"/>
      <c r="AK10" s="42">
        <v>617276</v>
      </c>
      <c r="AL10" s="42"/>
      <c r="AM10" s="42"/>
      <c r="AN10" s="42"/>
      <c r="AO10" s="42"/>
      <c r="AP10" s="42"/>
      <c r="AQ10" s="42"/>
      <c r="AR10" s="42"/>
      <c r="AS10" s="41">
        <v>617276</v>
      </c>
      <c r="AT10" s="3" t="s">
        <v>70</v>
      </c>
      <c r="AU10" s="15"/>
    </row>
    <row r="11" spans="1:47" ht="16.5" customHeight="1" x14ac:dyDescent="0.35">
      <c r="A11" s="3" t="s">
        <v>63</v>
      </c>
      <c r="B11" s="3" t="s">
        <v>64</v>
      </c>
      <c r="C11" s="3" t="s">
        <v>47</v>
      </c>
      <c r="D11" s="3">
        <v>847</v>
      </c>
      <c r="E11" s="3">
        <v>8470810</v>
      </c>
      <c r="F11" s="3" t="s">
        <v>48</v>
      </c>
      <c r="G11" s="3">
        <v>1</v>
      </c>
      <c r="H11" s="276">
        <v>426610</v>
      </c>
      <c r="I11" s="6" t="s">
        <v>74</v>
      </c>
      <c r="J11" s="3" t="s">
        <v>60</v>
      </c>
      <c r="K11" s="3" t="s">
        <v>50</v>
      </c>
      <c r="L11" s="6" t="s">
        <v>51</v>
      </c>
      <c r="M11" s="3" t="s">
        <v>61</v>
      </c>
      <c r="N11" s="3">
        <v>200179</v>
      </c>
      <c r="O11" s="3" t="s">
        <v>298</v>
      </c>
      <c r="P11" s="3"/>
      <c r="Q11" s="3"/>
      <c r="R11" s="3"/>
      <c r="S11" s="3" t="s">
        <v>75</v>
      </c>
      <c r="T11" s="3" t="s">
        <v>76</v>
      </c>
      <c r="U11" s="3">
        <v>1</v>
      </c>
      <c r="V11" s="9">
        <v>909500</v>
      </c>
      <c r="W11" s="3" t="s">
        <v>84</v>
      </c>
      <c r="X11" s="9">
        <v>909500</v>
      </c>
      <c r="Y11" s="3" t="s">
        <v>55</v>
      </c>
      <c r="Z11" s="3" t="s">
        <v>56</v>
      </c>
      <c r="AA11" s="14">
        <f t="shared" si="0"/>
        <v>818550</v>
      </c>
      <c r="AB11" s="14">
        <f t="shared" si="1"/>
        <v>727600</v>
      </c>
      <c r="AC11" s="14">
        <f t="shared" si="2"/>
        <v>636650</v>
      </c>
      <c r="AD11" s="3" t="s">
        <v>80</v>
      </c>
      <c r="AE11" s="3" t="s">
        <v>80</v>
      </c>
      <c r="AF11" s="3" t="s">
        <v>80</v>
      </c>
      <c r="AG11" s="42"/>
      <c r="AH11" s="42">
        <v>0</v>
      </c>
      <c r="AI11" s="42"/>
      <c r="AJ11" s="42"/>
      <c r="AK11" s="42"/>
      <c r="AL11" s="42"/>
      <c r="AM11" s="42">
        <v>909500</v>
      </c>
      <c r="AN11" s="42"/>
      <c r="AO11" s="42"/>
      <c r="AP11" s="42"/>
      <c r="AQ11" s="42"/>
      <c r="AR11" s="42"/>
      <c r="AS11" s="41">
        <v>909500</v>
      </c>
      <c r="AT11" s="3" t="s">
        <v>70</v>
      </c>
      <c r="AU11" s="15"/>
    </row>
    <row r="12" spans="1:47" ht="16.5" customHeight="1" x14ac:dyDescent="0.35">
      <c r="A12" s="3" t="s">
        <v>46</v>
      </c>
      <c r="B12" s="3" t="s">
        <v>46</v>
      </c>
      <c r="C12" s="3" t="s">
        <v>47</v>
      </c>
      <c r="D12" s="3">
        <v>847</v>
      </c>
      <c r="E12" s="3">
        <v>8470810</v>
      </c>
      <c r="F12" s="3" t="s">
        <v>48</v>
      </c>
      <c r="G12" s="3">
        <v>1</v>
      </c>
      <c r="H12" s="276">
        <v>426610</v>
      </c>
      <c r="I12" s="6" t="s">
        <v>74</v>
      </c>
      <c r="J12" s="3" t="s">
        <v>60</v>
      </c>
      <c r="K12" s="3" t="s">
        <v>50</v>
      </c>
      <c r="L12" s="6" t="s">
        <v>51</v>
      </c>
      <c r="M12" s="3" t="s">
        <v>61</v>
      </c>
      <c r="N12" s="3">
        <v>200179</v>
      </c>
      <c r="O12" s="3" t="s">
        <v>298</v>
      </c>
      <c r="P12" s="3"/>
      <c r="Q12" s="3"/>
      <c r="R12" s="3"/>
      <c r="S12" s="3" t="s">
        <v>75</v>
      </c>
      <c r="T12" s="3" t="s">
        <v>76</v>
      </c>
      <c r="U12" s="3">
        <v>1</v>
      </c>
      <c r="V12" s="9">
        <v>479306</v>
      </c>
      <c r="W12" s="3" t="s">
        <v>85</v>
      </c>
      <c r="X12" s="9">
        <v>479306</v>
      </c>
      <c r="Y12" s="3" t="s">
        <v>55</v>
      </c>
      <c r="Z12" s="3" t="s">
        <v>56</v>
      </c>
      <c r="AA12" s="14">
        <f t="shared" si="0"/>
        <v>431375.4</v>
      </c>
      <c r="AB12" s="14">
        <f t="shared" si="1"/>
        <v>383444.80000000005</v>
      </c>
      <c r="AC12" s="14">
        <f t="shared" si="2"/>
        <v>335514.19999999995</v>
      </c>
      <c r="AD12" s="3" t="s">
        <v>83</v>
      </c>
      <c r="AE12" s="3" t="s">
        <v>83</v>
      </c>
      <c r="AF12" s="3" t="s">
        <v>83</v>
      </c>
      <c r="AG12" s="42"/>
      <c r="AH12" s="42">
        <v>0</v>
      </c>
      <c r="AI12" s="42"/>
      <c r="AJ12" s="42"/>
      <c r="AK12" s="42">
        <v>479306</v>
      </c>
      <c r="AL12" s="42"/>
      <c r="AM12" s="42"/>
      <c r="AN12" s="42"/>
      <c r="AO12" s="42"/>
      <c r="AP12" s="42"/>
      <c r="AQ12" s="42"/>
      <c r="AR12" s="42"/>
      <c r="AS12" s="41">
        <v>479306</v>
      </c>
      <c r="AT12" s="3" t="s">
        <v>70</v>
      </c>
      <c r="AU12" s="15"/>
    </row>
    <row r="13" spans="1:47" ht="16.5" customHeight="1" x14ac:dyDescent="0.35">
      <c r="A13" s="3" t="s">
        <v>46</v>
      </c>
      <c r="B13" s="3" t="s">
        <v>46</v>
      </c>
      <c r="C13" s="3" t="s">
        <v>47</v>
      </c>
      <c r="D13" s="3">
        <v>847</v>
      </c>
      <c r="E13" s="3">
        <v>8470810</v>
      </c>
      <c r="F13" s="3" t="s">
        <v>48</v>
      </c>
      <c r="G13" s="3">
        <v>1</v>
      </c>
      <c r="H13" s="276">
        <v>426610</v>
      </c>
      <c r="I13" s="6" t="s">
        <v>74</v>
      </c>
      <c r="J13" s="3" t="s">
        <v>60</v>
      </c>
      <c r="K13" s="3" t="s">
        <v>50</v>
      </c>
      <c r="L13" s="6" t="s">
        <v>51</v>
      </c>
      <c r="M13" s="3" t="s">
        <v>61</v>
      </c>
      <c r="N13" s="3">
        <v>200179</v>
      </c>
      <c r="O13" s="3" t="s">
        <v>298</v>
      </c>
      <c r="P13" s="3"/>
      <c r="Q13" s="3"/>
      <c r="R13" s="3"/>
      <c r="S13" s="3" t="s">
        <v>75</v>
      </c>
      <c r="T13" s="3" t="s">
        <v>76</v>
      </c>
      <c r="U13" s="3">
        <v>1</v>
      </c>
      <c r="V13" s="9">
        <v>400000</v>
      </c>
      <c r="W13" s="3" t="s">
        <v>86</v>
      </c>
      <c r="X13" s="9">
        <v>400000</v>
      </c>
      <c r="Y13" s="3" t="s">
        <v>55</v>
      </c>
      <c r="Z13" s="3" t="s">
        <v>56</v>
      </c>
      <c r="AA13" s="14">
        <f t="shared" si="0"/>
        <v>360000</v>
      </c>
      <c r="AB13" s="14">
        <f t="shared" si="1"/>
        <v>320000</v>
      </c>
      <c r="AC13" s="14">
        <f t="shared" si="2"/>
        <v>280000</v>
      </c>
      <c r="AD13" s="3" t="s">
        <v>87</v>
      </c>
      <c r="AE13" s="3" t="s">
        <v>87</v>
      </c>
      <c r="AF13" s="3" t="s">
        <v>87</v>
      </c>
      <c r="AG13" s="42"/>
      <c r="AH13" s="42">
        <v>0</v>
      </c>
      <c r="AI13" s="42"/>
      <c r="AJ13" s="42"/>
      <c r="AK13" s="42">
        <v>400000</v>
      </c>
      <c r="AL13" s="42"/>
      <c r="AM13" s="42"/>
      <c r="AN13" s="42"/>
      <c r="AO13" s="42"/>
      <c r="AP13" s="42"/>
      <c r="AQ13" s="42"/>
      <c r="AR13" s="42"/>
      <c r="AS13" s="41">
        <v>400000</v>
      </c>
      <c r="AT13" s="3" t="s">
        <v>70</v>
      </c>
      <c r="AU13" s="15"/>
    </row>
    <row r="14" spans="1:47" ht="16.5" customHeight="1" x14ac:dyDescent="0.35">
      <c r="A14" s="3" t="s">
        <v>46</v>
      </c>
      <c r="B14" s="3" t="s">
        <v>46</v>
      </c>
      <c r="C14" s="3" t="s">
        <v>47</v>
      </c>
      <c r="D14" s="3">
        <v>847</v>
      </c>
      <c r="E14" s="3">
        <v>8470810</v>
      </c>
      <c r="F14" s="3" t="s">
        <v>48</v>
      </c>
      <c r="G14" s="3">
        <v>1</v>
      </c>
      <c r="H14" s="276">
        <v>426610</v>
      </c>
      <c r="I14" s="6" t="s">
        <v>74</v>
      </c>
      <c r="J14" s="3" t="s">
        <v>60</v>
      </c>
      <c r="K14" s="3" t="s">
        <v>50</v>
      </c>
      <c r="L14" s="6" t="s">
        <v>51</v>
      </c>
      <c r="M14" s="3" t="s">
        <v>61</v>
      </c>
      <c r="N14" s="3">
        <v>200179</v>
      </c>
      <c r="O14" s="3" t="s">
        <v>298</v>
      </c>
      <c r="P14" s="3"/>
      <c r="Q14" s="3"/>
      <c r="R14" s="3"/>
      <c r="S14" s="3" t="s">
        <v>75</v>
      </c>
      <c r="T14" s="3" t="s">
        <v>76</v>
      </c>
      <c r="U14" s="3">
        <v>1</v>
      </c>
      <c r="V14" s="9">
        <v>126098</v>
      </c>
      <c r="W14" s="3" t="s">
        <v>88</v>
      </c>
      <c r="X14" s="9">
        <v>126098</v>
      </c>
      <c r="Y14" s="3" t="s">
        <v>55</v>
      </c>
      <c r="Z14" s="3" t="s">
        <v>56</v>
      </c>
      <c r="AA14" s="14">
        <f t="shared" si="0"/>
        <v>113488.2</v>
      </c>
      <c r="AB14" s="14">
        <f t="shared" si="1"/>
        <v>100878.40000000001</v>
      </c>
      <c r="AC14" s="14">
        <f t="shared" si="2"/>
        <v>88268.599999999991</v>
      </c>
      <c r="AD14" s="3" t="s">
        <v>89</v>
      </c>
      <c r="AE14" s="3" t="s">
        <v>89</v>
      </c>
      <c r="AF14" s="3" t="s">
        <v>89</v>
      </c>
      <c r="AG14" s="42"/>
      <c r="AH14" s="42">
        <v>0</v>
      </c>
      <c r="AI14" s="42"/>
      <c r="AJ14" s="42"/>
      <c r="AK14" s="42">
        <v>126098</v>
      </c>
      <c r="AL14" s="42"/>
      <c r="AM14" s="42"/>
      <c r="AN14" s="42"/>
      <c r="AO14" s="42"/>
      <c r="AP14" s="42"/>
      <c r="AQ14" s="42"/>
      <c r="AR14" s="42"/>
      <c r="AS14" s="41">
        <v>126098</v>
      </c>
      <c r="AT14" s="3" t="s">
        <v>70</v>
      </c>
      <c r="AU14" s="15"/>
    </row>
    <row r="15" spans="1:47" ht="16.5" customHeight="1" x14ac:dyDescent="0.35">
      <c r="A15" s="3" t="s">
        <v>46</v>
      </c>
      <c r="B15" s="3" t="s">
        <v>46</v>
      </c>
      <c r="C15" s="3" t="s">
        <v>47</v>
      </c>
      <c r="D15" s="3">
        <v>847</v>
      </c>
      <c r="E15" s="3">
        <v>8470810</v>
      </c>
      <c r="F15" s="3" t="s">
        <v>48</v>
      </c>
      <c r="G15" s="3">
        <v>1</v>
      </c>
      <c r="H15" s="276">
        <v>426610</v>
      </c>
      <c r="I15" s="6" t="s">
        <v>74</v>
      </c>
      <c r="J15" s="3" t="s">
        <v>60</v>
      </c>
      <c r="K15" s="3" t="s">
        <v>50</v>
      </c>
      <c r="L15" s="6" t="s">
        <v>51</v>
      </c>
      <c r="M15" s="3" t="s">
        <v>61</v>
      </c>
      <c r="N15" s="3">
        <v>200179</v>
      </c>
      <c r="O15" s="3" t="s">
        <v>298</v>
      </c>
      <c r="P15" s="3"/>
      <c r="Q15" s="3"/>
      <c r="R15" s="3"/>
      <c r="S15" s="3" t="s">
        <v>75</v>
      </c>
      <c r="T15" s="3" t="s">
        <v>76</v>
      </c>
      <c r="U15" s="3">
        <v>1</v>
      </c>
      <c r="V15" s="9">
        <v>327443</v>
      </c>
      <c r="W15" s="3" t="s">
        <v>90</v>
      </c>
      <c r="X15" s="9">
        <v>327443</v>
      </c>
      <c r="Y15" s="3" t="s">
        <v>55</v>
      </c>
      <c r="Z15" s="3" t="s">
        <v>56</v>
      </c>
      <c r="AA15" s="14">
        <f t="shared" si="0"/>
        <v>294698.7</v>
      </c>
      <c r="AB15" s="14">
        <f t="shared" si="1"/>
        <v>261954.40000000002</v>
      </c>
      <c r="AC15" s="14">
        <f t="shared" si="2"/>
        <v>229210.09999999998</v>
      </c>
      <c r="AD15" s="3" t="s">
        <v>91</v>
      </c>
      <c r="AE15" s="3" t="s">
        <v>91</v>
      </c>
      <c r="AF15" s="3" t="s">
        <v>91</v>
      </c>
      <c r="AG15" s="42"/>
      <c r="AH15" s="42">
        <v>0</v>
      </c>
      <c r="AI15" s="42"/>
      <c r="AJ15" s="42"/>
      <c r="AK15" s="42">
        <v>327443</v>
      </c>
      <c r="AL15" s="42"/>
      <c r="AM15" s="42"/>
      <c r="AN15" s="42"/>
      <c r="AO15" s="42"/>
      <c r="AP15" s="42"/>
      <c r="AQ15" s="42"/>
      <c r="AR15" s="42"/>
      <c r="AS15" s="41">
        <v>327443</v>
      </c>
      <c r="AT15" s="3" t="s">
        <v>70</v>
      </c>
      <c r="AU15" s="15"/>
    </row>
    <row r="16" spans="1:47" ht="16.5" customHeight="1" x14ac:dyDescent="0.35">
      <c r="A16" s="3" t="s">
        <v>46</v>
      </c>
      <c r="B16" s="3" t="s">
        <v>46</v>
      </c>
      <c r="C16" s="3" t="s">
        <v>47</v>
      </c>
      <c r="D16" s="3">
        <v>847</v>
      </c>
      <c r="E16" s="3">
        <v>8470810</v>
      </c>
      <c r="F16" s="3" t="s">
        <v>48</v>
      </c>
      <c r="G16" s="3">
        <v>1</v>
      </c>
      <c r="H16" s="276">
        <v>426610</v>
      </c>
      <c r="I16" s="6" t="s">
        <v>74</v>
      </c>
      <c r="J16" s="3" t="s">
        <v>60</v>
      </c>
      <c r="K16" s="3" t="s">
        <v>50</v>
      </c>
      <c r="L16" s="6" t="s">
        <v>51</v>
      </c>
      <c r="M16" s="3" t="s">
        <v>61</v>
      </c>
      <c r="N16" s="3">
        <v>200179</v>
      </c>
      <c r="O16" s="3" t="s">
        <v>298</v>
      </c>
      <c r="P16" s="3"/>
      <c r="Q16" s="3"/>
      <c r="R16" s="3"/>
      <c r="S16" s="3" t="s">
        <v>75</v>
      </c>
      <c r="T16" s="3" t="s">
        <v>76</v>
      </c>
      <c r="U16" s="3">
        <v>1</v>
      </c>
      <c r="V16" s="9">
        <v>240623</v>
      </c>
      <c r="W16" s="3" t="s">
        <v>92</v>
      </c>
      <c r="X16" s="9">
        <v>240623</v>
      </c>
      <c r="Y16" s="3" t="s">
        <v>55</v>
      </c>
      <c r="Z16" s="3" t="s">
        <v>56</v>
      </c>
      <c r="AA16" s="14">
        <f t="shared" si="0"/>
        <v>216560.7</v>
      </c>
      <c r="AB16" s="14">
        <f t="shared" si="1"/>
        <v>192498.40000000002</v>
      </c>
      <c r="AC16" s="14">
        <f t="shared" si="2"/>
        <v>168436.09999999998</v>
      </c>
      <c r="AD16" s="3" t="s">
        <v>93</v>
      </c>
      <c r="AE16" s="3" t="s">
        <v>93</v>
      </c>
      <c r="AF16" s="3" t="s">
        <v>93</v>
      </c>
      <c r="AG16" s="42"/>
      <c r="AH16" s="42">
        <v>0</v>
      </c>
      <c r="AI16" s="42"/>
      <c r="AJ16" s="42"/>
      <c r="AK16" s="42">
        <v>240623</v>
      </c>
      <c r="AL16" s="42"/>
      <c r="AM16" s="42"/>
      <c r="AN16" s="42"/>
      <c r="AO16" s="42"/>
      <c r="AP16" s="42"/>
      <c r="AQ16" s="42"/>
      <c r="AR16" s="42"/>
      <c r="AS16" s="41">
        <v>240623</v>
      </c>
      <c r="AT16" s="3" t="s">
        <v>70</v>
      </c>
      <c r="AU16" s="15"/>
    </row>
    <row r="17" spans="1:47" ht="16.5" customHeight="1" x14ac:dyDescent="0.35">
      <c r="A17" s="3" t="s">
        <v>46</v>
      </c>
      <c r="B17" s="3" t="s">
        <v>46</v>
      </c>
      <c r="C17" s="3" t="s">
        <v>47</v>
      </c>
      <c r="D17" s="3">
        <v>847</v>
      </c>
      <c r="E17" s="3">
        <v>8470810</v>
      </c>
      <c r="F17" s="3" t="s">
        <v>48</v>
      </c>
      <c r="G17" s="3">
        <v>1</v>
      </c>
      <c r="H17" s="276">
        <v>426610</v>
      </c>
      <c r="I17" s="6" t="s">
        <v>74</v>
      </c>
      <c r="J17" s="3" t="s">
        <v>60</v>
      </c>
      <c r="K17" s="3" t="s">
        <v>50</v>
      </c>
      <c r="L17" s="6" t="s">
        <v>51</v>
      </c>
      <c r="M17" s="3" t="s">
        <v>61</v>
      </c>
      <c r="N17" s="3">
        <v>200179</v>
      </c>
      <c r="O17" s="3" t="s">
        <v>298</v>
      </c>
      <c r="P17" s="3"/>
      <c r="Q17" s="3"/>
      <c r="R17" s="3"/>
      <c r="S17" s="3" t="s">
        <v>75</v>
      </c>
      <c r="T17" s="3" t="s">
        <v>76</v>
      </c>
      <c r="U17" s="3">
        <v>1</v>
      </c>
      <c r="V17" s="9">
        <v>184964</v>
      </c>
      <c r="W17" s="3" t="s">
        <v>94</v>
      </c>
      <c r="X17" s="9">
        <v>184964</v>
      </c>
      <c r="Y17" s="3" t="s">
        <v>55</v>
      </c>
      <c r="Z17" s="3" t="s">
        <v>56</v>
      </c>
      <c r="AA17" s="14">
        <f t="shared" si="0"/>
        <v>166467.6</v>
      </c>
      <c r="AB17" s="14">
        <f t="shared" si="1"/>
        <v>147971.20000000001</v>
      </c>
      <c r="AC17" s="14">
        <f t="shared" si="2"/>
        <v>129474.79999999999</v>
      </c>
      <c r="AD17" s="3" t="s">
        <v>95</v>
      </c>
      <c r="AE17" s="3" t="s">
        <v>95</v>
      </c>
      <c r="AF17" s="3" t="s">
        <v>95</v>
      </c>
      <c r="AG17" s="42"/>
      <c r="AH17" s="42">
        <v>0</v>
      </c>
      <c r="AI17" s="42"/>
      <c r="AJ17" s="42"/>
      <c r="AK17" s="42">
        <v>184964</v>
      </c>
      <c r="AL17" s="42"/>
      <c r="AM17" s="42"/>
      <c r="AN17" s="42"/>
      <c r="AO17" s="42"/>
      <c r="AP17" s="42"/>
      <c r="AQ17" s="42"/>
      <c r="AR17" s="42"/>
      <c r="AS17" s="41">
        <v>184964</v>
      </c>
      <c r="AT17" s="3" t="s">
        <v>70</v>
      </c>
      <c r="AU17" s="15"/>
    </row>
    <row r="18" spans="1:47" ht="16.5" customHeight="1" x14ac:dyDescent="0.35">
      <c r="A18" s="3" t="s">
        <v>46</v>
      </c>
      <c r="B18" s="3" t="s">
        <v>46</v>
      </c>
      <c r="C18" s="3" t="s">
        <v>47</v>
      </c>
      <c r="D18" s="3">
        <v>847</v>
      </c>
      <c r="E18" s="3">
        <v>8470810</v>
      </c>
      <c r="F18" s="3" t="s">
        <v>48</v>
      </c>
      <c r="G18" s="3">
        <v>1</v>
      </c>
      <c r="H18" s="276">
        <v>426610</v>
      </c>
      <c r="I18" s="6" t="s">
        <v>74</v>
      </c>
      <c r="J18" s="3" t="s">
        <v>60</v>
      </c>
      <c r="K18" s="3" t="s">
        <v>50</v>
      </c>
      <c r="L18" s="6" t="s">
        <v>51</v>
      </c>
      <c r="M18" s="3" t="s">
        <v>61</v>
      </c>
      <c r="N18" s="3">
        <v>200179</v>
      </c>
      <c r="O18" s="3" t="s">
        <v>298</v>
      </c>
      <c r="P18" s="3"/>
      <c r="Q18" s="3"/>
      <c r="R18" s="3"/>
      <c r="S18" s="3" t="s">
        <v>75</v>
      </c>
      <c r="T18" s="3" t="s">
        <v>76</v>
      </c>
      <c r="U18" s="3">
        <v>1</v>
      </c>
      <c r="V18" s="9">
        <v>231000</v>
      </c>
      <c r="W18" s="3" t="s">
        <v>96</v>
      </c>
      <c r="X18" s="9">
        <v>231000</v>
      </c>
      <c r="Y18" s="3" t="s">
        <v>55</v>
      </c>
      <c r="Z18" s="3" t="s">
        <v>56</v>
      </c>
      <c r="AA18" s="14">
        <f t="shared" si="0"/>
        <v>207900</v>
      </c>
      <c r="AB18" s="14">
        <f t="shared" si="1"/>
        <v>184800</v>
      </c>
      <c r="AC18" s="14">
        <f t="shared" si="2"/>
        <v>161700</v>
      </c>
      <c r="AD18" s="3" t="s">
        <v>97</v>
      </c>
      <c r="AE18" s="3" t="s">
        <v>97</v>
      </c>
      <c r="AF18" s="3" t="s">
        <v>97</v>
      </c>
      <c r="AG18" s="42"/>
      <c r="AH18" s="42">
        <v>0</v>
      </c>
      <c r="AI18" s="42"/>
      <c r="AJ18" s="42"/>
      <c r="AK18" s="42">
        <v>231000</v>
      </c>
      <c r="AL18" s="42"/>
      <c r="AM18" s="42"/>
      <c r="AN18" s="42"/>
      <c r="AO18" s="42"/>
      <c r="AP18" s="42"/>
      <c r="AQ18" s="42"/>
      <c r="AR18" s="42"/>
      <c r="AS18" s="41">
        <v>231000</v>
      </c>
      <c r="AT18" s="3" t="s">
        <v>70</v>
      </c>
      <c r="AU18" s="15"/>
    </row>
    <row r="19" spans="1:47" ht="16.5" customHeight="1" x14ac:dyDescent="0.35">
      <c r="A19" s="3" t="s">
        <v>46</v>
      </c>
      <c r="B19" s="3" t="s">
        <v>46</v>
      </c>
      <c r="C19" s="3" t="s">
        <v>47</v>
      </c>
      <c r="D19" s="3">
        <v>847</v>
      </c>
      <c r="E19" s="3">
        <v>8470810</v>
      </c>
      <c r="F19" s="3" t="s">
        <v>48</v>
      </c>
      <c r="G19" s="3">
        <v>1</v>
      </c>
      <c r="H19" s="276">
        <v>426610</v>
      </c>
      <c r="I19" s="6" t="s">
        <v>74</v>
      </c>
      <c r="J19" s="3" t="s">
        <v>60</v>
      </c>
      <c r="K19" s="3" t="s">
        <v>50</v>
      </c>
      <c r="L19" s="6" t="s">
        <v>51</v>
      </c>
      <c r="M19" s="3" t="s">
        <v>61</v>
      </c>
      <c r="N19" s="3">
        <v>200179</v>
      </c>
      <c r="O19" s="3" t="s">
        <v>298</v>
      </c>
      <c r="P19" s="3"/>
      <c r="Q19" s="3"/>
      <c r="R19" s="3"/>
      <c r="S19" s="3" t="s">
        <v>75</v>
      </c>
      <c r="T19" s="3" t="s">
        <v>76</v>
      </c>
      <c r="U19" s="3">
        <v>1</v>
      </c>
      <c r="V19" s="9">
        <v>182648</v>
      </c>
      <c r="W19" s="3" t="s">
        <v>98</v>
      </c>
      <c r="X19" s="9">
        <v>182648</v>
      </c>
      <c r="Y19" s="3" t="s">
        <v>55</v>
      </c>
      <c r="Z19" s="3" t="s">
        <v>56</v>
      </c>
      <c r="AA19" s="14">
        <f t="shared" si="0"/>
        <v>164383.20000000001</v>
      </c>
      <c r="AB19" s="14">
        <f t="shared" si="1"/>
        <v>146118.39999999999</v>
      </c>
      <c r="AC19" s="14">
        <f t="shared" si="2"/>
        <v>127853.59999999999</v>
      </c>
      <c r="AD19" s="3" t="s">
        <v>99</v>
      </c>
      <c r="AE19" s="3" t="s">
        <v>99</v>
      </c>
      <c r="AF19" s="3" t="s">
        <v>99</v>
      </c>
      <c r="AG19" s="42"/>
      <c r="AH19" s="42">
        <v>0</v>
      </c>
      <c r="AI19" s="42"/>
      <c r="AJ19" s="42"/>
      <c r="AK19" s="42">
        <v>182648</v>
      </c>
      <c r="AL19" s="42"/>
      <c r="AM19" s="42"/>
      <c r="AN19" s="42"/>
      <c r="AO19" s="42"/>
      <c r="AP19" s="42"/>
      <c r="AQ19" s="42"/>
      <c r="AR19" s="42"/>
      <c r="AS19" s="41">
        <v>182648</v>
      </c>
      <c r="AT19" s="3" t="s">
        <v>70</v>
      </c>
      <c r="AU19" s="15"/>
    </row>
    <row r="20" spans="1:47" ht="16.5" customHeight="1" x14ac:dyDescent="0.35">
      <c r="A20" s="3" t="s">
        <v>46</v>
      </c>
      <c r="B20" s="3" t="s">
        <v>46</v>
      </c>
      <c r="C20" s="3" t="s">
        <v>47</v>
      </c>
      <c r="D20" s="3">
        <v>847</v>
      </c>
      <c r="E20" s="3">
        <v>8470810</v>
      </c>
      <c r="F20" s="3" t="s">
        <v>48</v>
      </c>
      <c r="G20" s="3">
        <v>1</v>
      </c>
      <c r="H20" s="276">
        <v>426610</v>
      </c>
      <c r="I20" s="6" t="s">
        <v>74</v>
      </c>
      <c r="J20" s="3" t="s">
        <v>60</v>
      </c>
      <c r="K20" s="3" t="s">
        <v>50</v>
      </c>
      <c r="L20" s="6" t="s">
        <v>51</v>
      </c>
      <c r="M20" s="3" t="s">
        <v>61</v>
      </c>
      <c r="N20" s="3">
        <v>200179</v>
      </c>
      <c r="O20" s="3" t="s">
        <v>298</v>
      </c>
      <c r="P20" s="3"/>
      <c r="Q20" s="3"/>
      <c r="R20" s="3"/>
      <c r="S20" s="3" t="s">
        <v>75</v>
      </c>
      <c r="T20" s="3" t="s">
        <v>76</v>
      </c>
      <c r="U20" s="3">
        <v>1</v>
      </c>
      <c r="V20" s="9">
        <v>165600</v>
      </c>
      <c r="W20" s="3" t="s">
        <v>100</v>
      </c>
      <c r="X20" s="9">
        <v>165600</v>
      </c>
      <c r="Y20" s="3" t="s">
        <v>55</v>
      </c>
      <c r="Z20" s="3" t="s">
        <v>56</v>
      </c>
      <c r="AA20" s="14">
        <f t="shared" si="0"/>
        <v>149040</v>
      </c>
      <c r="AB20" s="14">
        <f t="shared" si="1"/>
        <v>132480</v>
      </c>
      <c r="AC20" s="14">
        <f t="shared" si="2"/>
        <v>115919.99999999999</v>
      </c>
      <c r="AD20" s="3" t="s">
        <v>101</v>
      </c>
      <c r="AE20" s="3" t="s">
        <v>101</v>
      </c>
      <c r="AF20" s="3" t="s">
        <v>101</v>
      </c>
      <c r="AG20" s="42"/>
      <c r="AH20" s="42">
        <v>0</v>
      </c>
      <c r="AI20" s="42"/>
      <c r="AJ20" s="42"/>
      <c r="AK20" s="42">
        <v>165600</v>
      </c>
      <c r="AL20" s="42"/>
      <c r="AM20" s="42"/>
      <c r="AN20" s="42"/>
      <c r="AO20" s="42"/>
      <c r="AP20" s="42"/>
      <c r="AQ20" s="42"/>
      <c r="AR20" s="42"/>
      <c r="AS20" s="41">
        <v>165600</v>
      </c>
      <c r="AT20" s="3" t="s">
        <v>70</v>
      </c>
      <c r="AU20" s="15"/>
    </row>
    <row r="21" spans="1:47" ht="16.5" customHeight="1" x14ac:dyDescent="0.35">
      <c r="A21" s="3" t="s">
        <v>46</v>
      </c>
      <c r="B21" s="3" t="s">
        <v>46</v>
      </c>
      <c r="C21" s="3" t="s">
        <v>47</v>
      </c>
      <c r="D21" s="3">
        <v>847</v>
      </c>
      <c r="E21" s="3">
        <v>8470810</v>
      </c>
      <c r="F21" s="3" t="s">
        <v>48</v>
      </c>
      <c r="G21" s="3">
        <v>1</v>
      </c>
      <c r="H21" s="276">
        <v>426610</v>
      </c>
      <c r="I21" s="6" t="s">
        <v>74</v>
      </c>
      <c r="J21" s="3" t="s">
        <v>60</v>
      </c>
      <c r="K21" s="3" t="s">
        <v>50</v>
      </c>
      <c r="L21" s="6" t="s">
        <v>51</v>
      </c>
      <c r="M21" s="3" t="s">
        <v>61</v>
      </c>
      <c r="N21" s="3">
        <v>200179</v>
      </c>
      <c r="O21" s="3" t="s">
        <v>298</v>
      </c>
      <c r="P21" s="3"/>
      <c r="Q21" s="3"/>
      <c r="R21" s="3"/>
      <c r="S21" s="3" t="s">
        <v>75</v>
      </c>
      <c r="T21" s="3" t="s">
        <v>76</v>
      </c>
      <c r="U21" s="3">
        <v>1</v>
      </c>
      <c r="V21" s="9">
        <v>174360</v>
      </c>
      <c r="W21" s="3" t="s">
        <v>102</v>
      </c>
      <c r="X21" s="9">
        <v>174360</v>
      </c>
      <c r="Y21" s="3" t="s">
        <v>55</v>
      </c>
      <c r="Z21" s="3" t="s">
        <v>56</v>
      </c>
      <c r="AA21" s="14">
        <f t="shared" si="0"/>
        <v>156924</v>
      </c>
      <c r="AB21" s="14">
        <f t="shared" si="1"/>
        <v>139488</v>
      </c>
      <c r="AC21" s="14">
        <f t="shared" si="2"/>
        <v>122051.99999999999</v>
      </c>
      <c r="AD21" s="3" t="s">
        <v>57</v>
      </c>
      <c r="AE21" s="3" t="s">
        <v>57</v>
      </c>
      <c r="AF21" s="3" t="s">
        <v>57</v>
      </c>
      <c r="AG21" s="42"/>
      <c r="AH21" s="42">
        <v>0</v>
      </c>
      <c r="AI21" s="42"/>
      <c r="AJ21" s="42"/>
      <c r="AK21" s="42">
        <v>174360</v>
      </c>
      <c r="AL21" s="42"/>
      <c r="AM21" s="42"/>
      <c r="AN21" s="42"/>
      <c r="AO21" s="42"/>
      <c r="AP21" s="42"/>
      <c r="AQ21" s="42"/>
      <c r="AR21" s="42"/>
      <c r="AS21" s="41">
        <v>174360</v>
      </c>
      <c r="AT21" s="3" t="s">
        <v>70</v>
      </c>
      <c r="AU21" s="15"/>
    </row>
    <row r="22" spans="1:47" ht="16.5" customHeight="1" x14ac:dyDescent="0.35">
      <c r="A22" s="3" t="s">
        <v>46</v>
      </c>
      <c r="B22" s="3" t="s">
        <v>46</v>
      </c>
      <c r="C22" s="3" t="s">
        <v>47</v>
      </c>
      <c r="D22" s="3">
        <v>847</v>
      </c>
      <c r="E22" s="3">
        <v>8470810</v>
      </c>
      <c r="F22" s="3" t="s">
        <v>48</v>
      </c>
      <c r="G22" s="3">
        <v>1</v>
      </c>
      <c r="H22" s="276">
        <v>426610</v>
      </c>
      <c r="I22" s="6" t="s">
        <v>74</v>
      </c>
      <c r="J22" s="3" t="s">
        <v>60</v>
      </c>
      <c r="K22" s="3" t="s">
        <v>50</v>
      </c>
      <c r="L22" s="6" t="s">
        <v>51</v>
      </c>
      <c r="M22" s="3" t="s">
        <v>61</v>
      </c>
      <c r="N22" s="3">
        <v>200179</v>
      </c>
      <c r="O22" s="3" t="s">
        <v>298</v>
      </c>
      <c r="P22" s="3"/>
      <c r="Q22" s="3"/>
      <c r="R22" s="3"/>
      <c r="S22" s="3" t="s">
        <v>75</v>
      </c>
      <c r="T22" s="3" t="s">
        <v>76</v>
      </c>
      <c r="U22" s="3">
        <v>1</v>
      </c>
      <c r="V22" s="9">
        <v>107347</v>
      </c>
      <c r="W22" s="3" t="s">
        <v>103</v>
      </c>
      <c r="X22" s="9">
        <v>107347</v>
      </c>
      <c r="Y22" s="3" t="s">
        <v>55</v>
      </c>
      <c r="Z22" s="3" t="s">
        <v>56</v>
      </c>
      <c r="AA22" s="14">
        <f t="shared" si="0"/>
        <v>96612.3</v>
      </c>
      <c r="AB22" s="14">
        <f t="shared" si="1"/>
        <v>85877.6</v>
      </c>
      <c r="AC22" s="14">
        <f t="shared" si="2"/>
        <v>75142.899999999994</v>
      </c>
      <c r="AD22" s="3" t="s">
        <v>104</v>
      </c>
      <c r="AE22" s="3" t="s">
        <v>104</v>
      </c>
      <c r="AF22" s="3" t="s">
        <v>104</v>
      </c>
      <c r="AG22" s="42"/>
      <c r="AH22" s="42">
        <v>0</v>
      </c>
      <c r="AI22" s="42"/>
      <c r="AJ22" s="42"/>
      <c r="AK22" s="42">
        <v>107347</v>
      </c>
      <c r="AL22" s="42"/>
      <c r="AM22" s="42"/>
      <c r="AN22" s="42"/>
      <c r="AO22" s="42"/>
      <c r="AP22" s="42"/>
      <c r="AQ22" s="42"/>
      <c r="AR22" s="42"/>
      <c r="AS22" s="41">
        <v>107347</v>
      </c>
      <c r="AT22" s="3" t="s">
        <v>70</v>
      </c>
      <c r="AU22" s="15"/>
    </row>
    <row r="23" spans="1:47" ht="16.5" customHeight="1" x14ac:dyDescent="0.35">
      <c r="A23" s="3" t="s">
        <v>46</v>
      </c>
      <c r="B23" s="3" t="s">
        <v>46</v>
      </c>
      <c r="C23" s="3" t="s">
        <v>47</v>
      </c>
      <c r="D23" s="3">
        <v>847</v>
      </c>
      <c r="E23" s="3">
        <v>8470810</v>
      </c>
      <c r="F23" s="3" t="s">
        <v>48</v>
      </c>
      <c r="G23" s="3">
        <v>1</v>
      </c>
      <c r="H23" s="276">
        <v>426610</v>
      </c>
      <c r="I23" s="6" t="s">
        <v>74</v>
      </c>
      <c r="J23" s="3" t="s">
        <v>60</v>
      </c>
      <c r="K23" s="3" t="s">
        <v>50</v>
      </c>
      <c r="L23" s="6" t="s">
        <v>51</v>
      </c>
      <c r="M23" s="3" t="s">
        <v>61</v>
      </c>
      <c r="N23" s="3">
        <v>200179</v>
      </c>
      <c r="O23" s="3" t="s">
        <v>298</v>
      </c>
      <c r="P23" s="3"/>
      <c r="Q23" s="3"/>
      <c r="R23" s="3"/>
      <c r="S23" s="3" t="s">
        <v>75</v>
      </c>
      <c r="T23" s="3" t="s">
        <v>76</v>
      </c>
      <c r="U23" s="3">
        <v>1</v>
      </c>
      <c r="V23" s="9">
        <v>45000</v>
      </c>
      <c r="W23" s="3" t="s">
        <v>105</v>
      </c>
      <c r="X23" s="9">
        <v>45000</v>
      </c>
      <c r="Y23" s="3" t="s">
        <v>55</v>
      </c>
      <c r="Z23" s="3" t="s">
        <v>56</v>
      </c>
      <c r="AA23" s="14">
        <f t="shared" si="0"/>
        <v>40500</v>
      </c>
      <c r="AB23" s="14">
        <f t="shared" si="1"/>
        <v>36000</v>
      </c>
      <c r="AC23" s="14">
        <f t="shared" si="2"/>
        <v>31499.999999999996</v>
      </c>
      <c r="AD23" s="3" t="s">
        <v>106</v>
      </c>
      <c r="AE23" s="3" t="s">
        <v>106</v>
      </c>
      <c r="AF23" s="3" t="s">
        <v>106</v>
      </c>
      <c r="AG23" s="42"/>
      <c r="AH23" s="42">
        <v>0</v>
      </c>
      <c r="AI23" s="42"/>
      <c r="AJ23" s="42"/>
      <c r="AK23" s="42">
        <v>45000</v>
      </c>
      <c r="AL23" s="42"/>
      <c r="AM23" s="42"/>
      <c r="AN23" s="42"/>
      <c r="AO23" s="42"/>
      <c r="AP23" s="42"/>
      <c r="AQ23" s="42"/>
      <c r="AR23" s="42"/>
      <c r="AS23" s="41">
        <v>45000</v>
      </c>
      <c r="AT23" s="3" t="s">
        <v>70</v>
      </c>
      <c r="AU23" s="15"/>
    </row>
    <row r="24" spans="1:47" ht="16.5" customHeight="1" x14ac:dyDescent="0.35">
      <c r="A24" s="3" t="s">
        <v>46</v>
      </c>
      <c r="B24" s="3" t="s">
        <v>46</v>
      </c>
      <c r="C24" s="3" t="s">
        <v>47</v>
      </c>
      <c r="D24" s="3">
        <v>847</v>
      </c>
      <c r="E24" s="3">
        <v>8470810</v>
      </c>
      <c r="F24" s="3" t="s">
        <v>48</v>
      </c>
      <c r="G24" s="3">
        <v>1</v>
      </c>
      <c r="H24" s="276">
        <v>426610</v>
      </c>
      <c r="I24" s="6" t="s">
        <v>74</v>
      </c>
      <c r="J24" s="3" t="s">
        <v>60</v>
      </c>
      <c r="K24" s="3" t="s">
        <v>50</v>
      </c>
      <c r="L24" s="6" t="s">
        <v>51</v>
      </c>
      <c r="M24" s="3" t="s">
        <v>61</v>
      </c>
      <c r="N24" s="3">
        <v>200179</v>
      </c>
      <c r="O24" s="3" t="s">
        <v>298</v>
      </c>
      <c r="P24" s="3"/>
      <c r="Q24" s="3"/>
      <c r="R24" s="3"/>
      <c r="S24" s="3" t="s">
        <v>75</v>
      </c>
      <c r="T24" s="3" t="s">
        <v>76</v>
      </c>
      <c r="U24" s="3">
        <v>1</v>
      </c>
      <c r="V24" s="9">
        <v>89908</v>
      </c>
      <c r="W24" s="3" t="s">
        <v>107</v>
      </c>
      <c r="X24" s="9">
        <v>89908</v>
      </c>
      <c r="Y24" s="3" t="s">
        <v>55</v>
      </c>
      <c r="Z24" s="3" t="s">
        <v>56</v>
      </c>
      <c r="AA24" s="14">
        <f t="shared" si="0"/>
        <v>80917.2</v>
      </c>
      <c r="AB24" s="14">
        <f t="shared" si="1"/>
        <v>71926.400000000009</v>
      </c>
      <c r="AC24" s="14">
        <f t="shared" si="2"/>
        <v>62935.6</v>
      </c>
      <c r="AD24" s="3" t="s">
        <v>108</v>
      </c>
      <c r="AE24" s="3" t="s">
        <v>108</v>
      </c>
      <c r="AF24" s="3" t="s">
        <v>108</v>
      </c>
      <c r="AG24" s="42"/>
      <c r="AH24" s="42">
        <v>0</v>
      </c>
      <c r="AI24" s="42"/>
      <c r="AJ24" s="42"/>
      <c r="AK24" s="42">
        <v>89908</v>
      </c>
      <c r="AL24" s="42"/>
      <c r="AM24" s="42"/>
      <c r="AN24" s="42"/>
      <c r="AO24" s="42"/>
      <c r="AP24" s="42"/>
      <c r="AQ24" s="42"/>
      <c r="AR24" s="42"/>
      <c r="AS24" s="41">
        <v>89908</v>
      </c>
      <c r="AT24" s="3" t="s">
        <v>70</v>
      </c>
      <c r="AU24" s="15"/>
    </row>
    <row r="25" spans="1:47" ht="16.5" customHeight="1" x14ac:dyDescent="0.35">
      <c r="A25" s="3" t="s">
        <v>46</v>
      </c>
      <c r="B25" s="3" t="s">
        <v>46</v>
      </c>
      <c r="C25" s="3" t="s">
        <v>47</v>
      </c>
      <c r="D25" s="3">
        <v>847</v>
      </c>
      <c r="E25" s="3">
        <v>8470810</v>
      </c>
      <c r="F25" s="3" t="s">
        <v>48</v>
      </c>
      <c r="G25" s="3">
        <v>1</v>
      </c>
      <c r="H25" s="276">
        <v>426610</v>
      </c>
      <c r="I25" s="6" t="s">
        <v>74</v>
      </c>
      <c r="J25" s="3" t="s">
        <v>60</v>
      </c>
      <c r="K25" s="3" t="s">
        <v>50</v>
      </c>
      <c r="L25" s="6" t="s">
        <v>51</v>
      </c>
      <c r="M25" s="3" t="s">
        <v>61</v>
      </c>
      <c r="N25" s="3">
        <v>200179</v>
      </c>
      <c r="O25" s="3" t="s">
        <v>298</v>
      </c>
      <c r="P25" s="3"/>
      <c r="Q25" s="3"/>
      <c r="R25" s="3"/>
      <c r="S25" s="3" t="s">
        <v>75</v>
      </c>
      <c r="T25" s="3" t="s">
        <v>76</v>
      </c>
      <c r="U25" s="3">
        <v>1</v>
      </c>
      <c r="V25" s="9">
        <v>158706</v>
      </c>
      <c r="W25" s="3" t="s">
        <v>109</v>
      </c>
      <c r="X25" s="9">
        <v>158706</v>
      </c>
      <c r="Y25" s="3" t="s">
        <v>55</v>
      </c>
      <c r="Z25" s="3" t="s">
        <v>56</v>
      </c>
      <c r="AA25" s="14">
        <f t="shared" si="0"/>
        <v>142835.4</v>
      </c>
      <c r="AB25" s="14">
        <f t="shared" si="1"/>
        <v>126964.8</v>
      </c>
      <c r="AC25" s="14">
        <f t="shared" si="2"/>
        <v>111094.2</v>
      </c>
      <c r="AD25" s="3" t="s">
        <v>106</v>
      </c>
      <c r="AE25" s="3" t="s">
        <v>106</v>
      </c>
      <c r="AF25" s="3" t="s">
        <v>106</v>
      </c>
      <c r="AG25" s="42"/>
      <c r="AH25" s="42">
        <v>0</v>
      </c>
      <c r="AI25" s="42"/>
      <c r="AJ25" s="42"/>
      <c r="AK25" s="42">
        <v>158706</v>
      </c>
      <c r="AL25" s="42"/>
      <c r="AM25" s="42"/>
      <c r="AN25" s="42"/>
      <c r="AO25" s="42"/>
      <c r="AP25" s="42"/>
      <c r="AQ25" s="42"/>
      <c r="AR25" s="42"/>
      <c r="AS25" s="41">
        <v>158706</v>
      </c>
      <c r="AT25" s="3" t="s">
        <v>70</v>
      </c>
      <c r="AU25" s="15"/>
    </row>
    <row r="26" spans="1:47" ht="16.5" customHeight="1" x14ac:dyDescent="0.35">
      <c r="A26" s="3" t="s">
        <v>46</v>
      </c>
      <c r="B26" s="3" t="s">
        <v>46</v>
      </c>
      <c r="C26" s="3" t="s">
        <v>47</v>
      </c>
      <c r="D26" s="3">
        <v>847</v>
      </c>
      <c r="E26" s="3">
        <v>8470810</v>
      </c>
      <c r="F26" s="3" t="s">
        <v>48</v>
      </c>
      <c r="G26" s="3">
        <v>1</v>
      </c>
      <c r="H26" s="276">
        <v>426610</v>
      </c>
      <c r="I26" s="6" t="s">
        <v>74</v>
      </c>
      <c r="J26" s="3" t="s">
        <v>60</v>
      </c>
      <c r="K26" s="3" t="s">
        <v>50</v>
      </c>
      <c r="L26" s="6" t="s">
        <v>51</v>
      </c>
      <c r="M26" s="3" t="s">
        <v>61</v>
      </c>
      <c r="N26" s="3">
        <v>200179</v>
      </c>
      <c r="O26" s="3" t="s">
        <v>298</v>
      </c>
      <c r="P26" s="3"/>
      <c r="Q26" s="3"/>
      <c r="R26" s="3"/>
      <c r="S26" s="3" t="s">
        <v>75</v>
      </c>
      <c r="T26" s="3" t="s">
        <v>76</v>
      </c>
      <c r="U26" s="3">
        <v>1</v>
      </c>
      <c r="V26" s="9">
        <v>73813</v>
      </c>
      <c r="W26" s="3" t="s">
        <v>110</v>
      </c>
      <c r="X26" s="9">
        <v>73813</v>
      </c>
      <c r="Y26" s="3" t="s">
        <v>55</v>
      </c>
      <c r="Z26" s="3" t="s">
        <v>56</v>
      </c>
      <c r="AA26" s="14">
        <f t="shared" si="0"/>
        <v>66431.7</v>
      </c>
      <c r="AB26" s="14">
        <f t="shared" si="1"/>
        <v>59050.400000000001</v>
      </c>
      <c r="AC26" s="14">
        <f t="shared" si="2"/>
        <v>51669.1</v>
      </c>
      <c r="AD26" s="3" t="s">
        <v>106</v>
      </c>
      <c r="AE26" s="3" t="s">
        <v>106</v>
      </c>
      <c r="AF26" s="3" t="s">
        <v>106</v>
      </c>
      <c r="AG26" s="42"/>
      <c r="AH26" s="42">
        <v>0</v>
      </c>
      <c r="AI26" s="42"/>
      <c r="AJ26" s="42"/>
      <c r="AK26" s="42">
        <v>73813</v>
      </c>
      <c r="AL26" s="42"/>
      <c r="AM26" s="42"/>
      <c r="AN26" s="42"/>
      <c r="AO26" s="42"/>
      <c r="AP26" s="42"/>
      <c r="AQ26" s="42"/>
      <c r="AR26" s="42"/>
      <c r="AS26" s="41">
        <v>73813</v>
      </c>
      <c r="AT26" s="3" t="s">
        <v>70</v>
      </c>
      <c r="AU26" s="15"/>
    </row>
    <row r="27" spans="1:47" ht="16.5" customHeight="1" x14ac:dyDescent="0.35">
      <c r="A27" s="3" t="s">
        <v>46</v>
      </c>
      <c r="B27" s="3" t="s">
        <v>46</v>
      </c>
      <c r="C27" s="3" t="s">
        <v>47</v>
      </c>
      <c r="D27" s="3">
        <v>847</v>
      </c>
      <c r="E27" s="3">
        <v>8470810</v>
      </c>
      <c r="F27" s="3" t="s">
        <v>48</v>
      </c>
      <c r="G27" s="3">
        <v>1</v>
      </c>
      <c r="H27" s="276">
        <v>426610</v>
      </c>
      <c r="I27" s="6" t="s">
        <v>74</v>
      </c>
      <c r="J27" s="3" t="s">
        <v>60</v>
      </c>
      <c r="K27" s="3" t="s">
        <v>50</v>
      </c>
      <c r="L27" s="6" t="s">
        <v>51</v>
      </c>
      <c r="M27" s="3" t="s">
        <v>61</v>
      </c>
      <c r="N27" s="3">
        <v>200179</v>
      </c>
      <c r="O27" s="3" t="s">
        <v>298</v>
      </c>
      <c r="P27" s="3"/>
      <c r="Q27" s="3"/>
      <c r="R27" s="3"/>
      <c r="S27" s="3" t="s">
        <v>75</v>
      </c>
      <c r="T27" s="3" t="s">
        <v>76</v>
      </c>
      <c r="U27" s="3">
        <v>1</v>
      </c>
      <c r="V27" s="9">
        <v>72871</v>
      </c>
      <c r="W27" s="3" t="s">
        <v>111</v>
      </c>
      <c r="X27" s="9">
        <v>72871</v>
      </c>
      <c r="Y27" s="3" t="s">
        <v>55</v>
      </c>
      <c r="Z27" s="3" t="s">
        <v>56</v>
      </c>
      <c r="AA27" s="14">
        <f t="shared" si="0"/>
        <v>65583.900000000009</v>
      </c>
      <c r="AB27" s="14">
        <f t="shared" si="1"/>
        <v>58296.800000000003</v>
      </c>
      <c r="AC27" s="14">
        <f t="shared" si="2"/>
        <v>51009.7</v>
      </c>
      <c r="AD27" s="3" t="s">
        <v>112</v>
      </c>
      <c r="AE27" s="3" t="s">
        <v>112</v>
      </c>
      <c r="AF27" s="3" t="s">
        <v>112</v>
      </c>
      <c r="AG27" s="42"/>
      <c r="AH27" s="42">
        <v>0</v>
      </c>
      <c r="AI27" s="42"/>
      <c r="AJ27" s="42"/>
      <c r="AK27" s="42">
        <v>72871</v>
      </c>
      <c r="AL27" s="42"/>
      <c r="AM27" s="42"/>
      <c r="AN27" s="42"/>
      <c r="AO27" s="42"/>
      <c r="AP27" s="42"/>
      <c r="AQ27" s="42"/>
      <c r="AR27" s="42"/>
      <c r="AS27" s="41">
        <v>72871</v>
      </c>
      <c r="AT27" s="3" t="s">
        <v>70</v>
      </c>
      <c r="AU27" s="15"/>
    </row>
    <row r="28" spans="1:47" ht="16.5" customHeight="1" x14ac:dyDescent="0.35">
      <c r="A28" s="3" t="s">
        <v>46</v>
      </c>
      <c r="B28" s="3" t="s">
        <v>46</v>
      </c>
      <c r="C28" s="3" t="s">
        <v>47</v>
      </c>
      <c r="D28" s="3">
        <v>847</v>
      </c>
      <c r="E28" s="3">
        <v>8470810</v>
      </c>
      <c r="F28" s="3" t="s">
        <v>48</v>
      </c>
      <c r="G28" s="3">
        <v>1</v>
      </c>
      <c r="H28" s="276">
        <v>426610</v>
      </c>
      <c r="I28" s="6" t="s">
        <v>74</v>
      </c>
      <c r="J28" s="3" t="s">
        <v>60</v>
      </c>
      <c r="K28" s="3" t="s">
        <v>50</v>
      </c>
      <c r="L28" s="6" t="s">
        <v>51</v>
      </c>
      <c r="M28" s="3" t="s">
        <v>61</v>
      </c>
      <c r="N28" s="3">
        <v>200179</v>
      </c>
      <c r="O28" s="3" t="s">
        <v>298</v>
      </c>
      <c r="P28" s="3"/>
      <c r="Q28" s="3"/>
      <c r="R28" s="3"/>
      <c r="S28" s="3" t="s">
        <v>75</v>
      </c>
      <c r="T28" s="3" t="s">
        <v>76</v>
      </c>
      <c r="U28" s="3">
        <v>1</v>
      </c>
      <c r="V28" s="9">
        <v>64300</v>
      </c>
      <c r="W28" s="3" t="s">
        <v>113</v>
      </c>
      <c r="X28" s="9">
        <v>64300</v>
      </c>
      <c r="Y28" s="3" t="s">
        <v>55</v>
      </c>
      <c r="Z28" s="3" t="s">
        <v>56</v>
      </c>
      <c r="AA28" s="14">
        <f t="shared" si="0"/>
        <v>57870</v>
      </c>
      <c r="AB28" s="14">
        <f t="shared" si="1"/>
        <v>51440</v>
      </c>
      <c r="AC28" s="14">
        <f t="shared" si="2"/>
        <v>45010</v>
      </c>
      <c r="AD28" s="3" t="s">
        <v>112</v>
      </c>
      <c r="AE28" s="3" t="s">
        <v>112</v>
      </c>
      <c r="AF28" s="3" t="s">
        <v>112</v>
      </c>
      <c r="AG28" s="42"/>
      <c r="AH28" s="42">
        <v>0</v>
      </c>
      <c r="AI28" s="42"/>
      <c r="AJ28" s="42"/>
      <c r="AK28" s="42">
        <v>64300</v>
      </c>
      <c r="AL28" s="42"/>
      <c r="AM28" s="42"/>
      <c r="AN28" s="42"/>
      <c r="AO28" s="42"/>
      <c r="AP28" s="42"/>
      <c r="AQ28" s="42"/>
      <c r="AR28" s="42"/>
      <c r="AS28" s="41">
        <v>64300</v>
      </c>
      <c r="AT28" s="3" t="s">
        <v>70</v>
      </c>
      <c r="AU28" s="15"/>
    </row>
    <row r="29" spans="1:47" ht="16.5" customHeight="1" x14ac:dyDescent="0.35">
      <c r="A29" s="3" t="s">
        <v>46</v>
      </c>
      <c r="B29" s="3" t="s">
        <v>46</v>
      </c>
      <c r="C29" s="3" t="s">
        <v>47</v>
      </c>
      <c r="D29" s="3">
        <v>847</v>
      </c>
      <c r="E29" s="3">
        <v>8470810</v>
      </c>
      <c r="F29" s="3" t="s">
        <v>48</v>
      </c>
      <c r="G29" s="3">
        <v>1</v>
      </c>
      <c r="H29" s="276">
        <v>426610</v>
      </c>
      <c r="I29" s="6" t="s">
        <v>74</v>
      </c>
      <c r="J29" s="3" t="s">
        <v>60</v>
      </c>
      <c r="K29" s="3" t="s">
        <v>50</v>
      </c>
      <c r="L29" s="6" t="s">
        <v>51</v>
      </c>
      <c r="M29" s="3" t="s">
        <v>61</v>
      </c>
      <c r="N29" s="3">
        <v>200179</v>
      </c>
      <c r="O29" s="3" t="s">
        <v>298</v>
      </c>
      <c r="P29" s="3"/>
      <c r="Q29" s="3"/>
      <c r="R29" s="3"/>
      <c r="S29" s="3" t="s">
        <v>75</v>
      </c>
      <c r="T29" s="3" t="s">
        <v>76</v>
      </c>
      <c r="U29" s="3">
        <v>1</v>
      </c>
      <c r="V29" s="9">
        <v>51519</v>
      </c>
      <c r="W29" s="3" t="s">
        <v>114</v>
      </c>
      <c r="X29" s="9">
        <v>51519</v>
      </c>
      <c r="Y29" s="3" t="s">
        <v>55</v>
      </c>
      <c r="Z29" s="3" t="s">
        <v>56</v>
      </c>
      <c r="AA29" s="14">
        <f t="shared" si="0"/>
        <v>46367.1</v>
      </c>
      <c r="AB29" s="14">
        <f t="shared" si="1"/>
        <v>41215.200000000004</v>
      </c>
      <c r="AC29" s="14">
        <f t="shared" si="2"/>
        <v>36063.299999999996</v>
      </c>
      <c r="AD29" s="3" t="s">
        <v>112</v>
      </c>
      <c r="AE29" s="3" t="s">
        <v>112</v>
      </c>
      <c r="AF29" s="3" t="s">
        <v>112</v>
      </c>
      <c r="AG29" s="42"/>
      <c r="AH29" s="42">
        <v>0</v>
      </c>
      <c r="AI29" s="42"/>
      <c r="AJ29" s="42"/>
      <c r="AK29" s="42">
        <v>51519</v>
      </c>
      <c r="AL29" s="42"/>
      <c r="AM29" s="42"/>
      <c r="AN29" s="42"/>
      <c r="AO29" s="42"/>
      <c r="AP29" s="42"/>
      <c r="AQ29" s="42"/>
      <c r="AR29" s="42"/>
      <c r="AS29" s="41">
        <v>51519</v>
      </c>
      <c r="AT29" s="3" t="s">
        <v>70</v>
      </c>
      <c r="AU29" s="15"/>
    </row>
    <row r="30" spans="1:47" ht="16.5" customHeight="1" x14ac:dyDescent="0.35">
      <c r="A30" s="3" t="s">
        <v>46</v>
      </c>
      <c r="B30" s="3" t="s">
        <v>46</v>
      </c>
      <c r="C30" s="3" t="s">
        <v>47</v>
      </c>
      <c r="D30" s="3">
        <v>847</v>
      </c>
      <c r="E30" s="3">
        <v>8470810</v>
      </c>
      <c r="F30" s="3" t="s">
        <v>48</v>
      </c>
      <c r="G30" s="3">
        <v>1</v>
      </c>
      <c r="H30" s="276">
        <v>426610</v>
      </c>
      <c r="I30" s="6" t="s">
        <v>74</v>
      </c>
      <c r="J30" s="3" t="s">
        <v>60</v>
      </c>
      <c r="K30" s="3" t="s">
        <v>50</v>
      </c>
      <c r="L30" s="6" t="s">
        <v>51</v>
      </c>
      <c r="M30" s="3" t="s">
        <v>61</v>
      </c>
      <c r="N30" s="3">
        <v>200179</v>
      </c>
      <c r="O30" s="3" t="s">
        <v>298</v>
      </c>
      <c r="P30" s="3"/>
      <c r="Q30" s="3"/>
      <c r="R30" s="3"/>
      <c r="S30" s="3" t="s">
        <v>75</v>
      </c>
      <c r="T30" s="3" t="s">
        <v>76</v>
      </c>
      <c r="U30" s="3">
        <v>1</v>
      </c>
      <c r="V30" s="9">
        <v>50000</v>
      </c>
      <c r="W30" s="3" t="s">
        <v>115</v>
      </c>
      <c r="X30" s="9">
        <v>50000</v>
      </c>
      <c r="Y30" s="3" t="s">
        <v>55</v>
      </c>
      <c r="Z30" s="3" t="s">
        <v>56</v>
      </c>
      <c r="AA30" s="14">
        <f t="shared" si="0"/>
        <v>45000</v>
      </c>
      <c r="AB30" s="14">
        <f t="shared" si="1"/>
        <v>40000</v>
      </c>
      <c r="AC30" s="14">
        <f t="shared" si="2"/>
        <v>35000</v>
      </c>
      <c r="AD30" s="3" t="s">
        <v>112</v>
      </c>
      <c r="AE30" s="3" t="s">
        <v>112</v>
      </c>
      <c r="AF30" s="3" t="s">
        <v>112</v>
      </c>
      <c r="AG30" s="42"/>
      <c r="AH30" s="42">
        <v>0</v>
      </c>
      <c r="AI30" s="42"/>
      <c r="AJ30" s="42"/>
      <c r="AK30" s="42">
        <v>50000</v>
      </c>
      <c r="AL30" s="42"/>
      <c r="AM30" s="42"/>
      <c r="AN30" s="42"/>
      <c r="AO30" s="42"/>
      <c r="AP30" s="42"/>
      <c r="AQ30" s="42"/>
      <c r="AR30" s="42"/>
      <c r="AS30" s="41">
        <v>50000</v>
      </c>
      <c r="AT30" s="3" t="s">
        <v>70</v>
      </c>
      <c r="AU30" s="15"/>
    </row>
    <row r="31" spans="1:47" ht="16.5" customHeight="1" x14ac:dyDescent="0.35">
      <c r="A31" s="3" t="s">
        <v>46</v>
      </c>
      <c r="B31" s="3" t="s">
        <v>46</v>
      </c>
      <c r="C31" s="3" t="s">
        <v>47</v>
      </c>
      <c r="D31" s="3">
        <v>847</v>
      </c>
      <c r="E31" s="3">
        <v>8470810</v>
      </c>
      <c r="F31" s="3" t="s">
        <v>48</v>
      </c>
      <c r="G31" s="3">
        <v>1</v>
      </c>
      <c r="H31" s="276">
        <v>426610</v>
      </c>
      <c r="I31" s="6" t="s">
        <v>74</v>
      </c>
      <c r="J31" s="3" t="s">
        <v>60</v>
      </c>
      <c r="K31" s="3" t="s">
        <v>50</v>
      </c>
      <c r="L31" s="6" t="s">
        <v>51</v>
      </c>
      <c r="M31" s="3" t="s">
        <v>61</v>
      </c>
      <c r="N31" s="3">
        <v>200179</v>
      </c>
      <c r="O31" s="3" t="s">
        <v>298</v>
      </c>
      <c r="P31" s="3"/>
      <c r="Q31" s="3"/>
      <c r="R31" s="3"/>
      <c r="S31" s="3" t="s">
        <v>75</v>
      </c>
      <c r="T31" s="3" t="s">
        <v>76</v>
      </c>
      <c r="U31" s="3">
        <v>1</v>
      </c>
      <c r="V31" s="9">
        <v>38640</v>
      </c>
      <c r="W31" s="3" t="s">
        <v>116</v>
      </c>
      <c r="X31" s="9">
        <v>38640</v>
      </c>
      <c r="Y31" s="3" t="s">
        <v>55</v>
      </c>
      <c r="Z31" s="3" t="s">
        <v>56</v>
      </c>
      <c r="AA31" s="14">
        <f t="shared" si="0"/>
        <v>34776</v>
      </c>
      <c r="AB31" s="14">
        <f t="shared" si="1"/>
        <v>30912</v>
      </c>
      <c r="AC31" s="14">
        <f t="shared" si="2"/>
        <v>27048</v>
      </c>
      <c r="AD31" s="3" t="s">
        <v>117</v>
      </c>
      <c r="AE31" s="3" t="s">
        <v>117</v>
      </c>
      <c r="AF31" s="3" t="s">
        <v>117</v>
      </c>
      <c r="AG31" s="42"/>
      <c r="AH31" s="42">
        <v>0</v>
      </c>
      <c r="AI31" s="42"/>
      <c r="AJ31" s="42"/>
      <c r="AK31" s="42">
        <v>38640</v>
      </c>
      <c r="AL31" s="42"/>
      <c r="AM31" s="42"/>
      <c r="AN31" s="42"/>
      <c r="AO31" s="42"/>
      <c r="AP31" s="42"/>
      <c r="AQ31" s="42"/>
      <c r="AR31" s="42"/>
      <c r="AS31" s="41">
        <v>38640</v>
      </c>
      <c r="AT31" s="3" t="s">
        <v>70</v>
      </c>
      <c r="AU31" s="15"/>
    </row>
    <row r="32" spans="1:47" ht="16.5" customHeight="1" x14ac:dyDescent="0.35">
      <c r="A32" s="3" t="s">
        <v>46</v>
      </c>
      <c r="B32" s="3" t="s">
        <v>46</v>
      </c>
      <c r="C32" s="3" t="s">
        <v>47</v>
      </c>
      <c r="D32" s="3">
        <v>847</v>
      </c>
      <c r="E32" s="3">
        <v>8470810</v>
      </c>
      <c r="F32" s="3" t="s">
        <v>48</v>
      </c>
      <c r="G32" s="3">
        <v>1</v>
      </c>
      <c r="H32" s="276">
        <v>426610</v>
      </c>
      <c r="I32" s="6" t="s">
        <v>74</v>
      </c>
      <c r="J32" s="3" t="s">
        <v>60</v>
      </c>
      <c r="K32" s="3" t="s">
        <v>50</v>
      </c>
      <c r="L32" s="6" t="s">
        <v>51</v>
      </c>
      <c r="M32" s="3" t="s">
        <v>61</v>
      </c>
      <c r="N32" s="3">
        <v>200179</v>
      </c>
      <c r="O32" s="3" t="s">
        <v>298</v>
      </c>
      <c r="P32" s="3"/>
      <c r="Q32" s="3"/>
      <c r="R32" s="3"/>
      <c r="S32" s="3" t="s">
        <v>75</v>
      </c>
      <c r="T32" s="3" t="s">
        <v>76</v>
      </c>
      <c r="U32" s="3">
        <v>1</v>
      </c>
      <c r="V32" s="9">
        <v>28950</v>
      </c>
      <c r="W32" s="3" t="s">
        <v>118</v>
      </c>
      <c r="X32" s="9">
        <v>28950</v>
      </c>
      <c r="Y32" s="3" t="s">
        <v>55</v>
      </c>
      <c r="Z32" s="3" t="s">
        <v>56</v>
      </c>
      <c r="AA32" s="14">
        <f t="shared" si="0"/>
        <v>26055</v>
      </c>
      <c r="AB32" s="14">
        <f t="shared" si="1"/>
        <v>23160</v>
      </c>
      <c r="AC32" s="14">
        <f t="shared" si="2"/>
        <v>20265</v>
      </c>
      <c r="AD32" s="3" t="s">
        <v>119</v>
      </c>
      <c r="AE32" s="3" t="s">
        <v>119</v>
      </c>
      <c r="AF32" s="3" t="s">
        <v>119</v>
      </c>
      <c r="AG32" s="42"/>
      <c r="AH32" s="42">
        <v>0</v>
      </c>
      <c r="AI32" s="42"/>
      <c r="AJ32" s="42"/>
      <c r="AK32" s="42">
        <v>28950</v>
      </c>
      <c r="AL32" s="42"/>
      <c r="AM32" s="42"/>
      <c r="AN32" s="42"/>
      <c r="AO32" s="42"/>
      <c r="AP32" s="42"/>
      <c r="AQ32" s="42"/>
      <c r="AR32" s="42"/>
      <c r="AS32" s="41">
        <v>28950</v>
      </c>
      <c r="AT32" s="3" t="s">
        <v>70</v>
      </c>
      <c r="AU32" s="15"/>
    </row>
    <row r="33" spans="1:47" ht="16.5" customHeight="1" x14ac:dyDescent="0.35">
      <c r="A33" s="3" t="s">
        <v>46</v>
      </c>
      <c r="B33" s="3" t="s">
        <v>46</v>
      </c>
      <c r="C33" s="3" t="s">
        <v>47</v>
      </c>
      <c r="D33" s="3">
        <v>847</v>
      </c>
      <c r="E33" s="3">
        <v>8470810</v>
      </c>
      <c r="F33" s="3" t="s">
        <v>48</v>
      </c>
      <c r="G33" s="3">
        <v>1</v>
      </c>
      <c r="H33" s="276">
        <v>426610</v>
      </c>
      <c r="I33" s="6" t="s">
        <v>74</v>
      </c>
      <c r="J33" s="3" t="s">
        <v>60</v>
      </c>
      <c r="K33" s="3" t="s">
        <v>50</v>
      </c>
      <c r="L33" s="6" t="s">
        <v>51</v>
      </c>
      <c r="M33" s="3" t="s">
        <v>61</v>
      </c>
      <c r="N33" s="3">
        <v>200179</v>
      </c>
      <c r="O33" s="3" t="s">
        <v>298</v>
      </c>
      <c r="P33" s="3"/>
      <c r="Q33" s="3"/>
      <c r="R33" s="3"/>
      <c r="S33" s="3" t="s">
        <v>75</v>
      </c>
      <c r="T33" s="3" t="s">
        <v>76</v>
      </c>
      <c r="U33" s="3">
        <v>1</v>
      </c>
      <c r="V33" s="9">
        <v>25000</v>
      </c>
      <c r="W33" s="3" t="s">
        <v>120</v>
      </c>
      <c r="X33" s="9">
        <v>25000</v>
      </c>
      <c r="Y33" s="3" t="s">
        <v>55</v>
      </c>
      <c r="Z33" s="3" t="s">
        <v>56</v>
      </c>
      <c r="AA33" s="14">
        <f t="shared" si="0"/>
        <v>22500</v>
      </c>
      <c r="AB33" s="14">
        <f t="shared" si="1"/>
        <v>20000</v>
      </c>
      <c r="AC33" s="14">
        <f t="shared" si="2"/>
        <v>17500</v>
      </c>
      <c r="AD33" s="3" t="s">
        <v>112</v>
      </c>
      <c r="AE33" s="3" t="s">
        <v>112</v>
      </c>
      <c r="AF33" s="3" t="s">
        <v>112</v>
      </c>
      <c r="AG33" s="42"/>
      <c r="AH33" s="42">
        <v>0</v>
      </c>
      <c r="AI33" s="42"/>
      <c r="AJ33" s="42"/>
      <c r="AK33" s="42"/>
      <c r="AL33" s="42">
        <v>25000</v>
      </c>
      <c r="AM33" s="42"/>
      <c r="AN33" s="42"/>
      <c r="AO33" s="42"/>
      <c r="AP33" s="42"/>
      <c r="AQ33" s="42"/>
      <c r="AR33" s="42"/>
      <c r="AS33" s="41">
        <v>25000</v>
      </c>
      <c r="AT33" s="3" t="s">
        <v>70</v>
      </c>
      <c r="AU33" s="15"/>
    </row>
    <row r="34" spans="1:47" ht="16.5" customHeight="1" x14ac:dyDescent="0.35">
      <c r="A34" s="3" t="s">
        <v>46</v>
      </c>
      <c r="B34" s="3" t="s">
        <v>46</v>
      </c>
      <c r="C34" s="3" t="s">
        <v>47</v>
      </c>
      <c r="D34" s="3">
        <v>847</v>
      </c>
      <c r="E34" s="3">
        <v>8470810</v>
      </c>
      <c r="F34" s="3" t="s">
        <v>48</v>
      </c>
      <c r="G34" s="3">
        <v>1</v>
      </c>
      <c r="H34" s="276">
        <v>426610</v>
      </c>
      <c r="I34" s="6" t="s">
        <v>74</v>
      </c>
      <c r="J34" s="3" t="s">
        <v>60</v>
      </c>
      <c r="K34" s="3" t="s">
        <v>50</v>
      </c>
      <c r="L34" s="6" t="s">
        <v>51</v>
      </c>
      <c r="M34" s="3" t="s">
        <v>61</v>
      </c>
      <c r="N34" s="3">
        <v>200179</v>
      </c>
      <c r="O34" s="3" t="s">
        <v>298</v>
      </c>
      <c r="P34" s="3"/>
      <c r="Q34" s="3"/>
      <c r="R34" s="3"/>
      <c r="S34" s="3" t="s">
        <v>75</v>
      </c>
      <c r="T34" s="3" t="s">
        <v>76</v>
      </c>
      <c r="U34" s="3">
        <v>1</v>
      </c>
      <c r="V34" s="9">
        <v>20000</v>
      </c>
      <c r="W34" s="3" t="s">
        <v>121</v>
      </c>
      <c r="X34" s="9">
        <v>20000</v>
      </c>
      <c r="Y34" s="3" t="s">
        <v>55</v>
      </c>
      <c r="Z34" s="3" t="s">
        <v>56</v>
      </c>
      <c r="AA34" s="14">
        <f t="shared" si="0"/>
        <v>18000</v>
      </c>
      <c r="AB34" s="14">
        <f t="shared" si="1"/>
        <v>16000</v>
      </c>
      <c r="AC34" s="14">
        <f t="shared" si="2"/>
        <v>14000</v>
      </c>
      <c r="AD34" s="3" t="s">
        <v>122</v>
      </c>
      <c r="AE34" s="3" t="s">
        <v>122</v>
      </c>
      <c r="AF34" s="3" t="s">
        <v>122</v>
      </c>
      <c r="AG34" s="42"/>
      <c r="AH34" s="42">
        <v>0</v>
      </c>
      <c r="AI34" s="42"/>
      <c r="AJ34" s="42"/>
      <c r="AK34" s="42"/>
      <c r="AL34" s="42">
        <v>20000</v>
      </c>
      <c r="AM34" s="42"/>
      <c r="AN34" s="42"/>
      <c r="AO34" s="42"/>
      <c r="AP34" s="42"/>
      <c r="AQ34" s="42"/>
      <c r="AR34" s="42"/>
      <c r="AS34" s="41">
        <v>20000</v>
      </c>
      <c r="AT34" s="3" t="s">
        <v>70</v>
      </c>
      <c r="AU34" s="15"/>
    </row>
    <row r="35" spans="1:47" ht="16.5" customHeight="1" x14ac:dyDescent="0.35">
      <c r="A35" s="3" t="s">
        <v>46</v>
      </c>
      <c r="B35" s="3" t="s">
        <v>46</v>
      </c>
      <c r="C35" s="3" t="s">
        <v>47</v>
      </c>
      <c r="D35" s="3">
        <v>847</v>
      </c>
      <c r="E35" s="3">
        <v>8470810</v>
      </c>
      <c r="F35" s="3" t="s">
        <v>48</v>
      </c>
      <c r="G35" s="3">
        <v>1</v>
      </c>
      <c r="H35" s="276">
        <v>426610</v>
      </c>
      <c r="I35" s="6" t="s">
        <v>74</v>
      </c>
      <c r="J35" s="3" t="s">
        <v>60</v>
      </c>
      <c r="K35" s="3" t="s">
        <v>50</v>
      </c>
      <c r="L35" s="6" t="s">
        <v>51</v>
      </c>
      <c r="M35" s="3" t="s">
        <v>61</v>
      </c>
      <c r="N35" s="3">
        <v>200179</v>
      </c>
      <c r="O35" s="3" t="s">
        <v>298</v>
      </c>
      <c r="P35" s="3"/>
      <c r="Q35" s="3"/>
      <c r="R35" s="3"/>
      <c r="S35" s="3" t="s">
        <v>75</v>
      </c>
      <c r="T35" s="3" t="s">
        <v>76</v>
      </c>
      <c r="U35" s="3">
        <v>1</v>
      </c>
      <c r="V35" s="9">
        <v>20000</v>
      </c>
      <c r="W35" s="3" t="s">
        <v>123</v>
      </c>
      <c r="X35" s="9">
        <v>20000</v>
      </c>
      <c r="Y35" s="3" t="s">
        <v>55</v>
      </c>
      <c r="Z35" s="3" t="s">
        <v>56</v>
      </c>
      <c r="AA35" s="14">
        <f t="shared" si="0"/>
        <v>18000</v>
      </c>
      <c r="AB35" s="14">
        <f t="shared" si="1"/>
        <v>16000</v>
      </c>
      <c r="AC35" s="14">
        <f t="shared" si="2"/>
        <v>14000</v>
      </c>
      <c r="AD35" s="3" t="s">
        <v>117</v>
      </c>
      <c r="AE35" s="3" t="s">
        <v>117</v>
      </c>
      <c r="AF35" s="3" t="s">
        <v>117</v>
      </c>
      <c r="AG35" s="42"/>
      <c r="AH35" s="42">
        <v>0</v>
      </c>
      <c r="AI35" s="42"/>
      <c r="AJ35" s="42"/>
      <c r="AK35" s="42"/>
      <c r="AL35" s="42">
        <v>20000</v>
      </c>
      <c r="AM35" s="42"/>
      <c r="AN35" s="42"/>
      <c r="AO35" s="42"/>
      <c r="AP35" s="42"/>
      <c r="AQ35" s="42"/>
      <c r="AR35" s="42"/>
      <c r="AS35" s="41">
        <v>20000</v>
      </c>
      <c r="AT35" s="3" t="s">
        <v>70</v>
      </c>
      <c r="AU35" s="15"/>
    </row>
    <row r="36" spans="1:47" ht="16.5" customHeight="1" x14ac:dyDescent="0.35">
      <c r="A36" s="3" t="s">
        <v>46</v>
      </c>
      <c r="B36" s="3" t="s">
        <v>46</v>
      </c>
      <c r="C36" s="3" t="s">
        <v>47</v>
      </c>
      <c r="D36" s="3">
        <v>847</v>
      </c>
      <c r="E36" s="3">
        <v>8470810</v>
      </c>
      <c r="F36" s="3" t="s">
        <v>48</v>
      </c>
      <c r="G36" s="3">
        <v>1</v>
      </c>
      <c r="H36" s="276">
        <v>426610</v>
      </c>
      <c r="I36" s="6" t="s">
        <v>74</v>
      </c>
      <c r="J36" s="3" t="s">
        <v>60</v>
      </c>
      <c r="K36" s="3" t="s">
        <v>50</v>
      </c>
      <c r="L36" s="6" t="s">
        <v>51</v>
      </c>
      <c r="M36" s="3" t="s">
        <v>61</v>
      </c>
      <c r="N36" s="3">
        <v>200179</v>
      </c>
      <c r="O36" s="3" t="s">
        <v>298</v>
      </c>
      <c r="P36" s="3"/>
      <c r="Q36" s="3"/>
      <c r="R36" s="3"/>
      <c r="S36" s="3" t="s">
        <v>75</v>
      </c>
      <c r="T36" s="3" t="s">
        <v>76</v>
      </c>
      <c r="U36" s="3">
        <v>1</v>
      </c>
      <c r="V36" s="9">
        <v>25000</v>
      </c>
      <c r="W36" s="3" t="s">
        <v>124</v>
      </c>
      <c r="X36" s="9">
        <v>25000</v>
      </c>
      <c r="Y36" s="3" t="s">
        <v>55</v>
      </c>
      <c r="Z36" s="3" t="s">
        <v>56</v>
      </c>
      <c r="AA36" s="14">
        <f t="shared" si="0"/>
        <v>22500</v>
      </c>
      <c r="AB36" s="14">
        <f t="shared" si="1"/>
        <v>20000</v>
      </c>
      <c r="AC36" s="14">
        <f t="shared" si="2"/>
        <v>17500</v>
      </c>
      <c r="AD36" s="3" t="s">
        <v>125</v>
      </c>
      <c r="AE36" s="3" t="s">
        <v>125</v>
      </c>
      <c r="AF36" s="3" t="s">
        <v>125</v>
      </c>
      <c r="AG36" s="42"/>
      <c r="AH36" s="42">
        <v>0</v>
      </c>
      <c r="AI36" s="42"/>
      <c r="AJ36" s="42"/>
      <c r="AK36" s="42"/>
      <c r="AL36" s="42">
        <v>25000</v>
      </c>
      <c r="AM36" s="42"/>
      <c r="AN36" s="42"/>
      <c r="AO36" s="42"/>
      <c r="AP36" s="42"/>
      <c r="AQ36" s="42"/>
      <c r="AR36" s="42"/>
      <c r="AS36" s="41">
        <v>25000</v>
      </c>
      <c r="AT36" s="3" t="s">
        <v>70</v>
      </c>
      <c r="AU36" s="15"/>
    </row>
    <row r="37" spans="1:47" ht="16.5" customHeight="1" x14ac:dyDescent="0.35">
      <c r="A37" s="3" t="s">
        <v>46</v>
      </c>
      <c r="B37" s="3" t="s">
        <v>46</v>
      </c>
      <c r="C37" s="3" t="s">
        <v>47</v>
      </c>
      <c r="D37" s="3">
        <v>847</v>
      </c>
      <c r="E37" s="3">
        <v>8470810</v>
      </c>
      <c r="F37" s="3" t="s">
        <v>48</v>
      </c>
      <c r="G37" s="3">
        <v>1</v>
      </c>
      <c r="H37" s="276">
        <v>426610</v>
      </c>
      <c r="I37" s="6" t="s">
        <v>74</v>
      </c>
      <c r="J37" s="3" t="s">
        <v>60</v>
      </c>
      <c r="K37" s="3" t="s">
        <v>50</v>
      </c>
      <c r="L37" s="6" t="s">
        <v>51</v>
      </c>
      <c r="M37" s="3" t="s">
        <v>61</v>
      </c>
      <c r="N37" s="3">
        <v>200179</v>
      </c>
      <c r="O37" s="3" t="s">
        <v>298</v>
      </c>
      <c r="P37" s="3"/>
      <c r="Q37" s="3"/>
      <c r="R37" s="3"/>
      <c r="S37" s="3" t="s">
        <v>75</v>
      </c>
      <c r="T37" s="3" t="s">
        <v>76</v>
      </c>
      <c r="U37" s="3">
        <v>1</v>
      </c>
      <c r="V37" s="9">
        <v>14046</v>
      </c>
      <c r="W37" s="3" t="s">
        <v>126</v>
      </c>
      <c r="X37" s="9">
        <v>14046</v>
      </c>
      <c r="Y37" s="3" t="s">
        <v>55</v>
      </c>
      <c r="Z37" s="3" t="s">
        <v>56</v>
      </c>
      <c r="AA37" s="14">
        <f t="shared" si="0"/>
        <v>12641.4</v>
      </c>
      <c r="AB37" s="14">
        <f t="shared" si="1"/>
        <v>11236.800000000001</v>
      </c>
      <c r="AC37" s="14">
        <f t="shared" si="2"/>
        <v>9832.1999999999989</v>
      </c>
      <c r="AD37" s="3" t="s">
        <v>117</v>
      </c>
      <c r="AE37" s="3" t="s">
        <v>117</v>
      </c>
      <c r="AF37" s="3" t="s">
        <v>117</v>
      </c>
      <c r="AG37" s="42"/>
      <c r="AH37" s="42">
        <v>0</v>
      </c>
      <c r="AI37" s="42"/>
      <c r="AJ37" s="42"/>
      <c r="AK37" s="42"/>
      <c r="AL37" s="42">
        <v>14046</v>
      </c>
      <c r="AM37" s="42"/>
      <c r="AN37" s="42"/>
      <c r="AO37" s="42"/>
      <c r="AP37" s="42"/>
      <c r="AQ37" s="42"/>
      <c r="AR37" s="42"/>
      <c r="AS37" s="41">
        <v>14046</v>
      </c>
      <c r="AT37" s="3" t="s">
        <v>70</v>
      </c>
      <c r="AU37" s="15"/>
    </row>
    <row r="38" spans="1:47" ht="16.5" customHeight="1" x14ac:dyDescent="0.35">
      <c r="A38" s="3" t="s">
        <v>46</v>
      </c>
      <c r="B38" s="3" t="s">
        <v>46</v>
      </c>
      <c r="C38" s="3" t="s">
        <v>47</v>
      </c>
      <c r="D38" s="3">
        <v>847</v>
      </c>
      <c r="E38" s="3">
        <v>8470810</v>
      </c>
      <c r="F38" s="3" t="s">
        <v>48</v>
      </c>
      <c r="G38" s="3">
        <v>1</v>
      </c>
      <c r="H38" s="276">
        <v>426610</v>
      </c>
      <c r="I38" s="6" t="s">
        <v>74</v>
      </c>
      <c r="J38" s="3" t="s">
        <v>60</v>
      </c>
      <c r="K38" s="3" t="s">
        <v>50</v>
      </c>
      <c r="L38" s="6" t="s">
        <v>51</v>
      </c>
      <c r="M38" s="3" t="s">
        <v>61</v>
      </c>
      <c r="N38" s="3">
        <v>200179</v>
      </c>
      <c r="O38" s="3" t="s">
        <v>298</v>
      </c>
      <c r="P38" s="3"/>
      <c r="Q38" s="3"/>
      <c r="R38" s="3"/>
      <c r="S38" s="3" t="s">
        <v>75</v>
      </c>
      <c r="T38" s="3" t="s">
        <v>76</v>
      </c>
      <c r="U38" s="3">
        <v>1</v>
      </c>
      <c r="V38" s="9">
        <v>14000</v>
      </c>
      <c r="W38" s="3" t="s">
        <v>127</v>
      </c>
      <c r="X38" s="9">
        <v>14000</v>
      </c>
      <c r="Y38" s="3" t="s">
        <v>55</v>
      </c>
      <c r="Z38" s="3" t="s">
        <v>56</v>
      </c>
      <c r="AA38" s="14">
        <f t="shared" si="0"/>
        <v>12600</v>
      </c>
      <c r="AB38" s="14">
        <f t="shared" si="1"/>
        <v>11200</v>
      </c>
      <c r="AC38" s="14">
        <f t="shared" si="2"/>
        <v>9800</v>
      </c>
      <c r="AD38" s="3" t="s">
        <v>122</v>
      </c>
      <c r="AE38" s="3" t="s">
        <v>122</v>
      </c>
      <c r="AF38" s="3" t="s">
        <v>122</v>
      </c>
      <c r="AG38" s="42"/>
      <c r="AH38" s="42">
        <v>0</v>
      </c>
      <c r="AI38" s="42"/>
      <c r="AJ38" s="42"/>
      <c r="AK38" s="42"/>
      <c r="AL38" s="42">
        <v>14000</v>
      </c>
      <c r="AM38" s="42"/>
      <c r="AN38" s="42"/>
      <c r="AO38" s="42"/>
      <c r="AP38" s="42"/>
      <c r="AQ38" s="42"/>
      <c r="AR38" s="42"/>
      <c r="AS38" s="41">
        <v>14000</v>
      </c>
      <c r="AT38" s="3" t="s">
        <v>70</v>
      </c>
      <c r="AU38" s="15"/>
    </row>
    <row r="39" spans="1:47" ht="16.5" customHeight="1" x14ac:dyDescent="0.35">
      <c r="A39" s="3" t="s">
        <v>46</v>
      </c>
      <c r="B39" s="3" t="s">
        <v>46</v>
      </c>
      <c r="C39" s="3" t="s">
        <v>47</v>
      </c>
      <c r="D39" s="3">
        <v>847</v>
      </c>
      <c r="E39" s="3">
        <v>8470810</v>
      </c>
      <c r="F39" s="3" t="s">
        <v>48</v>
      </c>
      <c r="G39" s="3">
        <v>1</v>
      </c>
      <c r="H39" s="276">
        <v>426610</v>
      </c>
      <c r="I39" s="6" t="s">
        <v>74</v>
      </c>
      <c r="J39" s="3" t="s">
        <v>60</v>
      </c>
      <c r="K39" s="3" t="s">
        <v>50</v>
      </c>
      <c r="L39" s="6" t="s">
        <v>51</v>
      </c>
      <c r="M39" s="3" t="s">
        <v>61</v>
      </c>
      <c r="N39" s="3">
        <v>200179</v>
      </c>
      <c r="O39" s="3" t="s">
        <v>298</v>
      </c>
      <c r="P39" s="3"/>
      <c r="Q39" s="3"/>
      <c r="R39" s="3"/>
      <c r="S39" s="3" t="s">
        <v>75</v>
      </c>
      <c r="T39" s="3" t="s">
        <v>76</v>
      </c>
      <c r="U39" s="3">
        <v>1</v>
      </c>
      <c r="V39" s="9">
        <v>11156</v>
      </c>
      <c r="W39" s="3" t="s">
        <v>128</v>
      </c>
      <c r="X39" s="9">
        <v>11156</v>
      </c>
      <c r="Y39" s="3" t="s">
        <v>55</v>
      </c>
      <c r="Z39" s="3" t="s">
        <v>56</v>
      </c>
      <c r="AA39" s="14">
        <f t="shared" si="0"/>
        <v>10040.4</v>
      </c>
      <c r="AB39" s="14">
        <f t="shared" si="1"/>
        <v>8924.8000000000011</v>
      </c>
      <c r="AC39" s="14">
        <f t="shared" si="2"/>
        <v>7809.2</v>
      </c>
      <c r="AD39" s="3" t="s">
        <v>112</v>
      </c>
      <c r="AE39" s="3" t="s">
        <v>112</v>
      </c>
      <c r="AF39" s="3" t="s">
        <v>112</v>
      </c>
      <c r="AG39" s="42"/>
      <c r="AH39" s="42">
        <v>0</v>
      </c>
      <c r="AI39" s="42"/>
      <c r="AJ39" s="42"/>
      <c r="AK39" s="42"/>
      <c r="AL39" s="42">
        <v>11156</v>
      </c>
      <c r="AM39" s="42"/>
      <c r="AN39" s="42"/>
      <c r="AO39" s="42"/>
      <c r="AP39" s="42"/>
      <c r="AQ39" s="42"/>
      <c r="AR39" s="42"/>
      <c r="AS39" s="41">
        <v>11156</v>
      </c>
      <c r="AT39" s="3" t="s">
        <v>70</v>
      </c>
      <c r="AU39" s="15"/>
    </row>
    <row r="40" spans="1:47" ht="16.5" customHeight="1" x14ac:dyDescent="0.35">
      <c r="A40" s="3" t="s">
        <v>46</v>
      </c>
      <c r="B40" s="3" t="s">
        <v>46</v>
      </c>
      <c r="C40" s="3" t="s">
        <v>47</v>
      </c>
      <c r="D40" s="3">
        <v>847</v>
      </c>
      <c r="E40" s="3">
        <v>8470810</v>
      </c>
      <c r="F40" s="3" t="s">
        <v>48</v>
      </c>
      <c r="G40" s="3">
        <v>1</v>
      </c>
      <c r="H40" s="276">
        <v>426610</v>
      </c>
      <c r="I40" s="6" t="s">
        <v>74</v>
      </c>
      <c r="J40" s="3" t="s">
        <v>60</v>
      </c>
      <c r="K40" s="3" t="s">
        <v>50</v>
      </c>
      <c r="L40" s="6" t="s">
        <v>51</v>
      </c>
      <c r="M40" s="3" t="s">
        <v>61</v>
      </c>
      <c r="N40" s="3">
        <v>200179</v>
      </c>
      <c r="O40" s="3" t="s">
        <v>298</v>
      </c>
      <c r="P40" s="3"/>
      <c r="Q40" s="3"/>
      <c r="R40" s="3"/>
      <c r="S40" s="3" t="s">
        <v>75</v>
      </c>
      <c r="T40" s="3" t="s">
        <v>76</v>
      </c>
      <c r="U40" s="3">
        <v>1</v>
      </c>
      <c r="V40" s="9">
        <v>10000</v>
      </c>
      <c r="W40" s="3" t="s">
        <v>129</v>
      </c>
      <c r="X40" s="9">
        <v>10000</v>
      </c>
      <c r="Y40" s="3" t="s">
        <v>55</v>
      </c>
      <c r="Z40" s="3" t="s">
        <v>56</v>
      </c>
      <c r="AA40" s="14">
        <f t="shared" si="0"/>
        <v>9000</v>
      </c>
      <c r="AB40" s="14">
        <f t="shared" si="1"/>
        <v>8000</v>
      </c>
      <c r="AC40" s="14">
        <f t="shared" si="2"/>
        <v>7000</v>
      </c>
      <c r="AD40" s="3" t="s">
        <v>112</v>
      </c>
      <c r="AE40" s="3" t="s">
        <v>112</v>
      </c>
      <c r="AF40" s="3" t="s">
        <v>112</v>
      </c>
      <c r="AG40" s="42"/>
      <c r="AH40" s="42">
        <v>0</v>
      </c>
      <c r="AI40" s="42"/>
      <c r="AJ40" s="42"/>
      <c r="AK40" s="42"/>
      <c r="AL40" s="42">
        <v>10000</v>
      </c>
      <c r="AM40" s="42"/>
      <c r="AN40" s="42"/>
      <c r="AO40" s="42"/>
      <c r="AP40" s="42"/>
      <c r="AQ40" s="42"/>
      <c r="AR40" s="42"/>
      <c r="AS40" s="41">
        <v>10000</v>
      </c>
      <c r="AT40" s="3" t="s">
        <v>70</v>
      </c>
      <c r="AU40" s="15"/>
    </row>
    <row r="41" spans="1:47" ht="16.5" customHeight="1" x14ac:dyDescent="0.35">
      <c r="A41" s="3" t="s">
        <v>46</v>
      </c>
      <c r="B41" s="3" t="s">
        <v>46</v>
      </c>
      <c r="C41" s="3" t="s">
        <v>47</v>
      </c>
      <c r="D41" s="3">
        <v>847</v>
      </c>
      <c r="E41" s="3">
        <v>8470810</v>
      </c>
      <c r="F41" s="3" t="s">
        <v>48</v>
      </c>
      <c r="G41" s="3">
        <v>1</v>
      </c>
      <c r="H41" s="276">
        <v>426610</v>
      </c>
      <c r="I41" s="6" t="s">
        <v>74</v>
      </c>
      <c r="J41" s="3" t="s">
        <v>60</v>
      </c>
      <c r="K41" s="3" t="s">
        <v>50</v>
      </c>
      <c r="L41" s="6" t="s">
        <v>51</v>
      </c>
      <c r="M41" s="3" t="s">
        <v>61</v>
      </c>
      <c r="N41" s="3">
        <v>200179</v>
      </c>
      <c r="O41" s="3" t="s">
        <v>298</v>
      </c>
      <c r="P41" s="3"/>
      <c r="Q41" s="3"/>
      <c r="R41" s="3"/>
      <c r="S41" s="3" t="s">
        <v>75</v>
      </c>
      <c r="T41" s="3" t="s">
        <v>76</v>
      </c>
      <c r="U41" s="3">
        <v>1</v>
      </c>
      <c r="V41" s="9">
        <v>10000</v>
      </c>
      <c r="W41" s="3" t="s">
        <v>130</v>
      </c>
      <c r="X41" s="9">
        <v>10000</v>
      </c>
      <c r="Y41" s="3" t="s">
        <v>55</v>
      </c>
      <c r="Z41" s="3" t="s">
        <v>56</v>
      </c>
      <c r="AA41" s="14">
        <f t="shared" si="0"/>
        <v>9000</v>
      </c>
      <c r="AB41" s="14">
        <f t="shared" si="1"/>
        <v>8000</v>
      </c>
      <c r="AC41" s="14">
        <f t="shared" si="2"/>
        <v>7000</v>
      </c>
      <c r="AD41" s="3" t="s">
        <v>112</v>
      </c>
      <c r="AE41" s="3" t="s">
        <v>112</v>
      </c>
      <c r="AF41" s="3" t="s">
        <v>112</v>
      </c>
      <c r="AG41" s="42"/>
      <c r="AH41" s="42">
        <v>0</v>
      </c>
      <c r="AI41" s="42"/>
      <c r="AJ41" s="42"/>
      <c r="AK41" s="42"/>
      <c r="AL41" s="42">
        <v>10000</v>
      </c>
      <c r="AM41" s="42"/>
      <c r="AN41" s="42"/>
      <c r="AO41" s="42"/>
      <c r="AP41" s="42"/>
      <c r="AQ41" s="42"/>
      <c r="AR41" s="42"/>
      <c r="AS41" s="41">
        <v>10000</v>
      </c>
      <c r="AT41" s="3" t="s">
        <v>70</v>
      </c>
      <c r="AU41" s="15"/>
    </row>
    <row r="42" spans="1:47" ht="16.5" customHeight="1" x14ac:dyDescent="0.35">
      <c r="A42" s="3" t="s">
        <v>46</v>
      </c>
      <c r="B42" s="3" t="s">
        <v>46</v>
      </c>
      <c r="C42" s="3" t="s">
        <v>47</v>
      </c>
      <c r="D42" s="3">
        <v>847</v>
      </c>
      <c r="E42" s="3">
        <v>8470810</v>
      </c>
      <c r="F42" s="3" t="s">
        <v>48</v>
      </c>
      <c r="G42" s="3">
        <v>1</v>
      </c>
      <c r="H42" s="276">
        <v>426610</v>
      </c>
      <c r="I42" s="6" t="s">
        <v>74</v>
      </c>
      <c r="J42" s="3" t="s">
        <v>60</v>
      </c>
      <c r="K42" s="3" t="s">
        <v>50</v>
      </c>
      <c r="L42" s="6" t="s">
        <v>51</v>
      </c>
      <c r="M42" s="3" t="s">
        <v>61</v>
      </c>
      <c r="N42" s="3">
        <v>200179</v>
      </c>
      <c r="O42" s="3" t="s">
        <v>298</v>
      </c>
      <c r="P42" s="3"/>
      <c r="Q42" s="3"/>
      <c r="R42" s="3"/>
      <c r="S42" s="3" t="s">
        <v>75</v>
      </c>
      <c r="T42" s="3" t="s">
        <v>76</v>
      </c>
      <c r="U42" s="3">
        <v>1</v>
      </c>
      <c r="V42" s="9">
        <v>7500</v>
      </c>
      <c r="W42" s="3" t="s">
        <v>131</v>
      </c>
      <c r="X42" s="9">
        <v>7500</v>
      </c>
      <c r="Y42" s="3" t="s">
        <v>55</v>
      </c>
      <c r="Z42" s="3" t="s">
        <v>56</v>
      </c>
      <c r="AA42" s="14">
        <f t="shared" si="0"/>
        <v>6750</v>
      </c>
      <c r="AB42" s="14">
        <f t="shared" si="1"/>
        <v>6000</v>
      </c>
      <c r="AC42" s="14">
        <f t="shared" si="2"/>
        <v>5250</v>
      </c>
      <c r="AD42" s="3" t="s">
        <v>101</v>
      </c>
      <c r="AE42" s="3" t="s">
        <v>101</v>
      </c>
      <c r="AF42" s="3" t="s">
        <v>101</v>
      </c>
      <c r="AG42" s="42"/>
      <c r="AH42" s="42">
        <v>0</v>
      </c>
      <c r="AI42" s="42"/>
      <c r="AJ42" s="42"/>
      <c r="AK42" s="42"/>
      <c r="AL42" s="42">
        <v>7500</v>
      </c>
      <c r="AM42" s="42"/>
      <c r="AN42" s="42"/>
      <c r="AO42" s="42"/>
      <c r="AP42" s="42"/>
      <c r="AQ42" s="42"/>
      <c r="AR42" s="42"/>
      <c r="AS42" s="41">
        <v>7500</v>
      </c>
      <c r="AT42" s="3" t="s">
        <v>70</v>
      </c>
      <c r="AU42" s="15"/>
    </row>
    <row r="43" spans="1:47" ht="16.5" customHeight="1" x14ac:dyDescent="0.35">
      <c r="A43" s="3" t="s">
        <v>46</v>
      </c>
      <c r="B43" s="3" t="s">
        <v>46</v>
      </c>
      <c r="C43" s="3" t="s">
        <v>47</v>
      </c>
      <c r="D43" s="3">
        <v>847</v>
      </c>
      <c r="E43" s="3">
        <v>8470810</v>
      </c>
      <c r="F43" s="3" t="s">
        <v>48</v>
      </c>
      <c r="G43" s="3">
        <v>1</v>
      </c>
      <c r="H43" s="276">
        <v>426610</v>
      </c>
      <c r="I43" s="6" t="s">
        <v>74</v>
      </c>
      <c r="J43" s="3" t="s">
        <v>60</v>
      </c>
      <c r="K43" s="3" t="s">
        <v>50</v>
      </c>
      <c r="L43" s="6" t="s">
        <v>51</v>
      </c>
      <c r="M43" s="3" t="s">
        <v>61</v>
      </c>
      <c r="N43" s="3">
        <v>200179</v>
      </c>
      <c r="O43" s="3" t="s">
        <v>298</v>
      </c>
      <c r="P43" s="3"/>
      <c r="Q43" s="3"/>
      <c r="R43" s="3"/>
      <c r="S43" s="3" t="s">
        <v>75</v>
      </c>
      <c r="T43" s="3" t="s">
        <v>76</v>
      </c>
      <c r="U43" s="3">
        <v>1</v>
      </c>
      <c r="V43" s="9">
        <v>4500</v>
      </c>
      <c r="W43" s="3" t="s">
        <v>132</v>
      </c>
      <c r="X43" s="9">
        <v>4500</v>
      </c>
      <c r="Y43" s="3" t="s">
        <v>55</v>
      </c>
      <c r="Z43" s="3" t="s">
        <v>56</v>
      </c>
      <c r="AA43" s="14">
        <f t="shared" si="0"/>
        <v>4050</v>
      </c>
      <c r="AB43" s="14">
        <f t="shared" si="1"/>
        <v>3600</v>
      </c>
      <c r="AC43" s="14">
        <f t="shared" si="2"/>
        <v>3150</v>
      </c>
      <c r="AD43" s="3" t="s">
        <v>112</v>
      </c>
      <c r="AE43" s="3" t="s">
        <v>112</v>
      </c>
      <c r="AF43" s="3" t="s">
        <v>112</v>
      </c>
      <c r="AG43" s="42"/>
      <c r="AH43" s="42">
        <v>0</v>
      </c>
      <c r="AI43" s="42"/>
      <c r="AJ43" s="42"/>
      <c r="AK43" s="42"/>
      <c r="AL43" s="42">
        <v>4500</v>
      </c>
      <c r="AM43" s="42"/>
      <c r="AN43" s="42"/>
      <c r="AO43" s="42"/>
      <c r="AP43" s="42"/>
      <c r="AQ43" s="42"/>
      <c r="AR43" s="42"/>
      <c r="AS43" s="41">
        <v>4500</v>
      </c>
      <c r="AT43" s="3" t="s">
        <v>70</v>
      </c>
      <c r="AU43" s="15"/>
    </row>
    <row r="44" spans="1:47" ht="16.5" customHeight="1" x14ac:dyDescent="0.35">
      <c r="A44" s="3" t="s">
        <v>46</v>
      </c>
      <c r="B44" s="3" t="s">
        <v>46</v>
      </c>
      <c r="C44" s="3" t="s">
        <v>47</v>
      </c>
      <c r="D44" s="3">
        <v>847</v>
      </c>
      <c r="E44" s="3">
        <v>8470810</v>
      </c>
      <c r="F44" s="3" t="s">
        <v>48</v>
      </c>
      <c r="G44" s="3">
        <v>1</v>
      </c>
      <c r="H44" s="276">
        <v>426610</v>
      </c>
      <c r="I44" s="6" t="s">
        <v>74</v>
      </c>
      <c r="J44" s="3" t="s">
        <v>60</v>
      </c>
      <c r="K44" s="3" t="s">
        <v>50</v>
      </c>
      <c r="L44" s="6" t="s">
        <v>51</v>
      </c>
      <c r="M44" s="3" t="s">
        <v>61</v>
      </c>
      <c r="N44" s="3">
        <v>200179</v>
      </c>
      <c r="O44" s="3" t="s">
        <v>298</v>
      </c>
      <c r="P44" s="3"/>
      <c r="Q44" s="3"/>
      <c r="R44" s="3"/>
      <c r="S44" s="3" t="s">
        <v>75</v>
      </c>
      <c r="T44" s="3" t="s">
        <v>76</v>
      </c>
      <c r="U44" s="3">
        <v>1</v>
      </c>
      <c r="V44" s="9">
        <v>4000</v>
      </c>
      <c r="W44" s="3" t="s">
        <v>133</v>
      </c>
      <c r="X44" s="9">
        <v>4000</v>
      </c>
      <c r="Y44" s="3" t="s">
        <v>55</v>
      </c>
      <c r="Z44" s="3" t="s">
        <v>56</v>
      </c>
      <c r="AA44" s="14">
        <f t="shared" si="0"/>
        <v>3600</v>
      </c>
      <c r="AB44" s="14">
        <f t="shared" si="1"/>
        <v>3200</v>
      </c>
      <c r="AC44" s="14">
        <f t="shared" si="2"/>
        <v>2800</v>
      </c>
      <c r="AD44" s="3" t="s">
        <v>134</v>
      </c>
      <c r="AE44" s="3" t="s">
        <v>134</v>
      </c>
      <c r="AF44" s="3" t="s">
        <v>134</v>
      </c>
      <c r="AG44" s="42"/>
      <c r="AH44" s="42">
        <v>0</v>
      </c>
      <c r="AI44" s="42"/>
      <c r="AJ44" s="42"/>
      <c r="AK44" s="42"/>
      <c r="AL44" s="42">
        <v>4000</v>
      </c>
      <c r="AM44" s="42"/>
      <c r="AN44" s="42"/>
      <c r="AO44" s="42"/>
      <c r="AP44" s="42"/>
      <c r="AQ44" s="42"/>
      <c r="AR44" s="42"/>
      <c r="AS44" s="41">
        <v>4000</v>
      </c>
      <c r="AT44" s="3" t="s">
        <v>70</v>
      </c>
      <c r="AU44" s="15"/>
    </row>
    <row r="45" spans="1:47" ht="16.5" customHeight="1" x14ac:dyDescent="0.35">
      <c r="A45" s="3" t="s">
        <v>46</v>
      </c>
      <c r="B45" s="3" t="s">
        <v>46</v>
      </c>
      <c r="C45" s="3" t="s">
        <v>47</v>
      </c>
      <c r="D45" s="3">
        <v>847</v>
      </c>
      <c r="E45" s="3">
        <v>8470810</v>
      </c>
      <c r="F45" s="3" t="s">
        <v>48</v>
      </c>
      <c r="G45" s="3">
        <v>1</v>
      </c>
      <c r="H45" s="276">
        <v>426610</v>
      </c>
      <c r="I45" s="6" t="s">
        <v>74</v>
      </c>
      <c r="J45" s="3" t="s">
        <v>60</v>
      </c>
      <c r="K45" s="3" t="s">
        <v>50</v>
      </c>
      <c r="L45" s="6" t="s">
        <v>51</v>
      </c>
      <c r="M45" s="3" t="s">
        <v>61</v>
      </c>
      <c r="N45" s="3">
        <v>200179</v>
      </c>
      <c r="O45" s="3" t="s">
        <v>298</v>
      </c>
      <c r="P45" s="3"/>
      <c r="Q45" s="3"/>
      <c r="R45" s="3"/>
      <c r="S45" s="3" t="s">
        <v>75</v>
      </c>
      <c r="T45" s="3" t="s">
        <v>76</v>
      </c>
      <c r="U45" s="3">
        <v>1</v>
      </c>
      <c r="V45" s="9">
        <v>10000</v>
      </c>
      <c r="W45" s="3" t="s">
        <v>135</v>
      </c>
      <c r="X45" s="9">
        <v>10000</v>
      </c>
      <c r="Y45" s="3" t="s">
        <v>55</v>
      </c>
      <c r="Z45" s="3" t="s">
        <v>56</v>
      </c>
      <c r="AA45" s="14">
        <f t="shared" si="0"/>
        <v>9000</v>
      </c>
      <c r="AB45" s="14">
        <f t="shared" si="1"/>
        <v>8000</v>
      </c>
      <c r="AC45" s="14">
        <f t="shared" si="2"/>
        <v>7000</v>
      </c>
      <c r="AD45" s="3" t="s">
        <v>136</v>
      </c>
      <c r="AE45" s="3" t="s">
        <v>136</v>
      </c>
      <c r="AF45" s="3" t="s">
        <v>136</v>
      </c>
      <c r="AG45" s="42"/>
      <c r="AH45" s="42">
        <v>0</v>
      </c>
      <c r="AI45" s="42"/>
      <c r="AJ45" s="42"/>
      <c r="AK45" s="42"/>
      <c r="AL45" s="42">
        <v>10000</v>
      </c>
      <c r="AM45" s="42"/>
      <c r="AN45" s="42"/>
      <c r="AO45" s="42"/>
      <c r="AP45" s="42"/>
      <c r="AQ45" s="42"/>
      <c r="AR45" s="42"/>
      <c r="AS45" s="41">
        <v>10000</v>
      </c>
      <c r="AT45" s="3" t="s">
        <v>70</v>
      </c>
      <c r="AU45" s="15"/>
    </row>
    <row r="46" spans="1:47" ht="16.5" customHeight="1" x14ac:dyDescent="0.35">
      <c r="A46" s="3" t="s">
        <v>46</v>
      </c>
      <c r="B46" s="3" t="s">
        <v>46</v>
      </c>
      <c r="C46" s="3" t="s">
        <v>47</v>
      </c>
      <c r="D46" s="3">
        <v>847</v>
      </c>
      <c r="E46" s="3">
        <v>8470810</v>
      </c>
      <c r="F46" s="3" t="s">
        <v>48</v>
      </c>
      <c r="G46" s="3">
        <v>1</v>
      </c>
      <c r="H46" s="276">
        <v>426610</v>
      </c>
      <c r="I46" s="6" t="s">
        <v>74</v>
      </c>
      <c r="J46" s="3" t="s">
        <v>60</v>
      </c>
      <c r="K46" s="3" t="s">
        <v>50</v>
      </c>
      <c r="L46" s="6" t="s">
        <v>51</v>
      </c>
      <c r="M46" s="3" t="s">
        <v>61</v>
      </c>
      <c r="N46" s="3">
        <v>200179</v>
      </c>
      <c r="O46" s="3" t="s">
        <v>298</v>
      </c>
      <c r="P46" s="3"/>
      <c r="Q46" s="3"/>
      <c r="R46" s="3"/>
      <c r="S46" s="3" t="s">
        <v>75</v>
      </c>
      <c r="T46" s="3" t="s">
        <v>76</v>
      </c>
      <c r="U46" s="3">
        <v>1</v>
      </c>
      <c r="V46" s="9">
        <v>13000</v>
      </c>
      <c r="W46" s="3" t="s">
        <v>137</v>
      </c>
      <c r="X46" s="9">
        <v>13000</v>
      </c>
      <c r="Y46" s="3" t="s">
        <v>55</v>
      </c>
      <c r="Z46" s="3" t="s">
        <v>56</v>
      </c>
      <c r="AA46" s="14">
        <f t="shared" si="0"/>
        <v>11700</v>
      </c>
      <c r="AB46" s="14">
        <f t="shared" si="1"/>
        <v>10400</v>
      </c>
      <c r="AC46" s="14">
        <f t="shared" si="2"/>
        <v>9100</v>
      </c>
      <c r="AD46" s="3" t="s">
        <v>112</v>
      </c>
      <c r="AE46" s="3" t="s">
        <v>112</v>
      </c>
      <c r="AF46" s="3" t="s">
        <v>112</v>
      </c>
      <c r="AG46" s="42"/>
      <c r="AH46" s="42">
        <v>0</v>
      </c>
      <c r="AI46" s="42"/>
      <c r="AJ46" s="42"/>
      <c r="AK46" s="42"/>
      <c r="AL46" s="42">
        <v>13000</v>
      </c>
      <c r="AM46" s="42"/>
      <c r="AN46" s="42"/>
      <c r="AO46" s="42"/>
      <c r="AP46" s="42"/>
      <c r="AQ46" s="42"/>
      <c r="AR46" s="42"/>
      <c r="AS46" s="41">
        <v>13000</v>
      </c>
      <c r="AT46" s="3" t="s">
        <v>70</v>
      </c>
      <c r="AU46" s="15"/>
    </row>
    <row r="47" spans="1:47" ht="16.5" customHeight="1" x14ac:dyDescent="0.35">
      <c r="A47" s="3" t="s">
        <v>46</v>
      </c>
      <c r="B47" s="3" t="s">
        <v>46</v>
      </c>
      <c r="C47" s="3" t="s">
        <v>47</v>
      </c>
      <c r="D47" s="3">
        <v>847</v>
      </c>
      <c r="E47" s="3">
        <v>8470810</v>
      </c>
      <c r="F47" s="3" t="s">
        <v>48</v>
      </c>
      <c r="G47" s="3">
        <v>1</v>
      </c>
      <c r="H47" s="276">
        <v>426610</v>
      </c>
      <c r="I47" s="6" t="s">
        <v>74</v>
      </c>
      <c r="J47" s="3" t="s">
        <v>60</v>
      </c>
      <c r="K47" s="3" t="s">
        <v>50</v>
      </c>
      <c r="L47" s="6" t="s">
        <v>51</v>
      </c>
      <c r="M47" s="3" t="s">
        <v>61</v>
      </c>
      <c r="N47" s="3">
        <v>200179</v>
      </c>
      <c r="O47" s="3" t="s">
        <v>298</v>
      </c>
      <c r="P47" s="3"/>
      <c r="Q47" s="3"/>
      <c r="R47" s="3"/>
      <c r="S47" s="3" t="s">
        <v>75</v>
      </c>
      <c r="T47" s="3" t="s">
        <v>76</v>
      </c>
      <c r="U47" s="3">
        <v>1</v>
      </c>
      <c r="V47" s="9">
        <v>12000</v>
      </c>
      <c r="W47" s="3" t="s">
        <v>138</v>
      </c>
      <c r="X47" s="9">
        <v>12000</v>
      </c>
      <c r="Y47" s="3" t="s">
        <v>55</v>
      </c>
      <c r="Z47" s="3" t="s">
        <v>56</v>
      </c>
      <c r="AA47" s="14">
        <f t="shared" si="0"/>
        <v>10800</v>
      </c>
      <c r="AB47" s="14">
        <f t="shared" si="1"/>
        <v>9600</v>
      </c>
      <c r="AC47" s="14">
        <f t="shared" si="2"/>
        <v>8400</v>
      </c>
      <c r="AD47" s="3" t="s">
        <v>112</v>
      </c>
      <c r="AE47" s="3" t="s">
        <v>112</v>
      </c>
      <c r="AF47" s="3" t="s">
        <v>112</v>
      </c>
      <c r="AG47" s="42"/>
      <c r="AH47" s="42">
        <v>0</v>
      </c>
      <c r="AI47" s="42"/>
      <c r="AJ47" s="42"/>
      <c r="AK47" s="42"/>
      <c r="AL47" s="42">
        <v>12000</v>
      </c>
      <c r="AM47" s="42"/>
      <c r="AN47" s="42"/>
      <c r="AO47" s="42"/>
      <c r="AP47" s="42"/>
      <c r="AQ47" s="42"/>
      <c r="AR47" s="42"/>
      <c r="AS47" s="41">
        <v>12000</v>
      </c>
      <c r="AT47" s="3" t="s">
        <v>70</v>
      </c>
      <c r="AU47" s="15"/>
    </row>
    <row r="48" spans="1:47" ht="16.5" customHeight="1" x14ac:dyDescent="0.35">
      <c r="A48" s="3" t="s">
        <v>46</v>
      </c>
      <c r="B48" s="3" t="s">
        <v>46</v>
      </c>
      <c r="C48" s="3" t="s">
        <v>47</v>
      </c>
      <c r="D48" s="3">
        <v>847</v>
      </c>
      <c r="E48" s="3">
        <v>8470810</v>
      </c>
      <c r="F48" s="3" t="s">
        <v>48</v>
      </c>
      <c r="G48" s="3">
        <v>1</v>
      </c>
      <c r="H48" s="276">
        <v>426610</v>
      </c>
      <c r="I48" s="6" t="s">
        <v>74</v>
      </c>
      <c r="J48" s="3" t="s">
        <v>60</v>
      </c>
      <c r="K48" s="3" t="s">
        <v>50</v>
      </c>
      <c r="L48" s="6" t="s">
        <v>51</v>
      </c>
      <c r="M48" s="3" t="s">
        <v>61</v>
      </c>
      <c r="N48" s="3">
        <v>200179</v>
      </c>
      <c r="O48" s="3" t="s">
        <v>298</v>
      </c>
      <c r="P48" s="3"/>
      <c r="Q48" s="3"/>
      <c r="R48" s="3"/>
      <c r="S48" s="3" t="s">
        <v>75</v>
      </c>
      <c r="T48" s="3" t="s">
        <v>76</v>
      </c>
      <c r="U48" s="3">
        <v>1</v>
      </c>
      <c r="V48" s="9">
        <v>45000</v>
      </c>
      <c r="W48" s="3" t="s">
        <v>139</v>
      </c>
      <c r="X48" s="9">
        <v>45000</v>
      </c>
      <c r="Y48" s="3" t="s">
        <v>55</v>
      </c>
      <c r="Z48" s="3" t="s">
        <v>56</v>
      </c>
      <c r="AA48" s="14">
        <f t="shared" si="0"/>
        <v>40500</v>
      </c>
      <c r="AB48" s="14">
        <f t="shared" si="1"/>
        <v>36000</v>
      </c>
      <c r="AC48" s="14">
        <f t="shared" si="2"/>
        <v>31499.999999999996</v>
      </c>
      <c r="AD48" s="3" t="s">
        <v>112</v>
      </c>
      <c r="AE48" s="3" t="s">
        <v>112</v>
      </c>
      <c r="AF48" s="3" t="s">
        <v>112</v>
      </c>
      <c r="AG48" s="42"/>
      <c r="AH48" s="42">
        <v>0</v>
      </c>
      <c r="AI48" s="42"/>
      <c r="AJ48" s="42"/>
      <c r="AK48" s="42"/>
      <c r="AL48" s="42">
        <v>45000</v>
      </c>
      <c r="AM48" s="42"/>
      <c r="AN48" s="42"/>
      <c r="AO48" s="42"/>
      <c r="AP48" s="42"/>
      <c r="AQ48" s="42"/>
      <c r="AR48" s="42"/>
      <c r="AS48" s="41">
        <v>45000</v>
      </c>
      <c r="AT48" s="3" t="s">
        <v>70</v>
      </c>
      <c r="AU48" s="15"/>
    </row>
    <row r="49" spans="1:47" ht="16.5" customHeight="1" x14ac:dyDescent="0.35">
      <c r="A49" s="3" t="s">
        <v>46</v>
      </c>
      <c r="B49" s="3" t="s">
        <v>46</v>
      </c>
      <c r="C49" s="3" t="s">
        <v>47</v>
      </c>
      <c r="D49" s="3">
        <v>847</v>
      </c>
      <c r="E49" s="3">
        <v>8470810</v>
      </c>
      <c r="F49" s="3" t="s">
        <v>48</v>
      </c>
      <c r="G49" s="3">
        <v>1</v>
      </c>
      <c r="H49" s="276">
        <v>426610</v>
      </c>
      <c r="I49" s="6" t="s">
        <v>74</v>
      </c>
      <c r="J49" s="3" t="s">
        <v>60</v>
      </c>
      <c r="K49" s="3" t="s">
        <v>50</v>
      </c>
      <c r="L49" s="6" t="s">
        <v>51</v>
      </c>
      <c r="M49" s="3" t="s">
        <v>61</v>
      </c>
      <c r="N49" s="3">
        <v>200179</v>
      </c>
      <c r="O49" s="3" t="s">
        <v>298</v>
      </c>
      <c r="P49" s="3"/>
      <c r="Q49" s="3"/>
      <c r="R49" s="3"/>
      <c r="S49" s="3" t="s">
        <v>75</v>
      </c>
      <c r="T49" s="3" t="s">
        <v>76</v>
      </c>
      <c r="U49" s="3">
        <v>1</v>
      </c>
      <c r="V49" s="9">
        <v>35000</v>
      </c>
      <c r="W49" s="3" t="s">
        <v>140</v>
      </c>
      <c r="X49" s="9">
        <v>35000</v>
      </c>
      <c r="Y49" s="3" t="s">
        <v>55</v>
      </c>
      <c r="Z49" s="3" t="s">
        <v>56</v>
      </c>
      <c r="AA49" s="14">
        <f t="shared" si="0"/>
        <v>31500</v>
      </c>
      <c r="AB49" s="14">
        <f t="shared" si="1"/>
        <v>28000</v>
      </c>
      <c r="AC49" s="14">
        <f t="shared" si="2"/>
        <v>24500</v>
      </c>
      <c r="AD49" s="3" t="s">
        <v>112</v>
      </c>
      <c r="AE49" s="3" t="s">
        <v>112</v>
      </c>
      <c r="AF49" s="3" t="s">
        <v>112</v>
      </c>
      <c r="AG49" s="42"/>
      <c r="AH49" s="42">
        <v>0</v>
      </c>
      <c r="AI49" s="42"/>
      <c r="AJ49" s="42"/>
      <c r="AK49" s="42"/>
      <c r="AL49" s="42">
        <v>35000</v>
      </c>
      <c r="AM49" s="42"/>
      <c r="AN49" s="42"/>
      <c r="AO49" s="42"/>
      <c r="AP49" s="42"/>
      <c r="AQ49" s="42"/>
      <c r="AR49" s="42"/>
      <c r="AS49" s="41">
        <v>35000</v>
      </c>
      <c r="AT49" s="3" t="s">
        <v>70</v>
      </c>
      <c r="AU49" s="15"/>
    </row>
    <row r="50" spans="1:47" ht="16.5" customHeight="1" x14ac:dyDescent="0.35">
      <c r="A50" s="3" t="s">
        <v>63</v>
      </c>
      <c r="B50" s="3" t="s">
        <v>58</v>
      </c>
      <c r="C50" s="3" t="s">
        <v>47</v>
      </c>
      <c r="D50" s="3">
        <v>847</v>
      </c>
      <c r="E50" s="3">
        <v>8470810</v>
      </c>
      <c r="F50" s="3" t="s">
        <v>48</v>
      </c>
      <c r="G50" s="3">
        <v>1</v>
      </c>
      <c r="H50" s="276">
        <v>427810</v>
      </c>
      <c r="I50" s="6" t="s">
        <v>141</v>
      </c>
      <c r="J50" s="3" t="s">
        <v>60</v>
      </c>
      <c r="K50" s="3" t="s">
        <v>50</v>
      </c>
      <c r="L50" s="6" t="s">
        <v>51</v>
      </c>
      <c r="M50" s="3" t="s">
        <v>61</v>
      </c>
      <c r="N50" s="3">
        <v>200179</v>
      </c>
      <c r="O50" s="3" t="s">
        <v>142</v>
      </c>
      <c r="P50" s="3">
        <v>1000636.43</v>
      </c>
      <c r="Q50" s="3">
        <v>800000</v>
      </c>
      <c r="R50" s="3">
        <v>800000</v>
      </c>
      <c r="S50" s="3" t="s">
        <v>143</v>
      </c>
      <c r="T50" s="3" t="s">
        <v>68</v>
      </c>
      <c r="U50" s="3">
        <v>12</v>
      </c>
      <c r="V50" s="9">
        <v>30000</v>
      </c>
      <c r="W50" s="3" t="s">
        <v>144</v>
      </c>
      <c r="X50" s="9">
        <v>360000</v>
      </c>
      <c r="Y50" s="3" t="s">
        <v>55</v>
      </c>
      <c r="Z50" s="3" t="s">
        <v>56</v>
      </c>
      <c r="AA50" s="14">
        <f t="shared" si="0"/>
        <v>324000</v>
      </c>
      <c r="AB50" s="14">
        <f t="shared" si="1"/>
        <v>288000</v>
      </c>
      <c r="AC50" s="14">
        <f t="shared" si="2"/>
        <v>251999.99999999997</v>
      </c>
      <c r="AD50" s="3" t="s">
        <v>145</v>
      </c>
      <c r="AE50" s="3" t="s">
        <v>145</v>
      </c>
      <c r="AF50" s="3" t="s">
        <v>145</v>
      </c>
      <c r="AG50" s="42">
        <v>30000</v>
      </c>
      <c r="AH50" s="42">
        <v>30000</v>
      </c>
      <c r="AI50" s="42">
        <v>30000</v>
      </c>
      <c r="AJ50" s="42">
        <v>30000</v>
      </c>
      <c r="AK50" s="42">
        <v>30000</v>
      </c>
      <c r="AL50" s="42">
        <v>30000</v>
      </c>
      <c r="AM50" s="42">
        <v>30000</v>
      </c>
      <c r="AN50" s="42">
        <v>30000</v>
      </c>
      <c r="AO50" s="42">
        <v>30000</v>
      </c>
      <c r="AP50" s="42">
        <v>30000</v>
      </c>
      <c r="AQ50" s="42">
        <v>30000</v>
      </c>
      <c r="AR50" s="42">
        <v>30000</v>
      </c>
      <c r="AS50" s="41">
        <v>360000</v>
      </c>
      <c r="AT50" s="3" t="s">
        <v>70</v>
      </c>
      <c r="AU50" s="15"/>
    </row>
    <row r="51" spans="1:47" ht="16.5" customHeight="1" x14ac:dyDescent="0.35">
      <c r="A51" s="3" t="s">
        <v>63</v>
      </c>
      <c r="B51" s="3" t="s">
        <v>58</v>
      </c>
      <c r="C51" s="3" t="s">
        <v>47</v>
      </c>
      <c r="D51" s="3">
        <v>847</v>
      </c>
      <c r="E51" s="3">
        <v>8470810</v>
      </c>
      <c r="F51" s="3" t="s">
        <v>48</v>
      </c>
      <c r="G51" s="3">
        <v>1</v>
      </c>
      <c r="H51" s="276">
        <v>427810</v>
      </c>
      <c r="I51" s="6" t="s">
        <v>141</v>
      </c>
      <c r="J51" s="3" t="s">
        <v>60</v>
      </c>
      <c r="K51" s="3" t="s">
        <v>50</v>
      </c>
      <c r="L51" s="6" t="s">
        <v>51</v>
      </c>
      <c r="M51" s="3" t="s">
        <v>61</v>
      </c>
      <c r="N51" s="3">
        <v>200179</v>
      </c>
      <c r="O51" s="3" t="s">
        <v>142</v>
      </c>
      <c r="P51" s="3"/>
      <c r="Q51" s="3"/>
      <c r="R51" s="3"/>
      <c r="S51" s="3" t="s">
        <v>146</v>
      </c>
      <c r="T51" s="3" t="s">
        <v>68</v>
      </c>
      <c r="U51" s="3">
        <v>12</v>
      </c>
      <c r="V51" s="9">
        <v>38400</v>
      </c>
      <c r="W51" s="3" t="s">
        <v>147</v>
      </c>
      <c r="X51" s="9">
        <v>460800</v>
      </c>
      <c r="Y51" s="3"/>
      <c r="Z51" s="3"/>
      <c r="AA51" s="14">
        <f t="shared" si="0"/>
        <v>414720</v>
      </c>
      <c r="AB51" s="14">
        <f t="shared" si="1"/>
        <v>368640</v>
      </c>
      <c r="AC51" s="14">
        <f t="shared" si="2"/>
        <v>322560</v>
      </c>
      <c r="AD51" s="3" t="s">
        <v>145</v>
      </c>
      <c r="AE51" s="3" t="s">
        <v>145</v>
      </c>
      <c r="AF51" s="3" t="s">
        <v>145</v>
      </c>
      <c r="AG51" s="42">
        <v>38400</v>
      </c>
      <c r="AH51" s="42">
        <v>38400</v>
      </c>
      <c r="AI51" s="42">
        <v>38400</v>
      </c>
      <c r="AJ51" s="42">
        <v>38400</v>
      </c>
      <c r="AK51" s="42">
        <v>38400</v>
      </c>
      <c r="AL51" s="42">
        <v>38400</v>
      </c>
      <c r="AM51" s="42">
        <v>38400</v>
      </c>
      <c r="AN51" s="42">
        <v>38400</v>
      </c>
      <c r="AO51" s="42">
        <v>38400</v>
      </c>
      <c r="AP51" s="42">
        <v>38400</v>
      </c>
      <c r="AQ51" s="42">
        <v>38400</v>
      </c>
      <c r="AR51" s="42">
        <v>38400</v>
      </c>
      <c r="AS51" s="41">
        <v>460800</v>
      </c>
      <c r="AT51" s="3" t="s">
        <v>70</v>
      </c>
      <c r="AU51" s="15"/>
    </row>
    <row r="52" spans="1:47" ht="16.5" customHeight="1" x14ac:dyDescent="0.35">
      <c r="A52" s="3" t="s">
        <v>63</v>
      </c>
      <c r="B52" s="3" t="s">
        <v>58</v>
      </c>
      <c r="C52" s="3" t="s">
        <v>47</v>
      </c>
      <c r="D52" s="3">
        <v>847</v>
      </c>
      <c r="E52" s="3">
        <v>8470810</v>
      </c>
      <c r="F52" s="3" t="s">
        <v>48</v>
      </c>
      <c r="G52" s="3">
        <v>1</v>
      </c>
      <c r="H52" s="276">
        <v>427850</v>
      </c>
      <c r="I52" s="6" t="s">
        <v>148</v>
      </c>
      <c r="J52" s="3" t="s">
        <v>60</v>
      </c>
      <c r="K52" s="3" t="s">
        <v>50</v>
      </c>
      <c r="L52" s="6" t="s">
        <v>51</v>
      </c>
      <c r="M52" s="3" t="s">
        <v>61</v>
      </c>
      <c r="N52" s="3">
        <v>200179</v>
      </c>
      <c r="O52" s="3" t="s">
        <v>149</v>
      </c>
      <c r="P52" s="3">
        <v>2812668.59</v>
      </c>
      <c r="Q52" s="3">
        <v>2618028</v>
      </c>
      <c r="R52" s="3">
        <v>2618028</v>
      </c>
      <c r="S52" s="3" t="s">
        <v>150</v>
      </c>
      <c r="T52" s="3" t="s">
        <v>68</v>
      </c>
      <c r="U52" s="3">
        <v>12</v>
      </c>
      <c r="V52" s="9">
        <v>168169</v>
      </c>
      <c r="W52" s="3" t="s">
        <v>151</v>
      </c>
      <c r="X52" s="9">
        <v>2018028</v>
      </c>
      <c r="Y52" s="3" t="s">
        <v>55</v>
      </c>
      <c r="Z52" s="3" t="s">
        <v>56</v>
      </c>
      <c r="AA52" s="14">
        <f t="shared" si="0"/>
        <v>1816225.2</v>
      </c>
      <c r="AB52" s="14">
        <f t="shared" si="1"/>
        <v>1614422.4000000001</v>
      </c>
      <c r="AC52" s="14">
        <f t="shared" si="2"/>
        <v>1412619.5999999999</v>
      </c>
      <c r="AD52" s="3" t="s">
        <v>152</v>
      </c>
      <c r="AE52" s="3" t="s">
        <v>152</v>
      </c>
      <c r="AF52" s="3" t="s">
        <v>152</v>
      </c>
      <c r="AG52" s="42">
        <v>168169</v>
      </c>
      <c r="AH52" s="42">
        <v>168169</v>
      </c>
      <c r="AI52" s="42">
        <v>168169</v>
      </c>
      <c r="AJ52" s="42">
        <v>168169</v>
      </c>
      <c r="AK52" s="42">
        <v>168169</v>
      </c>
      <c r="AL52" s="42">
        <v>168169</v>
      </c>
      <c r="AM52" s="42">
        <v>168169</v>
      </c>
      <c r="AN52" s="42">
        <v>168169</v>
      </c>
      <c r="AO52" s="42">
        <v>168169</v>
      </c>
      <c r="AP52" s="42">
        <v>168169</v>
      </c>
      <c r="AQ52" s="42">
        <v>168169</v>
      </c>
      <c r="AR52" s="42">
        <v>168169</v>
      </c>
      <c r="AS52" s="41">
        <v>2018028</v>
      </c>
      <c r="AT52" s="3" t="s">
        <v>70</v>
      </c>
      <c r="AU52" s="15"/>
    </row>
    <row r="53" spans="1:47" ht="16.5" customHeight="1" x14ac:dyDescent="0.35">
      <c r="A53" s="3" t="s">
        <v>153</v>
      </c>
      <c r="B53" s="3" t="s">
        <v>58</v>
      </c>
      <c r="C53" s="3" t="s">
        <v>47</v>
      </c>
      <c r="D53" s="3">
        <v>847</v>
      </c>
      <c r="E53" s="3">
        <v>8470810</v>
      </c>
      <c r="F53" s="3" t="s">
        <v>48</v>
      </c>
      <c r="G53" s="3">
        <v>1</v>
      </c>
      <c r="H53" s="276">
        <v>428090</v>
      </c>
      <c r="I53" s="6" t="s">
        <v>154</v>
      </c>
      <c r="J53" s="3" t="s">
        <v>60</v>
      </c>
      <c r="K53" s="3" t="s">
        <v>50</v>
      </c>
      <c r="L53" s="6" t="s">
        <v>51</v>
      </c>
      <c r="M53" s="3" t="s">
        <v>61</v>
      </c>
      <c r="N53" s="3">
        <v>200179</v>
      </c>
      <c r="O53" s="3" t="s">
        <v>155</v>
      </c>
      <c r="P53" s="3">
        <v>0</v>
      </c>
      <c r="Q53" s="3">
        <v>11500</v>
      </c>
      <c r="R53" s="3">
        <v>11500</v>
      </c>
      <c r="S53" s="3" t="s">
        <v>156</v>
      </c>
      <c r="T53" s="3" t="s">
        <v>157</v>
      </c>
      <c r="U53" s="3">
        <v>6</v>
      </c>
      <c r="V53" s="9">
        <v>4000</v>
      </c>
      <c r="W53" s="3" t="s">
        <v>158</v>
      </c>
      <c r="X53" s="9">
        <v>24000</v>
      </c>
      <c r="Y53" s="3" t="s">
        <v>55</v>
      </c>
      <c r="Z53" s="3" t="s">
        <v>56</v>
      </c>
      <c r="AA53" s="14">
        <f t="shared" si="0"/>
        <v>21600</v>
      </c>
      <c r="AB53" s="14">
        <f t="shared" si="1"/>
        <v>19200</v>
      </c>
      <c r="AC53" s="14">
        <f t="shared" si="2"/>
        <v>16800</v>
      </c>
      <c r="AD53" s="3" t="s">
        <v>159</v>
      </c>
      <c r="AE53" s="3" t="s">
        <v>159</v>
      </c>
      <c r="AF53" s="3" t="s">
        <v>159</v>
      </c>
      <c r="AG53" s="42"/>
      <c r="AH53" s="42">
        <v>0</v>
      </c>
      <c r="AI53" s="42"/>
      <c r="AJ53" s="42">
        <v>8000</v>
      </c>
      <c r="AK53" s="42"/>
      <c r="AL53" s="42">
        <v>8000</v>
      </c>
      <c r="AM53" s="42"/>
      <c r="AN53" s="42"/>
      <c r="AO53" s="42">
        <v>8000</v>
      </c>
      <c r="AP53" s="42"/>
      <c r="AQ53" s="42"/>
      <c r="AR53" s="42"/>
      <c r="AS53" s="41">
        <v>24000</v>
      </c>
      <c r="AT53" s="3" t="s">
        <v>70</v>
      </c>
      <c r="AU53" s="15"/>
    </row>
    <row r="54" spans="1:47" ht="16.5" customHeight="1" x14ac:dyDescent="0.35">
      <c r="A54" s="3" t="s">
        <v>63</v>
      </c>
      <c r="B54" s="3" t="s">
        <v>58</v>
      </c>
      <c r="C54" s="3" t="s">
        <v>47</v>
      </c>
      <c r="D54" s="3">
        <v>847</v>
      </c>
      <c r="E54" s="3">
        <v>8470810</v>
      </c>
      <c r="F54" s="3" t="s">
        <v>48</v>
      </c>
      <c r="G54" s="3">
        <v>1</v>
      </c>
      <c r="H54" s="276">
        <v>430230</v>
      </c>
      <c r="I54" s="6" t="s">
        <v>160</v>
      </c>
      <c r="J54" s="3" t="s">
        <v>60</v>
      </c>
      <c r="K54" s="3" t="s">
        <v>50</v>
      </c>
      <c r="L54" s="6" t="s">
        <v>51</v>
      </c>
      <c r="M54" s="3" t="s">
        <v>61</v>
      </c>
      <c r="N54" s="3">
        <v>200179</v>
      </c>
      <c r="O54" s="3" t="s">
        <v>325</v>
      </c>
      <c r="P54" s="3">
        <v>2593733.34</v>
      </c>
      <c r="Q54" s="3">
        <v>0</v>
      </c>
      <c r="R54" s="3"/>
      <c r="S54" s="3"/>
      <c r="T54" s="3" t="s">
        <v>62</v>
      </c>
      <c r="U54" s="3"/>
      <c r="V54" s="9"/>
      <c r="W54" s="3"/>
      <c r="X54" s="9">
        <v>0</v>
      </c>
      <c r="Y54" s="3"/>
      <c r="Z54" s="3"/>
      <c r="AA54" s="14">
        <f t="shared" si="0"/>
        <v>0</v>
      </c>
      <c r="AB54" s="14">
        <f t="shared" si="1"/>
        <v>0</v>
      </c>
      <c r="AC54" s="14">
        <f t="shared" si="2"/>
        <v>0</v>
      </c>
      <c r="AD54" s="3"/>
      <c r="AE54" s="3"/>
      <c r="AF54" s="3"/>
      <c r="AG54" s="42"/>
      <c r="AH54" s="42">
        <v>0</v>
      </c>
      <c r="AI54" s="42"/>
      <c r="AJ54" s="42"/>
      <c r="AK54" s="42"/>
      <c r="AL54" s="42"/>
      <c r="AM54" s="42"/>
      <c r="AN54" s="42"/>
      <c r="AO54" s="42"/>
      <c r="AP54" s="42"/>
      <c r="AQ54" s="42"/>
      <c r="AR54" s="42"/>
      <c r="AS54" s="41">
        <v>0</v>
      </c>
      <c r="AT54" s="3"/>
      <c r="AU54" s="15"/>
    </row>
    <row r="55" spans="1:47" ht="16.5" customHeight="1" x14ac:dyDescent="0.35">
      <c r="A55" s="3" t="s">
        <v>161</v>
      </c>
      <c r="B55" s="3" t="s">
        <v>64</v>
      </c>
      <c r="C55" s="3" t="s">
        <v>47</v>
      </c>
      <c r="D55" s="3">
        <v>847</v>
      </c>
      <c r="E55" s="3">
        <v>8470810</v>
      </c>
      <c r="F55" s="3" t="s">
        <v>48</v>
      </c>
      <c r="G55" s="3">
        <v>1</v>
      </c>
      <c r="H55" s="276">
        <v>430250</v>
      </c>
      <c r="I55" s="6" t="s">
        <v>162</v>
      </c>
      <c r="J55" s="3" t="s">
        <v>60</v>
      </c>
      <c r="K55" s="3" t="s">
        <v>50</v>
      </c>
      <c r="L55" s="6" t="s">
        <v>51</v>
      </c>
      <c r="M55" s="3" t="s">
        <v>61</v>
      </c>
      <c r="N55" s="3">
        <v>200179</v>
      </c>
      <c r="O55" s="3" t="s">
        <v>163</v>
      </c>
      <c r="P55" s="3" t="s">
        <v>46</v>
      </c>
      <c r="Q55" s="3">
        <v>1021317</v>
      </c>
      <c r="R55" s="3">
        <v>1021317</v>
      </c>
      <c r="S55" s="3" t="s">
        <v>164</v>
      </c>
      <c r="T55" s="3" t="s">
        <v>157</v>
      </c>
      <c r="U55" s="3">
        <v>1203</v>
      </c>
      <c r="V55" s="9">
        <v>1550</v>
      </c>
      <c r="W55" s="3" t="s">
        <v>165</v>
      </c>
      <c r="X55" s="9">
        <v>1864650</v>
      </c>
      <c r="Y55" s="3" t="s">
        <v>55</v>
      </c>
      <c r="Z55" s="3" t="s">
        <v>56</v>
      </c>
      <c r="AA55" s="14">
        <f t="shared" si="0"/>
        <v>1678185</v>
      </c>
      <c r="AB55" s="14">
        <f t="shared" si="1"/>
        <v>1491720</v>
      </c>
      <c r="AC55" s="14">
        <f t="shared" si="2"/>
        <v>1305255</v>
      </c>
      <c r="AD55" s="3" t="s">
        <v>166</v>
      </c>
      <c r="AE55" s="3" t="s">
        <v>166</v>
      </c>
      <c r="AF55" s="3" t="s">
        <v>166</v>
      </c>
      <c r="AG55" s="42"/>
      <c r="AH55" s="42">
        <v>0</v>
      </c>
      <c r="AI55" s="42"/>
      <c r="AJ55" s="42">
        <v>1864650</v>
      </c>
      <c r="AK55" s="42"/>
      <c r="AL55" s="42"/>
      <c r="AM55" s="42"/>
      <c r="AN55" s="42"/>
      <c r="AO55" s="42"/>
      <c r="AP55" s="42"/>
      <c r="AQ55" s="42"/>
      <c r="AR55" s="42"/>
      <c r="AS55" s="41">
        <v>1864650</v>
      </c>
      <c r="AT55" s="3" t="s">
        <v>70</v>
      </c>
      <c r="AU55" s="15"/>
    </row>
    <row r="56" spans="1:47" ht="16.5" customHeight="1" x14ac:dyDescent="0.35">
      <c r="A56" s="3" t="s">
        <v>63</v>
      </c>
      <c r="B56" s="3" t="s">
        <v>64</v>
      </c>
      <c r="C56" s="3" t="s">
        <v>47</v>
      </c>
      <c r="D56" s="3">
        <v>847</v>
      </c>
      <c r="E56" s="3">
        <v>8470810</v>
      </c>
      <c r="F56" s="3" t="s">
        <v>48</v>
      </c>
      <c r="G56" s="3">
        <v>1</v>
      </c>
      <c r="H56" s="276">
        <v>432205</v>
      </c>
      <c r="I56" s="6" t="s">
        <v>167</v>
      </c>
      <c r="J56" s="3" t="s">
        <v>60</v>
      </c>
      <c r="K56" s="3" t="s">
        <v>50</v>
      </c>
      <c r="L56" s="6" t="s">
        <v>51</v>
      </c>
      <c r="M56" s="3" t="s">
        <v>61</v>
      </c>
      <c r="N56" s="3">
        <v>200179</v>
      </c>
      <c r="O56" s="3" t="s">
        <v>168</v>
      </c>
      <c r="P56" s="3">
        <v>12846395.300000001</v>
      </c>
      <c r="Q56" s="3">
        <v>1475000</v>
      </c>
      <c r="R56" s="3">
        <v>1475000</v>
      </c>
      <c r="S56" s="3" t="s">
        <v>169</v>
      </c>
      <c r="T56" s="3" t="s">
        <v>68</v>
      </c>
      <c r="U56" s="3">
        <v>12</v>
      </c>
      <c r="V56" s="9">
        <v>20000</v>
      </c>
      <c r="W56" s="3" t="s">
        <v>170</v>
      </c>
      <c r="X56" s="9">
        <v>240000</v>
      </c>
      <c r="Y56" s="3" t="s">
        <v>55</v>
      </c>
      <c r="Z56" s="3" t="s">
        <v>56</v>
      </c>
      <c r="AA56" s="14">
        <f t="shared" si="0"/>
        <v>216000</v>
      </c>
      <c r="AB56" s="14">
        <f t="shared" si="1"/>
        <v>192000</v>
      </c>
      <c r="AC56" s="14">
        <f t="shared" si="2"/>
        <v>168000</v>
      </c>
      <c r="AD56" s="3" t="s">
        <v>171</v>
      </c>
      <c r="AE56" s="3" t="s">
        <v>172</v>
      </c>
      <c r="AF56" s="3" t="s">
        <v>172</v>
      </c>
      <c r="AG56" s="42">
        <v>20000</v>
      </c>
      <c r="AH56" s="42">
        <v>20000</v>
      </c>
      <c r="AI56" s="42">
        <v>20000</v>
      </c>
      <c r="AJ56" s="42">
        <v>20000</v>
      </c>
      <c r="AK56" s="42">
        <v>20000</v>
      </c>
      <c r="AL56" s="42">
        <v>20000</v>
      </c>
      <c r="AM56" s="42">
        <v>20000</v>
      </c>
      <c r="AN56" s="42">
        <v>20000</v>
      </c>
      <c r="AO56" s="42">
        <v>20000</v>
      </c>
      <c r="AP56" s="42">
        <v>20000</v>
      </c>
      <c r="AQ56" s="42">
        <v>20000</v>
      </c>
      <c r="AR56" s="42">
        <v>20000</v>
      </c>
      <c r="AS56" s="41">
        <v>240000</v>
      </c>
      <c r="AT56" s="3" t="s">
        <v>70</v>
      </c>
      <c r="AU56" s="15"/>
    </row>
    <row r="57" spans="1:47" ht="16.5" customHeight="1" x14ac:dyDescent="0.35">
      <c r="A57" s="3" t="s">
        <v>63</v>
      </c>
      <c r="B57" s="3" t="s">
        <v>64</v>
      </c>
      <c r="C57" s="3" t="s">
        <v>47</v>
      </c>
      <c r="D57" s="3">
        <v>847</v>
      </c>
      <c r="E57" s="3">
        <v>8470810</v>
      </c>
      <c r="F57" s="3" t="s">
        <v>48</v>
      </c>
      <c r="G57" s="3">
        <v>1</v>
      </c>
      <c r="H57" s="276">
        <v>432205</v>
      </c>
      <c r="I57" s="6" t="s">
        <v>167</v>
      </c>
      <c r="J57" s="3" t="s">
        <v>60</v>
      </c>
      <c r="K57" s="3" t="s">
        <v>50</v>
      </c>
      <c r="L57" s="6" t="s">
        <v>51</v>
      </c>
      <c r="M57" s="3" t="s">
        <v>61</v>
      </c>
      <c r="N57" s="3">
        <v>200179</v>
      </c>
      <c r="O57" s="3" t="s">
        <v>168</v>
      </c>
      <c r="P57" s="3"/>
      <c r="Q57" s="3"/>
      <c r="R57" s="3"/>
      <c r="S57" s="3" t="s">
        <v>173</v>
      </c>
      <c r="T57" s="3" t="s">
        <v>76</v>
      </c>
      <c r="U57" s="3">
        <v>1</v>
      </c>
      <c r="V57" s="9">
        <v>300000</v>
      </c>
      <c r="W57" s="3" t="s">
        <v>174</v>
      </c>
      <c r="X57" s="9">
        <v>300000</v>
      </c>
      <c r="Y57" s="3" t="s">
        <v>55</v>
      </c>
      <c r="Z57" s="3" t="s">
        <v>56</v>
      </c>
      <c r="AA57" s="14">
        <f t="shared" si="0"/>
        <v>270000</v>
      </c>
      <c r="AB57" s="14">
        <f t="shared" si="1"/>
        <v>240000</v>
      </c>
      <c r="AC57" s="14">
        <f t="shared" si="2"/>
        <v>210000</v>
      </c>
      <c r="AD57" s="3" t="s">
        <v>175</v>
      </c>
      <c r="AE57" s="3" t="s">
        <v>176</v>
      </c>
      <c r="AF57" s="3" t="s">
        <v>176</v>
      </c>
      <c r="AG57" s="42"/>
      <c r="AH57" s="42">
        <v>0</v>
      </c>
      <c r="AI57" s="42"/>
      <c r="AJ57" s="42">
        <v>100000</v>
      </c>
      <c r="AK57" s="42"/>
      <c r="AL57" s="42"/>
      <c r="AM57" s="42">
        <v>100000</v>
      </c>
      <c r="AN57" s="42"/>
      <c r="AO57" s="42"/>
      <c r="AP57" s="42">
        <v>100000</v>
      </c>
      <c r="AQ57" s="42"/>
      <c r="AR57" s="42"/>
      <c r="AS57" s="41">
        <v>300000</v>
      </c>
      <c r="AT57" s="3" t="s">
        <v>70</v>
      </c>
      <c r="AU57" s="15"/>
    </row>
    <row r="58" spans="1:47" ht="16.5" customHeight="1" x14ac:dyDescent="0.35">
      <c r="A58" s="3" t="s">
        <v>63</v>
      </c>
      <c r="B58" s="3" t="s">
        <v>64</v>
      </c>
      <c r="C58" s="3" t="s">
        <v>47</v>
      </c>
      <c r="D58" s="3">
        <v>847</v>
      </c>
      <c r="E58" s="3">
        <v>8470810</v>
      </c>
      <c r="F58" s="3" t="s">
        <v>48</v>
      </c>
      <c r="G58" s="3">
        <v>1</v>
      </c>
      <c r="H58" s="276">
        <v>432205</v>
      </c>
      <c r="I58" s="6" t="s">
        <v>167</v>
      </c>
      <c r="J58" s="3" t="s">
        <v>60</v>
      </c>
      <c r="K58" s="3" t="s">
        <v>50</v>
      </c>
      <c r="L58" s="6" t="s">
        <v>51</v>
      </c>
      <c r="M58" s="3" t="s">
        <v>61</v>
      </c>
      <c r="N58" s="3">
        <v>200179</v>
      </c>
      <c r="O58" s="3" t="s">
        <v>168</v>
      </c>
      <c r="P58" s="3"/>
      <c r="Q58" s="3"/>
      <c r="R58" s="3"/>
      <c r="S58" s="3" t="s">
        <v>173</v>
      </c>
      <c r="T58" s="3" t="s">
        <v>76</v>
      </c>
      <c r="U58" s="3">
        <v>1</v>
      </c>
      <c r="V58" s="9">
        <v>700000</v>
      </c>
      <c r="W58" s="3" t="s">
        <v>177</v>
      </c>
      <c r="X58" s="9">
        <v>700000</v>
      </c>
      <c r="Y58" s="3" t="s">
        <v>55</v>
      </c>
      <c r="Z58" s="3" t="s">
        <v>56</v>
      </c>
      <c r="AA58" s="14">
        <f t="shared" si="0"/>
        <v>630000</v>
      </c>
      <c r="AB58" s="14">
        <f t="shared" si="1"/>
        <v>560000</v>
      </c>
      <c r="AC58" s="14">
        <f t="shared" si="2"/>
        <v>489999.99999999994</v>
      </c>
      <c r="AD58" s="3" t="s">
        <v>178</v>
      </c>
      <c r="AE58" s="3" t="s">
        <v>178</v>
      </c>
      <c r="AF58" s="3" t="s">
        <v>178</v>
      </c>
      <c r="AG58" s="42"/>
      <c r="AH58" s="42">
        <v>0</v>
      </c>
      <c r="AI58" s="42"/>
      <c r="AJ58" s="42"/>
      <c r="AK58" s="42">
        <v>700000</v>
      </c>
      <c r="AL58" s="42"/>
      <c r="AM58" s="42"/>
      <c r="AN58" s="42"/>
      <c r="AO58" s="42"/>
      <c r="AP58" s="42"/>
      <c r="AQ58" s="42"/>
      <c r="AR58" s="42"/>
      <c r="AS58" s="41">
        <v>700000</v>
      </c>
      <c r="AT58" s="3" t="s">
        <v>70</v>
      </c>
      <c r="AU58" s="15"/>
    </row>
    <row r="59" spans="1:47" ht="16.5" customHeight="1" x14ac:dyDescent="0.35">
      <c r="A59" s="3" t="s">
        <v>63</v>
      </c>
      <c r="B59" s="3" t="s">
        <v>64</v>
      </c>
      <c r="C59" s="3" t="s">
        <v>47</v>
      </c>
      <c r="D59" s="3">
        <v>847</v>
      </c>
      <c r="E59" s="3">
        <v>8470810</v>
      </c>
      <c r="F59" s="3" t="s">
        <v>48</v>
      </c>
      <c r="G59" s="3">
        <v>1</v>
      </c>
      <c r="H59" s="276">
        <v>432205</v>
      </c>
      <c r="I59" s="6" t="s">
        <v>167</v>
      </c>
      <c r="J59" s="3" t="s">
        <v>60</v>
      </c>
      <c r="K59" s="3" t="s">
        <v>50</v>
      </c>
      <c r="L59" s="6" t="s">
        <v>51</v>
      </c>
      <c r="M59" s="3" t="s">
        <v>61</v>
      </c>
      <c r="N59" s="3">
        <v>200179</v>
      </c>
      <c r="O59" s="3" t="s">
        <v>168</v>
      </c>
      <c r="P59" s="3"/>
      <c r="Q59" s="3"/>
      <c r="R59" s="3"/>
      <c r="S59" s="3" t="s">
        <v>173</v>
      </c>
      <c r="T59" s="3" t="s">
        <v>76</v>
      </c>
      <c r="U59" s="3">
        <v>1</v>
      </c>
      <c r="V59" s="9">
        <v>550000</v>
      </c>
      <c r="W59" s="3" t="s">
        <v>179</v>
      </c>
      <c r="X59" s="9">
        <v>550000</v>
      </c>
      <c r="Y59" s="3" t="s">
        <v>55</v>
      </c>
      <c r="Z59" s="3" t="s">
        <v>56</v>
      </c>
      <c r="AA59" s="14">
        <f t="shared" si="0"/>
        <v>495000</v>
      </c>
      <c r="AB59" s="14">
        <f t="shared" si="1"/>
        <v>440000</v>
      </c>
      <c r="AC59" s="14">
        <f t="shared" si="2"/>
        <v>385000</v>
      </c>
      <c r="AD59" s="3" t="s">
        <v>180</v>
      </c>
      <c r="AE59" s="3" t="s">
        <v>180</v>
      </c>
      <c r="AF59" s="3" t="s">
        <v>180</v>
      </c>
      <c r="AG59" s="42"/>
      <c r="AH59" s="42">
        <v>0</v>
      </c>
      <c r="AI59" s="42"/>
      <c r="AJ59" s="42"/>
      <c r="AK59" s="42"/>
      <c r="AL59" s="42"/>
      <c r="AM59" s="42"/>
      <c r="AN59" s="42">
        <v>550000</v>
      </c>
      <c r="AO59" s="42"/>
      <c r="AP59" s="42"/>
      <c r="AQ59" s="42"/>
      <c r="AR59" s="42"/>
      <c r="AS59" s="41">
        <v>550000</v>
      </c>
      <c r="AT59" s="3" t="s">
        <v>70</v>
      </c>
      <c r="AU59" s="15"/>
    </row>
    <row r="60" spans="1:47" ht="16.5" customHeight="1" x14ac:dyDescent="0.35">
      <c r="A60" s="3" t="s">
        <v>63</v>
      </c>
      <c r="B60" s="3" t="s">
        <v>64</v>
      </c>
      <c r="C60" s="3" t="s">
        <v>47</v>
      </c>
      <c r="D60" s="3">
        <v>847</v>
      </c>
      <c r="E60" s="3">
        <v>8470810</v>
      </c>
      <c r="F60" s="3" t="s">
        <v>48</v>
      </c>
      <c r="G60" s="3">
        <v>1</v>
      </c>
      <c r="H60" s="276">
        <v>432205</v>
      </c>
      <c r="I60" s="6" t="s">
        <v>167</v>
      </c>
      <c r="J60" s="3" t="s">
        <v>60</v>
      </c>
      <c r="K60" s="3" t="s">
        <v>50</v>
      </c>
      <c r="L60" s="6" t="s">
        <v>51</v>
      </c>
      <c r="M60" s="3" t="s">
        <v>61</v>
      </c>
      <c r="N60" s="3">
        <v>200179</v>
      </c>
      <c r="O60" s="3" t="s">
        <v>168</v>
      </c>
      <c r="P60" s="3"/>
      <c r="Q60" s="3"/>
      <c r="R60" s="3"/>
      <c r="S60" s="3" t="s">
        <v>173</v>
      </c>
      <c r="T60" s="3" t="s">
        <v>76</v>
      </c>
      <c r="U60" s="3">
        <v>1</v>
      </c>
      <c r="V60" s="9">
        <v>90000</v>
      </c>
      <c r="W60" s="3" t="s">
        <v>181</v>
      </c>
      <c r="X60" s="9">
        <v>90000</v>
      </c>
      <c r="Y60" s="3" t="s">
        <v>55</v>
      </c>
      <c r="Z60" s="3" t="s">
        <v>56</v>
      </c>
      <c r="AA60" s="14">
        <f t="shared" si="0"/>
        <v>81000</v>
      </c>
      <c r="AB60" s="14">
        <f t="shared" si="1"/>
        <v>72000</v>
      </c>
      <c r="AC60" s="14">
        <f t="shared" si="2"/>
        <v>62999.999999999993</v>
      </c>
      <c r="AD60" s="3" t="s">
        <v>182</v>
      </c>
      <c r="AE60" s="3" t="s">
        <v>182</v>
      </c>
      <c r="AF60" s="3" t="s">
        <v>182</v>
      </c>
      <c r="AG60" s="42"/>
      <c r="AH60" s="42">
        <v>0</v>
      </c>
      <c r="AI60" s="42"/>
      <c r="AJ60" s="42"/>
      <c r="AK60" s="42">
        <v>90000</v>
      </c>
      <c r="AL60" s="42"/>
      <c r="AM60" s="42"/>
      <c r="AN60" s="42"/>
      <c r="AO60" s="42"/>
      <c r="AP60" s="42"/>
      <c r="AQ60" s="42"/>
      <c r="AR60" s="42"/>
      <c r="AS60" s="41">
        <v>90000</v>
      </c>
      <c r="AT60" s="3" t="s">
        <v>70</v>
      </c>
      <c r="AU60" s="15"/>
    </row>
    <row r="61" spans="1:47" ht="16.5" customHeight="1" x14ac:dyDescent="0.35">
      <c r="A61" s="3" t="s">
        <v>63</v>
      </c>
      <c r="B61" s="3" t="s">
        <v>64</v>
      </c>
      <c r="C61" s="3" t="s">
        <v>47</v>
      </c>
      <c r="D61" s="3">
        <v>847</v>
      </c>
      <c r="E61" s="3">
        <v>8470810</v>
      </c>
      <c r="F61" s="3" t="s">
        <v>48</v>
      </c>
      <c r="G61" s="3">
        <v>1</v>
      </c>
      <c r="H61" s="276">
        <v>432205</v>
      </c>
      <c r="I61" s="6" t="s">
        <v>167</v>
      </c>
      <c r="J61" s="3" t="s">
        <v>60</v>
      </c>
      <c r="K61" s="3" t="s">
        <v>50</v>
      </c>
      <c r="L61" s="6" t="s">
        <v>51</v>
      </c>
      <c r="M61" s="3" t="s">
        <v>61</v>
      </c>
      <c r="N61" s="3">
        <v>200179</v>
      </c>
      <c r="O61" s="3" t="s">
        <v>168</v>
      </c>
      <c r="P61" s="3"/>
      <c r="Q61" s="3"/>
      <c r="R61" s="3"/>
      <c r="S61" s="3" t="s">
        <v>173</v>
      </c>
      <c r="T61" s="3" t="s">
        <v>76</v>
      </c>
      <c r="U61" s="3">
        <v>1</v>
      </c>
      <c r="V61" s="9">
        <v>450000</v>
      </c>
      <c r="W61" s="3" t="s">
        <v>183</v>
      </c>
      <c r="X61" s="9">
        <v>450000</v>
      </c>
      <c r="Y61" s="3" t="s">
        <v>55</v>
      </c>
      <c r="Z61" s="3" t="s">
        <v>56</v>
      </c>
      <c r="AA61" s="14">
        <f t="shared" si="0"/>
        <v>405000</v>
      </c>
      <c r="AB61" s="14">
        <f t="shared" si="1"/>
        <v>360000</v>
      </c>
      <c r="AC61" s="14">
        <f t="shared" si="2"/>
        <v>315000</v>
      </c>
      <c r="AD61" s="3" t="s">
        <v>182</v>
      </c>
      <c r="AE61" s="3" t="s">
        <v>182</v>
      </c>
      <c r="AF61" s="3" t="s">
        <v>182</v>
      </c>
      <c r="AG61" s="42"/>
      <c r="AH61" s="42">
        <v>0</v>
      </c>
      <c r="AI61" s="42"/>
      <c r="AJ61" s="42"/>
      <c r="AK61" s="42">
        <v>450000</v>
      </c>
      <c r="AL61" s="42"/>
      <c r="AM61" s="42"/>
      <c r="AN61" s="42"/>
      <c r="AO61" s="42"/>
      <c r="AP61" s="42"/>
      <c r="AQ61" s="42"/>
      <c r="AR61" s="42"/>
      <c r="AS61" s="41">
        <v>450000</v>
      </c>
      <c r="AT61" s="3"/>
      <c r="AU61" s="15"/>
    </row>
    <row r="62" spans="1:47" ht="16.5" customHeight="1" x14ac:dyDescent="0.35">
      <c r="A62" s="3" t="s">
        <v>63</v>
      </c>
      <c r="B62" s="3" t="s">
        <v>58</v>
      </c>
      <c r="C62" s="3" t="s">
        <v>47</v>
      </c>
      <c r="D62" s="3">
        <v>847</v>
      </c>
      <c r="E62" s="3">
        <v>8470810</v>
      </c>
      <c r="F62" s="3" t="s">
        <v>48</v>
      </c>
      <c r="G62" s="3">
        <v>1</v>
      </c>
      <c r="H62" s="276">
        <v>432226</v>
      </c>
      <c r="I62" s="6" t="s">
        <v>184</v>
      </c>
      <c r="J62" s="3" t="s">
        <v>60</v>
      </c>
      <c r="K62" s="3" t="s">
        <v>50</v>
      </c>
      <c r="L62" s="6" t="s">
        <v>51</v>
      </c>
      <c r="M62" s="3" t="s">
        <v>61</v>
      </c>
      <c r="N62" s="3">
        <v>200179</v>
      </c>
      <c r="O62" s="3" t="s">
        <v>185</v>
      </c>
      <c r="P62" s="3" t="s">
        <v>46</v>
      </c>
      <c r="Q62" s="3">
        <v>360000</v>
      </c>
      <c r="R62" s="3">
        <v>360000</v>
      </c>
      <c r="S62" s="3" t="s">
        <v>186</v>
      </c>
      <c r="T62" s="3" t="s">
        <v>68</v>
      </c>
      <c r="U62" s="3">
        <v>12</v>
      </c>
      <c r="V62" s="9">
        <v>45000</v>
      </c>
      <c r="W62" s="3" t="s">
        <v>187</v>
      </c>
      <c r="X62" s="9">
        <v>540000</v>
      </c>
      <c r="Y62" s="3" t="s">
        <v>55</v>
      </c>
      <c r="Z62" s="3" t="s">
        <v>56</v>
      </c>
      <c r="AA62" s="14">
        <f t="shared" si="0"/>
        <v>486000</v>
      </c>
      <c r="AB62" s="14">
        <f t="shared" si="1"/>
        <v>432000</v>
      </c>
      <c r="AC62" s="14">
        <f t="shared" si="2"/>
        <v>378000</v>
      </c>
      <c r="AD62" s="3" t="s">
        <v>188</v>
      </c>
      <c r="AE62" s="3" t="s">
        <v>188</v>
      </c>
      <c r="AF62" s="3" t="s">
        <v>188</v>
      </c>
      <c r="AG62" s="42">
        <v>45000</v>
      </c>
      <c r="AH62" s="42">
        <v>45000</v>
      </c>
      <c r="AI62" s="42">
        <v>45000</v>
      </c>
      <c r="AJ62" s="42">
        <v>45000</v>
      </c>
      <c r="AK62" s="42">
        <v>45000</v>
      </c>
      <c r="AL62" s="42">
        <v>45000</v>
      </c>
      <c r="AM62" s="42">
        <v>45000</v>
      </c>
      <c r="AN62" s="42">
        <v>45000</v>
      </c>
      <c r="AO62" s="42">
        <v>45000</v>
      </c>
      <c r="AP62" s="42">
        <v>45000</v>
      </c>
      <c r="AQ62" s="42">
        <v>45000</v>
      </c>
      <c r="AR62" s="42">
        <v>45000</v>
      </c>
      <c r="AS62" s="41">
        <v>540000</v>
      </c>
      <c r="AT62" s="3" t="s">
        <v>70</v>
      </c>
      <c r="AU62" s="15"/>
    </row>
    <row r="63" spans="1:47" ht="16.5" customHeight="1" x14ac:dyDescent="0.35">
      <c r="A63" s="3" t="s">
        <v>189</v>
      </c>
      <c r="B63" s="3" t="s">
        <v>58</v>
      </c>
      <c r="C63" s="3" t="s">
        <v>47</v>
      </c>
      <c r="D63" s="3">
        <v>847</v>
      </c>
      <c r="E63" s="3">
        <v>8470810</v>
      </c>
      <c r="F63" s="3" t="s">
        <v>48</v>
      </c>
      <c r="G63" s="3">
        <v>1</v>
      </c>
      <c r="H63" s="276">
        <v>436110</v>
      </c>
      <c r="I63" s="6" t="s">
        <v>190</v>
      </c>
      <c r="J63" s="3" t="s">
        <v>60</v>
      </c>
      <c r="K63" s="3" t="s">
        <v>50</v>
      </c>
      <c r="L63" s="6" t="s">
        <v>51</v>
      </c>
      <c r="M63" s="3" t="s">
        <v>61</v>
      </c>
      <c r="N63" s="3">
        <v>200179</v>
      </c>
      <c r="O63" s="3" t="s">
        <v>326</v>
      </c>
      <c r="P63" s="3" t="s">
        <v>46</v>
      </c>
      <c r="Q63" s="3">
        <v>0</v>
      </c>
      <c r="R63" s="3"/>
      <c r="S63" s="3"/>
      <c r="T63" s="3" t="s">
        <v>62</v>
      </c>
      <c r="U63" s="3"/>
      <c r="V63" s="9"/>
      <c r="W63" s="3"/>
      <c r="X63" s="9">
        <v>0</v>
      </c>
      <c r="Y63" s="3"/>
      <c r="Z63" s="3"/>
      <c r="AA63" s="14">
        <f t="shared" si="0"/>
        <v>0</v>
      </c>
      <c r="AB63" s="14">
        <f t="shared" si="1"/>
        <v>0</v>
      </c>
      <c r="AC63" s="14">
        <f t="shared" si="2"/>
        <v>0</v>
      </c>
      <c r="AD63" s="3"/>
      <c r="AE63" s="3"/>
      <c r="AF63" s="3"/>
      <c r="AG63" s="42"/>
      <c r="AH63" s="42">
        <v>0</v>
      </c>
      <c r="AI63" s="42"/>
      <c r="AJ63" s="42"/>
      <c r="AK63" s="42"/>
      <c r="AL63" s="42"/>
      <c r="AM63" s="42"/>
      <c r="AN63" s="42"/>
      <c r="AO63" s="42"/>
      <c r="AP63" s="42"/>
      <c r="AQ63" s="42"/>
      <c r="AR63" s="42"/>
      <c r="AS63" s="41">
        <v>0</v>
      </c>
      <c r="AT63" s="3"/>
      <c r="AU63" s="15"/>
    </row>
    <row r="64" spans="1:47" ht="16.5" customHeight="1" x14ac:dyDescent="0.35">
      <c r="A64" s="3" t="s">
        <v>63</v>
      </c>
      <c r="B64" s="3" t="s">
        <v>64</v>
      </c>
      <c r="C64" s="3" t="s">
        <v>47</v>
      </c>
      <c r="D64" s="3">
        <v>847</v>
      </c>
      <c r="E64" s="3">
        <v>8470810</v>
      </c>
      <c r="F64" s="3" t="s">
        <v>48</v>
      </c>
      <c r="G64" s="3">
        <v>1</v>
      </c>
      <c r="H64" s="276">
        <v>492310</v>
      </c>
      <c r="I64" s="6" t="s">
        <v>191</v>
      </c>
      <c r="J64" s="3" t="s">
        <v>60</v>
      </c>
      <c r="K64" s="3" t="s">
        <v>50</v>
      </c>
      <c r="L64" s="6" t="s">
        <v>51</v>
      </c>
      <c r="M64" s="3" t="s">
        <v>192</v>
      </c>
      <c r="N64" s="3">
        <v>300180</v>
      </c>
      <c r="O64" s="3" t="s">
        <v>193</v>
      </c>
      <c r="P64" s="3">
        <v>3471424</v>
      </c>
      <c r="Q64" s="3">
        <v>175000</v>
      </c>
      <c r="R64" s="3">
        <v>175000</v>
      </c>
      <c r="S64" s="3" t="s">
        <v>194</v>
      </c>
      <c r="T64" s="3" t="s">
        <v>195</v>
      </c>
      <c r="U64" s="3">
        <v>1</v>
      </c>
      <c r="V64" s="9">
        <v>255000</v>
      </c>
      <c r="W64" s="3" t="s">
        <v>196</v>
      </c>
      <c r="X64" s="9">
        <v>255000</v>
      </c>
      <c r="Y64" s="3" t="s">
        <v>55</v>
      </c>
      <c r="Z64" s="3" t="s">
        <v>197</v>
      </c>
      <c r="AA64" s="14">
        <f t="shared" si="0"/>
        <v>229500</v>
      </c>
      <c r="AB64" s="14">
        <f t="shared" si="1"/>
        <v>204000</v>
      </c>
      <c r="AC64" s="14">
        <f t="shared" si="2"/>
        <v>178500</v>
      </c>
      <c r="AD64" s="3" t="s">
        <v>166</v>
      </c>
      <c r="AE64" s="3" t="s">
        <v>166</v>
      </c>
      <c r="AF64" s="3" t="s">
        <v>166</v>
      </c>
      <c r="AG64" s="42"/>
      <c r="AH64" s="42">
        <v>0</v>
      </c>
      <c r="AI64" s="42"/>
      <c r="AJ64" s="42"/>
      <c r="AK64" s="42">
        <v>255000</v>
      </c>
      <c r="AL64" s="42"/>
      <c r="AM64" s="42"/>
      <c r="AN64" s="42"/>
      <c r="AO64" s="42"/>
      <c r="AP64" s="42"/>
      <c r="AQ64" s="42"/>
      <c r="AR64" s="42"/>
      <c r="AS64" s="41">
        <v>255000</v>
      </c>
      <c r="AT64" s="3" t="s">
        <v>70</v>
      </c>
      <c r="AU64" s="15"/>
    </row>
    <row r="65" spans="1:47" ht="16.5" customHeight="1" x14ac:dyDescent="0.35">
      <c r="A65" s="3" t="s">
        <v>63</v>
      </c>
      <c r="B65" s="3" t="s">
        <v>64</v>
      </c>
      <c r="C65" s="3" t="s">
        <v>47</v>
      </c>
      <c r="D65" s="3">
        <v>847</v>
      </c>
      <c r="E65" s="3">
        <v>8470810</v>
      </c>
      <c r="F65" s="3" t="s">
        <v>48</v>
      </c>
      <c r="G65" s="3">
        <v>1</v>
      </c>
      <c r="H65" s="276">
        <v>492352</v>
      </c>
      <c r="I65" s="6" t="s">
        <v>198</v>
      </c>
      <c r="J65" s="3" t="s">
        <v>60</v>
      </c>
      <c r="K65" s="3" t="s">
        <v>50</v>
      </c>
      <c r="L65" s="6" t="s">
        <v>51</v>
      </c>
      <c r="M65" s="3" t="s">
        <v>192</v>
      </c>
      <c r="N65" s="3">
        <v>300180</v>
      </c>
      <c r="O65" s="3" t="s">
        <v>199</v>
      </c>
      <c r="P65" s="3" t="s">
        <v>46</v>
      </c>
      <c r="Q65" s="3">
        <v>1735802</v>
      </c>
      <c r="R65" s="3">
        <v>1735802</v>
      </c>
      <c r="S65" s="3" t="s">
        <v>200</v>
      </c>
      <c r="T65" s="3" t="s">
        <v>201</v>
      </c>
      <c r="U65" s="3">
        <v>1</v>
      </c>
      <c r="V65" s="9">
        <v>1389000</v>
      </c>
      <c r="W65" s="3" t="s">
        <v>202</v>
      </c>
      <c r="X65" s="9">
        <v>1389000</v>
      </c>
      <c r="Y65" s="3" t="s">
        <v>55</v>
      </c>
      <c r="Z65" s="3" t="s">
        <v>197</v>
      </c>
      <c r="AA65" s="14">
        <f t="shared" si="0"/>
        <v>1250100</v>
      </c>
      <c r="AB65" s="14">
        <f t="shared" si="1"/>
        <v>1111200</v>
      </c>
      <c r="AC65" s="14">
        <f t="shared" si="2"/>
        <v>972299.99999999988</v>
      </c>
      <c r="AD65" s="3" t="s">
        <v>203</v>
      </c>
      <c r="AE65" s="3" t="s">
        <v>203</v>
      </c>
      <c r="AF65" s="3" t="s">
        <v>203</v>
      </c>
      <c r="AG65" s="42"/>
      <c r="AH65" s="42">
        <v>0</v>
      </c>
      <c r="AI65" s="42"/>
      <c r="AJ65" s="42"/>
      <c r="AK65" s="42"/>
      <c r="AL65" s="42">
        <v>1389000</v>
      </c>
      <c r="AM65" s="42"/>
      <c r="AN65" s="42"/>
      <c r="AO65" s="42"/>
      <c r="AP65" s="42"/>
      <c r="AQ65" s="42"/>
      <c r="AR65" s="42"/>
      <c r="AS65" s="41">
        <v>1389000</v>
      </c>
      <c r="AT65" s="3" t="s">
        <v>70</v>
      </c>
      <c r="AU65" s="15"/>
    </row>
    <row r="66" spans="1:47" ht="16.5" customHeight="1" x14ac:dyDescent="0.35">
      <c r="A66" s="3" t="s">
        <v>63</v>
      </c>
      <c r="B66" s="3" t="s">
        <v>64</v>
      </c>
      <c r="C66" s="3" t="s">
        <v>47</v>
      </c>
      <c r="D66" s="3">
        <v>847</v>
      </c>
      <c r="E66" s="3">
        <v>8470810</v>
      </c>
      <c r="F66" s="3" t="s">
        <v>48</v>
      </c>
      <c r="G66" s="3">
        <v>1</v>
      </c>
      <c r="H66" s="276">
        <v>492354</v>
      </c>
      <c r="I66" s="6" t="s">
        <v>204</v>
      </c>
      <c r="J66" s="3" t="s">
        <v>60</v>
      </c>
      <c r="K66" s="3" t="s">
        <v>50</v>
      </c>
      <c r="L66" s="6" t="s">
        <v>51</v>
      </c>
      <c r="M66" s="3" t="s">
        <v>192</v>
      </c>
      <c r="N66" s="3">
        <v>300180</v>
      </c>
      <c r="O66" s="3" t="s">
        <v>327</v>
      </c>
      <c r="P66" s="3" t="s">
        <v>46</v>
      </c>
      <c r="Q66" s="3">
        <v>240000</v>
      </c>
      <c r="R66" s="3">
        <v>240000</v>
      </c>
      <c r="S66" s="3" t="s">
        <v>205</v>
      </c>
      <c r="T66" s="3" t="s">
        <v>201</v>
      </c>
      <c r="U66" s="3"/>
      <c r="V66" s="9"/>
      <c r="W66" s="3"/>
      <c r="X66" s="9">
        <v>0</v>
      </c>
      <c r="Y66" s="3"/>
      <c r="Z66" s="3"/>
      <c r="AA66" s="14">
        <f t="shared" si="0"/>
        <v>0</v>
      </c>
      <c r="AB66" s="14">
        <f t="shared" si="1"/>
        <v>0</v>
      </c>
      <c r="AC66" s="14">
        <f t="shared" si="2"/>
        <v>0</v>
      </c>
      <c r="AD66" s="3"/>
      <c r="AE66" s="3"/>
      <c r="AF66" s="3"/>
      <c r="AG66" s="42"/>
      <c r="AH66" s="42">
        <v>0</v>
      </c>
      <c r="AI66" s="42"/>
      <c r="AJ66" s="42"/>
      <c r="AK66" s="42"/>
      <c r="AL66" s="42"/>
      <c r="AM66" s="42"/>
      <c r="AN66" s="42"/>
      <c r="AO66" s="42"/>
      <c r="AP66" s="42"/>
      <c r="AQ66" s="42"/>
      <c r="AR66" s="42"/>
      <c r="AS66" s="41">
        <v>0</v>
      </c>
      <c r="AT66" s="3"/>
      <c r="AU66" s="15"/>
    </row>
    <row r="67" spans="1:47" ht="16.5" customHeight="1" x14ac:dyDescent="0.35">
      <c r="A67" s="3" t="s">
        <v>63</v>
      </c>
      <c r="B67" s="3" t="s">
        <v>64</v>
      </c>
      <c r="C67" s="3" t="s">
        <v>47</v>
      </c>
      <c r="D67" s="3">
        <v>847</v>
      </c>
      <c r="E67" s="3">
        <v>8470810</v>
      </c>
      <c r="F67" s="3" t="s">
        <v>48</v>
      </c>
      <c r="G67" s="3">
        <v>1</v>
      </c>
      <c r="H67" s="276">
        <v>492356</v>
      </c>
      <c r="I67" s="6" t="s">
        <v>206</v>
      </c>
      <c r="J67" s="3" t="s">
        <v>60</v>
      </c>
      <c r="K67" s="3" t="s">
        <v>50</v>
      </c>
      <c r="L67" s="6" t="s">
        <v>51</v>
      </c>
      <c r="M67" s="3" t="s">
        <v>192</v>
      </c>
      <c r="N67" s="3">
        <v>300180</v>
      </c>
      <c r="O67" s="3" t="s">
        <v>207</v>
      </c>
      <c r="P67" s="3" t="s">
        <v>46</v>
      </c>
      <c r="Q67" s="3">
        <v>650000</v>
      </c>
      <c r="R67" s="3">
        <v>650000</v>
      </c>
      <c r="S67" s="3" t="s">
        <v>208</v>
      </c>
      <c r="T67" s="3" t="s">
        <v>201</v>
      </c>
      <c r="U67" s="3">
        <v>1</v>
      </c>
      <c r="V67" s="9">
        <v>3316413</v>
      </c>
      <c r="W67" s="3" t="s">
        <v>209</v>
      </c>
      <c r="X67" s="9">
        <v>3316413</v>
      </c>
      <c r="Y67" s="3" t="s">
        <v>210</v>
      </c>
      <c r="Z67" s="3" t="s">
        <v>197</v>
      </c>
      <c r="AA67" s="14">
        <f t="shared" ref="AA67:AA130" si="3">X67*0.9</f>
        <v>2984771.7</v>
      </c>
      <c r="AB67" s="14">
        <f t="shared" ref="AB67:AB130" si="4">X67*0.8</f>
        <v>2653130.4000000004</v>
      </c>
      <c r="AC67" s="14">
        <f t="shared" ref="AC67:AC130" si="5">X67*0.7</f>
        <v>2321489.0999999996</v>
      </c>
      <c r="AD67" s="3" t="s">
        <v>211</v>
      </c>
      <c r="AE67" s="3" t="s">
        <v>211</v>
      </c>
      <c r="AF67" s="3" t="s">
        <v>211</v>
      </c>
      <c r="AG67" s="42"/>
      <c r="AH67" s="42">
        <v>0</v>
      </c>
      <c r="AI67" s="42"/>
      <c r="AJ67" s="42"/>
      <c r="AK67" s="42"/>
      <c r="AL67" s="42">
        <v>3316413</v>
      </c>
      <c r="AM67" s="42"/>
      <c r="AN67" s="42"/>
      <c r="AO67" s="42"/>
      <c r="AP67" s="42"/>
      <c r="AQ67" s="42"/>
      <c r="AR67" s="42"/>
      <c r="AS67" s="41">
        <v>3316413</v>
      </c>
      <c r="AT67" s="3" t="s">
        <v>70</v>
      </c>
      <c r="AU67" s="15"/>
    </row>
    <row r="68" spans="1:47" ht="16.5" customHeight="1" x14ac:dyDescent="0.35">
      <c r="A68" s="3" t="s">
        <v>63</v>
      </c>
      <c r="B68" s="3" t="s">
        <v>64</v>
      </c>
      <c r="C68" s="3" t="s">
        <v>47</v>
      </c>
      <c r="D68" s="3">
        <v>847</v>
      </c>
      <c r="E68" s="3">
        <v>8470810</v>
      </c>
      <c r="F68" s="3" t="s">
        <v>48</v>
      </c>
      <c r="G68" s="3">
        <v>1</v>
      </c>
      <c r="H68" s="276">
        <v>492356</v>
      </c>
      <c r="I68" s="6" t="s">
        <v>206</v>
      </c>
      <c r="J68" s="3" t="s">
        <v>60</v>
      </c>
      <c r="K68" s="3" t="s">
        <v>50</v>
      </c>
      <c r="L68" s="6" t="s">
        <v>51</v>
      </c>
      <c r="M68" s="3" t="s">
        <v>192</v>
      </c>
      <c r="N68" s="3">
        <v>300180</v>
      </c>
      <c r="O68" s="3" t="s">
        <v>207</v>
      </c>
      <c r="P68" s="3" t="s">
        <v>46</v>
      </c>
      <c r="Q68" s="3">
        <v>650000</v>
      </c>
      <c r="R68" s="3">
        <v>650000</v>
      </c>
      <c r="S68" s="3" t="s">
        <v>208</v>
      </c>
      <c r="T68" s="3" t="s">
        <v>201</v>
      </c>
      <c r="U68" s="3">
        <v>1</v>
      </c>
      <c r="V68" s="9">
        <v>702126</v>
      </c>
      <c r="W68" s="3" t="s">
        <v>212</v>
      </c>
      <c r="X68" s="9">
        <v>702126</v>
      </c>
      <c r="Y68" s="3" t="s">
        <v>55</v>
      </c>
      <c r="Z68" s="3" t="s">
        <v>197</v>
      </c>
      <c r="AA68" s="14">
        <f t="shared" si="3"/>
        <v>631913.4</v>
      </c>
      <c r="AB68" s="14">
        <f t="shared" si="4"/>
        <v>561700.80000000005</v>
      </c>
      <c r="AC68" s="14">
        <f t="shared" si="5"/>
        <v>491488.19999999995</v>
      </c>
      <c r="AD68" s="3" t="s">
        <v>211</v>
      </c>
      <c r="AE68" s="3" t="s">
        <v>211</v>
      </c>
      <c r="AF68" s="3" t="s">
        <v>211</v>
      </c>
      <c r="AG68" s="42"/>
      <c r="AH68" s="42">
        <v>0</v>
      </c>
      <c r="AI68" s="42"/>
      <c r="AJ68" s="42"/>
      <c r="AK68" s="42"/>
      <c r="AL68" s="42">
        <v>702126</v>
      </c>
      <c r="AM68" s="42"/>
      <c r="AN68" s="42"/>
      <c r="AO68" s="42"/>
      <c r="AP68" s="42"/>
      <c r="AQ68" s="42"/>
      <c r="AR68" s="42"/>
      <c r="AS68" s="41">
        <v>702126</v>
      </c>
      <c r="AT68" s="3"/>
      <c r="AU68" s="15"/>
    </row>
    <row r="69" spans="1:47" ht="16.5" customHeight="1" x14ac:dyDescent="0.35">
      <c r="A69" s="3">
        <v>0</v>
      </c>
      <c r="B69" s="3" t="s">
        <v>58</v>
      </c>
      <c r="C69" s="3" t="s">
        <v>47</v>
      </c>
      <c r="D69" s="3">
        <v>847</v>
      </c>
      <c r="E69" s="3">
        <v>8470810</v>
      </c>
      <c r="F69" s="3" t="s">
        <v>48</v>
      </c>
      <c r="G69" s="3">
        <v>1</v>
      </c>
      <c r="H69" s="276">
        <v>495110</v>
      </c>
      <c r="I69" s="6" t="s">
        <v>213</v>
      </c>
      <c r="J69" s="3" t="s">
        <v>60</v>
      </c>
      <c r="K69" s="3" t="s">
        <v>50</v>
      </c>
      <c r="L69" s="6" t="s">
        <v>51</v>
      </c>
      <c r="M69" s="3" t="s">
        <v>192</v>
      </c>
      <c r="N69" s="3">
        <v>300180</v>
      </c>
      <c r="O69" s="3" t="s">
        <v>328</v>
      </c>
      <c r="P69" s="3">
        <v>796333.2</v>
      </c>
      <c r="Q69" s="3">
        <v>0</v>
      </c>
      <c r="R69" s="3"/>
      <c r="S69" s="3"/>
      <c r="T69" s="3" t="s">
        <v>62</v>
      </c>
      <c r="U69" s="3"/>
      <c r="V69" s="9"/>
      <c r="W69" s="3"/>
      <c r="X69" s="9">
        <v>0</v>
      </c>
      <c r="Y69" s="3"/>
      <c r="Z69" s="3"/>
      <c r="AA69" s="14">
        <f t="shared" si="3"/>
        <v>0</v>
      </c>
      <c r="AB69" s="14">
        <f t="shared" si="4"/>
        <v>0</v>
      </c>
      <c r="AC69" s="14">
        <f t="shared" si="5"/>
        <v>0</v>
      </c>
      <c r="AD69" s="3"/>
      <c r="AE69" s="3"/>
      <c r="AF69" s="3"/>
      <c r="AG69" s="42"/>
      <c r="AH69" s="42">
        <v>0</v>
      </c>
      <c r="AI69" s="42"/>
      <c r="AJ69" s="42"/>
      <c r="AK69" s="42"/>
      <c r="AL69" s="42"/>
      <c r="AM69" s="42"/>
      <c r="AN69" s="42"/>
      <c r="AO69" s="42"/>
      <c r="AP69" s="42"/>
      <c r="AQ69" s="42"/>
      <c r="AR69" s="42"/>
      <c r="AS69" s="41">
        <v>0</v>
      </c>
      <c r="AT69" s="3"/>
      <c r="AU69" s="15"/>
    </row>
    <row r="70" spans="1:47" ht="16.5" customHeight="1" x14ac:dyDescent="0.35">
      <c r="A70" s="3" t="s">
        <v>63</v>
      </c>
      <c r="B70" s="3" t="s">
        <v>64</v>
      </c>
      <c r="C70" s="3" t="s">
        <v>47</v>
      </c>
      <c r="D70" s="3">
        <v>847</v>
      </c>
      <c r="E70" s="3">
        <v>8470810</v>
      </c>
      <c r="F70" s="3" t="s">
        <v>48</v>
      </c>
      <c r="G70" s="3">
        <v>1</v>
      </c>
      <c r="H70" s="276">
        <v>495113</v>
      </c>
      <c r="I70" s="6" t="s">
        <v>214</v>
      </c>
      <c r="J70" s="3" t="s">
        <v>60</v>
      </c>
      <c r="K70" s="3" t="s">
        <v>50</v>
      </c>
      <c r="L70" s="6" t="s">
        <v>51</v>
      </c>
      <c r="M70" s="3" t="s">
        <v>192</v>
      </c>
      <c r="N70" s="3">
        <v>300180</v>
      </c>
      <c r="O70" s="3" t="s">
        <v>305</v>
      </c>
      <c r="P70" s="3" t="s">
        <v>46</v>
      </c>
      <c r="Q70" s="3">
        <v>590670</v>
      </c>
      <c r="R70" s="3">
        <v>590670</v>
      </c>
      <c r="S70" s="3" t="s">
        <v>215</v>
      </c>
      <c r="T70" s="3" t="s">
        <v>157</v>
      </c>
      <c r="U70" s="3">
        <v>1</v>
      </c>
      <c r="V70" s="9">
        <v>320000</v>
      </c>
      <c r="W70" s="3" t="s">
        <v>216</v>
      </c>
      <c r="X70" s="9">
        <v>320000</v>
      </c>
      <c r="Y70" s="3" t="s">
        <v>210</v>
      </c>
      <c r="Z70" s="3" t="s">
        <v>197</v>
      </c>
      <c r="AA70" s="14">
        <f t="shared" si="3"/>
        <v>288000</v>
      </c>
      <c r="AB70" s="14">
        <f t="shared" si="4"/>
        <v>256000</v>
      </c>
      <c r="AC70" s="14">
        <f t="shared" si="5"/>
        <v>224000</v>
      </c>
      <c r="AD70" s="3" t="s">
        <v>217</v>
      </c>
      <c r="AE70" s="3" t="s">
        <v>217</v>
      </c>
      <c r="AF70" s="3" t="s">
        <v>217</v>
      </c>
      <c r="AG70" s="42"/>
      <c r="AH70" s="42">
        <v>0</v>
      </c>
      <c r="AI70" s="42"/>
      <c r="AJ70" s="42">
        <v>320000</v>
      </c>
      <c r="AK70" s="42"/>
      <c r="AL70" s="42"/>
      <c r="AM70" s="42"/>
      <c r="AN70" s="42"/>
      <c r="AO70" s="42"/>
      <c r="AP70" s="42"/>
      <c r="AQ70" s="42"/>
      <c r="AR70" s="42"/>
      <c r="AS70" s="41">
        <v>320000</v>
      </c>
      <c r="AT70" s="3" t="s">
        <v>70</v>
      </c>
      <c r="AU70" s="15"/>
    </row>
    <row r="71" spans="1:47" ht="16.5" customHeight="1" x14ac:dyDescent="0.35">
      <c r="A71" s="3" t="s">
        <v>63</v>
      </c>
      <c r="B71" s="3" t="s">
        <v>64</v>
      </c>
      <c r="C71" s="3" t="s">
        <v>47</v>
      </c>
      <c r="D71" s="3">
        <v>847</v>
      </c>
      <c r="E71" s="3">
        <v>8470810</v>
      </c>
      <c r="F71" s="3" t="s">
        <v>48</v>
      </c>
      <c r="G71" s="3">
        <v>1</v>
      </c>
      <c r="H71" s="276">
        <v>495113</v>
      </c>
      <c r="I71" s="6" t="s">
        <v>214</v>
      </c>
      <c r="J71" s="3" t="s">
        <v>60</v>
      </c>
      <c r="K71" s="3" t="s">
        <v>50</v>
      </c>
      <c r="L71" s="6" t="s">
        <v>51</v>
      </c>
      <c r="M71" s="3" t="s">
        <v>192</v>
      </c>
      <c r="N71" s="3">
        <v>300180</v>
      </c>
      <c r="O71" s="3" t="s">
        <v>305</v>
      </c>
      <c r="P71" s="3"/>
      <c r="Q71" s="3"/>
      <c r="R71" s="3"/>
      <c r="S71" s="3" t="s">
        <v>215</v>
      </c>
      <c r="T71" s="3" t="s">
        <v>157</v>
      </c>
      <c r="U71" s="3">
        <v>1</v>
      </c>
      <c r="V71" s="9">
        <v>300000</v>
      </c>
      <c r="W71" s="3" t="s">
        <v>218</v>
      </c>
      <c r="X71" s="9">
        <v>300000</v>
      </c>
      <c r="Y71" s="3" t="s">
        <v>55</v>
      </c>
      <c r="Z71" s="3" t="s">
        <v>56</v>
      </c>
      <c r="AA71" s="14">
        <f t="shared" si="3"/>
        <v>270000</v>
      </c>
      <c r="AB71" s="14">
        <f t="shared" si="4"/>
        <v>240000</v>
      </c>
      <c r="AC71" s="14">
        <f t="shared" si="5"/>
        <v>210000</v>
      </c>
      <c r="AD71" s="3" t="s">
        <v>217</v>
      </c>
      <c r="AE71" s="3" t="s">
        <v>217</v>
      </c>
      <c r="AF71" s="3" t="s">
        <v>217</v>
      </c>
      <c r="AG71" s="42"/>
      <c r="AH71" s="42">
        <v>0</v>
      </c>
      <c r="AI71" s="42"/>
      <c r="AJ71" s="42">
        <v>300000</v>
      </c>
      <c r="AK71" s="42"/>
      <c r="AL71" s="42"/>
      <c r="AM71" s="42"/>
      <c r="AN71" s="42"/>
      <c r="AO71" s="42"/>
      <c r="AP71" s="42"/>
      <c r="AQ71" s="42"/>
      <c r="AR71" s="42"/>
      <c r="AS71" s="41">
        <v>300000</v>
      </c>
      <c r="AT71" s="3" t="s">
        <v>70</v>
      </c>
      <c r="AU71" s="15"/>
    </row>
    <row r="72" spans="1:47" ht="16.5" customHeight="1" x14ac:dyDescent="0.35">
      <c r="A72" s="3" t="s">
        <v>63</v>
      </c>
      <c r="B72" s="3" t="s">
        <v>64</v>
      </c>
      <c r="C72" s="3" t="s">
        <v>47</v>
      </c>
      <c r="D72" s="3">
        <v>847</v>
      </c>
      <c r="E72" s="3">
        <v>8470810</v>
      </c>
      <c r="F72" s="3" t="s">
        <v>48</v>
      </c>
      <c r="G72" s="3">
        <v>1</v>
      </c>
      <c r="H72" s="276">
        <v>495113</v>
      </c>
      <c r="I72" s="6" t="s">
        <v>214</v>
      </c>
      <c r="J72" s="3" t="s">
        <v>60</v>
      </c>
      <c r="K72" s="3" t="s">
        <v>50</v>
      </c>
      <c r="L72" s="6" t="s">
        <v>51</v>
      </c>
      <c r="M72" s="3" t="s">
        <v>192</v>
      </c>
      <c r="N72" s="3">
        <v>300180</v>
      </c>
      <c r="O72" s="3" t="s">
        <v>305</v>
      </c>
      <c r="P72" s="3"/>
      <c r="Q72" s="3"/>
      <c r="R72" s="3"/>
      <c r="S72" s="3" t="s">
        <v>215</v>
      </c>
      <c r="T72" s="3" t="s">
        <v>157</v>
      </c>
      <c r="U72" s="3">
        <v>1</v>
      </c>
      <c r="V72" s="9">
        <v>152572</v>
      </c>
      <c r="W72" s="3" t="s">
        <v>219</v>
      </c>
      <c r="X72" s="9">
        <v>152572</v>
      </c>
      <c r="Y72" s="3" t="s">
        <v>55</v>
      </c>
      <c r="Z72" s="3" t="s">
        <v>56</v>
      </c>
      <c r="AA72" s="14">
        <f t="shared" si="3"/>
        <v>137314.80000000002</v>
      </c>
      <c r="AB72" s="14">
        <f t="shared" si="4"/>
        <v>122057.60000000001</v>
      </c>
      <c r="AC72" s="14">
        <f t="shared" si="5"/>
        <v>106800.4</v>
      </c>
      <c r="AD72" s="3" t="s">
        <v>217</v>
      </c>
      <c r="AE72" s="3" t="s">
        <v>217</v>
      </c>
      <c r="AF72" s="3" t="s">
        <v>217</v>
      </c>
      <c r="AG72" s="42"/>
      <c r="AH72" s="42">
        <v>0</v>
      </c>
      <c r="AI72" s="42"/>
      <c r="AJ72" s="42">
        <v>152572</v>
      </c>
      <c r="AK72" s="42"/>
      <c r="AL72" s="42"/>
      <c r="AM72" s="42"/>
      <c r="AN72" s="42"/>
      <c r="AO72" s="42"/>
      <c r="AP72" s="42"/>
      <c r="AQ72" s="42"/>
      <c r="AR72" s="42"/>
      <c r="AS72" s="41">
        <v>152572</v>
      </c>
      <c r="AT72" s="3" t="s">
        <v>70</v>
      </c>
      <c r="AU72" s="15"/>
    </row>
    <row r="73" spans="1:47" ht="14.5" x14ac:dyDescent="0.35">
      <c r="A73" s="3" t="s">
        <v>63</v>
      </c>
      <c r="B73" s="3" t="s">
        <v>58</v>
      </c>
      <c r="C73" s="3" t="s">
        <v>47</v>
      </c>
      <c r="D73" s="3">
        <v>847</v>
      </c>
      <c r="E73" s="3">
        <v>8470810</v>
      </c>
      <c r="F73" s="3" t="s">
        <v>48</v>
      </c>
      <c r="G73" s="3">
        <v>1</v>
      </c>
      <c r="H73" s="276">
        <v>427850</v>
      </c>
      <c r="I73" s="6" t="s">
        <v>148</v>
      </c>
      <c r="J73" s="3" t="s">
        <v>60</v>
      </c>
      <c r="K73" s="3" t="s">
        <v>50</v>
      </c>
      <c r="L73" s="6" t="s">
        <v>51</v>
      </c>
      <c r="M73" s="3" t="s">
        <v>61</v>
      </c>
      <c r="N73" s="3">
        <v>200179</v>
      </c>
      <c r="O73" s="3" t="s">
        <v>149</v>
      </c>
      <c r="P73" s="3">
        <v>1695109.4</v>
      </c>
      <c r="Q73" s="3" t="s">
        <v>46</v>
      </c>
      <c r="R73" s="3"/>
      <c r="S73" s="3"/>
      <c r="T73" s="3" t="s">
        <v>62</v>
      </c>
      <c r="U73" s="3"/>
      <c r="V73" s="9"/>
      <c r="W73" s="3"/>
      <c r="X73" s="9">
        <v>0</v>
      </c>
      <c r="Y73" s="3"/>
      <c r="Z73" s="3"/>
      <c r="AA73" s="14">
        <f t="shared" si="3"/>
        <v>0</v>
      </c>
      <c r="AB73" s="14">
        <f t="shared" si="4"/>
        <v>0</v>
      </c>
      <c r="AC73" s="14">
        <f t="shared" si="5"/>
        <v>0</v>
      </c>
      <c r="AD73" s="3"/>
      <c r="AE73" s="3"/>
      <c r="AF73" s="3"/>
      <c r="AG73" s="42"/>
      <c r="AH73" s="42">
        <v>0</v>
      </c>
      <c r="AI73" s="42"/>
      <c r="AJ73" s="42"/>
      <c r="AK73" s="42"/>
      <c r="AL73" s="42"/>
      <c r="AM73" s="42"/>
      <c r="AN73" s="42"/>
      <c r="AO73" s="42"/>
      <c r="AP73" s="42"/>
      <c r="AQ73" s="42"/>
      <c r="AR73" s="42"/>
      <c r="AS73" s="41">
        <v>0</v>
      </c>
      <c r="AT73" s="3"/>
      <c r="AU73" s="15"/>
    </row>
    <row r="74" spans="1:47" ht="14.5" x14ac:dyDescent="0.35">
      <c r="A74" s="3" t="s">
        <v>161</v>
      </c>
      <c r="B74" s="3" t="s">
        <v>220</v>
      </c>
      <c r="C74" s="3" t="s">
        <v>47</v>
      </c>
      <c r="D74" s="3">
        <v>847</v>
      </c>
      <c r="E74" s="3">
        <v>8470810</v>
      </c>
      <c r="F74" s="3" t="s">
        <v>48</v>
      </c>
      <c r="G74" s="3">
        <v>1</v>
      </c>
      <c r="H74" s="276">
        <v>492316</v>
      </c>
      <c r="I74" s="6" t="s">
        <v>221</v>
      </c>
      <c r="J74" s="3" t="s">
        <v>60</v>
      </c>
      <c r="K74" s="3" t="s">
        <v>50</v>
      </c>
      <c r="L74" s="6" t="s">
        <v>51</v>
      </c>
      <c r="M74" s="3" t="s">
        <v>192</v>
      </c>
      <c r="N74" s="3">
        <v>300180</v>
      </c>
      <c r="O74" s="3" t="s">
        <v>329</v>
      </c>
      <c r="P74" s="3">
        <v>-53578</v>
      </c>
      <c r="Q74" s="3" t="s">
        <v>46</v>
      </c>
      <c r="R74" s="3"/>
      <c r="S74" s="3"/>
      <c r="T74" s="3" t="s">
        <v>62</v>
      </c>
      <c r="U74" s="3"/>
      <c r="V74" s="9"/>
      <c r="W74" s="3"/>
      <c r="X74" s="9">
        <v>0</v>
      </c>
      <c r="Y74" s="3"/>
      <c r="Z74" s="3"/>
      <c r="AA74" s="14">
        <f t="shared" si="3"/>
        <v>0</v>
      </c>
      <c r="AB74" s="14">
        <f t="shared" si="4"/>
        <v>0</v>
      </c>
      <c r="AC74" s="14">
        <f t="shared" si="5"/>
        <v>0</v>
      </c>
      <c r="AD74" s="3"/>
      <c r="AE74" s="3"/>
      <c r="AF74" s="3"/>
      <c r="AG74" s="42"/>
      <c r="AH74" s="42">
        <v>0</v>
      </c>
      <c r="AI74" s="42"/>
      <c r="AJ74" s="42"/>
      <c r="AK74" s="42"/>
      <c r="AL74" s="42"/>
      <c r="AM74" s="42"/>
      <c r="AN74" s="42"/>
      <c r="AO74" s="42"/>
      <c r="AP74" s="42"/>
      <c r="AQ74" s="42"/>
      <c r="AR74" s="42"/>
      <c r="AS74" s="41">
        <v>0</v>
      </c>
      <c r="AT74" s="3"/>
      <c r="AU74" s="15"/>
    </row>
    <row r="75" spans="1:47" ht="16.5" hidden="1" customHeight="1" x14ac:dyDescent="0.35">
      <c r="A75" s="2" t="s">
        <v>222</v>
      </c>
      <c r="B75" s="2" t="s">
        <v>58</v>
      </c>
      <c r="C75" s="2" t="s">
        <v>223</v>
      </c>
      <c r="D75" s="3">
        <v>847</v>
      </c>
      <c r="E75" s="2">
        <v>8470220</v>
      </c>
      <c r="F75" s="2" t="s">
        <v>224</v>
      </c>
      <c r="G75" s="2">
        <v>1</v>
      </c>
      <c r="H75" s="276">
        <v>420550</v>
      </c>
      <c r="I75" s="7" t="s">
        <v>225</v>
      </c>
      <c r="J75" s="3" t="s">
        <v>60</v>
      </c>
      <c r="K75" s="2" t="s">
        <v>50</v>
      </c>
      <c r="L75" s="6" t="s">
        <v>51</v>
      </c>
      <c r="M75" s="2" t="s">
        <v>61</v>
      </c>
      <c r="N75" s="3">
        <v>200179</v>
      </c>
      <c r="O75" s="3" t="s">
        <v>226</v>
      </c>
      <c r="P75" s="2" t="s">
        <v>46</v>
      </c>
      <c r="Q75" s="10">
        <v>60000</v>
      </c>
      <c r="R75" s="2">
        <v>60000</v>
      </c>
      <c r="S75" s="2" t="s">
        <v>227</v>
      </c>
      <c r="T75" s="2"/>
      <c r="U75" s="2">
        <v>145</v>
      </c>
      <c r="V75" s="10">
        <v>2900</v>
      </c>
      <c r="W75" s="2" t="s">
        <v>228</v>
      </c>
      <c r="X75" s="10">
        <v>420500</v>
      </c>
      <c r="Y75" s="2" t="s">
        <v>55</v>
      </c>
      <c r="Z75" s="2" t="s">
        <v>56</v>
      </c>
      <c r="AA75" s="14">
        <f t="shared" si="3"/>
        <v>378450</v>
      </c>
      <c r="AB75" s="14">
        <f t="shared" si="4"/>
        <v>336400</v>
      </c>
      <c r="AC75" s="14">
        <f t="shared" si="5"/>
        <v>294350</v>
      </c>
      <c r="AD75" s="2" t="s">
        <v>229</v>
      </c>
      <c r="AE75" s="2" t="s">
        <v>229</v>
      </c>
      <c r="AF75" s="2" t="s">
        <v>229</v>
      </c>
      <c r="AG75" s="43"/>
      <c r="AH75" s="43">
        <v>44000</v>
      </c>
      <c r="AI75" s="43"/>
      <c r="AJ75" s="43">
        <v>40000</v>
      </c>
      <c r="AK75" s="43"/>
      <c r="AL75" s="43">
        <v>40000</v>
      </c>
      <c r="AM75" s="43"/>
      <c r="AN75" s="43">
        <v>80000</v>
      </c>
      <c r="AO75" s="43"/>
      <c r="AP75" s="43"/>
      <c r="AQ75" s="43">
        <v>108250</v>
      </c>
      <c r="AR75" s="43">
        <v>108250</v>
      </c>
      <c r="AS75" s="44">
        <v>420500</v>
      </c>
      <c r="AT75" s="3" t="s">
        <v>230</v>
      </c>
      <c r="AU75" s="15"/>
    </row>
    <row r="76" spans="1:47" ht="16.5" hidden="1" customHeight="1" x14ac:dyDescent="0.35">
      <c r="A76" s="2" t="s">
        <v>222</v>
      </c>
      <c r="B76" s="2" t="s">
        <v>58</v>
      </c>
      <c r="C76" s="2" t="s">
        <v>223</v>
      </c>
      <c r="D76" s="3">
        <v>847</v>
      </c>
      <c r="E76" s="2">
        <v>8470220</v>
      </c>
      <c r="F76" s="2" t="s">
        <v>224</v>
      </c>
      <c r="G76" s="2">
        <v>1</v>
      </c>
      <c r="H76" s="276">
        <v>420570</v>
      </c>
      <c r="I76" s="7" t="s">
        <v>231</v>
      </c>
      <c r="J76" s="3" t="s">
        <v>60</v>
      </c>
      <c r="K76" s="2" t="s">
        <v>50</v>
      </c>
      <c r="L76" s="6" t="s">
        <v>51</v>
      </c>
      <c r="M76" s="2" t="s">
        <v>61</v>
      </c>
      <c r="N76" s="3">
        <v>200179</v>
      </c>
      <c r="O76" s="3" t="s">
        <v>232</v>
      </c>
      <c r="P76" s="2" t="s">
        <v>46</v>
      </c>
      <c r="Q76" s="10">
        <v>392387</v>
      </c>
      <c r="R76" s="2">
        <v>392387</v>
      </c>
      <c r="S76" s="2" t="s">
        <v>233</v>
      </c>
      <c r="T76" s="2" t="s">
        <v>234</v>
      </c>
      <c r="U76" s="2">
        <v>1</v>
      </c>
      <c r="V76" s="10">
        <v>3000000</v>
      </c>
      <c r="W76" s="2" t="s">
        <v>235</v>
      </c>
      <c r="X76" s="10">
        <v>3000000</v>
      </c>
      <c r="Y76" s="2" t="s">
        <v>55</v>
      </c>
      <c r="Z76" s="2" t="s">
        <v>56</v>
      </c>
      <c r="AA76" s="14">
        <f t="shared" si="3"/>
        <v>2700000</v>
      </c>
      <c r="AB76" s="14">
        <f t="shared" si="4"/>
        <v>2400000</v>
      </c>
      <c r="AC76" s="14">
        <f t="shared" si="5"/>
        <v>2100000</v>
      </c>
      <c r="AD76" s="2" t="s">
        <v>236</v>
      </c>
      <c r="AE76" s="2" t="s">
        <v>236</v>
      </c>
      <c r="AF76" s="2" t="s">
        <v>236</v>
      </c>
      <c r="AG76" s="43">
        <v>250000</v>
      </c>
      <c r="AH76" s="43">
        <v>250000</v>
      </c>
      <c r="AI76" s="43">
        <v>250000</v>
      </c>
      <c r="AJ76" s="43">
        <v>250000</v>
      </c>
      <c r="AK76" s="43">
        <v>250000</v>
      </c>
      <c r="AL76" s="43">
        <v>250000</v>
      </c>
      <c r="AM76" s="43">
        <v>250000</v>
      </c>
      <c r="AN76" s="43">
        <v>250000</v>
      </c>
      <c r="AO76" s="43">
        <v>250000</v>
      </c>
      <c r="AP76" s="43">
        <v>250000</v>
      </c>
      <c r="AQ76" s="43">
        <v>250000</v>
      </c>
      <c r="AR76" s="43">
        <v>250000</v>
      </c>
      <c r="AS76" s="44">
        <v>3000000</v>
      </c>
      <c r="AT76" s="3" t="s">
        <v>237</v>
      </c>
      <c r="AU76" s="15"/>
    </row>
    <row r="77" spans="1:47" ht="16.5" hidden="1" customHeight="1" x14ac:dyDescent="0.35">
      <c r="A77" s="2" t="s">
        <v>222</v>
      </c>
      <c r="B77" s="2" t="s">
        <v>238</v>
      </c>
      <c r="C77" s="2" t="s">
        <v>223</v>
      </c>
      <c r="D77" s="3">
        <v>847</v>
      </c>
      <c r="E77" s="2">
        <v>8470220</v>
      </c>
      <c r="F77" s="2" t="s">
        <v>224</v>
      </c>
      <c r="G77" s="2">
        <v>1</v>
      </c>
      <c r="H77" s="276">
        <v>421700</v>
      </c>
      <c r="I77" s="7" t="s">
        <v>239</v>
      </c>
      <c r="J77" s="3" t="s">
        <v>60</v>
      </c>
      <c r="K77" s="2" t="s">
        <v>50</v>
      </c>
      <c r="L77" s="6" t="s">
        <v>51</v>
      </c>
      <c r="M77" s="2" t="s">
        <v>61</v>
      </c>
      <c r="N77" s="3">
        <v>200179</v>
      </c>
      <c r="O77" s="3" t="s">
        <v>240</v>
      </c>
      <c r="P77" s="2" t="s">
        <v>46</v>
      </c>
      <c r="Q77" s="10">
        <v>375000</v>
      </c>
      <c r="R77" s="2">
        <v>375000</v>
      </c>
      <c r="S77" s="2" t="s">
        <v>241</v>
      </c>
      <c r="T77" s="2" t="s">
        <v>157</v>
      </c>
      <c r="U77" s="2">
        <v>23</v>
      </c>
      <c r="V77" s="10">
        <v>150000</v>
      </c>
      <c r="W77" s="2" t="s">
        <v>242</v>
      </c>
      <c r="X77" s="10">
        <v>3450000</v>
      </c>
      <c r="Y77" s="2" t="s">
        <v>55</v>
      </c>
      <c r="Z77" s="2" t="s">
        <v>197</v>
      </c>
      <c r="AA77" s="14">
        <f t="shared" si="3"/>
        <v>3105000</v>
      </c>
      <c r="AB77" s="14">
        <f t="shared" si="4"/>
        <v>2760000</v>
      </c>
      <c r="AC77" s="14">
        <f t="shared" si="5"/>
        <v>2415000</v>
      </c>
      <c r="AD77" s="2" t="s">
        <v>243</v>
      </c>
      <c r="AE77" s="2" t="s">
        <v>243</v>
      </c>
      <c r="AF77" s="2" t="s">
        <v>243</v>
      </c>
      <c r="AG77" s="43"/>
      <c r="AH77" s="43"/>
      <c r="AI77" s="43">
        <v>0</v>
      </c>
      <c r="AJ77" s="43">
        <v>3450000</v>
      </c>
      <c r="AK77" s="43">
        <v>0</v>
      </c>
      <c r="AL77" s="43">
        <v>0</v>
      </c>
      <c r="AM77" s="43">
        <v>0</v>
      </c>
      <c r="AN77" s="43">
        <v>0</v>
      </c>
      <c r="AO77" s="43">
        <v>0</v>
      </c>
      <c r="AP77" s="43">
        <v>0</v>
      </c>
      <c r="AQ77" s="43">
        <v>0</v>
      </c>
      <c r="AR77" s="43">
        <v>0</v>
      </c>
      <c r="AS77" s="43">
        <v>3450000</v>
      </c>
      <c r="AT77" s="3" t="s">
        <v>244</v>
      </c>
      <c r="AU77" s="15"/>
    </row>
    <row r="78" spans="1:47" ht="16.5" hidden="1" customHeight="1" x14ac:dyDescent="0.35">
      <c r="A78" s="2" t="s">
        <v>245</v>
      </c>
      <c r="B78" s="2" t="s">
        <v>246</v>
      </c>
      <c r="C78" s="2" t="s">
        <v>223</v>
      </c>
      <c r="D78" s="3">
        <v>847</v>
      </c>
      <c r="E78" s="2">
        <v>8470220</v>
      </c>
      <c r="F78" s="2" t="s">
        <v>224</v>
      </c>
      <c r="G78" s="2">
        <v>1</v>
      </c>
      <c r="H78" s="276">
        <v>425510</v>
      </c>
      <c r="I78" s="7" t="s">
        <v>247</v>
      </c>
      <c r="J78" s="3" t="s">
        <v>60</v>
      </c>
      <c r="K78" s="2" t="s">
        <v>50</v>
      </c>
      <c r="L78" s="6" t="s">
        <v>51</v>
      </c>
      <c r="M78" s="2" t="s">
        <v>61</v>
      </c>
      <c r="N78" s="3">
        <v>200179</v>
      </c>
      <c r="O78" s="3" t="s">
        <v>248</v>
      </c>
      <c r="P78" s="2" t="s">
        <v>46</v>
      </c>
      <c r="Q78" s="10">
        <v>10000</v>
      </c>
      <c r="R78" s="2">
        <v>10000</v>
      </c>
      <c r="S78" s="2" t="s">
        <v>249</v>
      </c>
      <c r="T78" s="2" t="s">
        <v>250</v>
      </c>
      <c r="U78" s="2">
        <v>5</v>
      </c>
      <c r="V78" s="10">
        <v>20000</v>
      </c>
      <c r="W78" s="2" t="s">
        <v>251</v>
      </c>
      <c r="X78" s="10">
        <v>100000</v>
      </c>
      <c r="Y78" s="2" t="s">
        <v>55</v>
      </c>
      <c r="Z78" s="2" t="s">
        <v>56</v>
      </c>
      <c r="AA78" s="14">
        <f t="shared" si="3"/>
        <v>90000</v>
      </c>
      <c r="AB78" s="14">
        <f t="shared" si="4"/>
        <v>80000</v>
      </c>
      <c r="AC78" s="14">
        <f t="shared" si="5"/>
        <v>70000</v>
      </c>
      <c r="AD78" s="2" t="s">
        <v>236</v>
      </c>
      <c r="AE78" s="2" t="s">
        <v>236</v>
      </c>
      <c r="AF78" s="2" t="s">
        <v>236</v>
      </c>
      <c r="AG78" s="43"/>
      <c r="AH78" s="43">
        <v>20000</v>
      </c>
      <c r="AI78" s="43">
        <v>20000</v>
      </c>
      <c r="AJ78" s="43">
        <v>0</v>
      </c>
      <c r="AK78" s="43">
        <v>20000</v>
      </c>
      <c r="AL78" s="43">
        <v>0</v>
      </c>
      <c r="AM78" s="43">
        <v>0</v>
      </c>
      <c r="AN78" s="43">
        <v>0</v>
      </c>
      <c r="AO78" s="43">
        <v>0</v>
      </c>
      <c r="AP78" s="43">
        <v>20000</v>
      </c>
      <c r="AQ78" s="43">
        <v>20000</v>
      </c>
      <c r="AR78" s="43">
        <v>0</v>
      </c>
      <c r="AS78" s="44">
        <v>100000</v>
      </c>
      <c r="AT78" s="3" t="s">
        <v>252</v>
      </c>
      <c r="AU78" s="15"/>
    </row>
    <row r="79" spans="1:47" ht="16.5" hidden="1" customHeight="1" x14ac:dyDescent="0.35">
      <c r="A79" s="2" t="s">
        <v>245</v>
      </c>
      <c r="B79" s="2" t="s">
        <v>58</v>
      </c>
      <c r="C79" s="2" t="s">
        <v>223</v>
      </c>
      <c r="D79" s="3">
        <v>847</v>
      </c>
      <c r="E79" s="2">
        <v>8470220</v>
      </c>
      <c r="F79" s="2" t="s">
        <v>224</v>
      </c>
      <c r="G79" s="2">
        <v>1</v>
      </c>
      <c r="H79" s="276">
        <v>425550</v>
      </c>
      <c r="I79" s="7" t="s">
        <v>253</v>
      </c>
      <c r="J79" s="3" t="s">
        <v>60</v>
      </c>
      <c r="K79" s="2" t="s">
        <v>50</v>
      </c>
      <c r="L79" s="6" t="s">
        <v>51</v>
      </c>
      <c r="M79" s="2" t="s">
        <v>61</v>
      </c>
      <c r="N79" s="3">
        <v>200179</v>
      </c>
      <c r="O79" s="3" t="s">
        <v>254</v>
      </c>
      <c r="P79" s="2" t="s">
        <v>46</v>
      </c>
      <c r="Q79" s="10">
        <v>25000</v>
      </c>
      <c r="R79" s="2">
        <v>25000</v>
      </c>
      <c r="S79" s="2" t="s">
        <v>255</v>
      </c>
      <c r="T79" s="2" t="s">
        <v>256</v>
      </c>
      <c r="U79" s="2">
        <v>5</v>
      </c>
      <c r="V79" s="10">
        <v>20000</v>
      </c>
      <c r="W79" s="2" t="s">
        <v>257</v>
      </c>
      <c r="X79" s="10">
        <v>100000</v>
      </c>
      <c r="Y79" s="2" t="s">
        <v>55</v>
      </c>
      <c r="Z79" s="2" t="s">
        <v>56</v>
      </c>
      <c r="AA79" s="14">
        <f t="shared" si="3"/>
        <v>90000</v>
      </c>
      <c r="AB79" s="14">
        <f t="shared" si="4"/>
        <v>80000</v>
      </c>
      <c r="AC79" s="14">
        <f t="shared" si="5"/>
        <v>70000</v>
      </c>
      <c r="AD79" s="2" t="s">
        <v>236</v>
      </c>
      <c r="AE79" s="2" t="s">
        <v>236</v>
      </c>
      <c r="AF79" s="2" t="s">
        <v>236</v>
      </c>
      <c r="AG79" s="43"/>
      <c r="AH79" s="43">
        <v>20000</v>
      </c>
      <c r="AI79" s="43">
        <v>20000</v>
      </c>
      <c r="AJ79" s="43"/>
      <c r="AK79" s="43">
        <v>20000</v>
      </c>
      <c r="AL79" s="43"/>
      <c r="AM79" s="43"/>
      <c r="AN79" s="43"/>
      <c r="AO79" s="43"/>
      <c r="AP79" s="43">
        <v>20000</v>
      </c>
      <c r="AQ79" s="43">
        <v>20000</v>
      </c>
      <c r="AR79" s="43"/>
      <c r="AS79" s="44">
        <v>100000</v>
      </c>
      <c r="AT79" s="3" t="s">
        <v>252</v>
      </c>
      <c r="AU79" s="15"/>
    </row>
    <row r="80" spans="1:47" ht="16.5" hidden="1" customHeight="1" x14ac:dyDescent="0.35">
      <c r="A80" s="2" t="s">
        <v>258</v>
      </c>
      <c r="B80" s="2" t="s">
        <v>58</v>
      </c>
      <c r="C80" s="2" t="s">
        <v>223</v>
      </c>
      <c r="D80" s="3">
        <v>847</v>
      </c>
      <c r="E80" s="2">
        <v>8470220</v>
      </c>
      <c r="F80" s="2" t="s">
        <v>224</v>
      </c>
      <c r="G80" s="2">
        <v>1</v>
      </c>
      <c r="H80" s="276">
        <v>425740</v>
      </c>
      <c r="I80" s="7" t="s">
        <v>259</v>
      </c>
      <c r="J80" s="3" t="s">
        <v>60</v>
      </c>
      <c r="K80" s="2" t="s">
        <v>50</v>
      </c>
      <c r="L80" s="6" t="s">
        <v>51</v>
      </c>
      <c r="M80" s="2" t="s">
        <v>61</v>
      </c>
      <c r="N80" s="3">
        <v>200179</v>
      </c>
      <c r="O80" s="3" t="s">
        <v>260</v>
      </c>
      <c r="P80" s="2" t="s">
        <v>46</v>
      </c>
      <c r="Q80" s="10">
        <v>694710</v>
      </c>
      <c r="R80" s="2">
        <v>694710</v>
      </c>
      <c r="S80" s="2" t="s">
        <v>261</v>
      </c>
      <c r="T80" s="2" t="s">
        <v>262</v>
      </c>
      <c r="U80" s="2">
        <v>26</v>
      </c>
      <c r="V80" s="10">
        <v>138462</v>
      </c>
      <c r="W80" s="2" t="s">
        <v>263</v>
      </c>
      <c r="X80" s="10">
        <v>3600012</v>
      </c>
      <c r="Y80" s="2" t="s">
        <v>55</v>
      </c>
      <c r="Z80" s="2" t="s">
        <v>56</v>
      </c>
      <c r="AA80" s="14">
        <f t="shared" si="3"/>
        <v>3240010.8000000003</v>
      </c>
      <c r="AB80" s="14">
        <f t="shared" si="4"/>
        <v>2880009.6</v>
      </c>
      <c r="AC80" s="14">
        <f t="shared" si="5"/>
        <v>2520008.4</v>
      </c>
      <c r="AD80" s="2" t="s">
        <v>236</v>
      </c>
      <c r="AE80" s="2" t="s">
        <v>236</v>
      </c>
      <c r="AF80" s="2" t="s">
        <v>236</v>
      </c>
      <c r="AG80" s="43">
        <v>500000</v>
      </c>
      <c r="AH80" s="43">
        <v>500000</v>
      </c>
      <c r="AI80" s="43">
        <v>500000</v>
      </c>
      <c r="AJ80" s="43">
        <v>500000</v>
      </c>
      <c r="AK80" s="43">
        <v>500000</v>
      </c>
      <c r="AL80" s="43">
        <v>500000</v>
      </c>
      <c r="AM80" s="43">
        <v>100000</v>
      </c>
      <c r="AN80" s="43">
        <v>100000</v>
      </c>
      <c r="AO80" s="43">
        <v>100000</v>
      </c>
      <c r="AP80" s="43">
        <v>100000</v>
      </c>
      <c r="AQ80" s="43">
        <v>100012</v>
      </c>
      <c r="AR80" s="43">
        <v>100000</v>
      </c>
      <c r="AS80" s="44">
        <v>3600012</v>
      </c>
      <c r="AT80" s="3" t="s">
        <v>264</v>
      </c>
      <c r="AU80" s="15"/>
    </row>
    <row r="81" spans="1:47" ht="16.5" hidden="1" customHeight="1" x14ac:dyDescent="0.35">
      <c r="A81" s="2" t="s">
        <v>189</v>
      </c>
      <c r="B81" s="2" t="s">
        <v>265</v>
      </c>
      <c r="C81" s="2" t="s">
        <v>223</v>
      </c>
      <c r="D81" s="3">
        <v>847</v>
      </c>
      <c r="E81" s="2">
        <v>8470220</v>
      </c>
      <c r="F81" s="2" t="s">
        <v>224</v>
      </c>
      <c r="G81" s="2">
        <v>1</v>
      </c>
      <c r="H81" s="276">
        <v>425900</v>
      </c>
      <c r="I81" s="7" t="s">
        <v>266</v>
      </c>
      <c r="J81" s="3" t="s">
        <v>60</v>
      </c>
      <c r="K81" s="2" t="s">
        <v>50</v>
      </c>
      <c r="L81" s="6" t="s">
        <v>51</v>
      </c>
      <c r="M81" s="2" t="s">
        <v>61</v>
      </c>
      <c r="N81" s="3">
        <v>200179</v>
      </c>
      <c r="O81" s="3" t="s">
        <v>267</v>
      </c>
      <c r="P81" s="2" t="s">
        <v>46</v>
      </c>
      <c r="Q81" s="10">
        <v>12000</v>
      </c>
      <c r="R81" s="2">
        <v>12000</v>
      </c>
      <c r="S81" s="2" t="s">
        <v>268</v>
      </c>
      <c r="T81" s="2" t="s">
        <v>269</v>
      </c>
      <c r="U81" s="2">
        <v>12</v>
      </c>
      <c r="V81" s="10">
        <v>10667</v>
      </c>
      <c r="W81" s="2" t="s">
        <v>270</v>
      </c>
      <c r="X81" s="10">
        <v>128004</v>
      </c>
      <c r="Y81" s="2" t="s">
        <v>55</v>
      </c>
      <c r="Z81" s="2" t="s">
        <v>56</v>
      </c>
      <c r="AA81" s="14">
        <f t="shared" si="3"/>
        <v>115203.6</v>
      </c>
      <c r="AB81" s="14">
        <f t="shared" si="4"/>
        <v>102403.20000000001</v>
      </c>
      <c r="AC81" s="14">
        <f t="shared" si="5"/>
        <v>89602.799999999988</v>
      </c>
      <c r="AD81" s="2" t="s">
        <v>271</v>
      </c>
      <c r="AE81" s="2" t="s">
        <v>271</v>
      </c>
      <c r="AF81" s="2" t="s">
        <v>271</v>
      </c>
      <c r="AG81" s="43">
        <v>10667</v>
      </c>
      <c r="AH81" s="43">
        <v>10667</v>
      </c>
      <c r="AI81" s="43">
        <v>10667</v>
      </c>
      <c r="AJ81" s="43">
        <v>10667</v>
      </c>
      <c r="AK81" s="43">
        <v>10667</v>
      </c>
      <c r="AL81" s="43">
        <v>10667</v>
      </c>
      <c r="AM81" s="43">
        <v>10667</v>
      </c>
      <c r="AN81" s="43">
        <v>10667</v>
      </c>
      <c r="AO81" s="43">
        <v>10667</v>
      </c>
      <c r="AP81" s="43">
        <v>10667</v>
      </c>
      <c r="AQ81" s="43">
        <v>10667</v>
      </c>
      <c r="AR81" s="43">
        <v>10667</v>
      </c>
      <c r="AS81" s="44">
        <v>128004</v>
      </c>
      <c r="AT81" s="3" t="s">
        <v>272</v>
      </c>
      <c r="AU81" s="15"/>
    </row>
    <row r="82" spans="1:47" ht="16.5" hidden="1" customHeight="1" x14ac:dyDescent="0.35">
      <c r="A82" s="2" t="s">
        <v>63</v>
      </c>
      <c r="B82" s="2" t="s">
        <v>64</v>
      </c>
      <c r="C82" s="2" t="s">
        <v>223</v>
      </c>
      <c r="D82" s="3">
        <v>847</v>
      </c>
      <c r="E82" s="2">
        <v>8470220</v>
      </c>
      <c r="F82" s="2" t="s">
        <v>224</v>
      </c>
      <c r="G82" s="2">
        <v>1</v>
      </c>
      <c r="H82" s="276">
        <v>426610</v>
      </c>
      <c r="I82" s="7" t="s">
        <v>74</v>
      </c>
      <c r="J82" s="3" t="s">
        <v>60</v>
      </c>
      <c r="K82" s="2" t="s">
        <v>50</v>
      </c>
      <c r="L82" s="6" t="s">
        <v>51</v>
      </c>
      <c r="M82" s="2" t="s">
        <v>61</v>
      </c>
      <c r="N82" s="3">
        <v>200179</v>
      </c>
      <c r="O82" s="3" t="s">
        <v>273</v>
      </c>
      <c r="P82" s="2" t="s">
        <v>46</v>
      </c>
      <c r="Q82" s="10">
        <v>50000</v>
      </c>
      <c r="R82" s="2">
        <v>50000</v>
      </c>
      <c r="S82" s="2" t="s">
        <v>274</v>
      </c>
      <c r="T82" s="2" t="s">
        <v>157</v>
      </c>
      <c r="U82" s="2">
        <v>3</v>
      </c>
      <c r="V82" s="10">
        <v>15000</v>
      </c>
      <c r="W82" s="2" t="s">
        <v>275</v>
      </c>
      <c r="X82" s="10">
        <v>45000</v>
      </c>
      <c r="Y82" s="2" t="s">
        <v>55</v>
      </c>
      <c r="Z82" s="2" t="s">
        <v>197</v>
      </c>
      <c r="AA82" s="14">
        <f t="shared" si="3"/>
        <v>40500</v>
      </c>
      <c r="AB82" s="14">
        <f t="shared" si="4"/>
        <v>36000</v>
      </c>
      <c r="AC82" s="14">
        <f t="shared" si="5"/>
        <v>31499.999999999996</v>
      </c>
      <c r="AD82" s="2" t="s">
        <v>276</v>
      </c>
      <c r="AE82" s="2" t="s">
        <v>276</v>
      </c>
      <c r="AF82" s="2" t="s">
        <v>276</v>
      </c>
      <c r="AG82" s="43">
        <v>45000</v>
      </c>
      <c r="AH82" s="43"/>
      <c r="AI82" s="43"/>
      <c r="AJ82" s="43"/>
      <c r="AK82" s="43"/>
      <c r="AL82" s="43"/>
      <c r="AM82" s="43"/>
      <c r="AN82" s="43"/>
      <c r="AO82" s="43"/>
      <c r="AP82" s="43"/>
      <c r="AQ82" s="43"/>
      <c r="AR82" s="43"/>
      <c r="AS82" s="44">
        <v>45000</v>
      </c>
      <c r="AT82" s="3" t="s">
        <v>70</v>
      </c>
      <c r="AU82" s="15"/>
    </row>
    <row r="83" spans="1:47" ht="16.5" hidden="1" customHeight="1" x14ac:dyDescent="0.35">
      <c r="A83" s="2" t="s">
        <v>153</v>
      </c>
      <c r="B83" s="2" t="s">
        <v>58</v>
      </c>
      <c r="C83" s="2" t="s">
        <v>223</v>
      </c>
      <c r="D83" s="3">
        <v>847</v>
      </c>
      <c r="E83" s="2">
        <v>8470220</v>
      </c>
      <c r="F83" s="2" t="s">
        <v>224</v>
      </c>
      <c r="G83" s="2">
        <v>1</v>
      </c>
      <c r="H83" s="276">
        <v>428090</v>
      </c>
      <c r="I83" s="7" t="s">
        <v>154</v>
      </c>
      <c r="J83" s="3" t="s">
        <v>60</v>
      </c>
      <c r="K83" s="2" t="s">
        <v>50</v>
      </c>
      <c r="L83" s="6" t="s">
        <v>51</v>
      </c>
      <c r="M83" s="2" t="s">
        <v>61</v>
      </c>
      <c r="N83" s="3">
        <v>200179</v>
      </c>
      <c r="O83" s="3" t="s">
        <v>277</v>
      </c>
      <c r="P83" s="2" t="s">
        <v>46</v>
      </c>
      <c r="Q83" s="10">
        <v>165500</v>
      </c>
      <c r="R83" s="2">
        <v>165500</v>
      </c>
      <c r="S83" s="2" t="s">
        <v>156</v>
      </c>
      <c r="T83" s="2" t="s">
        <v>157</v>
      </c>
      <c r="U83" s="2">
        <v>8</v>
      </c>
      <c r="V83" s="10">
        <v>40000</v>
      </c>
      <c r="W83" s="2" t="s">
        <v>278</v>
      </c>
      <c r="X83" s="10">
        <v>320000</v>
      </c>
      <c r="Y83" s="2" t="s">
        <v>210</v>
      </c>
      <c r="Z83" s="2" t="s">
        <v>197</v>
      </c>
      <c r="AA83" s="14">
        <f t="shared" si="3"/>
        <v>288000</v>
      </c>
      <c r="AB83" s="14">
        <f t="shared" si="4"/>
        <v>256000</v>
      </c>
      <c r="AC83" s="14">
        <f t="shared" si="5"/>
        <v>224000</v>
      </c>
      <c r="AD83" s="2" t="s">
        <v>236</v>
      </c>
      <c r="AE83" s="2" t="s">
        <v>236</v>
      </c>
      <c r="AF83" s="2" t="s">
        <v>236</v>
      </c>
      <c r="AG83" s="43">
        <v>40000</v>
      </c>
      <c r="AH83" s="43"/>
      <c r="AI83" s="43">
        <v>40000</v>
      </c>
      <c r="AJ83" s="43">
        <v>40000</v>
      </c>
      <c r="AK83" s="43">
        <v>40000</v>
      </c>
      <c r="AL83" s="43"/>
      <c r="AM83" s="43"/>
      <c r="AN83" s="43"/>
      <c r="AO83" s="43"/>
      <c r="AP83" s="43">
        <v>40000</v>
      </c>
      <c r="AQ83" s="43">
        <v>80000</v>
      </c>
      <c r="AR83" s="43">
        <v>40000</v>
      </c>
      <c r="AS83" s="44">
        <v>320000</v>
      </c>
      <c r="AT83" s="3" t="s">
        <v>237</v>
      </c>
      <c r="AU83" s="15"/>
    </row>
    <row r="84" spans="1:47" ht="16.5" hidden="1" customHeight="1" x14ac:dyDescent="0.35">
      <c r="A84" s="2" t="s">
        <v>245</v>
      </c>
      <c r="B84" s="2" t="s">
        <v>246</v>
      </c>
      <c r="C84" s="2" t="s">
        <v>223</v>
      </c>
      <c r="D84" s="3">
        <v>847</v>
      </c>
      <c r="E84" s="2">
        <v>8470220</v>
      </c>
      <c r="F84" s="2" t="s">
        <v>224</v>
      </c>
      <c r="G84" s="2">
        <v>1</v>
      </c>
      <c r="H84" s="276">
        <v>428640</v>
      </c>
      <c r="I84" s="7" t="s">
        <v>279</v>
      </c>
      <c r="J84" s="3" t="s">
        <v>60</v>
      </c>
      <c r="K84" s="2" t="s">
        <v>50</v>
      </c>
      <c r="L84" s="6" t="s">
        <v>51</v>
      </c>
      <c r="M84" s="2" t="s">
        <v>61</v>
      </c>
      <c r="N84" s="3">
        <v>200179</v>
      </c>
      <c r="O84" s="3" t="s">
        <v>280</v>
      </c>
      <c r="P84" s="2" t="s">
        <v>46</v>
      </c>
      <c r="Q84" s="10">
        <v>20000</v>
      </c>
      <c r="R84" s="2">
        <v>20000</v>
      </c>
      <c r="S84" s="2" t="s">
        <v>281</v>
      </c>
      <c r="T84" s="2" t="s">
        <v>269</v>
      </c>
      <c r="U84" s="2">
        <v>1</v>
      </c>
      <c r="V84" s="10">
        <v>2000000</v>
      </c>
      <c r="W84" s="2" t="s">
        <v>282</v>
      </c>
      <c r="X84" s="10">
        <v>2000000</v>
      </c>
      <c r="Y84" s="2" t="s">
        <v>55</v>
      </c>
      <c r="Z84" s="2" t="s">
        <v>197</v>
      </c>
      <c r="AA84" s="14">
        <f t="shared" si="3"/>
        <v>1800000</v>
      </c>
      <c r="AB84" s="14">
        <f t="shared" si="4"/>
        <v>1600000</v>
      </c>
      <c r="AC84" s="14">
        <f t="shared" si="5"/>
        <v>1400000</v>
      </c>
      <c r="AD84" s="2" t="s">
        <v>283</v>
      </c>
      <c r="AE84" s="2" t="s">
        <v>283</v>
      </c>
      <c r="AF84" s="2" t="s">
        <v>283</v>
      </c>
      <c r="AG84" s="43"/>
      <c r="AH84" s="43"/>
      <c r="AI84" s="43"/>
      <c r="AJ84" s="43"/>
      <c r="AK84" s="43"/>
      <c r="AL84" s="43"/>
      <c r="AM84" s="43"/>
      <c r="AN84" s="43"/>
      <c r="AO84" s="43"/>
      <c r="AP84" s="43">
        <v>2000000</v>
      </c>
      <c r="AQ84" s="43"/>
      <c r="AR84" s="43"/>
      <c r="AS84" s="44">
        <v>2000000</v>
      </c>
      <c r="AT84" s="3" t="s">
        <v>272</v>
      </c>
      <c r="AU84" s="15"/>
    </row>
    <row r="85" spans="1:47" ht="16.5" hidden="1" customHeight="1" x14ac:dyDescent="0.35">
      <c r="A85" s="2" t="s">
        <v>63</v>
      </c>
      <c r="B85" s="2" t="s">
        <v>64</v>
      </c>
      <c r="C85" s="2" t="s">
        <v>223</v>
      </c>
      <c r="D85" s="3">
        <v>847</v>
      </c>
      <c r="E85" s="2">
        <v>8470220</v>
      </c>
      <c r="F85" s="2" t="s">
        <v>224</v>
      </c>
      <c r="G85" s="2">
        <v>1</v>
      </c>
      <c r="H85" s="276">
        <v>432205</v>
      </c>
      <c r="I85" s="7" t="s">
        <v>167</v>
      </c>
      <c r="J85" s="3" t="s">
        <v>60</v>
      </c>
      <c r="K85" s="2" t="s">
        <v>50</v>
      </c>
      <c r="L85" s="6" t="s">
        <v>51</v>
      </c>
      <c r="M85" s="2" t="s">
        <v>61</v>
      </c>
      <c r="N85" s="3">
        <v>200179</v>
      </c>
      <c r="O85" s="3" t="s">
        <v>284</v>
      </c>
      <c r="P85" s="2" t="s">
        <v>46</v>
      </c>
      <c r="Q85" s="10">
        <v>10000</v>
      </c>
      <c r="R85" s="2">
        <v>10000</v>
      </c>
      <c r="S85" s="2" t="s">
        <v>173</v>
      </c>
      <c r="T85" s="2" t="s">
        <v>76</v>
      </c>
      <c r="U85" s="2">
        <v>6</v>
      </c>
      <c r="V85" s="10">
        <v>10000</v>
      </c>
      <c r="W85" s="2" t="s">
        <v>285</v>
      </c>
      <c r="X85" s="10">
        <v>60000</v>
      </c>
      <c r="Y85" s="2" t="s">
        <v>55</v>
      </c>
      <c r="Z85" s="2" t="s">
        <v>197</v>
      </c>
      <c r="AA85" s="14">
        <f t="shared" si="3"/>
        <v>54000</v>
      </c>
      <c r="AB85" s="14">
        <f t="shared" si="4"/>
        <v>48000</v>
      </c>
      <c r="AC85" s="14">
        <f t="shared" si="5"/>
        <v>42000</v>
      </c>
      <c r="AD85" s="2" t="s">
        <v>286</v>
      </c>
      <c r="AE85" s="2" t="s">
        <v>286</v>
      </c>
      <c r="AF85" s="2" t="s">
        <v>286</v>
      </c>
      <c r="AG85" s="43">
        <v>60000</v>
      </c>
      <c r="AH85" s="43"/>
      <c r="AI85" s="43"/>
      <c r="AJ85" s="43"/>
      <c r="AK85" s="43"/>
      <c r="AL85" s="43"/>
      <c r="AM85" s="43"/>
      <c r="AN85" s="43"/>
      <c r="AO85" s="43"/>
      <c r="AP85" s="43"/>
      <c r="AQ85" s="43"/>
      <c r="AR85" s="43"/>
      <c r="AS85" s="44">
        <v>60000</v>
      </c>
      <c r="AT85" s="3" t="s">
        <v>70</v>
      </c>
      <c r="AU85" s="15"/>
    </row>
    <row r="86" spans="1:47" ht="16.5" hidden="1" customHeight="1" x14ac:dyDescent="0.35">
      <c r="A86" s="2" t="s">
        <v>161</v>
      </c>
      <c r="B86" s="2" t="s">
        <v>220</v>
      </c>
      <c r="C86" s="2" t="s">
        <v>223</v>
      </c>
      <c r="D86" s="3">
        <v>847</v>
      </c>
      <c r="E86" s="2">
        <v>8470220</v>
      </c>
      <c r="F86" s="2" t="s">
        <v>224</v>
      </c>
      <c r="G86" s="2">
        <v>1</v>
      </c>
      <c r="H86" s="276">
        <v>492316</v>
      </c>
      <c r="I86" s="7" t="s">
        <v>221</v>
      </c>
      <c r="J86" s="3" t="s">
        <v>60</v>
      </c>
      <c r="K86" s="2" t="s">
        <v>50</v>
      </c>
      <c r="L86" s="6" t="s">
        <v>51</v>
      </c>
      <c r="M86" s="2" t="s">
        <v>192</v>
      </c>
      <c r="N86" s="2">
        <v>300180</v>
      </c>
      <c r="O86" s="3" t="s">
        <v>287</v>
      </c>
      <c r="P86" s="2">
        <v>160720</v>
      </c>
      <c r="Q86" s="10" t="s">
        <v>46</v>
      </c>
      <c r="R86" s="2"/>
      <c r="S86" s="2" t="s">
        <v>288</v>
      </c>
      <c r="T86" s="2" t="s">
        <v>157</v>
      </c>
      <c r="U86" s="2">
        <v>1</v>
      </c>
      <c r="V86" s="10">
        <v>300000</v>
      </c>
      <c r="W86" s="2" t="s">
        <v>289</v>
      </c>
      <c r="X86" s="10">
        <v>300000</v>
      </c>
      <c r="Y86" s="2" t="s">
        <v>210</v>
      </c>
      <c r="Z86" s="2" t="s">
        <v>56</v>
      </c>
      <c r="AA86" s="14">
        <f t="shared" si="3"/>
        <v>270000</v>
      </c>
      <c r="AB86" s="14">
        <f t="shared" si="4"/>
        <v>240000</v>
      </c>
      <c r="AC86" s="14">
        <f t="shared" si="5"/>
        <v>210000</v>
      </c>
      <c r="AD86" s="2" t="s">
        <v>290</v>
      </c>
      <c r="AE86" s="2" t="s">
        <v>290</v>
      </c>
      <c r="AF86" s="2" t="s">
        <v>290</v>
      </c>
      <c r="AG86" s="43">
        <v>25000</v>
      </c>
      <c r="AH86" s="43">
        <v>25000</v>
      </c>
      <c r="AI86" s="43">
        <v>25000</v>
      </c>
      <c r="AJ86" s="43">
        <v>25000</v>
      </c>
      <c r="AK86" s="43">
        <v>25000</v>
      </c>
      <c r="AL86" s="43">
        <v>25000</v>
      </c>
      <c r="AM86" s="43">
        <v>25000</v>
      </c>
      <c r="AN86" s="43">
        <v>25000</v>
      </c>
      <c r="AO86" s="43">
        <v>25000</v>
      </c>
      <c r="AP86" s="43">
        <v>25000</v>
      </c>
      <c r="AQ86" s="43">
        <v>25000</v>
      </c>
      <c r="AR86" s="43">
        <v>25000</v>
      </c>
      <c r="AS86" s="44">
        <v>300000</v>
      </c>
      <c r="AT86" s="3" t="s">
        <v>70</v>
      </c>
      <c r="AU86" s="15"/>
    </row>
    <row r="87" spans="1:47" ht="16.5" hidden="1" customHeight="1" x14ac:dyDescent="0.35">
      <c r="A87" s="2" t="s">
        <v>46</v>
      </c>
      <c r="B87" s="2" t="s">
        <v>46</v>
      </c>
      <c r="C87" s="2" t="s">
        <v>223</v>
      </c>
      <c r="D87" s="3">
        <v>847</v>
      </c>
      <c r="E87" s="2">
        <v>8470220</v>
      </c>
      <c r="F87" s="2" t="s">
        <v>224</v>
      </c>
      <c r="G87" s="2">
        <v>1</v>
      </c>
      <c r="H87" s="276">
        <v>436120</v>
      </c>
      <c r="I87" s="7" t="s">
        <v>291</v>
      </c>
      <c r="J87" s="3" t="s">
        <v>60</v>
      </c>
      <c r="K87" s="2" t="s">
        <v>50</v>
      </c>
      <c r="L87" s="6" t="s">
        <v>51</v>
      </c>
      <c r="M87" s="2" t="s">
        <v>61</v>
      </c>
      <c r="N87" s="3">
        <v>200179</v>
      </c>
      <c r="O87" s="3" t="s">
        <v>1643</v>
      </c>
      <c r="P87" s="2"/>
      <c r="Q87" s="10"/>
      <c r="R87" s="2"/>
      <c r="S87" s="2" t="s">
        <v>292</v>
      </c>
      <c r="T87" s="2" t="s">
        <v>157</v>
      </c>
      <c r="U87" s="2">
        <v>6</v>
      </c>
      <c r="V87" s="10">
        <v>1000</v>
      </c>
      <c r="W87" s="2" t="s">
        <v>293</v>
      </c>
      <c r="X87" s="10">
        <v>6000</v>
      </c>
      <c r="Y87" s="2" t="s">
        <v>55</v>
      </c>
      <c r="Z87" s="2" t="s">
        <v>56</v>
      </c>
      <c r="AA87" s="14">
        <f t="shared" si="3"/>
        <v>5400</v>
      </c>
      <c r="AB87" s="14">
        <f t="shared" si="4"/>
        <v>4800</v>
      </c>
      <c r="AC87" s="14">
        <f t="shared" si="5"/>
        <v>4200</v>
      </c>
      <c r="AD87" s="2" t="s">
        <v>294</v>
      </c>
      <c r="AE87" s="2" t="s">
        <v>294</v>
      </c>
      <c r="AF87" s="2" t="s">
        <v>294</v>
      </c>
      <c r="AG87" s="43">
        <v>500</v>
      </c>
      <c r="AH87" s="43">
        <v>500</v>
      </c>
      <c r="AI87" s="43">
        <v>500</v>
      </c>
      <c r="AJ87" s="43">
        <v>500</v>
      </c>
      <c r="AK87" s="43">
        <v>500</v>
      </c>
      <c r="AL87" s="43">
        <v>500</v>
      </c>
      <c r="AM87" s="43">
        <v>500</v>
      </c>
      <c r="AN87" s="43">
        <v>500</v>
      </c>
      <c r="AO87" s="43">
        <v>500</v>
      </c>
      <c r="AP87" s="43">
        <v>500</v>
      </c>
      <c r="AQ87" s="43">
        <v>500</v>
      </c>
      <c r="AR87" s="43">
        <v>500</v>
      </c>
      <c r="AS87" s="44">
        <v>6000</v>
      </c>
      <c r="AT87" s="3" t="s">
        <v>295</v>
      </c>
      <c r="AU87" s="15"/>
    </row>
    <row r="88" spans="1:47" ht="16.5" hidden="1" customHeight="1" x14ac:dyDescent="0.35">
      <c r="A88" s="15" t="s">
        <v>222</v>
      </c>
      <c r="B88" s="3" t="s">
        <v>58</v>
      </c>
      <c r="C88" s="15" t="s">
        <v>334</v>
      </c>
      <c r="D88" s="15">
        <v>847</v>
      </c>
      <c r="E88" s="15">
        <v>8470310</v>
      </c>
      <c r="F88" s="15" t="s">
        <v>335</v>
      </c>
      <c r="G88" s="15">
        <v>1</v>
      </c>
      <c r="H88" s="276">
        <v>420550</v>
      </c>
      <c r="I88" s="15" t="s">
        <v>225</v>
      </c>
      <c r="J88" s="15" t="s">
        <v>60</v>
      </c>
      <c r="K88" s="15" t="s">
        <v>50</v>
      </c>
      <c r="L88" s="7">
        <v>847001</v>
      </c>
      <c r="M88" s="15" t="s">
        <v>61</v>
      </c>
      <c r="N88" s="15">
        <v>200179</v>
      </c>
      <c r="O88" s="3" t="s">
        <v>337</v>
      </c>
      <c r="P88" s="15" t="s">
        <v>46</v>
      </c>
      <c r="Q88" s="15">
        <v>20000</v>
      </c>
      <c r="R88" s="16">
        <v>20000</v>
      </c>
      <c r="S88" s="15" t="s">
        <v>338</v>
      </c>
      <c r="T88" s="15" t="s">
        <v>157</v>
      </c>
      <c r="U88" s="15">
        <v>2</v>
      </c>
      <c r="V88" s="15">
        <v>10000</v>
      </c>
      <c r="W88" s="3" t="s">
        <v>339</v>
      </c>
      <c r="X88" s="16">
        <v>20000</v>
      </c>
      <c r="Y88" s="15" t="s">
        <v>55</v>
      </c>
      <c r="Z88" s="15" t="s">
        <v>56</v>
      </c>
      <c r="AA88" s="14">
        <f t="shared" si="3"/>
        <v>18000</v>
      </c>
      <c r="AB88" s="14">
        <f t="shared" si="4"/>
        <v>16000</v>
      </c>
      <c r="AC88" s="14">
        <f t="shared" si="5"/>
        <v>14000</v>
      </c>
      <c r="AD88" s="15" t="s">
        <v>340</v>
      </c>
      <c r="AE88" s="15" t="s">
        <v>341</v>
      </c>
      <c r="AF88" s="3" t="s">
        <v>341</v>
      </c>
      <c r="AG88" s="45"/>
      <c r="AH88" s="45"/>
      <c r="AI88" s="45">
        <v>10000</v>
      </c>
      <c r="AJ88" s="45"/>
      <c r="AK88" s="45"/>
      <c r="AL88" s="45"/>
      <c r="AM88" s="45"/>
      <c r="AN88" s="45"/>
      <c r="AO88" s="45">
        <v>10000</v>
      </c>
      <c r="AP88" s="45"/>
      <c r="AQ88" s="45"/>
      <c r="AR88" s="45"/>
      <c r="AS88" s="45">
        <v>20000</v>
      </c>
      <c r="AT88" s="3" t="s">
        <v>230</v>
      </c>
      <c r="AU88" s="272"/>
    </row>
    <row r="89" spans="1:47" ht="16.5" hidden="1" customHeight="1" x14ac:dyDescent="0.35">
      <c r="A89" s="15" t="s">
        <v>245</v>
      </c>
      <c r="B89" s="3" t="s">
        <v>246</v>
      </c>
      <c r="C89" s="15" t="s">
        <v>334</v>
      </c>
      <c r="D89" s="15">
        <v>847</v>
      </c>
      <c r="E89" s="15">
        <v>8470310</v>
      </c>
      <c r="F89" s="15" t="s">
        <v>335</v>
      </c>
      <c r="G89" s="15">
        <v>1</v>
      </c>
      <c r="H89" s="276">
        <v>425510</v>
      </c>
      <c r="I89" s="15" t="s">
        <v>247</v>
      </c>
      <c r="J89" s="15" t="s">
        <v>60</v>
      </c>
      <c r="K89" s="15" t="s">
        <v>50</v>
      </c>
      <c r="L89" s="7">
        <v>847001</v>
      </c>
      <c r="M89" s="15" t="s">
        <v>61</v>
      </c>
      <c r="N89" s="15">
        <v>200179</v>
      </c>
      <c r="O89" s="3" t="s">
        <v>343</v>
      </c>
      <c r="P89" s="15" t="s">
        <v>46</v>
      </c>
      <c r="Q89" s="15">
        <v>15000</v>
      </c>
      <c r="R89" s="16">
        <v>15000</v>
      </c>
      <c r="S89" s="15" t="s">
        <v>344</v>
      </c>
      <c r="T89" s="15" t="s">
        <v>256</v>
      </c>
      <c r="U89" s="15">
        <v>3</v>
      </c>
      <c r="V89" s="15">
        <v>10000</v>
      </c>
      <c r="W89" s="3" t="s">
        <v>345</v>
      </c>
      <c r="X89" s="16">
        <v>30000</v>
      </c>
      <c r="Y89" s="15" t="s">
        <v>55</v>
      </c>
      <c r="Z89" s="15" t="s">
        <v>56</v>
      </c>
      <c r="AA89" s="14">
        <f t="shared" si="3"/>
        <v>27000</v>
      </c>
      <c r="AB89" s="14">
        <f t="shared" si="4"/>
        <v>24000</v>
      </c>
      <c r="AC89" s="14">
        <f t="shared" si="5"/>
        <v>21000</v>
      </c>
      <c r="AD89" s="15" t="s">
        <v>346</v>
      </c>
      <c r="AE89" s="15" t="s">
        <v>347</v>
      </c>
      <c r="AF89" s="3" t="s">
        <v>347</v>
      </c>
      <c r="AG89" s="45"/>
      <c r="AH89" s="45">
        <v>10000</v>
      </c>
      <c r="AI89" s="45"/>
      <c r="AJ89" s="45"/>
      <c r="AK89" s="45"/>
      <c r="AL89" s="45">
        <v>10000</v>
      </c>
      <c r="AM89" s="45"/>
      <c r="AN89" s="45"/>
      <c r="AO89" s="45"/>
      <c r="AP89" s="45"/>
      <c r="AQ89" s="45">
        <v>10000</v>
      </c>
      <c r="AR89" s="45"/>
      <c r="AS89" s="45">
        <v>30000</v>
      </c>
      <c r="AT89" s="3" t="s">
        <v>348</v>
      </c>
      <c r="AU89" s="272" t="s">
        <v>349</v>
      </c>
    </row>
    <row r="90" spans="1:47" ht="16.5" hidden="1" customHeight="1" x14ac:dyDescent="0.35">
      <c r="A90" s="15" t="s">
        <v>258</v>
      </c>
      <c r="B90" s="3" t="s">
        <v>350</v>
      </c>
      <c r="C90" s="15" t="s">
        <v>334</v>
      </c>
      <c r="D90" s="15">
        <v>847</v>
      </c>
      <c r="E90" s="15">
        <v>8470310</v>
      </c>
      <c r="F90" s="15" t="s">
        <v>335</v>
      </c>
      <c r="G90" s="15">
        <v>1</v>
      </c>
      <c r="H90" s="276">
        <v>425760</v>
      </c>
      <c r="I90" s="15" t="s">
        <v>352</v>
      </c>
      <c r="J90" s="15" t="s">
        <v>60</v>
      </c>
      <c r="K90" s="15" t="s">
        <v>50</v>
      </c>
      <c r="L90" s="7">
        <v>847001</v>
      </c>
      <c r="M90" s="15" t="s">
        <v>61</v>
      </c>
      <c r="N90" s="15">
        <v>200179</v>
      </c>
      <c r="O90" s="3" t="s">
        <v>353</v>
      </c>
      <c r="P90" s="15" t="s">
        <v>46</v>
      </c>
      <c r="Q90" s="15">
        <v>150000</v>
      </c>
      <c r="R90" s="16">
        <v>150000</v>
      </c>
      <c r="S90" s="15" t="s">
        <v>354</v>
      </c>
      <c r="T90" s="15" t="s">
        <v>262</v>
      </c>
      <c r="U90" s="15">
        <v>15</v>
      </c>
      <c r="V90" s="15">
        <v>10000</v>
      </c>
      <c r="W90" s="3" t="s">
        <v>355</v>
      </c>
      <c r="X90" s="16">
        <v>150000</v>
      </c>
      <c r="Y90" s="15" t="s">
        <v>55</v>
      </c>
      <c r="Z90" s="15" t="s">
        <v>56</v>
      </c>
      <c r="AA90" s="14">
        <f t="shared" si="3"/>
        <v>135000</v>
      </c>
      <c r="AB90" s="14">
        <f t="shared" si="4"/>
        <v>120000</v>
      </c>
      <c r="AC90" s="14">
        <f t="shared" si="5"/>
        <v>105000</v>
      </c>
      <c r="AD90" s="15" t="s">
        <v>356</v>
      </c>
      <c r="AE90" s="15" t="s">
        <v>356</v>
      </c>
      <c r="AF90" s="3" t="s">
        <v>357</v>
      </c>
      <c r="AG90" s="45"/>
      <c r="AH90" s="45"/>
      <c r="AI90" s="45">
        <v>150000</v>
      </c>
      <c r="AJ90" s="45"/>
      <c r="AK90" s="45"/>
      <c r="AL90" s="45"/>
      <c r="AM90" s="45"/>
      <c r="AN90" s="45"/>
      <c r="AO90" s="45"/>
      <c r="AP90" s="45"/>
      <c r="AQ90" s="45"/>
      <c r="AR90" s="45"/>
      <c r="AS90" s="45">
        <v>150000</v>
      </c>
      <c r="AT90" s="3" t="s">
        <v>348</v>
      </c>
      <c r="AU90" s="272"/>
    </row>
    <row r="91" spans="1:47" ht="16.5" hidden="1" customHeight="1" x14ac:dyDescent="0.35">
      <c r="A91" s="15" t="s">
        <v>258</v>
      </c>
      <c r="B91" s="3" t="s">
        <v>58</v>
      </c>
      <c r="C91" s="15" t="s">
        <v>334</v>
      </c>
      <c r="D91" s="15">
        <v>847</v>
      </c>
      <c r="E91" s="15">
        <v>8470310</v>
      </c>
      <c r="F91" s="15" t="s">
        <v>335</v>
      </c>
      <c r="G91" s="15">
        <v>1</v>
      </c>
      <c r="H91" s="276">
        <v>425763</v>
      </c>
      <c r="I91" s="15" t="s">
        <v>359</v>
      </c>
      <c r="J91" s="15" t="s">
        <v>60</v>
      </c>
      <c r="K91" s="15" t="s">
        <v>50</v>
      </c>
      <c r="L91" s="7">
        <v>847001</v>
      </c>
      <c r="M91" s="15" t="s">
        <v>61</v>
      </c>
      <c r="N91" s="15">
        <v>200179</v>
      </c>
      <c r="O91" s="3" t="s">
        <v>360</v>
      </c>
      <c r="P91" s="15">
        <v>113543.11</v>
      </c>
      <c r="Q91" s="15">
        <v>350000</v>
      </c>
      <c r="R91" s="16">
        <v>350000</v>
      </c>
      <c r="S91" s="15" t="s">
        <v>361</v>
      </c>
      <c r="T91" s="15" t="s">
        <v>68</v>
      </c>
      <c r="U91" s="15">
        <v>12</v>
      </c>
      <c r="V91" s="15">
        <v>30000</v>
      </c>
      <c r="W91" s="3" t="s">
        <v>362</v>
      </c>
      <c r="X91" s="16">
        <v>360000</v>
      </c>
      <c r="Y91" s="15" t="s">
        <v>55</v>
      </c>
      <c r="Z91" s="15" t="s">
        <v>56</v>
      </c>
      <c r="AA91" s="14">
        <f t="shared" si="3"/>
        <v>324000</v>
      </c>
      <c r="AB91" s="14">
        <f t="shared" si="4"/>
        <v>288000</v>
      </c>
      <c r="AC91" s="14">
        <f t="shared" si="5"/>
        <v>251999.99999999997</v>
      </c>
      <c r="AD91" s="15" t="s">
        <v>363</v>
      </c>
      <c r="AE91" s="15" t="s">
        <v>364</v>
      </c>
      <c r="AF91" s="3" t="s">
        <v>364</v>
      </c>
      <c r="AG91" s="45"/>
      <c r="AH91" s="45">
        <v>90000</v>
      </c>
      <c r="AI91" s="45"/>
      <c r="AJ91" s="45">
        <v>50000</v>
      </c>
      <c r="AK91" s="45">
        <v>60000</v>
      </c>
      <c r="AL91" s="45"/>
      <c r="AM91" s="45"/>
      <c r="AN91" s="45">
        <v>80000</v>
      </c>
      <c r="AO91" s="45"/>
      <c r="AP91" s="45">
        <v>40000</v>
      </c>
      <c r="AQ91" s="45">
        <v>40000</v>
      </c>
      <c r="AR91" s="45"/>
      <c r="AS91" s="45">
        <v>360000</v>
      </c>
      <c r="AT91" s="3" t="s">
        <v>365</v>
      </c>
      <c r="AU91" s="272"/>
    </row>
    <row r="92" spans="1:47" ht="16.5" hidden="1" customHeight="1" x14ac:dyDescent="0.35">
      <c r="A92" s="15" t="s">
        <v>222</v>
      </c>
      <c r="B92" s="3" t="s">
        <v>58</v>
      </c>
      <c r="C92" s="15" t="s">
        <v>334</v>
      </c>
      <c r="D92" s="15">
        <v>847</v>
      </c>
      <c r="E92" s="15">
        <v>8470310</v>
      </c>
      <c r="F92" s="15" t="s">
        <v>335</v>
      </c>
      <c r="G92" s="15">
        <v>1</v>
      </c>
      <c r="H92" s="276">
        <v>425770</v>
      </c>
      <c r="I92" s="15" t="s">
        <v>367</v>
      </c>
      <c r="J92" s="15" t="s">
        <v>60</v>
      </c>
      <c r="K92" s="15" t="s">
        <v>50</v>
      </c>
      <c r="L92" s="7">
        <v>847001</v>
      </c>
      <c r="M92" s="15" t="s">
        <v>61</v>
      </c>
      <c r="N92" s="15">
        <v>200179</v>
      </c>
      <c r="O92" s="3" t="s">
        <v>368</v>
      </c>
      <c r="P92" s="15">
        <v>0</v>
      </c>
      <c r="Q92" s="15">
        <v>210000</v>
      </c>
      <c r="R92" s="16">
        <v>210000</v>
      </c>
      <c r="S92" s="15" t="s">
        <v>369</v>
      </c>
      <c r="T92" s="15" t="s">
        <v>157</v>
      </c>
      <c r="U92" s="15">
        <v>17</v>
      </c>
      <c r="V92" s="15">
        <v>20000</v>
      </c>
      <c r="W92" s="3" t="s">
        <v>370</v>
      </c>
      <c r="X92" s="16">
        <v>340000</v>
      </c>
      <c r="Y92" s="15" t="s">
        <v>55</v>
      </c>
      <c r="Z92" s="15" t="s">
        <v>56</v>
      </c>
      <c r="AA92" s="14">
        <f t="shared" si="3"/>
        <v>306000</v>
      </c>
      <c r="AB92" s="14">
        <f t="shared" si="4"/>
        <v>272000</v>
      </c>
      <c r="AC92" s="14">
        <f t="shared" si="5"/>
        <v>237999.99999999997</v>
      </c>
      <c r="AD92" s="15" t="s">
        <v>371</v>
      </c>
      <c r="AE92" s="15" t="s">
        <v>372</v>
      </c>
      <c r="AF92" s="3" t="s">
        <v>373</v>
      </c>
      <c r="AG92" s="45"/>
      <c r="AH92" s="45"/>
      <c r="AI92" s="45"/>
      <c r="AJ92" s="45"/>
      <c r="AK92" s="45">
        <v>150000</v>
      </c>
      <c r="AL92" s="45"/>
      <c r="AM92" s="45">
        <v>70000</v>
      </c>
      <c r="AN92" s="45">
        <v>60000</v>
      </c>
      <c r="AO92" s="45"/>
      <c r="AP92" s="45"/>
      <c r="AQ92" s="45"/>
      <c r="AR92" s="45">
        <v>60000</v>
      </c>
      <c r="AS92" s="45">
        <v>340000</v>
      </c>
      <c r="AT92" s="3" t="s">
        <v>348</v>
      </c>
      <c r="AU92" s="272" t="s">
        <v>374</v>
      </c>
    </row>
    <row r="93" spans="1:47" ht="16.5" hidden="1" customHeight="1" x14ac:dyDescent="0.35">
      <c r="A93" s="15" t="s">
        <v>189</v>
      </c>
      <c r="B93" s="3" t="s">
        <v>265</v>
      </c>
      <c r="C93" s="15" t="s">
        <v>334</v>
      </c>
      <c r="D93" s="15">
        <v>847</v>
      </c>
      <c r="E93" s="15">
        <v>8470310</v>
      </c>
      <c r="F93" s="15" t="s">
        <v>335</v>
      </c>
      <c r="G93" s="15">
        <v>1</v>
      </c>
      <c r="H93" s="276">
        <v>425900</v>
      </c>
      <c r="I93" s="15" t="s">
        <v>266</v>
      </c>
      <c r="J93" s="15" t="s">
        <v>60</v>
      </c>
      <c r="K93" s="15" t="s">
        <v>50</v>
      </c>
      <c r="L93" s="7">
        <v>847001</v>
      </c>
      <c r="M93" s="15" t="s">
        <v>61</v>
      </c>
      <c r="N93" s="15">
        <v>200179</v>
      </c>
      <c r="O93" s="3" t="s">
        <v>376</v>
      </c>
      <c r="P93" s="15" t="s">
        <v>46</v>
      </c>
      <c r="Q93" s="15">
        <v>8500</v>
      </c>
      <c r="R93" s="16">
        <v>8500</v>
      </c>
      <c r="S93" s="15" t="s">
        <v>268</v>
      </c>
      <c r="T93" s="15" t="s">
        <v>269</v>
      </c>
      <c r="U93" s="15">
        <v>17</v>
      </c>
      <c r="V93" s="15">
        <v>500</v>
      </c>
      <c r="W93" s="3" t="s">
        <v>377</v>
      </c>
      <c r="X93" s="16">
        <v>8500</v>
      </c>
      <c r="Y93" s="15" t="s">
        <v>55</v>
      </c>
      <c r="Z93" s="15" t="s">
        <v>56</v>
      </c>
      <c r="AA93" s="14">
        <f t="shared" si="3"/>
        <v>7650</v>
      </c>
      <c r="AB93" s="14">
        <f t="shared" si="4"/>
        <v>6800</v>
      </c>
      <c r="AC93" s="14">
        <f t="shared" si="5"/>
        <v>5950</v>
      </c>
      <c r="AD93" s="15" t="s">
        <v>378</v>
      </c>
      <c r="AE93" s="15" t="s">
        <v>378</v>
      </c>
      <c r="AF93" s="3" t="s">
        <v>378</v>
      </c>
      <c r="AG93" s="45">
        <v>1000</v>
      </c>
      <c r="AH93" s="45">
        <v>500</v>
      </c>
      <c r="AI93" s="45">
        <v>1000</v>
      </c>
      <c r="AJ93" s="45">
        <v>1000</v>
      </c>
      <c r="AK93" s="45">
        <v>500</v>
      </c>
      <c r="AL93" s="45">
        <v>500</v>
      </c>
      <c r="AM93" s="45">
        <v>500</v>
      </c>
      <c r="AN93" s="45">
        <v>500</v>
      </c>
      <c r="AO93" s="45">
        <v>1000</v>
      </c>
      <c r="AP93" s="45">
        <v>500</v>
      </c>
      <c r="AQ93" s="45">
        <v>1000</v>
      </c>
      <c r="AR93" s="45">
        <v>500</v>
      </c>
      <c r="AS93" s="45">
        <v>8500</v>
      </c>
      <c r="AT93" s="3" t="s">
        <v>379</v>
      </c>
      <c r="AU93" s="272"/>
    </row>
    <row r="94" spans="1:47" ht="16.5" hidden="1" customHeight="1" x14ac:dyDescent="0.35">
      <c r="A94" s="15" t="s">
        <v>63</v>
      </c>
      <c r="B94" s="3" t="s">
        <v>64</v>
      </c>
      <c r="C94" s="15" t="s">
        <v>334</v>
      </c>
      <c r="D94" s="15">
        <v>847</v>
      </c>
      <c r="E94" s="15">
        <v>8470310</v>
      </c>
      <c r="F94" s="15" t="s">
        <v>335</v>
      </c>
      <c r="G94" s="15">
        <v>1</v>
      </c>
      <c r="H94" s="276">
        <v>426610</v>
      </c>
      <c r="I94" s="15" t="s">
        <v>74</v>
      </c>
      <c r="J94" s="15" t="s">
        <v>60</v>
      </c>
      <c r="K94" s="15" t="s">
        <v>50</v>
      </c>
      <c r="L94" s="7">
        <v>847001</v>
      </c>
      <c r="M94" s="15" t="s">
        <v>61</v>
      </c>
      <c r="N94" s="15">
        <v>200179</v>
      </c>
      <c r="O94" s="3" t="s">
        <v>381</v>
      </c>
      <c r="P94" s="15" t="s">
        <v>46</v>
      </c>
      <c r="Q94" s="15">
        <v>9114</v>
      </c>
      <c r="R94" s="16">
        <v>9114</v>
      </c>
      <c r="S94" s="15" t="s">
        <v>274</v>
      </c>
      <c r="T94" s="15" t="s">
        <v>157</v>
      </c>
      <c r="U94" s="15">
        <v>1</v>
      </c>
      <c r="V94" s="15">
        <v>10000</v>
      </c>
      <c r="W94" s="3" t="s">
        <v>382</v>
      </c>
      <c r="X94" s="16">
        <v>10000</v>
      </c>
      <c r="Y94" s="15" t="s">
        <v>55</v>
      </c>
      <c r="Z94" s="15" t="s">
        <v>56</v>
      </c>
      <c r="AA94" s="14">
        <f t="shared" si="3"/>
        <v>9000</v>
      </c>
      <c r="AB94" s="14">
        <f t="shared" si="4"/>
        <v>8000</v>
      </c>
      <c r="AC94" s="14">
        <f t="shared" si="5"/>
        <v>7000</v>
      </c>
      <c r="AD94" s="15" t="s">
        <v>383</v>
      </c>
      <c r="AE94" s="15" t="s">
        <v>383</v>
      </c>
      <c r="AF94" s="3" t="s">
        <v>383</v>
      </c>
      <c r="AG94" s="45">
        <v>10000</v>
      </c>
      <c r="AH94" s="45"/>
      <c r="AI94" s="45"/>
      <c r="AJ94" s="45"/>
      <c r="AK94" s="45"/>
      <c r="AL94" s="45"/>
      <c r="AM94" s="45"/>
      <c r="AN94" s="45"/>
      <c r="AO94" s="45"/>
      <c r="AP94" s="45"/>
      <c r="AQ94" s="45"/>
      <c r="AR94" s="45"/>
      <c r="AS94" s="45">
        <v>10000</v>
      </c>
      <c r="AT94" s="3" t="s">
        <v>384</v>
      </c>
      <c r="AU94" s="272"/>
    </row>
    <row r="95" spans="1:47" ht="16.5" hidden="1" customHeight="1" x14ac:dyDescent="0.35">
      <c r="A95" s="15" t="s">
        <v>153</v>
      </c>
      <c r="B95" s="3" t="s">
        <v>58</v>
      </c>
      <c r="C95" s="15" t="s">
        <v>334</v>
      </c>
      <c r="D95" s="15">
        <v>847</v>
      </c>
      <c r="E95" s="15">
        <v>8470310</v>
      </c>
      <c r="F95" s="15" t="s">
        <v>335</v>
      </c>
      <c r="G95" s="15">
        <v>1</v>
      </c>
      <c r="H95" s="276">
        <v>428090</v>
      </c>
      <c r="I95" s="15" t="s">
        <v>154</v>
      </c>
      <c r="J95" s="15" t="s">
        <v>60</v>
      </c>
      <c r="K95" s="15" t="s">
        <v>50</v>
      </c>
      <c r="L95" s="7">
        <v>847001</v>
      </c>
      <c r="M95" s="15" t="s">
        <v>61</v>
      </c>
      <c r="N95" s="15">
        <v>200179</v>
      </c>
      <c r="O95" s="3" t="s">
        <v>386</v>
      </c>
      <c r="P95" s="15" t="s">
        <v>46</v>
      </c>
      <c r="Q95" s="15">
        <v>40000</v>
      </c>
      <c r="R95" s="16">
        <v>40000</v>
      </c>
      <c r="S95" s="15" t="s">
        <v>387</v>
      </c>
      <c r="T95" s="15" t="s">
        <v>157</v>
      </c>
      <c r="U95" s="15">
        <v>2</v>
      </c>
      <c r="V95" s="15">
        <v>20000</v>
      </c>
      <c r="W95" s="3" t="s">
        <v>388</v>
      </c>
      <c r="X95" s="16">
        <v>40000</v>
      </c>
      <c r="Y95" s="15" t="s">
        <v>55</v>
      </c>
      <c r="Z95" s="15" t="s">
        <v>56</v>
      </c>
      <c r="AA95" s="14">
        <f t="shared" si="3"/>
        <v>36000</v>
      </c>
      <c r="AB95" s="14">
        <f t="shared" si="4"/>
        <v>32000</v>
      </c>
      <c r="AC95" s="14">
        <f t="shared" si="5"/>
        <v>28000</v>
      </c>
      <c r="AD95" s="15" t="s">
        <v>389</v>
      </c>
      <c r="AE95" s="15" t="s">
        <v>390</v>
      </c>
      <c r="AF95" s="3" t="s">
        <v>357</v>
      </c>
      <c r="AG95" s="45"/>
      <c r="AH95" s="45"/>
      <c r="AI95" s="45"/>
      <c r="AJ95" s="45"/>
      <c r="AK95" s="45"/>
      <c r="AL95" s="45">
        <v>20000</v>
      </c>
      <c r="AM95" s="45">
        <v>20000</v>
      </c>
      <c r="AN95" s="45"/>
      <c r="AO95" s="45"/>
      <c r="AP95" s="45"/>
      <c r="AQ95" s="45"/>
      <c r="AR95" s="45"/>
      <c r="AS95" s="45">
        <v>40000</v>
      </c>
      <c r="AT95" s="3" t="s">
        <v>391</v>
      </c>
      <c r="AU95" s="272"/>
    </row>
    <row r="96" spans="1:47" ht="16.5" hidden="1" customHeight="1" x14ac:dyDescent="0.35">
      <c r="A96" s="15" t="s">
        <v>222</v>
      </c>
      <c r="B96" s="3" t="s">
        <v>58</v>
      </c>
      <c r="C96" s="15" t="s">
        <v>334</v>
      </c>
      <c r="D96" s="15">
        <v>847</v>
      </c>
      <c r="E96" s="15">
        <v>8470310</v>
      </c>
      <c r="F96" s="15" t="s">
        <v>335</v>
      </c>
      <c r="G96" s="15">
        <v>1</v>
      </c>
      <c r="H96" s="276">
        <v>432209</v>
      </c>
      <c r="I96" s="15" t="s">
        <v>393</v>
      </c>
      <c r="J96" s="15" t="s">
        <v>60</v>
      </c>
      <c r="K96" s="15" t="s">
        <v>50</v>
      </c>
      <c r="L96" s="7">
        <v>847001</v>
      </c>
      <c r="M96" s="15" t="s">
        <v>61</v>
      </c>
      <c r="N96" s="15">
        <v>200179</v>
      </c>
      <c r="O96" s="3" t="s">
        <v>394</v>
      </c>
      <c r="P96" s="15" t="s">
        <v>46</v>
      </c>
      <c r="Q96" s="15">
        <v>80000</v>
      </c>
      <c r="R96" s="16">
        <v>80000</v>
      </c>
      <c r="S96" s="15" t="s">
        <v>288</v>
      </c>
      <c r="T96" s="15" t="s">
        <v>157</v>
      </c>
      <c r="U96" s="15">
        <v>17</v>
      </c>
      <c r="V96" s="15">
        <v>5000</v>
      </c>
      <c r="W96" s="3" t="s">
        <v>395</v>
      </c>
      <c r="X96" s="16">
        <v>85000</v>
      </c>
      <c r="Y96" s="15" t="s">
        <v>55</v>
      </c>
      <c r="Z96" s="15" t="s">
        <v>56</v>
      </c>
      <c r="AA96" s="14">
        <f t="shared" si="3"/>
        <v>76500</v>
      </c>
      <c r="AB96" s="14">
        <f t="shared" si="4"/>
        <v>68000</v>
      </c>
      <c r="AC96" s="14">
        <f t="shared" si="5"/>
        <v>59499.999999999993</v>
      </c>
      <c r="AD96" s="15" t="s">
        <v>396</v>
      </c>
      <c r="AE96" s="15" t="s">
        <v>396</v>
      </c>
      <c r="AF96" s="3" t="s">
        <v>396</v>
      </c>
      <c r="AG96" s="45">
        <v>10000</v>
      </c>
      <c r="AH96" s="45"/>
      <c r="AI96" s="45"/>
      <c r="AJ96" s="45">
        <v>20000</v>
      </c>
      <c r="AK96" s="45"/>
      <c r="AL96" s="45">
        <v>10000</v>
      </c>
      <c r="AM96" s="45"/>
      <c r="AN96" s="45">
        <v>20000</v>
      </c>
      <c r="AO96" s="45"/>
      <c r="AP96" s="45">
        <v>25000</v>
      </c>
      <c r="AQ96" s="45"/>
      <c r="AR96" s="45"/>
      <c r="AS96" s="45">
        <v>85000</v>
      </c>
      <c r="AT96" s="3" t="s">
        <v>384</v>
      </c>
      <c r="AU96" s="272" t="s">
        <v>397</v>
      </c>
    </row>
    <row r="97" spans="1:47" ht="16.5" hidden="1" customHeight="1" x14ac:dyDescent="0.35">
      <c r="A97" s="15" t="s">
        <v>222</v>
      </c>
      <c r="B97" s="3" t="s">
        <v>58</v>
      </c>
      <c r="C97" s="15" t="s">
        <v>334</v>
      </c>
      <c r="D97" s="15">
        <v>847</v>
      </c>
      <c r="E97" s="15">
        <v>8470310</v>
      </c>
      <c r="F97" s="15" t="s">
        <v>335</v>
      </c>
      <c r="G97" s="15">
        <v>1</v>
      </c>
      <c r="H97" s="276">
        <v>435350</v>
      </c>
      <c r="I97" s="15" t="s">
        <v>399</v>
      </c>
      <c r="J97" s="15" t="s">
        <v>60</v>
      </c>
      <c r="K97" s="15" t="s">
        <v>50</v>
      </c>
      <c r="L97" s="7">
        <v>847001</v>
      </c>
      <c r="M97" s="15" t="s">
        <v>61</v>
      </c>
      <c r="N97" s="15">
        <v>200179</v>
      </c>
      <c r="O97" s="3" t="s">
        <v>400</v>
      </c>
      <c r="P97" s="15">
        <v>48731.55</v>
      </c>
      <c r="Q97" s="15">
        <v>182000</v>
      </c>
      <c r="R97" s="16">
        <v>182000</v>
      </c>
      <c r="S97" s="15" t="s">
        <v>401</v>
      </c>
      <c r="T97" s="15" t="s">
        <v>157</v>
      </c>
      <c r="U97" s="15">
        <v>17</v>
      </c>
      <c r="V97" s="15">
        <v>13000</v>
      </c>
      <c r="W97" s="3" t="s">
        <v>402</v>
      </c>
      <c r="X97" s="16">
        <v>221000</v>
      </c>
      <c r="Y97" s="15" t="s">
        <v>55</v>
      </c>
      <c r="Z97" s="15" t="s">
        <v>56</v>
      </c>
      <c r="AA97" s="14">
        <f t="shared" si="3"/>
        <v>198900</v>
      </c>
      <c r="AB97" s="14">
        <f t="shared" si="4"/>
        <v>176800</v>
      </c>
      <c r="AC97" s="14">
        <f t="shared" si="5"/>
        <v>154700</v>
      </c>
      <c r="AD97" s="15" t="s">
        <v>403</v>
      </c>
      <c r="AE97" s="15" t="s">
        <v>403</v>
      </c>
      <c r="AF97" s="3" t="s">
        <v>403</v>
      </c>
      <c r="AG97" s="45">
        <v>30000</v>
      </c>
      <c r="AH97" s="45">
        <v>20000</v>
      </c>
      <c r="AI97" s="45">
        <v>15000</v>
      </c>
      <c r="AJ97" s="45">
        <v>15000</v>
      </c>
      <c r="AK97" s="45">
        <v>15000</v>
      </c>
      <c r="AL97" s="45">
        <v>30000</v>
      </c>
      <c r="AM97" s="45">
        <v>20000</v>
      </c>
      <c r="AN97" s="45">
        <v>15000</v>
      </c>
      <c r="AO97" s="45">
        <v>15000</v>
      </c>
      <c r="AP97" s="45">
        <v>16000</v>
      </c>
      <c r="AQ97" s="45">
        <v>15000</v>
      </c>
      <c r="AR97" s="45">
        <v>15000</v>
      </c>
      <c r="AS97" s="45">
        <v>221000</v>
      </c>
      <c r="AT97" s="3" t="s">
        <v>384</v>
      </c>
      <c r="AU97" s="272"/>
    </row>
    <row r="98" spans="1:47" ht="16.5" hidden="1" customHeight="1" x14ac:dyDescent="0.35">
      <c r="A98" s="15" t="s">
        <v>222</v>
      </c>
      <c r="B98" s="3" t="s">
        <v>220</v>
      </c>
      <c r="C98" s="15" t="s">
        <v>334</v>
      </c>
      <c r="D98" s="15">
        <v>847</v>
      </c>
      <c r="E98" s="15">
        <v>8470310</v>
      </c>
      <c r="F98" s="15" t="s">
        <v>335</v>
      </c>
      <c r="G98" s="15">
        <v>1</v>
      </c>
      <c r="H98" s="276">
        <v>435508</v>
      </c>
      <c r="I98" s="15" t="s">
        <v>405</v>
      </c>
      <c r="J98" s="15" t="s">
        <v>60</v>
      </c>
      <c r="K98" s="15" t="s">
        <v>50</v>
      </c>
      <c r="L98" s="7">
        <v>847001</v>
      </c>
      <c r="M98" s="15" t="s">
        <v>61</v>
      </c>
      <c r="N98" s="15">
        <v>200179</v>
      </c>
      <c r="O98" s="3" t="s">
        <v>406</v>
      </c>
      <c r="P98" s="15">
        <v>52948.07</v>
      </c>
      <c r="Q98" s="15">
        <v>80000</v>
      </c>
      <c r="R98" s="16">
        <v>80000</v>
      </c>
      <c r="S98" s="15" t="s">
        <v>407</v>
      </c>
      <c r="T98" s="15" t="s">
        <v>157</v>
      </c>
      <c r="U98" s="15">
        <v>17</v>
      </c>
      <c r="V98" s="15">
        <v>7824</v>
      </c>
      <c r="W98" s="3" t="s">
        <v>408</v>
      </c>
      <c r="X98" s="16">
        <v>133008</v>
      </c>
      <c r="Y98" s="15" t="s">
        <v>55</v>
      </c>
      <c r="Z98" s="15" t="s">
        <v>56</v>
      </c>
      <c r="AA98" s="14">
        <f t="shared" si="3"/>
        <v>119707.2</v>
      </c>
      <c r="AB98" s="14">
        <f t="shared" si="4"/>
        <v>106406.40000000001</v>
      </c>
      <c r="AC98" s="14">
        <f t="shared" si="5"/>
        <v>93105.599999999991</v>
      </c>
      <c r="AD98" s="15" t="s">
        <v>396</v>
      </c>
      <c r="AE98" s="15" t="s">
        <v>396</v>
      </c>
      <c r="AF98" s="3" t="s">
        <v>396</v>
      </c>
      <c r="AG98" s="45">
        <v>30000</v>
      </c>
      <c r="AH98" s="45">
        <v>20000</v>
      </c>
      <c r="AI98" s="45">
        <v>20000</v>
      </c>
      <c r="AJ98" s="45">
        <v>10000</v>
      </c>
      <c r="AK98" s="45">
        <v>20000</v>
      </c>
      <c r="AL98" s="45">
        <v>10000</v>
      </c>
      <c r="AM98" s="45"/>
      <c r="AN98" s="45">
        <v>10000</v>
      </c>
      <c r="AO98" s="45">
        <v>13008</v>
      </c>
      <c r="AP98" s="45"/>
      <c r="AQ98" s="45"/>
      <c r="AR98" s="45"/>
      <c r="AS98" s="45">
        <v>133008</v>
      </c>
      <c r="AT98" s="3" t="s">
        <v>384</v>
      </c>
      <c r="AU98" s="272"/>
    </row>
    <row r="99" spans="1:47" ht="16.5" hidden="1" customHeight="1" x14ac:dyDescent="0.35">
      <c r="A99" s="15" t="s">
        <v>189</v>
      </c>
      <c r="B99" s="3" t="s">
        <v>58</v>
      </c>
      <c r="C99" s="15" t="s">
        <v>334</v>
      </c>
      <c r="D99" s="15">
        <v>847</v>
      </c>
      <c r="E99" s="15">
        <v>8470310</v>
      </c>
      <c r="F99" s="15" t="s">
        <v>335</v>
      </c>
      <c r="G99" s="15">
        <v>1</v>
      </c>
      <c r="H99" s="276">
        <v>436110</v>
      </c>
      <c r="I99" s="15" t="s">
        <v>190</v>
      </c>
      <c r="J99" s="15" t="s">
        <v>60</v>
      </c>
      <c r="K99" s="15" t="s">
        <v>50</v>
      </c>
      <c r="L99" s="7">
        <v>847001</v>
      </c>
      <c r="M99" s="15" t="s">
        <v>61</v>
      </c>
      <c r="N99" s="15">
        <v>200179</v>
      </c>
      <c r="O99" s="3" t="s">
        <v>410</v>
      </c>
      <c r="P99" s="15" t="s">
        <v>46</v>
      </c>
      <c r="Q99" s="15">
        <v>4000</v>
      </c>
      <c r="R99" s="16">
        <v>4000</v>
      </c>
      <c r="S99" s="15" t="s">
        <v>411</v>
      </c>
      <c r="T99" s="15" t="s">
        <v>157</v>
      </c>
      <c r="U99" s="15">
        <v>17</v>
      </c>
      <c r="V99" s="15">
        <v>300</v>
      </c>
      <c r="W99" s="3" t="s">
        <v>412</v>
      </c>
      <c r="X99" s="16">
        <v>5100</v>
      </c>
      <c r="Y99" s="15" t="s">
        <v>55</v>
      </c>
      <c r="Z99" s="15" t="s">
        <v>56</v>
      </c>
      <c r="AA99" s="14">
        <f t="shared" si="3"/>
        <v>4590</v>
      </c>
      <c r="AB99" s="14">
        <f t="shared" si="4"/>
        <v>4080</v>
      </c>
      <c r="AC99" s="14">
        <f t="shared" si="5"/>
        <v>3570</v>
      </c>
      <c r="AD99" s="15" t="s">
        <v>413</v>
      </c>
      <c r="AE99" s="15" t="s">
        <v>413</v>
      </c>
      <c r="AF99" s="3" t="s">
        <v>413</v>
      </c>
      <c r="AG99" s="45">
        <v>800</v>
      </c>
      <c r="AH99" s="45"/>
      <c r="AI99" s="45">
        <v>700</v>
      </c>
      <c r="AJ99" s="45"/>
      <c r="AK99" s="45">
        <v>600</v>
      </c>
      <c r="AL99" s="45"/>
      <c r="AM99" s="45">
        <v>2000</v>
      </c>
      <c r="AN99" s="45"/>
      <c r="AO99" s="45">
        <v>1000</v>
      </c>
      <c r="AP99" s="45"/>
      <c r="AQ99" s="45"/>
      <c r="AR99" s="45"/>
      <c r="AS99" s="45">
        <v>5100</v>
      </c>
      <c r="AT99" s="3" t="s">
        <v>414</v>
      </c>
      <c r="AU99" s="272"/>
    </row>
    <row r="100" spans="1:47" ht="16.5" hidden="1" customHeight="1" x14ac:dyDescent="0.35">
      <c r="A100" s="15" t="s">
        <v>222</v>
      </c>
      <c r="B100" s="3" t="s">
        <v>58</v>
      </c>
      <c r="C100" s="15" t="s">
        <v>334</v>
      </c>
      <c r="D100" s="15">
        <v>847</v>
      </c>
      <c r="E100" s="15">
        <v>8470310</v>
      </c>
      <c r="F100" s="15" t="s">
        <v>335</v>
      </c>
      <c r="G100" s="15">
        <v>1</v>
      </c>
      <c r="H100" s="276">
        <v>436600</v>
      </c>
      <c r="I100" s="15" t="s">
        <v>416</v>
      </c>
      <c r="J100" s="15" t="s">
        <v>60</v>
      </c>
      <c r="K100" s="15" t="s">
        <v>50</v>
      </c>
      <c r="L100" s="7">
        <v>847001</v>
      </c>
      <c r="M100" s="15" t="s">
        <v>61</v>
      </c>
      <c r="N100" s="15">
        <v>200179</v>
      </c>
      <c r="O100" s="3" t="s">
        <v>417</v>
      </c>
      <c r="P100" s="15">
        <v>505.12</v>
      </c>
      <c r="Q100" s="15">
        <v>5000</v>
      </c>
      <c r="R100" s="16">
        <v>5000</v>
      </c>
      <c r="S100" s="15" t="s">
        <v>418</v>
      </c>
      <c r="T100" s="15" t="s">
        <v>157</v>
      </c>
      <c r="U100" s="15">
        <v>17</v>
      </c>
      <c r="V100" s="15">
        <v>350</v>
      </c>
      <c r="W100" s="3" t="s">
        <v>419</v>
      </c>
      <c r="X100" s="16">
        <v>5950</v>
      </c>
      <c r="Y100" s="15" t="s">
        <v>55</v>
      </c>
      <c r="Z100" s="15" t="s">
        <v>56</v>
      </c>
      <c r="AA100" s="14">
        <f t="shared" si="3"/>
        <v>5355</v>
      </c>
      <c r="AB100" s="14">
        <f t="shared" si="4"/>
        <v>4760</v>
      </c>
      <c r="AC100" s="14">
        <f t="shared" si="5"/>
        <v>4165</v>
      </c>
      <c r="AD100" s="15" t="s">
        <v>396</v>
      </c>
      <c r="AE100" s="15" t="s">
        <v>396</v>
      </c>
      <c r="AF100" s="3" t="s">
        <v>396</v>
      </c>
      <c r="AG100" s="45">
        <v>2950</v>
      </c>
      <c r="AH100" s="45"/>
      <c r="AI100" s="45"/>
      <c r="AJ100" s="45"/>
      <c r="AK100" s="45"/>
      <c r="AL100" s="45"/>
      <c r="AM100" s="45"/>
      <c r="AN100" s="45">
        <v>3000</v>
      </c>
      <c r="AO100" s="45"/>
      <c r="AP100" s="45"/>
      <c r="AQ100" s="45"/>
      <c r="AR100" s="45"/>
      <c r="AS100" s="45">
        <v>5950</v>
      </c>
      <c r="AT100" s="3" t="s">
        <v>414</v>
      </c>
      <c r="AU100" s="272"/>
    </row>
    <row r="101" spans="1:47" ht="16.5" hidden="1" customHeight="1" x14ac:dyDescent="0.35">
      <c r="A101" s="15" t="s">
        <v>161</v>
      </c>
      <c r="B101" s="3" t="s">
        <v>220</v>
      </c>
      <c r="C101" s="15" t="s">
        <v>334</v>
      </c>
      <c r="D101" s="15">
        <v>847</v>
      </c>
      <c r="E101" s="15">
        <v>8470310</v>
      </c>
      <c r="F101" s="15" t="s">
        <v>335</v>
      </c>
      <c r="G101" s="15">
        <v>1</v>
      </c>
      <c r="H101" s="276">
        <v>492316</v>
      </c>
      <c r="I101" s="15" t="s">
        <v>221</v>
      </c>
      <c r="J101" s="15" t="s">
        <v>60</v>
      </c>
      <c r="K101" s="15" t="s">
        <v>50</v>
      </c>
      <c r="L101" s="7">
        <v>847001</v>
      </c>
      <c r="M101" s="15" t="s">
        <v>192</v>
      </c>
      <c r="N101" s="15">
        <v>300180</v>
      </c>
      <c r="O101" s="3" t="s">
        <v>421</v>
      </c>
      <c r="P101" s="15">
        <v>658396</v>
      </c>
      <c r="Q101" s="15">
        <v>1174460</v>
      </c>
      <c r="R101" s="16">
        <v>1174460</v>
      </c>
      <c r="S101" s="15" t="s">
        <v>422</v>
      </c>
      <c r="T101" s="15" t="s">
        <v>157</v>
      </c>
      <c r="U101" s="15">
        <v>1</v>
      </c>
      <c r="V101" s="15">
        <v>2526100</v>
      </c>
      <c r="W101" s="3" t="s">
        <v>423</v>
      </c>
      <c r="X101" s="16">
        <v>2526100</v>
      </c>
      <c r="Y101" s="15" t="s">
        <v>55</v>
      </c>
      <c r="Z101" s="15" t="s">
        <v>197</v>
      </c>
      <c r="AA101" s="14">
        <f t="shared" si="3"/>
        <v>2273490</v>
      </c>
      <c r="AB101" s="14">
        <f t="shared" si="4"/>
        <v>2020880</v>
      </c>
      <c r="AC101" s="14">
        <f t="shared" si="5"/>
        <v>1768270</v>
      </c>
      <c r="AD101" s="15" t="s">
        <v>424</v>
      </c>
      <c r="AE101" s="15" t="s">
        <v>424</v>
      </c>
      <c r="AF101" s="3" t="s">
        <v>424</v>
      </c>
      <c r="AG101" s="45">
        <v>500000</v>
      </c>
      <c r="AH101" s="45">
        <v>500000</v>
      </c>
      <c r="AI101" s="45">
        <v>589100</v>
      </c>
      <c r="AJ101" s="45">
        <v>537000</v>
      </c>
      <c r="AK101" s="45">
        <v>400000</v>
      </c>
      <c r="AL101" s="45"/>
      <c r="AM101" s="45"/>
      <c r="AN101" s="45"/>
      <c r="AO101" s="45"/>
      <c r="AP101" s="45"/>
      <c r="AQ101" s="45"/>
      <c r="AR101" s="45"/>
      <c r="AS101" s="45">
        <v>2526100</v>
      </c>
      <c r="AT101" s="3" t="s">
        <v>384</v>
      </c>
      <c r="AU101" s="272" t="s">
        <v>425</v>
      </c>
    </row>
    <row r="102" spans="1:47" ht="16.5" hidden="1" customHeight="1" x14ac:dyDescent="0.35">
      <c r="A102" s="15" t="s">
        <v>222</v>
      </c>
      <c r="B102" s="3" t="s">
        <v>58</v>
      </c>
      <c r="C102" s="15" t="s">
        <v>334</v>
      </c>
      <c r="D102" s="15">
        <v>847</v>
      </c>
      <c r="E102" s="15">
        <v>8470315</v>
      </c>
      <c r="F102" s="15" t="s">
        <v>426</v>
      </c>
      <c r="G102" s="15">
        <v>1</v>
      </c>
      <c r="H102" s="276">
        <v>420550</v>
      </c>
      <c r="I102" s="15" t="s">
        <v>225</v>
      </c>
      <c r="J102" s="15" t="s">
        <v>60</v>
      </c>
      <c r="K102" s="15" t="s">
        <v>50</v>
      </c>
      <c r="L102" s="7">
        <v>847001</v>
      </c>
      <c r="M102" s="15" t="s">
        <v>61</v>
      </c>
      <c r="N102" s="15">
        <v>200179</v>
      </c>
      <c r="O102" s="3" t="s">
        <v>427</v>
      </c>
      <c r="P102" s="15" t="s">
        <v>46</v>
      </c>
      <c r="Q102" s="15">
        <v>1000</v>
      </c>
      <c r="R102" s="15">
        <v>3000</v>
      </c>
      <c r="S102" s="15" t="s">
        <v>227</v>
      </c>
      <c r="T102" s="15" t="s">
        <v>157</v>
      </c>
      <c r="U102" s="15">
        <v>1</v>
      </c>
      <c r="V102" s="15">
        <v>7000</v>
      </c>
      <c r="W102" s="15" t="s">
        <v>428</v>
      </c>
      <c r="X102" s="16">
        <v>7000</v>
      </c>
      <c r="Y102" s="15" t="s">
        <v>55</v>
      </c>
      <c r="Z102" s="15" t="s">
        <v>56</v>
      </c>
      <c r="AA102" s="14">
        <f t="shared" si="3"/>
        <v>6300</v>
      </c>
      <c r="AB102" s="14">
        <f t="shared" si="4"/>
        <v>5600</v>
      </c>
      <c r="AC102" s="14">
        <f t="shared" si="5"/>
        <v>4900</v>
      </c>
      <c r="AD102" s="15" t="s">
        <v>429</v>
      </c>
      <c r="AE102" s="15" t="s">
        <v>430</v>
      </c>
      <c r="AF102" s="3" t="s">
        <v>431</v>
      </c>
      <c r="AG102" s="45"/>
      <c r="AH102" s="45"/>
      <c r="AI102" s="45"/>
      <c r="AJ102" s="45"/>
      <c r="AK102" s="45"/>
      <c r="AL102" s="45"/>
      <c r="AM102" s="45"/>
      <c r="AN102" s="45"/>
      <c r="AO102" s="45"/>
      <c r="AP102" s="45"/>
      <c r="AQ102" s="45">
        <v>7000</v>
      </c>
      <c r="AR102" s="45"/>
      <c r="AS102" s="45">
        <v>7000</v>
      </c>
      <c r="AT102" s="3" t="s">
        <v>230</v>
      </c>
      <c r="AU102" s="272"/>
    </row>
    <row r="103" spans="1:47" ht="16.5" hidden="1" customHeight="1" x14ac:dyDescent="0.35">
      <c r="A103" s="15" t="s">
        <v>245</v>
      </c>
      <c r="B103" s="3" t="s">
        <v>246</v>
      </c>
      <c r="C103" s="15" t="s">
        <v>334</v>
      </c>
      <c r="D103" s="15">
        <v>847</v>
      </c>
      <c r="E103" s="15">
        <v>8470315</v>
      </c>
      <c r="F103" s="15" t="s">
        <v>426</v>
      </c>
      <c r="G103" s="15">
        <v>1</v>
      </c>
      <c r="H103" s="276">
        <v>425510</v>
      </c>
      <c r="I103" s="15" t="s">
        <v>247</v>
      </c>
      <c r="J103" s="15" t="s">
        <v>60</v>
      </c>
      <c r="K103" s="15" t="s">
        <v>50</v>
      </c>
      <c r="L103" s="7">
        <v>847001</v>
      </c>
      <c r="M103" s="15" t="s">
        <v>61</v>
      </c>
      <c r="N103" s="15">
        <v>200179</v>
      </c>
      <c r="O103" s="3" t="s">
        <v>432</v>
      </c>
      <c r="P103" s="15">
        <v>100</v>
      </c>
      <c r="Q103" s="15">
        <v>4000</v>
      </c>
      <c r="R103" s="15">
        <v>42000</v>
      </c>
      <c r="S103" s="15" t="s">
        <v>433</v>
      </c>
      <c r="T103" s="15" t="s">
        <v>434</v>
      </c>
      <c r="U103" s="15">
        <v>10</v>
      </c>
      <c r="V103" s="15">
        <v>900</v>
      </c>
      <c r="W103" s="15" t="s">
        <v>435</v>
      </c>
      <c r="X103" s="16">
        <v>9000</v>
      </c>
      <c r="Y103" s="15" t="s">
        <v>55</v>
      </c>
      <c r="Z103" s="15" t="s">
        <v>56</v>
      </c>
      <c r="AA103" s="14">
        <f t="shared" si="3"/>
        <v>8100</v>
      </c>
      <c r="AB103" s="14">
        <f t="shared" si="4"/>
        <v>7200</v>
      </c>
      <c r="AC103" s="14">
        <f t="shared" si="5"/>
        <v>6300</v>
      </c>
      <c r="AD103" s="15" t="s">
        <v>436</v>
      </c>
      <c r="AE103" s="15" t="s">
        <v>437</v>
      </c>
      <c r="AF103" s="3" t="s">
        <v>438</v>
      </c>
      <c r="AG103" s="45">
        <v>900</v>
      </c>
      <c r="AH103" s="45">
        <v>900</v>
      </c>
      <c r="AI103" s="45">
        <v>900</v>
      </c>
      <c r="AJ103" s="45">
        <v>900</v>
      </c>
      <c r="AK103" s="45">
        <v>900</v>
      </c>
      <c r="AL103" s="45">
        <v>900</v>
      </c>
      <c r="AM103" s="45"/>
      <c r="AN103" s="45"/>
      <c r="AO103" s="45">
        <v>900</v>
      </c>
      <c r="AP103" s="45">
        <v>900</v>
      </c>
      <c r="AQ103" s="45">
        <v>900</v>
      </c>
      <c r="AR103" s="45">
        <v>900</v>
      </c>
      <c r="AS103" s="45">
        <v>9000</v>
      </c>
      <c r="AT103" s="3" t="s">
        <v>230</v>
      </c>
      <c r="AU103" s="272"/>
    </row>
    <row r="104" spans="1:47" ht="16.5" hidden="1" customHeight="1" x14ac:dyDescent="0.35">
      <c r="A104" s="15" t="s">
        <v>258</v>
      </c>
      <c r="B104" s="3" t="s">
        <v>350</v>
      </c>
      <c r="C104" s="15" t="s">
        <v>334</v>
      </c>
      <c r="D104" s="15">
        <v>847</v>
      </c>
      <c r="E104" s="15">
        <v>8470315</v>
      </c>
      <c r="F104" s="15" t="s">
        <v>426</v>
      </c>
      <c r="G104" s="15">
        <v>1</v>
      </c>
      <c r="H104" s="276">
        <v>425760</v>
      </c>
      <c r="I104" s="15" t="s">
        <v>352</v>
      </c>
      <c r="J104" s="15" t="s">
        <v>60</v>
      </c>
      <c r="K104" s="15" t="s">
        <v>50</v>
      </c>
      <c r="L104" s="7">
        <v>847001</v>
      </c>
      <c r="M104" s="15" t="s">
        <v>61</v>
      </c>
      <c r="N104" s="15">
        <v>200179</v>
      </c>
      <c r="O104" s="3" t="s">
        <v>439</v>
      </c>
      <c r="P104" s="15">
        <v>0</v>
      </c>
      <c r="Q104" s="15">
        <v>20000</v>
      </c>
      <c r="R104" s="15">
        <v>72000</v>
      </c>
      <c r="S104" s="15" t="s">
        <v>440</v>
      </c>
      <c r="T104" s="15" t="s">
        <v>441</v>
      </c>
      <c r="U104" s="15">
        <v>5</v>
      </c>
      <c r="V104" s="15">
        <v>4000</v>
      </c>
      <c r="W104" s="15" t="s">
        <v>442</v>
      </c>
      <c r="X104" s="16">
        <v>20000</v>
      </c>
      <c r="Y104" s="15" t="s">
        <v>55</v>
      </c>
      <c r="Z104" s="15" t="s">
        <v>56</v>
      </c>
      <c r="AA104" s="14">
        <f t="shared" si="3"/>
        <v>18000</v>
      </c>
      <c r="AB104" s="14">
        <f t="shared" si="4"/>
        <v>16000</v>
      </c>
      <c r="AC104" s="14">
        <f t="shared" si="5"/>
        <v>14000</v>
      </c>
      <c r="AD104" s="15" t="s">
        <v>443</v>
      </c>
      <c r="AE104" s="15" t="s">
        <v>444</v>
      </c>
      <c r="AF104" s="3" t="s">
        <v>445</v>
      </c>
      <c r="AG104" s="45"/>
      <c r="AH104" s="45"/>
      <c r="AI104" s="45"/>
      <c r="AJ104" s="45">
        <v>2000</v>
      </c>
      <c r="AK104" s="45">
        <v>4000</v>
      </c>
      <c r="AL104" s="45">
        <v>4000</v>
      </c>
      <c r="AM104" s="45"/>
      <c r="AN104" s="45"/>
      <c r="AO104" s="45">
        <v>2000</v>
      </c>
      <c r="AP104" s="45">
        <v>5000</v>
      </c>
      <c r="AQ104" s="45">
        <v>3000</v>
      </c>
      <c r="AR104" s="45"/>
      <c r="AS104" s="45">
        <v>20000</v>
      </c>
      <c r="AT104" s="3" t="s">
        <v>230</v>
      </c>
      <c r="AU104" s="272"/>
    </row>
    <row r="105" spans="1:47" ht="16.5" hidden="1" customHeight="1" x14ac:dyDescent="0.35">
      <c r="A105" s="15" t="s">
        <v>258</v>
      </c>
      <c r="B105" s="3" t="s">
        <v>58</v>
      </c>
      <c r="C105" s="15" t="s">
        <v>334</v>
      </c>
      <c r="D105" s="15">
        <v>847</v>
      </c>
      <c r="E105" s="15">
        <v>8470315</v>
      </c>
      <c r="F105" s="15" t="s">
        <v>426</v>
      </c>
      <c r="G105" s="15">
        <v>1</v>
      </c>
      <c r="H105" s="276">
        <v>425763</v>
      </c>
      <c r="I105" s="15" t="s">
        <v>359</v>
      </c>
      <c r="J105" s="15" t="s">
        <v>60</v>
      </c>
      <c r="K105" s="15" t="s">
        <v>50</v>
      </c>
      <c r="L105" s="7">
        <v>847001</v>
      </c>
      <c r="M105" s="15" t="s">
        <v>61</v>
      </c>
      <c r="N105" s="15">
        <v>200179</v>
      </c>
      <c r="O105" s="3" t="s">
        <v>446</v>
      </c>
      <c r="P105" s="15">
        <v>56577.42</v>
      </c>
      <c r="Q105" s="15">
        <v>180000</v>
      </c>
      <c r="R105" s="15">
        <v>405000</v>
      </c>
      <c r="S105" s="15" t="s">
        <v>361</v>
      </c>
      <c r="T105" s="15" t="s">
        <v>68</v>
      </c>
      <c r="U105" s="15">
        <v>68</v>
      </c>
      <c r="V105" s="15">
        <v>3000</v>
      </c>
      <c r="W105" s="15" t="s">
        <v>447</v>
      </c>
      <c r="X105" s="16">
        <v>204000</v>
      </c>
      <c r="Y105" s="15" t="s">
        <v>55</v>
      </c>
      <c r="Z105" s="15" t="s">
        <v>56</v>
      </c>
      <c r="AA105" s="14">
        <f t="shared" si="3"/>
        <v>183600</v>
      </c>
      <c r="AB105" s="14">
        <f t="shared" si="4"/>
        <v>163200</v>
      </c>
      <c r="AC105" s="14">
        <f t="shared" si="5"/>
        <v>142800</v>
      </c>
      <c r="AD105" s="15" t="s">
        <v>448</v>
      </c>
      <c r="AE105" s="15" t="s">
        <v>449</v>
      </c>
      <c r="AF105" s="3" t="s">
        <v>450</v>
      </c>
      <c r="AG105" s="45"/>
      <c r="AH105" s="45"/>
      <c r="AI105" s="45"/>
      <c r="AJ105" s="45"/>
      <c r="AK105" s="45">
        <v>90000</v>
      </c>
      <c r="AL105" s="45"/>
      <c r="AM105" s="45"/>
      <c r="AN105" s="45"/>
      <c r="AO105" s="45"/>
      <c r="AP105" s="45">
        <v>114000</v>
      </c>
      <c r="AQ105" s="45"/>
      <c r="AR105" s="45"/>
      <c r="AS105" s="45">
        <v>204000</v>
      </c>
      <c r="AT105" s="3" t="s">
        <v>230</v>
      </c>
      <c r="AU105" s="272"/>
    </row>
    <row r="106" spans="1:47" ht="16.5" hidden="1" customHeight="1" x14ac:dyDescent="0.35">
      <c r="A106" s="15" t="s">
        <v>222</v>
      </c>
      <c r="B106" s="3" t="s">
        <v>58</v>
      </c>
      <c r="C106" s="15" t="s">
        <v>334</v>
      </c>
      <c r="D106" s="15">
        <v>847</v>
      </c>
      <c r="E106" s="15">
        <v>8470315</v>
      </c>
      <c r="F106" s="15" t="s">
        <v>426</v>
      </c>
      <c r="G106" s="15">
        <v>1</v>
      </c>
      <c r="H106" s="276">
        <v>425770</v>
      </c>
      <c r="I106" s="15" t="s">
        <v>367</v>
      </c>
      <c r="J106" s="15" t="s">
        <v>60</v>
      </c>
      <c r="K106" s="15" t="s">
        <v>50</v>
      </c>
      <c r="L106" s="7">
        <v>847001</v>
      </c>
      <c r="M106" s="15" t="s">
        <v>61</v>
      </c>
      <c r="N106" s="15">
        <v>200179</v>
      </c>
      <c r="O106" s="3" t="s">
        <v>451</v>
      </c>
      <c r="P106" s="15">
        <v>1101.9000000000001</v>
      </c>
      <c r="Q106" s="15">
        <v>180000</v>
      </c>
      <c r="R106" s="15">
        <v>650000</v>
      </c>
      <c r="S106" s="15" t="s">
        <v>369</v>
      </c>
      <c r="T106" s="15" t="s">
        <v>157</v>
      </c>
      <c r="U106" s="15">
        <v>15</v>
      </c>
      <c r="V106" s="15">
        <v>20000</v>
      </c>
      <c r="W106" s="15" t="s">
        <v>452</v>
      </c>
      <c r="X106" s="16">
        <v>300000</v>
      </c>
      <c r="Y106" s="15" t="s">
        <v>55</v>
      </c>
      <c r="Z106" s="15" t="s">
        <v>56</v>
      </c>
      <c r="AA106" s="14">
        <f t="shared" si="3"/>
        <v>270000</v>
      </c>
      <c r="AB106" s="14">
        <f t="shared" si="4"/>
        <v>240000</v>
      </c>
      <c r="AC106" s="14">
        <f t="shared" si="5"/>
        <v>210000</v>
      </c>
      <c r="AD106" s="15" t="s">
        <v>453</v>
      </c>
      <c r="AE106" s="15" t="s">
        <v>454</v>
      </c>
      <c r="AF106" s="3" t="s">
        <v>455</v>
      </c>
      <c r="AG106" s="45"/>
      <c r="AH106" s="45">
        <v>20000</v>
      </c>
      <c r="AI106" s="45">
        <v>20000</v>
      </c>
      <c r="AJ106" s="45">
        <v>40000</v>
      </c>
      <c r="AK106" s="45">
        <v>20000</v>
      </c>
      <c r="AL106" s="45">
        <v>40000</v>
      </c>
      <c r="AM106" s="45">
        <v>40000</v>
      </c>
      <c r="AN106" s="45"/>
      <c r="AO106" s="45">
        <v>20000</v>
      </c>
      <c r="AP106" s="45">
        <v>40000</v>
      </c>
      <c r="AQ106" s="45">
        <v>40000</v>
      </c>
      <c r="AR106" s="45">
        <v>20000</v>
      </c>
      <c r="AS106" s="45">
        <v>300000</v>
      </c>
      <c r="AT106" s="3" t="s">
        <v>348</v>
      </c>
      <c r="AU106" s="272" t="s">
        <v>374</v>
      </c>
    </row>
    <row r="107" spans="1:47" ht="16.5" hidden="1" customHeight="1" x14ac:dyDescent="0.35">
      <c r="A107" s="15" t="s">
        <v>189</v>
      </c>
      <c r="B107" s="3" t="s">
        <v>265</v>
      </c>
      <c r="C107" s="15" t="s">
        <v>334</v>
      </c>
      <c r="D107" s="15">
        <v>847</v>
      </c>
      <c r="E107" s="15">
        <v>8470315</v>
      </c>
      <c r="F107" s="15" t="s">
        <v>426</v>
      </c>
      <c r="G107" s="15">
        <v>1</v>
      </c>
      <c r="H107" s="276">
        <v>425900</v>
      </c>
      <c r="I107" s="15" t="s">
        <v>266</v>
      </c>
      <c r="J107" s="15" t="s">
        <v>60</v>
      </c>
      <c r="K107" s="15" t="s">
        <v>50</v>
      </c>
      <c r="L107" s="7">
        <v>847001</v>
      </c>
      <c r="M107" s="15" t="s">
        <v>61</v>
      </c>
      <c r="N107" s="15">
        <v>200179</v>
      </c>
      <c r="O107" s="3" t="s">
        <v>456</v>
      </c>
      <c r="P107" s="15">
        <v>315</v>
      </c>
      <c r="Q107" s="15">
        <v>10000</v>
      </c>
      <c r="R107" s="15">
        <v>16000</v>
      </c>
      <c r="S107" s="15" t="s">
        <v>268</v>
      </c>
      <c r="T107" s="15" t="s">
        <v>269</v>
      </c>
      <c r="U107" s="15">
        <v>16</v>
      </c>
      <c r="V107" s="15">
        <v>1200</v>
      </c>
      <c r="W107" s="15" t="s">
        <v>457</v>
      </c>
      <c r="X107" s="16">
        <v>19200</v>
      </c>
      <c r="Y107" s="15" t="s">
        <v>55</v>
      </c>
      <c r="Z107" s="15" t="s">
        <v>56</v>
      </c>
      <c r="AA107" s="14">
        <f t="shared" si="3"/>
        <v>17280</v>
      </c>
      <c r="AB107" s="14">
        <f t="shared" si="4"/>
        <v>15360</v>
      </c>
      <c r="AC107" s="14">
        <f t="shared" si="5"/>
        <v>13440</v>
      </c>
      <c r="AD107" s="15" t="s">
        <v>443</v>
      </c>
      <c r="AE107" s="15" t="s">
        <v>458</v>
      </c>
      <c r="AF107" s="3" t="s">
        <v>459</v>
      </c>
      <c r="AG107" s="45">
        <v>700</v>
      </c>
      <c r="AH107" s="45">
        <v>1500</v>
      </c>
      <c r="AI107" s="45">
        <v>1500</v>
      </c>
      <c r="AJ107" s="45">
        <v>3000</v>
      </c>
      <c r="AK107" s="45">
        <v>2000</v>
      </c>
      <c r="AL107" s="45">
        <v>1500</v>
      </c>
      <c r="AM107" s="45">
        <v>1000</v>
      </c>
      <c r="AN107" s="45"/>
      <c r="AO107" s="45">
        <v>1000</v>
      </c>
      <c r="AP107" s="45">
        <v>3000</v>
      </c>
      <c r="AQ107" s="45">
        <v>3000</v>
      </c>
      <c r="AR107" s="45">
        <v>1000</v>
      </c>
      <c r="AS107" s="45">
        <v>19200</v>
      </c>
      <c r="AT107" s="3" t="s">
        <v>252</v>
      </c>
      <c r="AU107" s="272"/>
    </row>
    <row r="108" spans="1:47" ht="16.5" hidden="1" customHeight="1" x14ac:dyDescent="0.35">
      <c r="A108" s="15" t="s">
        <v>63</v>
      </c>
      <c r="B108" s="3" t="s">
        <v>64</v>
      </c>
      <c r="C108" s="15" t="s">
        <v>334</v>
      </c>
      <c r="D108" s="15">
        <v>847</v>
      </c>
      <c r="E108" s="15">
        <v>8470315</v>
      </c>
      <c r="F108" s="15" t="s">
        <v>426</v>
      </c>
      <c r="G108" s="15">
        <v>1</v>
      </c>
      <c r="H108" s="276">
        <v>426610</v>
      </c>
      <c r="I108" s="15" t="s">
        <v>74</v>
      </c>
      <c r="J108" s="15" t="s">
        <v>60</v>
      </c>
      <c r="K108" s="15" t="s">
        <v>50</v>
      </c>
      <c r="L108" s="7">
        <v>847001</v>
      </c>
      <c r="M108" s="15" t="s">
        <v>61</v>
      </c>
      <c r="N108" s="15">
        <v>200179</v>
      </c>
      <c r="O108" s="3" t="s">
        <v>460</v>
      </c>
      <c r="P108" s="15">
        <v>3816.25</v>
      </c>
      <c r="Q108" s="15">
        <v>99576</v>
      </c>
      <c r="R108" s="15">
        <v>720500</v>
      </c>
      <c r="S108" s="15" t="s">
        <v>274</v>
      </c>
      <c r="T108" s="15" t="s">
        <v>157</v>
      </c>
      <c r="U108" s="15">
        <v>1</v>
      </c>
      <c r="V108" s="15">
        <v>104554</v>
      </c>
      <c r="W108" s="15" t="s">
        <v>461</v>
      </c>
      <c r="X108" s="16">
        <v>104554</v>
      </c>
      <c r="Y108" s="15" t="s">
        <v>55</v>
      </c>
      <c r="Z108" s="15" t="s">
        <v>56</v>
      </c>
      <c r="AA108" s="14">
        <f t="shared" si="3"/>
        <v>94098.6</v>
      </c>
      <c r="AB108" s="14">
        <f t="shared" si="4"/>
        <v>83643.200000000012</v>
      </c>
      <c r="AC108" s="14">
        <f t="shared" si="5"/>
        <v>73187.799999999988</v>
      </c>
      <c r="AD108" s="15" t="s">
        <v>462</v>
      </c>
      <c r="AE108" s="15" t="s">
        <v>463</v>
      </c>
      <c r="AF108" s="3" t="s">
        <v>464</v>
      </c>
      <c r="AG108" s="45"/>
      <c r="AH108" s="45">
        <v>104554</v>
      </c>
      <c r="AI108" s="45"/>
      <c r="AJ108" s="45"/>
      <c r="AK108" s="45"/>
      <c r="AL108" s="45"/>
      <c r="AM108" s="45"/>
      <c r="AN108" s="45"/>
      <c r="AO108" s="45"/>
      <c r="AP108" s="45"/>
      <c r="AQ108" s="45"/>
      <c r="AR108" s="45"/>
      <c r="AS108" s="45">
        <v>104554</v>
      </c>
      <c r="AT108" s="3" t="s">
        <v>230</v>
      </c>
      <c r="AU108" s="272"/>
    </row>
    <row r="109" spans="1:47" ht="16.5" hidden="1" customHeight="1" x14ac:dyDescent="0.35">
      <c r="A109" s="15" t="s">
        <v>153</v>
      </c>
      <c r="B109" s="3" t="s">
        <v>58</v>
      </c>
      <c r="C109" s="15" t="s">
        <v>334</v>
      </c>
      <c r="D109" s="15">
        <v>847</v>
      </c>
      <c r="E109" s="15">
        <v>8470315</v>
      </c>
      <c r="F109" s="15" t="s">
        <v>426</v>
      </c>
      <c r="G109" s="15">
        <v>1</v>
      </c>
      <c r="H109" s="276">
        <v>428090</v>
      </c>
      <c r="I109" s="15" t="s">
        <v>154</v>
      </c>
      <c r="J109" s="15" t="s">
        <v>60</v>
      </c>
      <c r="K109" s="15" t="s">
        <v>50</v>
      </c>
      <c r="L109" s="7">
        <v>847001</v>
      </c>
      <c r="M109" s="15" t="s">
        <v>61</v>
      </c>
      <c r="N109" s="15">
        <v>200179</v>
      </c>
      <c r="O109" s="3" t="s">
        <v>465</v>
      </c>
      <c r="P109" s="15" t="s">
        <v>46</v>
      </c>
      <c r="Q109" s="15">
        <v>10000</v>
      </c>
      <c r="R109" s="15">
        <v>302000</v>
      </c>
      <c r="S109" s="15" t="s">
        <v>387</v>
      </c>
      <c r="T109" s="15" t="s">
        <v>157</v>
      </c>
      <c r="U109" s="15">
        <v>2</v>
      </c>
      <c r="V109" s="15">
        <v>10000</v>
      </c>
      <c r="W109" s="15" t="s">
        <v>466</v>
      </c>
      <c r="X109" s="16">
        <v>20000</v>
      </c>
      <c r="Y109" s="15" t="s">
        <v>55</v>
      </c>
      <c r="Z109" s="15" t="s">
        <v>56</v>
      </c>
      <c r="AA109" s="14">
        <f t="shared" si="3"/>
        <v>18000</v>
      </c>
      <c r="AB109" s="14">
        <f t="shared" si="4"/>
        <v>16000</v>
      </c>
      <c r="AC109" s="14">
        <f t="shared" si="5"/>
        <v>14000</v>
      </c>
      <c r="AD109" s="15" t="s">
        <v>443</v>
      </c>
      <c r="AE109" s="15" t="s">
        <v>467</v>
      </c>
      <c r="AF109" s="3" t="s">
        <v>468</v>
      </c>
      <c r="AG109" s="45"/>
      <c r="AH109" s="45"/>
      <c r="AI109" s="45"/>
      <c r="AJ109" s="45"/>
      <c r="AK109" s="45"/>
      <c r="AL109" s="45">
        <v>10000</v>
      </c>
      <c r="AM109" s="45"/>
      <c r="AN109" s="45"/>
      <c r="AO109" s="45">
        <v>10000</v>
      </c>
      <c r="AP109" s="45"/>
      <c r="AQ109" s="45"/>
      <c r="AR109" s="45"/>
      <c r="AS109" s="45">
        <v>20000</v>
      </c>
      <c r="AT109" s="3" t="s">
        <v>348</v>
      </c>
      <c r="AU109" s="272"/>
    </row>
    <row r="110" spans="1:47" ht="16.5" hidden="1" customHeight="1" x14ac:dyDescent="0.35">
      <c r="A110" s="15" t="s">
        <v>222</v>
      </c>
      <c r="B110" s="3" t="s">
        <v>58</v>
      </c>
      <c r="C110" s="15" t="s">
        <v>334</v>
      </c>
      <c r="D110" s="15">
        <v>847</v>
      </c>
      <c r="E110" s="15">
        <v>8470315</v>
      </c>
      <c r="F110" s="15" t="s">
        <v>426</v>
      </c>
      <c r="G110" s="15">
        <v>1</v>
      </c>
      <c r="H110" s="276">
        <v>432209</v>
      </c>
      <c r="I110" s="15" t="s">
        <v>393</v>
      </c>
      <c r="J110" s="15" t="s">
        <v>60</v>
      </c>
      <c r="K110" s="15" t="s">
        <v>50</v>
      </c>
      <c r="L110" s="7">
        <v>847001</v>
      </c>
      <c r="M110" s="15" t="s">
        <v>61</v>
      </c>
      <c r="N110" s="15">
        <v>200179</v>
      </c>
      <c r="O110" s="3" t="s">
        <v>469</v>
      </c>
      <c r="P110" s="15">
        <v>5900</v>
      </c>
      <c r="Q110" s="15">
        <v>90250</v>
      </c>
      <c r="R110" s="15">
        <v>67400</v>
      </c>
      <c r="S110" s="15" t="s">
        <v>470</v>
      </c>
      <c r="T110" s="15" t="s">
        <v>157</v>
      </c>
      <c r="U110" s="15">
        <v>1</v>
      </c>
      <c r="V110" s="15">
        <v>200000</v>
      </c>
      <c r="W110" s="15" t="s">
        <v>471</v>
      </c>
      <c r="X110" s="16">
        <v>200000</v>
      </c>
      <c r="Y110" s="15" t="s">
        <v>55</v>
      </c>
      <c r="Z110" s="15" t="s">
        <v>56</v>
      </c>
      <c r="AA110" s="14">
        <f t="shared" si="3"/>
        <v>180000</v>
      </c>
      <c r="AB110" s="14">
        <f t="shared" si="4"/>
        <v>160000</v>
      </c>
      <c r="AC110" s="14">
        <f t="shared" si="5"/>
        <v>140000</v>
      </c>
      <c r="AD110" s="15" t="s">
        <v>472</v>
      </c>
      <c r="AE110" s="15" t="s">
        <v>473</v>
      </c>
      <c r="AF110" s="3" t="s">
        <v>474</v>
      </c>
      <c r="AG110" s="45"/>
      <c r="AH110" s="45"/>
      <c r="AI110" s="45">
        <v>100000</v>
      </c>
      <c r="AJ110" s="45"/>
      <c r="AK110" s="45"/>
      <c r="AL110" s="45">
        <v>100000</v>
      </c>
      <c r="AM110" s="45"/>
      <c r="AN110" s="45"/>
      <c r="AO110" s="45"/>
      <c r="AP110" s="45"/>
      <c r="AQ110" s="45"/>
      <c r="AR110" s="45"/>
      <c r="AS110" s="45">
        <v>200000</v>
      </c>
      <c r="AT110" s="3" t="s">
        <v>365</v>
      </c>
      <c r="AU110" s="272" t="s">
        <v>397</v>
      </c>
    </row>
    <row r="111" spans="1:47" ht="16.5" hidden="1" customHeight="1" x14ac:dyDescent="0.35">
      <c r="A111" s="15" t="s">
        <v>222</v>
      </c>
      <c r="B111" s="3" t="s">
        <v>58</v>
      </c>
      <c r="C111" s="15" t="s">
        <v>334</v>
      </c>
      <c r="D111" s="15">
        <v>847</v>
      </c>
      <c r="E111" s="15">
        <v>8470315</v>
      </c>
      <c r="F111" s="15" t="s">
        <v>426</v>
      </c>
      <c r="G111" s="15">
        <v>1</v>
      </c>
      <c r="H111" s="276">
        <v>435350</v>
      </c>
      <c r="I111" s="15" t="s">
        <v>399</v>
      </c>
      <c r="J111" s="15" t="s">
        <v>60</v>
      </c>
      <c r="K111" s="15" t="s">
        <v>50</v>
      </c>
      <c r="L111" s="7">
        <v>847001</v>
      </c>
      <c r="M111" s="15" t="s">
        <v>61</v>
      </c>
      <c r="N111" s="15">
        <v>200179</v>
      </c>
      <c r="O111" s="3" t="s">
        <v>475</v>
      </c>
      <c r="P111" s="15">
        <v>9804.0300000000007</v>
      </c>
      <c r="Q111" s="15">
        <v>38400</v>
      </c>
      <c r="R111" s="15">
        <v>420000</v>
      </c>
      <c r="S111" s="15" t="s">
        <v>401</v>
      </c>
      <c r="T111" s="15" t="s">
        <v>157</v>
      </c>
      <c r="U111" s="15">
        <v>15</v>
      </c>
      <c r="V111" s="15">
        <v>5000</v>
      </c>
      <c r="W111" s="15" t="s">
        <v>476</v>
      </c>
      <c r="X111" s="16">
        <v>75000</v>
      </c>
      <c r="Y111" s="15" t="s">
        <v>55</v>
      </c>
      <c r="Z111" s="15" t="s">
        <v>56</v>
      </c>
      <c r="AA111" s="14">
        <f t="shared" si="3"/>
        <v>67500</v>
      </c>
      <c r="AB111" s="14">
        <f t="shared" si="4"/>
        <v>60000</v>
      </c>
      <c r="AC111" s="14">
        <f t="shared" si="5"/>
        <v>52500</v>
      </c>
      <c r="AD111" s="15" t="s">
        <v>477</v>
      </c>
      <c r="AE111" s="15" t="s">
        <v>478</v>
      </c>
      <c r="AF111" s="3" t="s">
        <v>479</v>
      </c>
      <c r="AG111" s="45"/>
      <c r="AH111" s="45">
        <v>8000</v>
      </c>
      <c r="AI111" s="45">
        <v>8000</v>
      </c>
      <c r="AJ111" s="45">
        <v>20000</v>
      </c>
      <c r="AK111" s="45">
        <v>10000</v>
      </c>
      <c r="AL111" s="45">
        <v>4000</v>
      </c>
      <c r="AM111" s="45"/>
      <c r="AN111" s="45"/>
      <c r="AO111" s="45">
        <v>5000</v>
      </c>
      <c r="AP111" s="45">
        <v>10000</v>
      </c>
      <c r="AQ111" s="45">
        <v>10000</v>
      </c>
      <c r="AR111" s="45"/>
      <c r="AS111" s="45">
        <v>75000</v>
      </c>
      <c r="AT111" s="3" t="s">
        <v>480</v>
      </c>
      <c r="AU111" s="272"/>
    </row>
    <row r="112" spans="1:47" ht="16.5" hidden="1" customHeight="1" x14ac:dyDescent="0.35">
      <c r="A112" s="15" t="s">
        <v>222</v>
      </c>
      <c r="B112" s="3" t="s">
        <v>220</v>
      </c>
      <c r="C112" s="15" t="s">
        <v>334</v>
      </c>
      <c r="D112" s="15">
        <v>847</v>
      </c>
      <c r="E112" s="15">
        <v>8470315</v>
      </c>
      <c r="F112" s="15" t="s">
        <v>426</v>
      </c>
      <c r="G112" s="15">
        <v>1</v>
      </c>
      <c r="H112" s="276">
        <v>435508</v>
      </c>
      <c r="I112" s="15" t="s">
        <v>405</v>
      </c>
      <c r="J112" s="15" t="s">
        <v>60</v>
      </c>
      <c r="K112" s="15" t="s">
        <v>50</v>
      </c>
      <c r="L112" s="7">
        <v>847001</v>
      </c>
      <c r="M112" s="15" t="s">
        <v>61</v>
      </c>
      <c r="N112" s="15">
        <v>200179</v>
      </c>
      <c r="O112" s="3" t="s">
        <v>481</v>
      </c>
      <c r="P112" s="15">
        <v>120668.15</v>
      </c>
      <c r="Q112" s="15">
        <v>150000</v>
      </c>
      <c r="R112" s="15">
        <v>20000</v>
      </c>
      <c r="S112" s="15" t="s">
        <v>482</v>
      </c>
      <c r="T112" s="15" t="s">
        <v>157</v>
      </c>
      <c r="U112" s="15">
        <v>1</v>
      </c>
      <c r="V112" s="15">
        <v>220000</v>
      </c>
      <c r="W112" s="15" t="s">
        <v>483</v>
      </c>
      <c r="X112" s="16">
        <v>220000</v>
      </c>
      <c r="Y112" s="15" t="s">
        <v>55</v>
      </c>
      <c r="Z112" s="15" t="s">
        <v>56</v>
      </c>
      <c r="AA112" s="14">
        <f t="shared" si="3"/>
        <v>198000</v>
      </c>
      <c r="AB112" s="14">
        <f t="shared" si="4"/>
        <v>176000</v>
      </c>
      <c r="AC112" s="14">
        <f t="shared" si="5"/>
        <v>154000</v>
      </c>
      <c r="AD112" s="15" t="s">
        <v>484</v>
      </c>
      <c r="AE112" s="15" t="s">
        <v>485</v>
      </c>
      <c r="AF112" s="3" t="s">
        <v>486</v>
      </c>
      <c r="AG112" s="45"/>
      <c r="AH112" s="45">
        <v>100000</v>
      </c>
      <c r="AI112" s="45">
        <v>100000</v>
      </c>
      <c r="AJ112" s="45">
        <v>20000</v>
      </c>
      <c r="AK112" s="45"/>
      <c r="AL112" s="45"/>
      <c r="AM112" s="45"/>
      <c r="AN112" s="45"/>
      <c r="AO112" s="45"/>
      <c r="AP112" s="45"/>
      <c r="AQ112" s="45"/>
      <c r="AR112" s="45"/>
      <c r="AS112" s="45">
        <v>220000</v>
      </c>
      <c r="AT112" s="3" t="s">
        <v>365</v>
      </c>
      <c r="AU112" s="272"/>
    </row>
    <row r="113" spans="1:47" ht="16.5" hidden="1" customHeight="1" x14ac:dyDescent="0.35">
      <c r="A113" s="15" t="s">
        <v>189</v>
      </c>
      <c r="B113" s="3" t="s">
        <v>58</v>
      </c>
      <c r="C113" s="15" t="s">
        <v>334</v>
      </c>
      <c r="D113" s="15">
        <v>847</v>
      </c>
      <c r="E113" s="15">
        <v>8470315</v>
      </c>
      <c r="F113" s="15" t="s">
        <v>426</v>
      </c>
      <c r="G113" s="15">
        <v>1</v>
      </c>
      <c r="H113" s="276">
        <v>436110</v>
      </c>
      <c r="I113" s="15" t="s">
        <v>190</v>
      </c>
      <c r="J113" s="15" t="s">
        <v>60</v>
      </c>
      <c r="K113" s="15" t="s">
        <v>50</v>
      </c>
      <c r="L113" s="7">
        <v>847001</v>
      </c>
      <c r="M113" s="15" t="s">
        <v>61</v>
      </c>
      <c r="N113" s="15">
        <v>200179</v>
      </c>
      <c r="O113" s="3" t="s">
        <v>487</v>
      </c>
      <c r="P113" s="15">
        <v>0</v>
      </c>
      <c r="Q113" s="15">
        <v>2000</v>
      </c>
      <c r="R113" s="15">
        <v>60000</v>
      </c>
      <c r="S113" s="15" t="s">
        <v>488</v>
      </c>
      <c r="T113" s="15" t="s">
        <v>157</v>
      </c>
      <c r="U113" s="15">
        <v>5</v>
      </c>
      <c r="V113" s="15">
        <v>500</v>
      </c>
      <c r="W113" s="15" t="s">
        <v>489</v>
      </c>
      <c r="X113" s="16">
        <v>2500</v>
      </c>
      <c r="Y113" s="15" t="s">
        <v>55</v>
      </c>
      <c r="Z113" s="15" t="s">
        <v>56</v>
      </c>
      <c r="AA113" s="14">
        <f t="shared" si="3"/>
        <v>2250</v>
      </c>
      <c r="AB113" s="14">
        <f t="shared" si="4"/>
        <v>2000</v>
      </c>
      <c r="AC113" s="14">
        <f t="shared" si="5"/>
        <v>1750</v>
      </c>
      <c r="AD113" s="15" t="s">
        <v>443</v>
      </c>
      <c r="AE113" s="15" t="s">
        <v>443</v>
      </c>
      <c r="AF113" s="3" t="s">
        <v>490</v>
      </c>
      <c r="AG113" s="45"/>
      <c r="AH113" s="45">
        <v>500</v>
      </c>
      <c r="AI113" s="45">
        <v>500</v>
      </c>
      <c r="AJ113" s="45"/>
      <c r="AK113" s="45"/>
      <c r="AL113" s="45"/>
      <c r="AM113" s="45"/>
      <c r="AN113" s="45"/>
      <c r="AO113" s="45">
        <v>500</v>
      </c>
      <c r="AP113" s="45">
        <v>1000</v>
      </c>
      <c r="AQ113" s="45"/>
      <c r="AR113" s="45"/>
      <c r="AS113" s="45">
        <v>2500</v>
      </c>
      <c r="AT113" s="3" t="s">
        <v>230</v>
      </c>
      <c r="AU113" s="272"/>
    </row>
    <row r="114" spans="1:47" ht="16.5" hidden="1" customHeight="1" x14ac:dyDescent="0.35">
      <c r="A114" s="15" t="s">
        <v>222</v>
      </c>
      <c r="B114" s="3" t="s">
        <v>58</v>
      </c>
      <c r="C114" s="15" t="s">
        <v>334</v>
      </c>
      <c r="D114" s="15">
        <v>847</v>
      </c>
      <c r="E114" s="15">
        <v>8470315</v>
      </c>
      <c r="F114" s="15" t="s">
        <v>426</v>
      </c>
      <c r="G114" s="15">
        <v>1</v>
      </c>
      <c r="H114" s="276">
        <v>436600</v>
      </c>
      <c r="I114" s="15" t="s">
        <v>416</v>
      </c>
      <c r="J114" s="15" t="s">
        <v>60</v>
      </c>
      <c r="K114" s="15" t="s">
        <v>50</v>
      </c>
      <c r="L114" s="7">
        <v>847001</v>
      </c>
      <c r="M114" s="15" t="s">
        <v>61</v>
      </c>
      <c r="N114" s="15">
        <v>200179</v>
      </c>
      <c r="O114" s="3" t="s">
        <v>491</v>
      </c>
      <c r="P114" s="15" t="s">
        <v>46</v>
      </c>
      <c r="Q114" s="15">
        <v>3000</v>
      </c>
      <c r="R114" s="15">
        <v>456796</v>
      </c>
      <c r="S114" s="15" t="s">
        <v>492</v>
      </c>
      <c r="T114" s="15" t="s">
        <v>157</v>
      </c>
      <c r="U114" s="15">
        <v>15</v>
      </c>
      <c r="V114" s="15">
        <v>1500</v>
      </c>
      <c r="W114" s="15" t="s">
        <v>493</v>
      </c>
      <c r="X114" s="16">
        <v>22500</v>
      </c>
      <c r="Y114" s="15" t="s">
        <v>55</v>
      </c>
      <c r="Z114" s="15" t="s">
        <v>56</v>
      </c>
      <c r="AA114" s="14">
        <f t="shared" si="3"/>
        <v>20250</v>
      </c>
      <c r="AB114" s="14">
        <f t="shared" si="4"/>
        <v>18000</v>
      </c>
      <c r="AC114" s="14">
        <f t="shared" si="5"/>
        <v>15749.999999999998</v>
      </c>
      <c r="AD114" s="15" t="s">
        <v>443</v>
      </c>
      <c r="AE114" s="15" t="s">
        <v>443</v>
      </c>
      <c r="AF114" s="3" t="s">
        <v>490</v>
      </c>
      <c r="AG114" s="45"/>
      <c r="AH114" s="45"/>
      <c r="AI114" s="45">
        <v>22500</v>
      </c>
      <c r="AJ114" s="45"/>
      <c r="AK114" s="45"/>
      <c r="AL114" s="45"/>
      <c r="AM114" s="45"/>
      <c r="AN114" s="45"/>
      <c r="AO114" s="45"/>
      <c r="AP114" s="45"/>
      <c r="AQ114" s="45"/>
      <c r="AR114" s="45"/>
      <c r="AS114" s="45">
        <v>22500</v>
      </c>
      <c r="AT114" s="3" t="s">
        <v>230</v>
      </c>
      <c r="AU114" s="272"/>
    </row>
    <row r="115" spans="1:47" ht="16.5" hidden="1" customHeight="1" x14ac:dyDescent="0.35">
      <c r="A115" s="15" t="s">
        <v>161</v>
      </c>
      <c r="B115" s="3" t="s">
        <v>220</v>
      </c>
      <c r="C115" s="15" t="s">
        <v>334</v>
      </c>
      <c r="D115" s="15">
        <v>847</v>
      </c>
      <c r="E115" s="15">
        <v>8470315</v>
      </c>
      <c r="F115" s="15" t="s">
        <v>426</v>
      </c>
      <c r="G115" s="15">
        <v>1</v>
      </c>
      <c r="H115" s="276">
        <v>492316</v>
      </c>
      <c r="I115" s="15" t="s">
        <v>221</v>
      </c>
      <c r="J115" s="15" t="s">
        <v>60</v>
      </c>
      <c r="K115" s="15" t="s">
        <v>50</v>
      </c>
      <c r="L115" s="7">
        <v>847001</v>
      </c>
      <c r="M115" s="15" t="s">
        <v>192</v>
      </c>
      <c r="N115" s="15">
        <v>300180</v>
      </c>
      <c r="O115" s="3" t="s">
        <v>494</v>
      </c>
      <c r="P115" s="16">
        <v>106915.12</v>
      </c>
      <c r="Q115" s="16">
        <v>700693</v>
      </c>
      <c r="R115" s="16">
        <v>700693</v>
      </c>
      <c r="S115" s="15" t="s">
        <v>495</v>
      </c>
      <c r="T115" s="15" t="s">
        <v>157</v>
      </c>
      <c r="U115" s="15">
        <v>1</v>
      </c>
      <c r="V115" s="15">
        <v>33000</v>
      </c>
      <c r="W115" s="15" t="s">
        <v>496</v>
      </c>
      <c r="X115" s="16">
        <v>33000</v>
      </c>
      <c r="Y115" s="15" t="s">
        <v>210</v>
      </c>
      <c r="Z115" s="15" t="s">
        <v>197</v>
      </c>
      <c r="AA115" s="14">
        <f t="shared" si="3"/>
        <v>29700</v>
      </c>
      <c r="AB115" s="14">
        <f t="shared" si="4"/>
        <v>26400</v>
      </c>
      <c r="AC115" s="14">
        <f t="shared" si="5"/>
        <v>23100</v>
      </c>
      <c r="AD115" s="15" t="s">
        <v>472</v>
      </c>
      <c r="AE115" s="15" t="s">
        <v>473</v>
      </c>
      <c r="AF115" s="3" t="s">
        <v>474</v>
      </c>
      <c r="AG115" s="45"/>
      <c r="AH115" s="45"/>
      <c r="AI115" s="45">
        <v>33000</v>
      </c>
      <c r="AJ115" s="45"/>
      <c r="AK115" s="45"/>
      <c r="AL115" s="45"/>
      <c r="AM115" s="45"/>
      <c r="AN115" s="45"/>
      <c r="AO115" s="45"/>
      <c r="AP115" s="45"/>
      <c r="AQ115" s="45"/>
      <c r="AR115" s="45"/>
      <c r="AS115" s="45">
        <v>33000</v>
      </c>
      <c r="AT115" s="3" t="s">
        <v>365</v>
      </c>
      <c r="AU115" s="272" t="s">
        <v>425</v>
      </c>
    </row>
    <row r="116" spans="1:47" ht="16.5" hidden="1" customHeight="1" x14ac:dyDescent="0.35">
      <c r="A116" s="15" t="s">
        <v>161</v>
      </c>
      <c r="B116" s="3" t="s">
        <v>220</v>
      </c>
      <c r="C116" s="15" t="s">
        <v>334</v>
      </c>
      <c r="D116" s="15">
        <v>847</v>
      </c>
      <c r="E116" s="15">
        <v>8470315</v>
      </c>
      <c r="F116" s="15" t="s">
        <v>426</v>
      </c>
      <c r="G116" s="15">
        <v>1</v>
      </c>
      <c r="H116" s="276">
        <v>492316</v>
      </c>
      <c r="I116" s="15" t="s">
        <v>221</v>
      </c>
      <c r="J116" s="15" t="s">
        <v>60</v>
      </c>
      <c r="K116" s="15" t="s">
        <v>50</v>
      </c>
      <c r="L116" s="7">
        <v>847001</v>
      </c>
      <c r="M116" s="15" t="s">
        <v>192</v>
      </c>
      <c r="N116" s="15">
        <v>300180</v>
      </c>
      <c r="O116" s="3" t="s">
        <v>494</v>
      </c>
      <c r="P116" s="15"/>
      <c r="Q116" s="15"/>
      <c r="R116" s="15"/>
      <c r="S116" s="15" t="s">
        <v>495</v>
      </c>
      <c r="T116" s="15" t="s">
        <v>157</v>
      </c>
      <c r="U116" s="15">
        <v>1</v>
      </c>
      <c r="V116" s="15">
        <v>68000</v>
      </c>
      <c r="W116" s="15" t="s">
        <v>497</v>
      </c>
      <c r="X116" s="16">
        <v>68000</v>
      </c>
      <c r="Y116" s="15" t="s">
        <v>210</v>
      </c>
      <c r="Z116" s="15" t="s">
        <v>197</v>
      </c>
      <c r="AA116" s="14">
        <f t="shared" si="3"/>
        <v>61200</v>
      </c>
      <c r="AB116" s="14">
        <f t="shared" si="4"/>
        <v>54400</v>
      </c>
      <c r="AC116" s="14">
        <f t="shared" si="5"/>
        <v>47600</v>
      </c>
      <c r="AD116" s="15" t="s">
        <v>472</v>
      </c>
      <c r="AE116" s="15" t="s">
        <v>473</v>
      </c>
      <c r="AF116" s="3" t="s">
        <v>474</v>
      </c>
      <c r="AG116" s="45"/>
      <c r="AH116" s="45">
        <v>68000</v>
      </c>
      <c r="AI116" s="45"/>
      <c r="AJ116" s="45"/>
      <c r="AK116" s="45"/>
      <c r="AL116" s="45"/>
      <c r="AM116" s="45"/>
      <c r="AN116" s="45"/>
      <c r="AO116" s="45"/>
      <c r="AP116" s="45"/>
      <c r="AQ116" s="45"/>
      <c r="AR116" s="45"/>
      <c r="AS116" s="45">
        <v>68000</v>
      </c>
      <c r="AT116" s="3" t="s">
        <v>365</v>
      </c>
      <c r="AU116" s="272" t="s">
        <v>425</v>
      </c>
    </row>
    <row r="117" spans="1:47" ht="16.5" hidden="1" customHeight="1" x14ac:dyDescent="0.35">
      <c r="A117" s="15" t="s">
        <v>161</v>
      </c>
      <c r="B117" s="3" t="s">
        <v>220</v>
      </c>
      <c r="C117" s="15" t="s">
        <v>334</v>
      </c>
      <c r="D117" s="15">
        <v>847</v>
      </c>
      <c r="E117" s="15">
        <v>8470315</v>
      </c>
      <c r="F117" s="15" t="s">
        <v>426</v>
      </c>
      <c r="G117" s="15">
        <v>1</v>
      </c>
      <c r="H117" s="276">
        <v>492316</v>
      </c>
      <c r="I117" s="15" t="s">
        <v>221</v>
      </c>
      <c r="J117" s="15" t="s">
        <v>60</v>
      </c>
      <c r="K117" s="15" t="s">
        <v>50</v>
      </c>
      <c r="L117" s="7">
        <v>847001</v>
      </c>
      <c r="M117" s="15" t="s">
        <v>192</v>
      </c>
      <c r="N117" s="15">
        <v>300180</v>
      </c>
      <c r="O117" s="3" t="s">
        <v>494</v>
      </c>
      <c r="P117" s="15"/>
      <c r="Q117" s="15"/>
      <c r="R117" s="15"/>
      <c r="S117" s="15" t="s">
        <v>495</v>
      </c>
      <c r="T117" s="15" t="s">
        <v>157</v>
      </c>
      <c r="U117" s="15">
        <v>2</v>
      </c>
      <c r="V117" s="15">
        <v>129000</v>
      </c>
      <c r="W117" s="15" t="s">
        <v>498</v>
      </c>
      <c r="X117" s="16">
        <v>258000</v>
      </c>
      <c r="Y117" s="15" t="s">
        <v>210</v>
      </c>
      <c r="Z117" s="15" t="s">
        <v>197</v>
      </c>
      <c r="AA117" s="14">
        <f t="shared" si="3"/>
        <v>232200</v>
      </c>
      <c r="AB117" s="14">
        <f t="shared" si="4"/>
        <v>206400</v>
      </c>
      <c r="AC117" s="14">
        <f t="shared" si="5"/>
        <v>180600</v>
      </c>
      <c r="AD117" s="15" t="s">
        <v>472</v>
      </c>
      <c r="AE117" s="15" t="s">
        <v>473</v>
      </c>
      <c r="AF117" s="3" t="s">
        <v>474</v>
      </c>
      <c r="AG117" s="45"/>
      <c r="AH117" s="45">
        <v>258000</v>
      </c>
      <c r="AI117" s="45"/>
      <c r="AJ117" s="45"/>
      <c r="AK117" s="45"/>
      <c r="AL117" s="45"/>
      <c r="AM117" s="45"/>
      <c r="AN117" s="45"/>
      <c r="AO117" s="45"/>
      <c r="AP117" s="45"/>
      <c r="AQ117" s="45"/>
      <c r="AR117" s="45"/>
      <c r="AS117" s="45">
        <v>258000</v>
      </c>
      <c r="AT117" s="3" t="s">
        <v>365</v>
      </c>
      <c r="AU117" s="272" t="s">
        <v>425</v>
      </c>
    </row>
    <row r="118" spans="1:47" ht="16.5" hidden="1" customHeight="1" x14ac:dyDescent="0.35">
      <c r="A118" s="15" t="s">
        <v>161</v>
      </c>
      <c r="B118" s="3" t="s">
        <v>220</v>
      </c>
      <c r="C118" s="15" t="s">
        <v>334</v>
      </c>
      <c r="D118" s="15">
        <v>847</v>
      </c>
      <c r="E118" s="15">
        <v>8470315</v>
      </c>
      <c r="F118" s="15" t="s">
        <v>426</v>
      </c>
      <c r="G118" s="15">
        <v>1</v>
      </c>
      <c r="H118" s="276">
        <v>492316</v>
      </c>
      <c r="I118" s="15" t="s">
        <v>221</v>
      </c>
      <c r="J118" s="15" t="s">
        <v>60</v>
      </c>
      <c r="K118" s="15" t="s">
        <v>50</v>
      </c>
      <c r="L118" s="7">
        <v>847001</v>
      </c>
      <c r="M118" s="15" t="s">
        <v>192</v>
      </c>
      <c r="N118" s="15">
        <v>300180</v>
      </c>
      <c r="O118" s="3" t="s">
        <v>494</v>
      </c>
      <c r="P118" s="15"/>
      <c r="Q118" s="15"/>
      <c r="R118" s="15"/>
      <c r="S118" s="15" t="s">
        <v>495</v>
      </c>
      <c r="T118" s="15" t="s">
        <v>157</v>
      </c>
      <c r="U118" s="15">
        <v>1</v>
      </c>
      <c r="V118" s="15">
        <v>35000</v>
      </c>
      <c r="W118" s="15" t="s">
        <v>499</v>
      </c>
      <c r="X118" s="16">
        <v>35000</v>
      </c>
      <c r="Y118" s="15" t="s">
        <v>210</v>
      </c>
      <c r="Z118" s="15" t="s">
        <v>197</v>
      </c>
      <c r="AA118" s="14">
        <f t="shared" si="3"/>
        <v>31500</v>
      </c>
      <c r="AB118" s="14">
        <f t="shared" si="4"/>
        <v>28000</v>
      </c>
      <c r="AC118" s="14">
        <f t="shared" si="5"/>
        <v>24500</v>
      </c>
      <c r="AD118" s="15" t="s">
        <v>472</v>
      </c>
      <c r="AE118" s="15" t="s">
        <v>473</v>
      </c>
      <c r="AF118" s="3" t="s">
        <v>474</v>
      </c>
      <c r="AG118" s="45"/>
      <c r="AH118" s="45">
        <v>35000</v>
      </c>
      <c r="AI118" s="45"/>
      <c r="AJ118" s="45"/>
      <c r="AK118" s="45"/>
      <c r="AL118" s="45"/>
      <c r="AM118" s="45"/>
      <c r="AN118" s="45"/>
      <c r="AO118" s="45"/>
      <c r="AP118" s="45"/>
      <c r="AQ118" s="45"/>
      <c r="AR118" s="45"/>
      <c r="AS118" s="45">
        <v>35000</v>
      </c>
      <c r="AT118" s="3" t="s">
        <v>365</v>
      </c>
      <c r="AU118" s="272" t="s">
        <v>425</v>
      </c>
    </row>
    <row r="119" spans="1:47" ht="16.5" hidden="1" customHeight="1" x14ac:dyDescent="0.35">
      <c r="A119" s="15" t="s">
        <v>161</v>
      </c>
      <c r="B119" s="3" t="s">
        <v>220</v>
      </c>
      <c r="C119" s="15" t="s">
        <v>334</v>
      </c>
      <c r="D119" s="15">
        <v>847</v>
      </c>
      <c r="E119" s="15">
        <v>8470315</v>
      </c>
      <c r="F119" s="15" t="s">
        <v>426</v>
      </c>
      <c r="G119" s="15">
        <v>1</v>
      </c>
      <c r="H119" s="276">
        <v>492316</v>
      </c>
      <c r="I119" s="15" t="s">
        <v>221</v>
      </c>
      <c r="J119" s="15" t="s">
        <v>60</v>
      </c>
      <c r="K119" s="15" t="s">
        <v>50</v>
      </c>
      <c r="L119" s="7">
        <v>847001</v>
      </c>
      <c r="M119" s="15" t="s">
        <v>192</v>
      </c>
      <c r="N119" s="15">
        <v>300180</v>
      </c>
      <c r="O119" s="3" t="s">
        <v>494</v>
      </c>
      <c r="P119" s="15"/>
      <c r="Q119" s="15"/>
      <c r="R119" s="15"/>
      <c r="S119" s="15" t="s">
        <v>495</v>
      </c>
      <c r="T119" s="15" t="s">
        <v>157</v>
      </c>
      <c r="U119" s="15">
        <v>4</v>
      </c>
      <c r="V119" s="15">
        <v>87000</v>
      </c>
      <c r="W119" s="15" t="s">
        <v>500</v>
      </c>
      <c r="X119" s="16">
        <v>348000</v>
      </c>
      <c r="Y119" s="15" t="s">
        <v>210</v>
      </c>
      <c r="Z119" s="15" t="s">
        <v>197</v>
      </c>
      <c r="AA119" s="14">
        <f t="shared" si="3"/>
        <v>313200</v>
      </c>
      <c r="AB119" s="14">
        <f t="shared" si="4"/>
        <v>278400</v>
      </c>
      <c r="AC119" s="14">
        <f t="shared" si="5"/>
        <v>243599.99999999997</v>
      </c>
      <c r="AD119" s="15" t="s">
        <v>472</v>
      </c>
      <c r="AE119" s="15" t="s">
        <v>473</v>
      </c>
      <c r="AF119" s="3" t="s">
        <v>474</v>
      </c>
      <c r="AG119" s="45"/>
      <c r="AH119" s="45"/>
      <c r="AI119" s="45">
        <v>348000</v>
      </c>
      <c r="AJ119" s="45"/>
      <c r="AK119" s="45"/>
      <c r="AL119" s="45"/>
      <c r="AM119" s="45"/>
      <c r="AN119" s="45"/>
      <c r="AO119" s="45"/>
      <c r="AP119" s="45"/>
      <c r="AQ119" s="45"/>
      <c r="AR119" s="45"/>
      <c r="AS119" s="45">
        <v>348000</v>
      </c>
      <c r="AT119" s="3" t="s">
        <v>365</v>
      </c>
      <c r="AU119" s="272" t="s">
        <v>425</v>
      </c>
    </row>
    <row r="120" spans="1:47" ht="16.5" hidden="1" customHeight="1" x14ac:dyDescent="0.35">
      <c r="A120" s="15" t="s">
        <v>161</v>
      </c>
      <c r="B120" s="3" t="s">
        <v>220</v>
      </c>
      <c r="C120" s="15" t="s">
        <v>334</v>
      </c>
      <c r="D120" s="15">
        <v>847</v>
      </c>
      <c r="E120" s="15">
        <v>8470315</v>
      </c>
      <c r="F120" s="15" t="s">
        <v>426</v>
      </c>
      <c r="G120" s="15">
        <v>1</v>
      </c>
      <c r="H120" s="276">
        <v>492316</v>
      </c>
      <c r="I120" s="15" t="s">
        <v>221</v>
      </c>
      <c r="J120" s="15" t="s">
        <v>60</v>
      </c>
      <c r="K120" s="15" t="s">
        <v>50</v>
      </c>
      <c r="L120" s="7">
        <v>847001</v>
      </c>
      <c r="M120" s="15" t="s">
        <v>192</v>
      </c>
      <c r="N120" s="15">
        <v>300180</v>
      </c>
      <c r="O120" s="3" t="s">
        <v>494</v>
      </c>
      <c r="P120" s="15"/>
      <c r="Q120" s="15"/>
      <c r="R120" s="15"/>
      <c r="S120" s="15" t="s">
        <v>495</v>
      </c>
      <c r="T120" s="15" t="s">
        <v>157</v>
      </c>
      <c r="U120" s="15">
        <v>4</v>
      </c>
      <c r="V120" s="15">
        <v>7000</v>
      </c>
      <c r="W120" s="15" t="s">
        <v>501</v>
      </c>
      <c r="X120" s="16">
        <v>28000</v>
      </c>
      <c r="Y120" s="15" t="s">
        <v>210</v>
      </c>
      <c r="Z120" s="15" t="s">
        <v>197</v>
      </c>
      <c r="AA120" s="14">
        <f t="shared" si="3"/>
        <v>25200</v>
      </c>
      <c r="AB120" s="14">
        <f t="shared" si="4"/>
        <v>22400</v>
      </c>
      <c r="AC120" s="14">
        <f t="shared" si="5"/>
        <v>19600</v>
      </c>
      <c r="AD120" s="15" t="s">
        <v>472</v>
      </c>
      <c r="AE120" s="15" t="s">
        <v>473</v>
      </c>
      <c r="AF120" s="3" t="s">
        <v>474</v>
      </c>
      <c r="AG120" s="45"/>
      <c r="AH120" s="45"/>
      <c r="AI120" s="45">
        <v>28000</v>
      </c>
      <c r="AJ120" s="45"/>
      <c r="AK120" s="45"/>
      <c r="AL120" s="45"/>
      <c r="AM120" s="45"/>
      <c r="AN120" s="45"/>
      <c r="AO120" s="45"/>
      <c r="AP120" s="45"/>
      <c r="AQ120" s="45"/>
      <c r="AR120" s="45"/>
      <c r="AS120" s="45">
        <v>28000</v>
      </c>
      <c r="AT120" s="3" t="s">
        <v>365</v>
      </c>
      <c r="AU120" s="272" t="s">
        <v>425</v>
      </c>
    </row>
    <row r="121" spans="1:47" ht="16.5" hidden="1" customHeight="1" x14ac:dyDescent="0.35">
      <c r="A121" s="15" t="s">
        <v>161</v>
      </c>
      <c r="B121" s="3" t="s">
        <v>220</v>
      </c>
      <c r="C121" s="15" t="s">
        <v>334</v>
      </c>
      <c r="D121" s="15">
        <v>847</v>
      </c>
      <c r="E121" s="15">
        <v>8470315</v>
      </c>
      <c r="F121" s="15" t="s">
        <v>426</v>
      </c>
      <c r="G121" s="15">
        <v>1</v>
      </c>
      <c r="H121" s="276">
        <v>492316</v>
      </c>
      <c r="I121" s="15" t="s">
        <v>221</v>
      </c>
      <c r="J121" s="15" t="s">
        <v>60</v>
      </c>
      <c r="K121" s="15" t="s">
        <v>50</v>
      </c>
      <c r="L121" s="7">
        <v>847001</v>
      </c>
      <c r="M121" s="15" t="s">
        <v>192</v>
      </c>
      <c r="N121" s="15">
        <v>300180</v>
      </c>
      <c r="O121" s="3" t="s">
        <v>494</v>
      </c>
      <c r="P121" s="15"/>
      <c r="Q121" s="15"/>
      <c r="R121" s="15"/>
      <c r="S121" s="15" t="s">
        <v>495</v>
      </c>
      <c r="T121" s="15" t="s">
        <v>157</v>
      </c>
      <c r="U121" s="15">
        <v>1</v>
      </c>
      <c r="V121" s="15">
        <v>140000</v>
      </c>
      <c r="W121" s="15" t="s">
        <v>502</v>
      </c>
      <c r="X121" s="16">
        <v>140000</v>
      </c>
      <c r="Y121" s="15" t="s">
        <v>210</v>
      </c>
      <c r="Z121" s="15" t="s">
        <v>197</v>
      </c>
      <c r="AA121" s="14">
        <f t="shared" si="3"/>
        <v>126000</v>
      </c>
      <c r="AB121" s="14">
        <f t="shared" si="4"/>
        <v>112000</v>
      </c>
      <c r="AC121" s="14">
        <f t="shared" si="5"/>
        <v>98000</v>
      </c>
      <c r="AD121" s="15" t="s">
        <v>472</v>
      </c>
      <c r="AE121" s="15" t="s">
        <v>473</v>
      </c>
      <c r="AF121" s="3" t="s">
        <v>474</v>
      </c>
      <c r="AG121" s="45"/>
      <c r="AH121" s="45"/>
      <c r="AI121" s="45"/>
      <c r="AJ121" s="45">
        <v>140000</v>
      </c>
      <c r="AK121" s="45"/>
      <c r="AL121" s="45"/>
      <c r="AM121" s="45"/>
      <c r="AN121" s="45"/>
      <c r="AO121" s="45"/>
      <c r="AP121" s="45"/>
      <c r="AQ121" s="45"/>
      <c r="AR121" s="45"/>
      <c r="AS121" s="45">
        <v>140000</v>
      </c>
      <c r="AT121" s="3" t="s">
        <v>365</v>
      </c>
      <c r="AU121" s="272" t="s">
        <v>425</v>
      </c>
    </row>
    <row r="122" spans="1:47" ht="16.5" hidden="1" customHeight="1" x14ac:dyDescent="0.35">
      <c r="A122" s="15" t="s">
        <v>161</v>
      </c>
      <c r="B122" s="3" t="s">
        <v>220</v>
      </c>
      <c r="C122" s="15" t="s">
        <v>334</v>
      </c>
      <c r="D122" s="15">
        <v>847</v>
      </c>
      <c r="E122" s="15">
        <v>8470315</v>
      </c>
      <c r="F122" s="15" t="s">
        <v>426</v>
      </c>
      <c r="G122" s="15">
        <v>1</v>
      </c>
      <c r="H122" s="276">
        <v>492316</v>
      </c>
      <c r="I122" s="15" t="s">
        <v>221</v>
      </c>
      <c r="J122" s="15" t="s">
        <v>60</v>
      </c>
      <c r="K122" s="15" t="s">
        <v>50</v>
      </c>
      <c r="L122" s="7">
        <v>847001</v>
      </c>
      <c r="M122" s="15" t="s">
        <v>192</v>
      </c>
      <c r="N122" s="15">
        <v>300180</v>
      </c>
      <c r="O122" s="3" t="s">
        <v>494</v>
      </c>
      <c r="P122" s="15"/>
      <c r="Q122" s="15"/>
      <c r="R122" s="15"/>
      <c r="S122" s="15" t="s">
        <v>495</v>
      </c>
      <c r="T122" s="15" t="s">
        <v>157</v>
      </c>
      <c r="U122" s="15">
        <v>4</v>
      </c>
      <c r="V122" s="15">
        <v>33000</v>
      </c>
      <c r="W122" s="15" t="s">
        <v>503</v>
      </c>
      <c r="X122" s="16">
        <v>132000</v>
      </c>
      <c r="Y122" s="15" t="s">
        <v>210</v>
      </c>
      <c r="Z122" s="15" t="s">
        <v>197</v>
      </c>
      <c r="AA122" s="14">
        <f t="shared" si="3"/>
        <v>118800</v>
      </c>
      <c r="AB122" s="14">
        <f t="shared" si="4"/>
        <v>105600</v>
      </c>
      <c r="AC122" s="14">
        <f t="shared" si="5"/>
        <v>92400</v>
      </c>
      <c r="AD122" s="15" t="s">
        <v>472</v>
      </c>
      <c r="AE122" s="15" t="s">
        <v>473</v>
      </c>
      <c r="AF122" s="3" t="s">
        <v>474</v>
      </c>
      <c r="AG122" s="45"/>
      <c r="AH122" s="45"/>
      <c r="AI122" s="45">
        <v>132000</v>
      </c>
      <c r="AJ122" s="45"/>
      <c r="AK122" s="45"/>
      <c r="AL122" s="45"/>
      <c r="AM122" s="45"/>
      <c r="AN122" s="45"/>
      <c r="AO122" s="45"/>
      <c r="AP122" s="45"/>
      <c r="AQ122" s="45"/>
      <c r="AR122" s="45"/>
      <c r="AS122" s="45">
        <v>132000</v>
      </c>
      <c r="AT122" s="3" t="s">
        <v>365</v>
      </c>
      <c r="AU122" s="272" t="s">
        <v>425</v>
      </c>
    </row>
    <row r="123" spans="1:47" ht="16.5" hidden="1" customHeight="1" x14ac:dyDescent="0.35">
      <c r="A123" s="15" t="s">
        <v>161</v>
      </c>
      <c r="B123" s="3" t="s">
        <v>220</v>
      </c>
      <c r="C123" s="15" t="s">
        <v>334</v>
      </c>
      <c r="D123" s="15">
        <v>847</v>
      </c>
      <c r="E123" s="15">
        <v>8470315</v>
      </c>
      <c r="F123" s="15" t="s">
        <v>426</v>
      </c>
      <c r="G123" s="15">
        <v>1</v>
      </c>
      <c r="H123" s="276">
        <v>492316</v>
      </c>
      <c r="I123" s="15" t="s">
        <v>221</v>
      </c>
      <c r="J123" s="15" t="s">
        <v>60</v>
      </c>
      <c r="K123" s="15" t="s">
        <v>50</v>
      </c>
      <c r="L123" s="7">
        <v>847001</v>
      </c>
      <c r="M123" s="15" t="s">
        <v>192</v>
      </c>
      <c r="N123" s="15">
        <v>300180</v>
      </c>
      <c r="O123" s="3" t="s">
        <v>494</v>
      </c>
      <c r="P123" s="15"/>
      <c r="Q123" s="15"/>
      <c r="R123" s="15"/>
      <c r="S123" s="15" t="s">
        <v>495</v>
      </c>
      <c r="T123" s="15" t="s">
        <v>157</v>
      </c>
      <c r="U123" s="15">
        <v>2</v>
      </c>
      <c r="V123" s="15">
        <v>25000</v>
      </c>
      <c r="W123" s="15" t="s">
        <v>504</v>
      </c>
      <c r="X123" s="16">
        <v>50000</v>
      </c>
      <c r="Y123" s="15" t="s">
        <v>210</v>
      </c>
      <c r="Z123" s="15" t="s">
        <v>197</v>
      </c>
      <c r="AA123" s="14">
        <f t="shared" si="3"/>
        <v>45000</v>
      </c>
      <c r="AB123" s="14">
        <f t="shared" si="4"/>
        <v>40000</v>
      </c>
      <c r="AC123" s="14">
        <f t="shared" si="5"/>
        <v>35000</v>
      </c>
      <c r="AD123" s="15" t="s">
        <v>472</v>
      </c>
      <c r="AE123" s="15" t="s">
        <v>473</v>
      </c>
      <c r="AF123" s="3" t="s">
        <v>474</v>
      </c>
      <c r="AG123" s="45"/>
      <c r="AH123" s="45"/>
      <c r="AI123" s="45">
        <v>50000</v>
      </c>
      <c r="AJ123" s="45"/>
      <c r="AK123" s="45"/>
      <c r="AL123" s="45"/>
      <c r="AM123" s="45"/>
      <c r="AN123" s="45"/>
      <c r="AO123" s="45"/>
      <c r="AP123" s="45"/>
      <c r="AQ123" s="45"/>
      <c r="AR123" s="45"/>
      <c r="AS123" s="45">
        <v>50000</v>
      </c>
      <c r="AT123" s="3" t="s">
        <v>365</v>
      </c>
      <c r="AU123" s="272" t="s">
        <v>425</v>
      </c>
    </row>
    <row r="124" spans="1:47" ht="16.5" hidden="1" customHeight="1" x14ac:dyDescent="0.35">
      <c r="A124" s="15" t="s">
        <v>161</v>
      </c>
      <c r="B124" s="3" t="s">
        <v>220</v>
      </c>
      <c r="C124" s="15" t="s">
        <v>334</v>
      </c>
      <c r="D124" s="15">
        <v>847</v>
      </c>
      <c r="E124" s="15">
        <v>8470315</v>
      </c>
      <c r="F124" s="15" t="s">
        <v>426</v>
      </c>
      <c r="G124" s="15">
        <v>1</v>
      </c>
      <c r="H124" s="276">
        <v>492316</v>
      </c>
      <c r="I124" s="15" t="s">
        <v>221</v>
      </c>
      <c r="J124" s="15" t="s">
        <v>60</v>
      </c>
      <c r="K124" s="15" t="s">
        <v>50</v>
      </c>
      <c r="L124" s="7">
        <v>847001</v>
      </c>
      <c r="M124" s="15" t="s">
        <v>192</v>
      </c>
      <c r="N124" s="15">
        <v>300180</v>
      </c>
      <c r="O124" s="3" t="s">
        <v>494</v>
      </c>
      <c r="P124" s="15"/>
      <c r="Q124" s="15"/>
      <c r="R124" s="15"/>
      <c r="S124" s="15" t="s">
        <v>495</v>
      </c>
      <c r="T124" s="15" t="s">
        <v>157</v>
      </c>
      <c r="U124" s="15">
        <v>5</v>
      </c>
      <c r="V124" s="15">
        <v>134157</v>
      </c>
      <c r="W124" s="15" t="s">
        <v>505</v>
      </c>
      <c r="X124" s="16">
        <v>670785</v>
      </c>
      <c r="Y124" s="15" t="s">
        <v>210</v>
      </c>
      <c r="Z124" s="15" t="s">
        <v>197</v>
      </c>
      <c r="AA124" s="14">
        <f t="shared" si="3"/>
        <v>603706.5</v>
      </c>
      <c r="AB124" s="14">
        <f t="shared" si="4"/>
        <v>536628</v>
      </c>
      <c r="AC124" s="14">
        <f t="shared" si="5"/>
        <v>469549.49999999994</v>
      </c>
      <c r="AD124" s="15" t="s">
        <v>472</v>
      </c>
      <c r="AE124" s="15" t="s">
        <v>473</v>
      </c>
      <c r="AF124" s="3" t="s">
        <v>474</v>
      </c>
      <c r="AG124" s="45"/>
      <c r="AH124" s="45"/>
      <c r="AI124" s="45">
        <v>670785</v>
      </c>
      <c r="AJ124" s="45"/>
      <c r="AK124" s="45"/>
      <c r="AL124" s="45"/>
      <c r="AM124" s="45"/>
      <c r="AN124" s="45"/>
      <c r="AO124" s="45"/>
      <c r="AP124" s="45"/>
      <c r="AQ124" s="45"/>
      <c r="AR124" s="45"/>
      <c r="AS124" s="45">
        <v>670785</v>
      </c>
      <c r="AT124" s="3" t="s">
        <v>365</v>
      </c>
      <c r="AU124" s="272" t="s">
        <v>425</v>
      </c>
    </row>
    <row r="125" spans="1:47" ht="16.5" hidden="1" customHeight="1" x14ac:dyDescent="0.35">
      <c r="A125" s="15" t="s">
        <v>161</v>
      </c>
      <c r="B125" s="3" t="s">
        <v>220</v>
      </c>
      <c r="C125" s="15" t="s">
        <v>334</v>
      </c>
      <c r="D125" s="15">
        <v>847</v>
      </c>
      <c r="E125" s="15">
        <v>8470315</v>
      </c>
      <c r="F125" s="15" t="s">
        <v>426</v>
      </c>
      <c r="G125" s="15">
        <v>1</v>
      </c>
      <c r="H125" s="276">
        <v>492316</v>
      </c>
      <c r="I125" s="15" t="s">
        <v>221</v>
      </c>
      <c r="J125" s="15" t="s">
        <v>60</v>
      </c>
      <c r="K125" s="15" t="s">
        <v>50</v>
      </c>
      <c r="L125" s="7">
        <v>847001</v>
      </c>
      <c r="M125" s="15" t="s">
        <v>192</v>
      </c>
      <c r="N125" s="15">
        <v>300180</v>
      </c>
      <c r="O125" s="3" t="s">
        <v>494</v>
      </c>
      <c r="P125" s="15"/>
      <c r="Q125" s="15"/>
      <c r="R125" s="15"/>
      <c r="S125" s="15" t="s">
        <v>495</v>
      </c>
      <c r="T125" s="15" t="s">
        <v>157</v>
      </c>
      <c r="U125" s="15">
        <v>1</v>
      </c>
      <c r="V125" s="15">
        <v>325735</v>
      </c>
      <c r="W125" s="15" t="s">
        <v>506</v>
      </c>
      <c r="X125" s="16">
        <v>325735</v>
      </c>
      <c r="Y125" s="15" t="s">
        <v>210</v>
      </c>
      <c r="Z125" s="15" t="s">
        <v>197</v>
      </c>
      <c r="AA125" s="14">
        <f t="shared" si="3"/>
        <v>293161.5</v>
      </c>
      <c r="AB125" s="14">
        <f t="shared" si="4"/>
        <v>260588</v>
      </c>
      <c r="AC125" s="14">
        <f t="shared" si="5"/>
        <v>228014.5</v>
      </c>
      <c r="AD125" s="15" t="s">
        <v>472</v>
      </c>
      <c r="AE125" s="15" t="s">
        <v>473</v>
      </c>
      <c r="AF125" s="3" t="s">
        <v>474</v>
      </c>
      <c r="AG125" s="45"/>
      <c r="AH125" s="45"/>
      <c r="AI125" s="45">
        <v>325735</v>
      </c>
      <c r="AJ125" s="45"/>
      <c r="AK125" s="45"/>
      <c r="AL125" s="45"/>
      <c r="AM125" s="45"/>
      <c r="AN125" s="45"/>
      <c r="AO125" s="45"/>
      <c r="AP125" s="45"/>
      <c r="AQ125" s="45"/>
      <c r="AR125" s="45"/>
      <c r="AS125" s="45">
        <v>325735</v>
      </c>
      <c r="AT125" s="3" t="s">
        <v>365</v>
      </c>
      <c r="AU125" s="272" t="s">
        <v>425</v>
      </c>
    </row>
    <row r="126" spans="1:47" ht="16.5" hidden="1" customHeight="1" x14ac:dyDescent="0.35">
      <c r="A126" s="15" t="s">
        <v>222</v>
      </c>
      <c r="B126" s="3" t="s">
        <v>58</v>
      </c>
      <c r="C126" s="15" t="s">
        <v>334</v>
      </c>
      <c r="D126" s="15">
        <v>847</v>
      </c>
      <c r="E126" s="15">
        <v>8470320</v>
      </c>
      <c r="F126" s="15" t="s">
        <v>507</v>
      </c>
      <c r="G126" s="15">
        <v>1</v>
      </c>
      <c r="H126" s="276">
        <v>420550</v>
      </c>
      <c r="I126" s="15" t="s">
        <v>225</v>
      </c>
      <c r="J126" s="15" t="s">
        <v>60</v>
      </c>
      <c r="K126" s="15" t="s">
        <v>50</v>
      </c>
      <c r="L126" s="7">
        <v>847001</v>
      </c>
      <c r="M126" s="15" t="s">
        <v>61</v>
      </c>
      <c r="N126" s="15">
        <v>200179</v>
      </c>
      <c r="O126" s="3" t="s">
        <v>508</v>
      </c>
      <c r="P126" s="15" t="s">
        <v>46</v>
      </c>
      <c r="Q126" s="15">
        <v>20000</v>
      </c>
      <c r="R126" s="15">
        <v>20000</v>
      </c>
      <c r="S126" s="15" t="s">
        <v>227</v>
      </c>
      <c r="T126" s="15" t="s">
        <v>157</v>
      </c>
      <c r="U126" s="15">
        <v>1</v>
      </c>
      <c r="V126" s="15">
        <v>60000</v>
      </c>
      <c r="W126" s="15" t="s">
        <v>509</v>
      </c>
      <c r="X126" s="16">
        <v>60000</v>
      </c>
      <c r="Y126" s="15" t="s">
        <v>55</v>
      </c>
      <c r="Z126" s="15" t="s">
        <v>56</v>
      </c>
      <c r="AA126" s="14">
        <f t="shared" si="3"/>
        <v>54000</v>
      </c>
      <c r="AB126" s="14">
        <f t="shared" si="4"/>
        <v>48000</v>
      </c>
      <c r="AC126" s="14">
        <f t="shared" si="5"/>
        <v>42000</v>
      </c>
      <c r="AD126" s="15" t="s">
        <v>510</v>
      </c>
      <c r="AE126" s="15" t="s">
        <v>511</v>
      </c>
      <c r="AF126" s="3" t="s">
        <v>512</v>
      </c>
      <c r="AG126" s="45">
        <v>20000</v>
      </c>
      <c r="AH126" s="45"/>
      <c r="AI126" s="45"/>
      <c r="AJ126" s="45"/>
      <c r="AK126" s="45">
        <v>20000</v>
      </c>
      <c r="AL126" s="45"/>
      <c r="AM126" s="45">
        <v>10000</v>
      </c>
      <c r="AN126" s="45">
        <v>10000</v>
      </c>
      <c r="AO126" s="45"/>
      <c r="AP126" s="45"/>
      <c r="AQ126" s="45"/>
      <c r="AR126" s="45"/>
      <c r="AS126" s="45">
        <v>60000</v>
      </c>
      <c r="AT126" s="3" t="s">
        <v>230</v>
      </c>
      <c r="AU126" s="272"/>
    </row>
    <row r="127" spans="1:47" ht="16.5" hidden="1" customHeight="1" x14ac:dyDescent="0.35">
      <c r="A127" s="15" t="s">
        <v>245</v>
      </c>
      <c r="B127" s="3" t="s">
        <v>246</v>
      </c>
      <c r="C127" s="15" t="s">
        <v>334</v>
      </c>
      <c r="D127" s="15">
        <v>847</v>
      </c>
      <c r="E127" s="15">
        <v>8470320</v>
      </c>
      <c r="F127" s="15" t="s">
        <v>507</v>
      </c>
      <c r="G127" s="15">
        <v>1</v>
      </c>
      <c r="H127" s="276">
        <v>425510</v>
      </c>
      <c r="I127" s="15" t="s">
        <v>247</v>
      </c>
      <c r="J127" s="15" t="s">
        <v>60</v>
      </c>
      <c r="K127" s="15" t="s">
        <v>50</v>
      </c>
      <c r="L127" s="7">
        <v>847001</v>
      </c>
      <c r="M127" s="15" t="s">
        <v>61</v>
      </c>
      <c r="N127" s="15">
        <v>200179</v>
      </c>
      <c r="O127" s="3" t="s">
        <v>513</v>
      </c>
      <c r="P127" s="15" t="s">
        <v>46</v>
      </c>
      <c r="Q127" s="15">
        <v>30000</v>
      </c>
      <c r="R127" s="15">
        <v>30000</v>
      </c>
      <c r="S127" s="15" t="s">
        <v>514</v>
      </c>
      <c r="T127" s="15" t="s">
        <v>515</v>
      </c>
      <c r="U127" s="15">
        <v>5</v>
      </c>
      <c r="V127" s="15">
        <v>6000</v>
      </c>
      <c r="W127" s="15" t="s">
        <v>516</v>
      </c>
      <c r="X127" s="16">
        <v>30000</v>
      </c>
      <c r="Y127" s="15" t="s">
        <v>55</v>
      </c>
      <c r="Z127" s="15" t="s">
        <v>56</v>
      </c>
      <c r="AA127" s="14">
        <f t="shared" si="3"/>
        <v>27000</v>
      </c>
      <c r="AB127" s="14">
        <f t="shared" si="4"/>
        <v>24000</v>
      </c>
      <c r="AC127" s="14">
        <f t="shared" si="5"/>
        <v>21000</v>
      </c>
      <c r="AD127" s="15" t="s">
        <v>510</v>
      </c>
      <c r="AE127" s="15" t="s">
        <v>511</v>
      </c>
      <c r="AF127" s="3" t="s">
        <v>512</v>
      </c>
      <c r="AG127" s="45"/>
      <c r="AH127" s="45">
        <v>10000</v>
      </c>
      <c r="AI127" s="45"/>
      <c r="AJ127" s="45">
        <v>10000</v>
      </c>
      <c r="AK127" s="45"/>
      <c r="AL127" s="45"/>
      <c r="AM127" s="45"/>
      <c r="AN127" s="45">
        <v>10000</v>
      </c>
      <c r="AO127" s="45"/>
      <c r="AP127" s="45"/>
      <c r="AQ127" s="45"/>
      <c r="AR127" s="45"/>
      <c r="AS127" s="45">
        <v>30000</v>
      </c>
      <c r="AT127" s="3" t="s">
        <v>230</v>
      </c>
      <c r="AU127" s="272"/>
    </row>
    <row r="128" spans="1:47" ht="16.5" hidden="1" customHeight="1" x14ac:dyDescent="0.35">
      <c r="A128" s="15" t="s">
        <v>258</v>
      </c>
      <c r="B128" s="3" t="s">
        <v>350</v>
      </c>
      <c r="C128" s="15" t="s">
        <v>334</v>
      </c>
      <c r="D128" s="15">
        <v>847</v>
      </c>
      <c r="E128" s="15">
        <v>8470320</v>
      </c>
      <c r="F128" s="15" t="s">
        <v>507</v>
      </c>
      <c r="G128" s="15">
        <v>1</v>
      </c>
      <c r="H128" s="276">
        <v>425760</v>
      </c>
      <c r="I128" s="15" t="s">
        <v>352</v>
      </c>
      <c r="J128" s="15" t="s">
        <v>60</v>
      </c>
      <c r="K128" s="15" t="s">
        <v>50</v>
      </c>
      <c r="L128" s="7">
        <v>847001</v>
      </c>
      <c r="M128" s="15" t="s">
        <v>61</v>
      </c>
      <c r="N128" s="15">
        <v>200179</v>
      </c>
      <c r="O128" s="3" t="s">
        <v>517</v>
      </c>
      <c r="P128" s="15" t="s">
        <v>46</v>
      </c>
      <c r="Q128" s="15">
        <v>25000</v>
      </c>
      <c r="R128" s="15">
        <v>25000</v>
      </c>
      <c r="S128" s="15" t="s">
        <v>354</v>
      </c>
      <c r="T128" s="15" t="s">
        <v>262</v>
      </c>
      <c r="U128" s="15">
        <v>2</v>
      </c>
      <c r="V128" s="15">
        <v>12500</v>
      </c>
      <c r="W128" s="15" t="s">
        <v>518</v>
      </c>
      <c r="X128" s="16">
        <v>25000</v>
      </c>
      <c r="Y128" s="15" t="s">
        <v>55</v>
      </c>
      <c r="Z128" s="15" t="s">
        <v>56</v>
      </c>
      <c r="AA128" s="14">
        <f t="shared" si="3"/>
        <v>22500</v>
      </c>
      <c r="AB128" s="14">
        <f t="shared" si="4"/>
        <v>20000</v>
      </c>
      <c r="AC128" s="14">
        <f t="shared" si="5"/>
        <v>17500</v>
      </c>
      <c r="AD128" s="15" t="s">
        <v>519</v>
      </c>
      <c r="AE128" s="15" t="s">
        <v>511</v>
      </c>
      <c r="AF128" s="3" t="s">
        <v>512</v>
      </c>
      <c r="AG128" s="45"/>
      <c r="AH128" s="45">
        <v>5000</v>
      </c>
      <c r="AI128" s="45"/>
      <c r="AJ128" s="45">
        <v>10000</v>
      </c>
      <c r="AK128" s="45"/>
      <c r="AL128" s="45"/>
      <c r="AM128" s="45"/>
      <c r="AN128" s="45">
        <v>10000</v>
      </c>
      <c r="AO128" s="45"/>
      <c r="AP128" s="45"/>
      <c r="AQ128" s="45"/>
      <c r="AR128" s="45"/>
      <c r="AS128" s="45">
        <v>25000</v>
      </c>
      <c r="AT128" s="3" t="s">
        <v>230</v>
      </c>
      <c r="AU128" s="272"/>
    </row>
    <row r="129" spans="1:47" ht="16.5" hidden="1" customHeight="1" x14ac:dyDescent="0.35">
      <c r="A129" s="15" t="s">
        <v>258</v>
      </c>
      <c r="B129" s="3" t="s">
        <v>58</v>
      </c>
      <c r="C129" s="15" t="s">
        <v>334</v>
      </c>
      <c r="D129" s="15">
        <v>847</v>
      </c>
      <c r="E129" s="15">
        <v>8470320</v>
      </c>
      <c r="F129" s="15" t="s">
        <v>507</v>
      </c>
      <c r="G129" s="15">
        <v>1</v>
      </c>
      <c r="H129" s="276">
        <v>425763</v>
      </c>
      <c r="I129" s="15" t="s">
        <v>359</v>
      </c>
      <c r="J129" s="15" t="s">
        <v>60</v>
      </c>
      <c r="K129" s="15" t="s">
        <v>50</v>
      </c>
      <c r="L129" s="7">
        <v>847001</v>
      </c>
      <c r="M129" s="15" t="s">
        <v>61</v>
      </c>
      <c r="N129" s="15">
        <v>200179</v>
      </c>
      <c r="O129" s="3" t="s">
        <v>520</v>
      </c>
      <c r="P129" s="15">
        <v>19693.580000000002</v>
      </c>
      <c r="Q129" s="15">
        <v>100000</v>
      </c>
      <c r="R129" s="15">
        <v>100000</v>
      </c>
      <c r="S129" s="15" t="s">
        <v>361</v>
      </c>
      <c r="T129" s="15" t="s">
        <v>68</v>
      </c>
      <c r="U129" s="15">
        <v>12</v>
      </c>
      <c r="V129" s="15">
        <v>10000</v>
      </c>
      <c r="W129" s="15" t="s">
        <v>521</v>
      </c>
      <c r="X129" s="16">
        <v>120000</v>
      </c>
      <c r="Y129" s="15" t="s">
        <v>55</v>
      </c>
      <c r="Z129" s="15" t="s">
        <v>56</v>
      </c>
      <c r="AA129" s="14">
        <f t="shared" si="3"/>
        <v>108000</v>
      </c>
      <c r="AB129" s="14">
        <f t="shared" si="4"/>
        <v>96000</v>
      </c>
      <c r="AC129" s="14">
        <f t="shared" si="5"/>
        <v>84000</v>
      </c>
      <c r="AD129" s="15" t="s">
        <v>519</v>
      </c>
      <c r="AE129" s="15" t="s">
        <v>511</v>
      </c>
      <c r="AF129" s="3" t="s">
        <v>512</v>
      </c>
      <c r="AG129" s="45"/>
      <c r="AH129" s="45">
        <v>75000</v>
      </c>
      <c r="AI129" s="45"/>
      <c r="AJ129" s="45"/>
      <c r="AK129" s="45"/>
      <c r="AL129" s="45"/>
      <c r="AM129" s="45"/>
      <c r="AN129" s="45">
        <v>45000</v>
      </c>
      <c r="AO129" s="45"/>
      <c r="AP129" s="45"/>
      <c r="AQ129" s="45"/>
      <c r="AR129" s="45"/>
      <c r="AS129" s="45">
        <v>120000</v>
      </c>
      <c r="AT129" s="3" t="s">
        <v>230</v>
      </c>
      <c r="AU129" s="272"/>
    </row>
    <row r="130" spans="1:47" ht="16.5" hidden="1" customHeight="1" x14ac:dyDescent="0.35">
      <c r="A130" s="15" t="s">
        <v>222</v>
      </c>
      <c r="B130" s="3" t="s">
        <v>58</v>
      </c>
      <c r="C130" s="15" t="s">
        <v>334</v>
      </c>
      <c r="D130" s="15">
        <v>847</v>
      </c>
      <c r="E130" s="15">
        <v>8470320</v>
      </c>
      <c r="F130" s="15" t="s">
        <v>507</v>
      </c>
      <c r="G130" s="15">
        <v>1</v>
      </c>
      <c r="H130" s="276">
        <v>425770</v>
      </c>
      <c r="I130" s="15" t="s">
        <v>367</v>
      </c>
      <c r="J130" s="15" t="s">
        <v>60</v>
      </c>
      <c r="K130" s="15" t="s">
        <v>50</v>
      </c>
      <c r="L130" s="7">
        <v>847001</v>
      </c>
      <c r="M130" s="15" t="s">
        <v>61</v>
      </c>
      <c r="N130" s="15">
        <v>200179</v>
      </c>
      <c r="O130" s="3" t="s">
        <v>522</v>
      </c>
      <c r="P130" s="15">
        <v>0</v>
      </c>
      <c r="Q130" s="15">
        <v>450000</v>
      </c>
      <c r="R130" s="15">
        <v>450000</v>
      </c>
      <c r="S130" s="15" t="s">
        <v>369</v>
      </c>
      <c r="T130" s="15" t="s">
        <v>157</v>
      </c>
      <c r="U130" s="15">
        <v>30</v>
      </c>
      <c r="V130" s="15">
        <v>15000</v>
      </c>
      <c r="W130" s="15" t="s">
        <v>523</v>
      </c>
      <c r="X130" s="16">
        <v>450000</v>
      </c>
      <c r="Y130" s="15" t="s">
        <v>55</v>
      </c>
      <c r="Z130" s="15" t="s">
        <v>56</v>
      </c>
      <c r="AA130" s="14">
        <f t="shared" si="3"/>
        <v>405000</v>
      </c>
      <c r="AB130" s="14">
        <f t="shared" si="4"/>
        <v>360000</v>
      </c>
      <c r="AC130" s="14">
        <f t="shared" si="5"/>
        <v>315000</v>
      </c>
      <c r="AD130" s="15" t="s">
        <v>519</v>
      </c>
      <c r="AE130" s="15" t="s">
        <v>511</v>
      </c>
      <c r="AF130" s="3" t="s">
        <v>512</v>
      </c>
      <c r="AG130" s="45"/>
      <c r="AH130" s="45"/>
      <c r="AI130" s="45">
        <v>120000</v>
      </c>
      <c r="AJ130" s="45"/>
      <c r="AK130" s="45"/>
      <c r="AL130" s="45"/>
      <c r="AM130" s="45">
        <v>30000</v>
      </c>
      <c r="AN130" s="45"/>
      <c r="AO130" s="45">
        <v>300000</v>
      </c>
      <c r="AP130" s="45"/>
      <c r="AQ130" s="45"/>
      <c r="AR130" s="45"/>
      <c r="AS130" s="45">
        <v>450000</v>
      </c>
      <c r="AT130" s="3" t="s">
        <v>252</v>
      </c>
      <c r="AU130" s="272" t="s">
        <v>374</v>
      </c>
    </row>
    <row r="131" spans="1:47" ht="16.5" hidden="1" customHeight="1" x14ac:dyDescent="0.35">
      <c r="A131" s="15" t="s">
        <v>189</v>
      </c>
      <c r="B131" s="3" t="s">
        <v>265</v>
      </c>
      <c r="C131" s="15" t="s">
        <v>334</v>
      </c>
      <c r="D131" s="15">
        <v>847</v>
      </c>
      <c r="E131" s="15">
        <v>8470320</v>
      </c>
      <c r="F131" s="15" t="s">
        <v>507</v>
      </c>
      <c r="G131" s="15">
        <v>1</v>
      </c>
      <c r="H131" s="276">
        <v>425900</v>
      </c>
      <c r="I131" s="15" t="s">
        <v>266</v>
      </c>
      <c r="J131" s="15" t="s">
        <v>60</v>
      </c>
      <c r="K131" s="15" t="s">
        <v>50</v>
      </c>
      <c r="L131" s="7">
        <v>847001</v>
      </c>
      <c r="M131" s="15" t="s">
        <v>61</v>
      </c>
      <c r="N131" s="15">
        <v>200179</v>
      </c>
      <c r="O131" s="3" t="s">
        <v>524</v>
      </c>
      <c r="P131" s="15" t="s">
        <v>46</v>
      </c>
      <c r="Q131" s="15">
        <v>20000</v>
      </c>
      <c r="R131" s="15">
        <v>20000</v>
      </c>
      <c r="S131" s="15" t="s">
        <v>268</v>
      </c>
      <c r="T131" s="15" t="s">
        <v>269</v>
      </c>
      <c r="U131" s="15">
        <v>10</v>
      </c>
      <c r="V131" s="15">
        <v>2500</v>
      </c>
      <c r="W131" s="15" t="s">
        <v>525</v>
      </c>
      <c r="X131" s="16">
        <v>25000</v>
      </c>
      <c r="Y131" s="15" t="s">
        <v>55</v>
      </c>
      <c r="Z131" s="15" t="s">
        <v>56</v>
      </c>
      <c r="AA131" s="14">
        <f t="shared" ref="AA131:AA194" si="6">X131*0.9</f>
        <v>22500</v>
      </c>
      <c r="AB131" s="14">
        <f t="shared" ref="AB131:AB194" si="7">X131*0.8</f>
        <v>20000</v>
      </c>
      <c r="AC131" s="14">
        <f t="shared" ref="AC131:AC194" si="8">X131*0.7</f>
        <v>17500</v>
      </c>
      <c r="AD131" s="15" t="s">
        <v>519</v>
      </c>
      <c r="AE131" s="15" t="s">
        <v>511</v>
      </c>
      <c r="AF131" s="3" t="s">
        <v>512</v>
      </c>
      <c r="AG131" s="45">
        <v>2000</v>
      </c>
      <c r="AH131" s="45"/>
      <c r="AI131" s="45">
        <v>3000</v>
      </c>
      <c r="AJ131" s="45">
        <v>2000</v>
      </c>
      <c r="AK131" s="45">
        <v>2000</v>
      </c>
      <c r="AL131" s="45">
        <v>3000</v>
      </c>
      <c r="AM131" s="45">
        <v>3000</v>
      </c>
      <c r="AN131" s="45">
        <v>2000</v>
      </c>
      <c r="AO131" s="45">
        <v>3000</v>
      </c>
      <c r="AP131" s="45">
        <v>3000</v>
      </c>
      <c r="AQ131" s="45">
        <v>2000</v>
      </c>
      <c r="AR131" s="45"/>
      <c r="AS131" s="45">
        <v>25000</v>
      </c>
      <c r="AT131" s="3" t="s">
        <v>230</v>
      </c>
      <c r="AU131" s="272"/>
    </row>
    <row r="132" spans="1:47" ht="16.5" hidden="1" customHeight="1" x14ac:dyDescent="0.35">
      <c r="A132" s="15" t="s">
        <v>63</v>
      </c>
      <c r="B132" s="3" t="s">
        <v>64</v>
      </c>
      <c r="C132" s="15" t="s">
        <v>334</v>
      </c>
      <c r="D132" s="15">
        <v>847</v>
      </c>
      <c r="E132" s="15">
        <v>8470320</v>
      </c>
      <c r="F132" s="15" t="s">
        <v>507</v>
      </c>
      <c r="G132" s="15">
        <v>1</v>
      </c>
      <c r="H132" s="276">
        <v>426610</v>
      </c>
      <c r="I132" s="15" t="s">
        <v>74</v>
      </c>
      <c r="J132" s="15" t="s">
        <v>60</v>
      </c>
      <c r="K132" s="15" t="s">
        <v>50</v>
      </c>
      <c r="L132" s="7">
        <v>847001</v>
      </c>
      <c r="M132" s="15" t="s">
        <v>61</v>
      </c>
      <c r="N132" s="15">
        <v>200179</v>
      </c>
      <c r="O132" s="3" t="s">
        <v>526</v>
      </c>
      <c r="P132" s="15">
        <v>32332.21</v>
      </c>
      <c r="Q132" s="15">
        <v>75000</v>
      </c>
      <c r="R132" s="15">
        <v>75000</v>
      </c>
      <c r="S132" s="15" t="s">
        <v>274</v>
      </c>
      <c r="T132" s="15" t="s">
        <v>157</v>
      </c>
      <c r="U132" s="15">
        <v>1</v>
      </c>
      <c r="V132" s="15">
        <v>115000</v>
      </c>
      <c r="W132" s="15" t="s">
        <v>527</v>
      </c>
      <c r="X132" s="16">
        <v>115000</v>
      </c>
      <c r="Y132" s="15" t="s">
        <v>55</v>
      </c>
      <c r="Z132" s="15" t="s">
        <v>56</v>
      </c>
      <c r="AA132" s="14">
        <f t="shared" si="6"/>
        <v>103500</v>
      </c>
      <c r="AB132" s="14">
        <f t="shared" si="7"/>
        <v>92000</v>
      </c>
      <c r="AC132" s="14">
        <f t="shared" si="8"/>
        <v>80500</v>
      </c>
      <c r="AD132" s="15" t="s">
        <v>519</v>
      </c>
      <c r="AE132" s="15" t="s">
        <v>511</v>
      </c>
      <c r="AF132" s="3" t="s">
        <v>512</v>
      </c>
      <c r="AG132" s="45"/>
      <c r="AH132" s="45">
        <v>20000</v>
      </c>
      <c r="AI132" s="45"/>
      <c r="AJ132" s="45"/>
      <c r="AK132" s="45">
        <v>30000</v>
      </c>
      <c r="AL132" s="45"/>
      <c r="AM132" s="45">
        <v>40000</v>
      </c>
      <c r="AN132" s="45"/>
      <c r="AO132" s="45">
        <v>25000</v>
      </c>
      <c r="AP132" s="45"/>
      <c r="AQ132" s="45"/>
      <c r="AR132" s="45"/>
      <c r="AS132" s="45">
        <v>115000</v>
      </c>
      <c r="AT132" s="3" t="s">
        <v>230</v>
      </c>
      <c r="AU132" s="272"/>
    </row>
    <row r="133" spans="1:47" ht="16.5" hidden="1" customHeight="1" x14ac:dyDescent="0.35">
      <c r="A133" s="15" t="s">
        <v>153</v>
      </c>
      <c r="B133" s="3" t="s">
        <v>58</v>
      </c>
      <c r="C133" s="15" t="s">
        <v>334</v>
      </c>
      <c r="D133" s="15">
        <v>847</v>
      </c>
      <c r="E133" s="15">
        <v>8470320</v>
      </c>
      <c r="F133" s="15" t="s">
        <v>507</v>
      </c>
      <c r="G133" s="15">
        <v>1</v>
      </c>
      <c r="H133" s="276">
        <v>428090</v>
      </c>
      <c r="I133" s="15" t="s">
        <v>154</v>
      </c>
      <c r="J133" s="15" t="s">
        <v>60</v>
      </c>
      <c r="K133" s="15" t="s">
        <v>50</v>
      </c>
      <c r="L133" s="7">
        <v>847001</v>
      </c>
      <c r="M133" s="15" t="s">
        <v>61</v>
      </c>
      <c r="N133" s="15">
        <v>200179</v>
      </c>
      <c r="O133" s="3" t="s">
        <v>528</v>
      </c>
      <c r="P133" s="15" t="s">
        <v>46</v>
      </c>
      <c r="Q133" s="15">
        <v>35000</v>
      </c>
      <c r="R133" s="15">
        <v>35000</v>
      </c>
      <c r="S133" s="15" t="s">
        <v>156</v>
      </c>
      <c r="T133" s="15" t="s">
        <v>157</v>
      </c>
      <c r="U133" s="15">
        <v>1</v>
      </c>
      <c r="V133" s="15">
        <v>35000</v>
      </c>
      <c r="W133" s="15" t="s">
        <v>529</v>
      </c>
      <c r="X133" s="16">
        <v>35000</v>
      </c>
      <c r="Y133" s="15" t="s">
        <v>55</v>
      </c>
      <c r="Z133" s="15" t="s">
        <v>56</v>
      </c>
      <c r="AA133" s="14">
        <f t="shared" si="6"/>
        <v>31500</v>
      </c>
      <c r="AB133" s="14">
        <f t="shared" si="7"/>
        <v>28000</v>
      </c>
      <c r="AC133" s="14">
        <f t="shared" si="8"/>
        <v>24500</v>
      </c>
      <c r="AD133" s="15" t="s">
        <v>519</v>
      </c>
      <c r="AE133" s="15" t="s">
        <v>511</v>
      </c>
      <c r="AF133" s="3" t="s">
        <v>512</v>
      </c>
      <c r="AG133" s="45">
        <v>15000</v>
      </c>
      <c r="AH133" s="45"/>
      <c r="AI133" s="45"/>
      <c r="AJ133" s="45">
        <v>20000</v>
      </c>
      <c r="AK133" s="45"/>
      <c r="AL133" s="45"/>
      <c r="AM133" s="45"/>
      <c r="AN133" s="45"/>
      <c r="AO133" s="45"/>
      <c r="AP133" s="45"/>
      <c r="AQ133" s="45"/>
      <c r="AR133" s="45"/>
      <c r="AS133" s="45">
        <v>35000</v>
      </c>
      <c r="AT133" s="3" t="s">
        <v>230</v>
      </c>
      <c r="AU133" s="272"/>
    </row>
    <row r="134" spans="1:47" ht="16.5" hidden="1" customHeight="1" x14ac:dyDescent="0.35">
      <c r="A134" s="15" t="s">
        <v>222</v>
      </c>
      <c r="B134" s="3" t="s">
        <v>58</v>
      </c>
      <c r="C134" s="15" t="s">
        <v>334</v>
      </c>
      <c r="D134" s="15">
        <v>847</v>
      </c>
      <c r="E134" s="15">
        <v>8470320</v>
      </c>
      <c r="F134" s="15" t="s">
        <v>507</v>
      </c>
      <c r="G134" s="15">
        <v>1</v>
      </c>
      <c r="H134" s="276">
        <v>435350</v>
      </c>
      <c r="I134" s="15" t="s">
        <v>399</v>
      </c>
      <c r="J134" s="15" t="s">
        <v>60</v>
      </c>
      <c r="K134" s="15" t="s">
        <v>50</v>
      </c>
      <c r="L134" s="7">
        <v>847001</v>
      </c>
      <c r="M134" s="15" t="s">
        <v>61</v>
      </c>
      <c r="N134" s="15">
        <v>200179</v>
      </c>
      <c r="O134" s="3" t="s">
        <v>530</v>
      </c>
      <c r="P134" s="15">
        <v>0</v>
      </c>
      <c r="Q134" s="15">
        <v>50000</v>
      </c>
      <c r="R134" s="15">
        <v>50000</v>
      </c>
      <c r="S134" s="15" t="s">
        <v>401</v>
      </c>
      <c r="T134" s="15" t="s">
        <v>157</v>
      </c>
      <c r="U134" s="15">
        <v>10</v>
      </c>
      <c r="V134" s="15">
        <v>6000</v>
      </c>
      <c r="W134" s="15" t="s">
        <v>531</v>
      </c>
      <c r="X134" s="16">
        <v>60000</v>
      </c>
      <c r="Y134" s="15" t="s">
        <v>55</v>
      </c>
      <c r="Z134" s="15" t="s">
        <v>56</v>
      </c>
      <c r="AA134" s="14">
        <f t="shared" si="6"/>
        <v>54000</v>
      </c>
      <c r="AB134" s="14">
        <f t="shared" si="7"/>
        <v>48000</v>
      </c>
      <c r="AC134" s="14">
        <f t="shared" si="8"/>
        <v>42000</v>
      </c>
      <c r="AD134" s="15" t="s">
        <v>519</v>
      </c>
      <c r="AE134" s="15" t="s">
        <v>511</v>
      </c>
      <c r="AF134" s="3" t="s">
        <v>512</v>
      </c>
      <c r="AG134" s="45">
        <v>20000</v>
      </c>
      <c r="AH134" s="45"/>
      <c r="AI134" s="45"/>
      <c r="AJ134" s="45">
        <v>30000</v>
      </c>
      <c r="AK134" s="45"/>
      <c r="AL134" s="45"/>
      <c r="AM134" s="45"/>
      <c r="AN134" s="45"/>
      <c r="AO134" s="45">
        <v>10000</v>
      </c>
      <c r="AP134" s="45"/>
      <c r="AQ134" s="45"/>
      <c r="AR134" s="45"/>
      <c r="AS134" s="45">
        <v>60000</v>
      </c>
      <c r="AT134" s="3" t="s">
        <v>480</v>
      </c>
      <c r="AU134" s="272"/>
    </row>
    <row r="135" spans="1:47" ht="16.5" hidden="1" customHeight="1" x14ac:dyDescent="0.35">
      <c r="A135" s="15" t="s">
        <v>222</v>
      </c>
      <c r="B135" s="3" t="s">
        <v>220</v>
      </c>
      <c r="C135" s="15" t="s">
        <v>334</v>
      </c>
      <c r="D135" s="15">
        <v>847</v>
      </c>
      <c r="E135" s="15">
        <v>8470320</v>
      </c>
      <c r="F135" s="15" t="s">
        <v>507</v>
      </c>
      <c r="G135" s="15">
        <v>1</v>
      </c>
      <c r="H135" s="276">
        <v>435508</v>
      </c>
      <c r="I135" s="15" t="s">
        <v>405</v>
      </c>
      <c r="J135" s="15" t="s">
        <v>60</v>
      </c>
      <c r="K135" s="15" t="s">
        <v>50</v>
      </c>
      <c r="L135" s="7">
        <v>847001</v>
      </c>
      <c r="M135" s="15" t="s">
        <v>61</v>
      </c>
      <c r="N135" s="15">
        <v>200179</v>
      </c>
      <c r="O135" s="3" t="s">
        <v>532</v>
      </c>
      <c r="P135" s="15">
        <v>100846</v>
      </c>
      <c r="Q135" s="15">
        <v>200000</v>
      </c>
      <c r="R135" s="15">
        <v>200000</v>
      </c>
      <c r="S135" s="15" t="s">
        <v>407</v>
      </c>
      <c r="T135" s="15" t="s">
        <v>157</v>
      </c>
      <c r="U135" s="15">
        <v>1</v>
      </c>
      <c r="V135" s="15">
        <v>150000</v>
      </c>
      <c r="W135" s="15" t="s">
        <v>533</v>
      </c>
      <c r="X135" s="16">
        <v>150000</v>
      </c>
      <c r="Y135" s="15" t="s">
        <v>55</v>
      </c>
      <c r="Z135" s="15" t="s">
        <v>197</v>
      </c>
      <c r="AA135" s="14">
        <f t="shared" si="6"/>
        <v>135000</v>
      </c>
      <c r="AB135" s="14">
        <f t="shared" si="7"/>
        <v>120000</v>
      </c>
      <c r="AC135" s="14">
        <f t="shared" si="8"/>
        <v>105000</v>
      </c>
      <c r="AD135" s="15" t="s">
        <v>519</v>
      </c>
      <c r="AE135" s="15" t="s">
        <v>511</v>
      </c>
      <c r="AF135" s="3" t="s">
        <v>512</v>
      </c>
      <c r="AG135" s="45"/>
      <c r="AH135" s="45"/>
      <c r="AI135" s="45">
        <v>150000</v>
      </c>
      <c r="AJ135" s="45"/>
      <c r="AK135" s="45"/>
      <c r="AL135" s="45"/>
      <c r="AM135" s="45"/>
      <c r="AN135" s="45"/>
      <c r="AO135" s="45"/>
      <c r="AP135" s="45"/>
      <c r="AQ135" s="45"/>
      <c r="AR135" s="45"/>
      <c r="AS135" s="45">
        <v>150000</v>
      </c>
      <c r="AT135" s="3" t="s">
        <v>230</v>
      </c>
      <c r="AU135" s="272"/>
    </row>
    <row r="136" spans="1:47" ht="16.5" hidden="1" customHeight="1" x14ac:dyDescent="0.35">
      <c r="A136" s="15" t="s">
        <v>189</v>
      </c>
      <c r="B136" s="3" t="s">
        <v>58</v>
      </c>
      <c r="C136" s="15" t="s">
        <v>334</v>
      </c>
      <c r="D136" s="15">
        <v>847</v>
      </c>
      <c r="E136" s="15">
        <v>8470320</v>
      </c>
      <c r="F136" s="15" t="s">
        <v>507</v>
      </c>
      <c r="G136" s="15">
        <v>1</v>
      </c>
      <c r="H136" s="276">
        <v>436110</v>
      </c>
      <c r="I136" s="15" t="s">
        <v>190</v>
      </c>
      <c r="J136" s="15" t="s">
        <v>60</v>
      </c>
      <c r="K136" s="15" t="s">
        <v>50</v>
      </c>
      <c r="L136" s="7">
        <v>847001</v>
      </c>
      <c r="M136" s="15" t="s">
        <v>61</v>
      </c>
      <c r="N136" s="15">
        <v>200179</v>
      </c>
      <c r="O136" s="3" t="s">
        <v>534</v>
      </c>
      <c r="P136" s="15" t="s">
        <v>46</v>
      </c>
      <c r="Q136" s="15">
        <v>35000</v>
      </c>
      <c r="R136" s="15">
        <v>35000</v>
      </c>
      <c r="S136" s="15" t="s">
        <v>411</v>
      </c>
      <c r="T136" s="15" t="s">
        <v>157</v>
      </c>
      <c r="U136" s="15">
        <v>35</v>
      </c>
      <c r="V136" s="15">
        <v>1000</v>
      </c>
      <c r="W136" s="15" t="s">
        <v>535</v>
      </c>
      <c r="X136" s="16">
        <v>35000</v>
      </c>
      <c r="Y136" s="15" t="s">
        <v>55</v>
      </c>
      <c r="Z136" s="15" t="s">
        <v>56</v>
      </c>
      <c r="AA136" s="14">
        <f t="shared" si="6"/>
        <v>31500</v>
      </c>
      <c r="AB136" s="14">
        <f t="shared" si="7"/>
        <v>28000</v>
      </c>
      <c r="AC136" s="14">
        <f t="shared" si="8"/>
        <v>24500</v>
      </c>
      <c r="AD136" s="15" t="s">
        <v>519</v>
      </c>
      <c r="AE136" s="15" t="s">
        <v>511</v>
      </c>
      <c r="AF136" s="3" t="s">
        <v>512</v>
      </c>
      <c r="AG136" s="45"/>
      <c r="AH136" s="45">
        <v>15000</v>
      </c>
      <c r="AI136" s="45"/>
      <c r="AJ136" s="45"/>
      <c r="AK136" s="45">
        <v>20000</v>
      </c>
      <c r="AL136" s="45"/>
      <c r="AM136" s="45"/>
      <c r="AN136" s="45"/>
      <c r="AO136" s="45"/>
      <c r="AP136" s="45"/>
      <c r="AQ136" s="45"/>
      <c r="AR136" s="45"/>
      <c r="AS136" s="45">
        <v>35000</v>
      </c>
      <c r="AT136" s="3" t="s">
        <v>230</v>
      </c>
      <c r="AU136" s="272"/>
    </row>
    <row r="137" spans="1:47" ht="16.5" hidden="1" customHeight="1" x14ac:dyDescent="0.35">
      <c r="A137" s="15" t="s">
        <v>222</v>
      </c>
      <c r="B137" s="3" t="s">
        <v>58</v>
      </c>
      <c r="C137" s="15" t="s">
        <v>334</v>
      </c>
      <c r="D137" s="15">
        <v>847</v>
      </c>
      <c r="E137" s="15">
        <v>8470320</v>
      </c>
      <c r="F137" s="15" t="s">
        <v>507</v>
      </c>
      <c r="G137" s="15">
        <v>1</v>
      </c>
      <c r="H137" s="276">
        <v>436600</v>
      </c>
      <c r="I137" s="15" t="s">
        <v>416</v>
      </c>
      <c r="J137" s="15" t="s">
        <v>60</v>
      </c>
      <c r="K137" s="15" t="s">
        <v>50</v>
      </c>
      <c r="L137" s="7">
        <v>847001</v>
      </c>
      <c r="M137" s="15" t="s">
        <v>61</v>
      </c>
      <c r="N137" s="15">
        <v>200179</v>
      </c>
      <c r="O137" s="3" t="s">
        <v>536</v>
      </c>
      <c r="P137" s="15">
        <v>0</v>
      </c>
      <c r="Q137" s="15">
        <v>45000</v>
      </c>
      <c r="R137" s="15">
        <v>45000</v>
      </c>
      <c r="S137" s="15" t="s">
        <v>492</v>
      </c>
      <c r="T137" s="15" t="s">
        <v>157</v>
      </c>
      <c r="U137" s="15">
        <v>3</v>
      </c>
      <c r="V137" s="15">
        <v>15000</v>
      </c>
      <c r="W137" s="15" t="s">
        <v>537</v>
      </c>
      <c r="X137" s="16">
        <v>45000</v>
      </c>
      <c r="Y137" s="15" t="s">
        <v>55</v>
      </c>
      <c r="Z137" s="15" t="s">
        <v>56</v>
      </c>
      <c r="AA137" s="14">
        <f t="shared" si="6"/>
        <v>40500</v>
      </c>
      <c r="AB137" s="14">
        <f t="shared" si="7"/>
        <v>36000</v>
      </c>
      <c r="AC137" s="14">
        <f t="shared" si="8"/>
        <v>31499.999999999996</v>
      </c>
      <c r="AD137" s="15" t="s">
        <v>519</v>
      </c>
      <c r="AE137" s="15" t="s">
        <v>511</v>
      </c>
      <c r="AF137" s="3" t="s">
        <v>512</v>
      </c>
      <c r="AG137" s="45"/>
      <c r="AH137" s="45">
        <v>25000</v>
      </c>
      <c r="AI137" s="45"/>
      <c r="AJ137" s="45"/>
      <c r="AK137" s="45"/>
      <c r="AL137" s="45">
        <v>20000</v>
      </c>
      <c r="AM137" s="45"/>
      <c r="AN137" s="45"/>
      <c r="AO137" s="45"/>
      <c r="AP137" s="45"/>
      <c r="AQ137" s="45"/>
      <c r="AR137" s="45"/>
      <c r="AS137" s="45">
        <v>45000</v>
      </c>
      <c r="AT137" s="3" t="s">
        <v>230</v>
      </c>
      <c r="AU137" s="272"/>
    </row>
    <row r="138" spans="1:47" ht="16.5" hidden="1" customHeight="1" x14ac:dyDescent="0.35">
      <c r="A138" s="15" t="s">
        <v>161</v>
      </c>
      <c r="B138" s="3" t="s">
        <v>220</v>
      </c>
      <c r="C138" s="15" t="s">
        <v>334</v>
      </c>
      <c r="D138" s="15">
        <v>847</v>
      </c>
      <c r="E138" s="15">
        <v>8470320</v>
      </c>
      <c r="F138" s="15" t="s">
        <v>507</v>
      </c>
      <c r="G138" s="15">
        <v>1</v>
      </c>
      <c r="H138" s="276">
        <v>492316</v>
      </c>
      <c r="I138" s="15" t="s">
        <v>221</v>
      </c>
      <c r="J138" s="15" t="s">
        <v>60</v>
      </c>
      <c r="K138" s="15" t="s">
        <v>50</v>
      </c>
      <c r="L138" s="7">
        <v>847001</v>
      </c>
      <c r="M138" s="15" t="s">
        <v>192</v>
      </c>
      <c r="N138" s="15">
        <v>300180</v>
      </c>
      <c r="O138" s="3" t="s">
        <v>538</v>
      </c>
      <c r="P138" s="15" t="s">
        <v>46</v>
      </c>
      <c r="Q138" s="15">
        <v>1813427</v>
      </c>
      <c r="R138" s="16">
        <v>1810000</v>
      </c>
      <c r="S138" s="15" t="s">
        <v>495</v>
      </c>
      <c r="T138" s="15" t="s">
        <v>157</v>
      </c>
      <c r="U138" s="15">
        <v>1</v>
      </c>
      <c r="V138" s="15">
        <v>38000</v>
      </c>
      <c r="W138" s="268" t="s">
        <v>539</v>
      </c>
      <c r="X138" s="16">
        <v>38000</v>
      </c>
      <c r="Y138" s="15" t="s">
        <v>55</v>
      </c>
      <c r="Z138" s="15" t="s">
        <v>197</v>
      </c>
      <c r="AA138" s="14">
        <f t="shared" si="6"/>
        <v>34200</v>
      </c>
      <c r="AB138" s="14">
        <f t="shared" si="7"/>
        <v>30400</v>
      </c>
      <c r="AC138" s="14">
        <f t="shared" si="8"/>
        <v>26600</v>
      </c>
      <c r="AD138" s="15" t="s">
        <v>519</v>
      </c>
      <c r="AE138" s="15" t="s">
        <v>511</v>
      </c>
      <c r="AF138" s="3" t="s">
        <v>512</v>
      </c>
      <c r="AG138" s="45"/>
      <c r="AH138" s="45"/>
      <c r="AI138" s="45"/>
      <c r="AJ138" s="45">
        <v>38000</v>
      </c>
      <c r="AK138" s="45"/>
      <c r="AL138" s="45"/>
      <c r="AM138" s="45"/>
      <c r="AN138" s="45"/>
      <c r="AO138" s="45"/>
      <c r="AP138" s="45"/>
      <c r="AQ138" s="45"/>
      <c r="AR138" s="45"/>
      <c r="AS138" s="45">
        <v>38000</v>
      </c>
      <c r="AT138" s="3" t="s">
        <v>230</v>
      </c>
      <c r="AU138" s="272" t="s">
        <v>425</v>
      </c>
    </row>
    <row r="139" spans="1:47" ht="16.5" hidden="1" customHeight="1" x14ac:dyDescent="0.35">
      <c r="A139" s="15" t="s">
        <v>189</v>
      </c>
      <c r="B139" s="3" t="s">
        <v>58</v>
      </c>
      <c r="C139" s="15" t="s">
        <v>334</v>
      </c>
      <c r="D139" s="15">
        <v>847</v>
      </c>
      <c r="E139" s="15">
        <v>8470320</v>
      </c>
      <c r="F139" s="15" t="s">
        <v>507</v>
      </c>
      <c r="G139" s="15">
        <v>1</v>
      </c>
      <c r="H139" s="276">
        <v>495140</v>
      </c>
      <c r="I139" s="15" t="s">
        <v>541</v>
      </c>
      <c r="J139" s="15" t="s">
        <v>60</v>
      </c>
      <c r="K139" s="15" t="s">
        <v>50</v>
      </c>
      <c r="L139" s="7">
        <v>847001</v>
      </c>
      <c r="M139" s="15" t="s">
        <v>192</v>
      </c>
      <c r="N139" s="15">
        <v>300180</v>
      </c>
      <c r="O139" s="3" t="s">
        <v>542</v>
      </c>
      <c r="P139" s="15" t="s">
        <v>46</v>
      </c>
      <c r="Q139" s="15">
        <v>16097</v>
      </c>
      <c r="R139" s="15">
        <v>16097</v>
      </c>
      <c r="S139" s="15" t="s">
        <v>543</v>
      </c>
      <c r="T139" s="15" t="s">
        <v>157</v>
      </c>
      <c r="U139" s="15">
        <v>1</v>
      </c>
      <c r="V139" s="15">
        <v>18000</v>
      </c>
      <c r="W139" s="15" t="s">
        <v>544</v>
      </c>
      <c r="X139" s="16">
        <v>18000</v>
      </c>
      <c r="Y139" s="15" t="s">
        <v>55</v>
      </c>
      <c r="Z139" s="15" t="s">
        <v>56</v>
      </c>
      <c r="AA139" s="14">
        <f t="shared" si="6"/>
        <v>16200</v>
      </c>
      <c r="AB139" s="14">
        <f t="shared" si="7"/>
        <v>14400</v>
      </c>
      <c r="AC139" s="14">
        <f t="shared" si="8"/>
        <v>12600</v>
      </c>
      <c r="AD139" s="15" t="s">
        <v>519</v>
      </c>
      <c r="AE139" s="15" t="s">
        <v>511</v>
      </c>
      <c r="AF139" s="3" t="s">
        <v>512</v>
      </c>
      <c r="AG139" s="45"/>
      <c r="AH139" s="45"/>
      <c r="AI139" s="45">
        <v>18000</v>
      </c>
      <c r="AJ139" s="45"/>
      <c r="AK139" s="45"/>
      <c r="AL139" s="45"/>
      <c r="AM139" s="45"/>
      <c r="AN139" s="45"/>
      <c r="AO139" s="45"/>
      <c r="AP139" s="45"/>
      <c r="AQ139" s="45"/>
      <c r="AR139" s="45"/>
      <c r="AS139" s="45">
        <v>18000</v>
      </c>
      <c r="AT139" s="3" t="s">
        <v>545</v>
      </c>
      <c r="AU139" s="272" t="s">
        <v>546</v>
      </c>
    </row>
    <row r="140" spans="1:47" ht="16.5" hidden="1" customHeight="1" x14ac:dyDescent="0.35">
      <c r="A140" s="15" t="s">
        <v>46</v>
      </c>
      <c r="B140" s="3" t="s">
        <v>46</v>
      </c>
      <c r="C140" s="15" t="s">
        <v>334</v>
      </c>
      <c r="D140" s="15">
        <v>847</v>
      </c>
      <c r="E140" s="15">
        <v>8470320</v>
      </c>
      <c r="F140" s="15" t="s">
        <v>507</v>
      </c>
      <c r="G140" s="15">
        <v>1</v>
      </c>
      <c r="H140" s="276">
        <v>492316</v>
      </c>
      <c r="I140" s="15" t="s">
        <v>221</v>
      </c>
      <c r="J140" s="15" t="s">
        <v>60</v>
      </c>
      <c r="K140" s="15" t="s">
        <v>50</v>
      </c>
      <c r="L140" s="7">
        <v>847001</v>
      </c>
      <c r="M140" s="15" t="s">
        <v>192</v>
      </c>
      <c r="N140" s="15">
        <v>300180</v>
      </c>
      <c r="O140" s="3" t="s">
        <v>538</v>
      </c>
      <c r="P140" s="15" t="s">
        <v>46</v>
      </c>
      <c r="Q140" s="15" t="s">
        <v>46</v>
      </c>
      <c r="R140" s="15"/>
      <c r="S140" s="15" t="s">
        <v>495</v>
      </c>
      <c r="T140" s="15" t="s">
        <v>157</v>
      </c>
      <c r="U140" s="15">
        <v>1</v>
      </c>
      <c r="V140" s="15">
        <v>40000</v>
      </c>
      <c r="W140" s="268" t="s">
        <v>547</v>
      </c>
      <c r="X140" s="17">
        <v>40000</v>
      </c>
      <c r="Y140" s="15" t="s">
        <v>55</v>
      </c>
      <c r="Z140" s="15" t="s">
        <v>197</v>
      </c>
      <c r="AA140" s="14">
        <f t="shared" si="6"/>
        <v>36000</v>
      </c>
      <c r="AB140" s="14">
        <f t="shared" si="7"/>
        <v>32000</v>
      </c>
      <c r="AC140" s="14">
        <f t="shared" si="8"/>
        <v>28000</v>
      </c>
      <c r="AD140" s="15" t="s">
        <v>519</v>
      </c>
      <c r="AE140" s="15" t="s">
        <v>511</v>
      </c>
      <c r="AF140" s="3" t="s">
        <v>512</v>
      </c>
      <c r="AG140" s="45"/>
      <c r="AH140" s="45"/>
      <c r="AI140" s="45"/>
      <c r="AJ140" s="45">
        <v>40000</v>
      </c>
      <c r="AK140" s="45"/>
      <c r="AL140" s="45"/>
      <c r="AM140" s="45"/>
      <c r="AN140" s="45"/>
      <c r="AO140" s="45"/>
      <c r="AP140" s="45"/>
      <c r="AQ140" s="45"/>
      <c r="AR140" s="45"/>
      <c r="AS140" s="45">
        <v>40000</v>
      </c>
      <c r="AT140" s="3" t="s">
        <v>230</v>
      </c>
      <c r="AU140" s="272" t="s">
        <v>425</v>
      </c>
    </row>
    <row r="141" spans="1:47" ht="16.5" hidden="1" customHeight="1" x14ac:dyDescent="0.35">
      <c r="A141" s="15" t="s">
        <v>46</v>
      </c>
      <c r="B141" s="3" t="s">
        <v>46</v>
      </c>
      <c r="C141" s="15" t="s">
        <v>334</v>
      </c>
      <c r="D141" s="15">
        <v>847</v>
      </c>
      <c r="E141" s="15">
        <v>8470320</v>
      </c>
      <c r="F141" s="15" t="s">
        <v>507</v>
      </c>
      <c r="G141" s="15">
        <v>1</v>
      </c>
      <c r="H141" s="276">
        <v>492316</v>
      </c>
      <c r="I141" s="15" t="s">
        <v>221</v>
      </c>
      <c r="J141" s="15" t="s">
        <v>60</v>
      </c>
      <c r="K141" s="15" t="s">
        <v>50</v>
      </c>
      <c r="L141" s="7">
        <v>847001</v>
      </c>
      <c r="M141" s="15" t="s">
        <v>192</v>
      </c>
      <c r="N141" s="15">
        <v>300180</v>
      </c>
      <c r="O141" s="3" t="s">
        <v>538</v>
      </c>
      <c r="P141" s="15" t="s">
        <v>46</v>
      </c>
      <c r="Q141" s="15" t="s">
        <v>46</v>
      </c>
      <c r="R141" s="15"/>
      <c r="S141" s="15" t="s">
        <v>495</v>
      </c>
      <c r="T141" s="15" t="s">
        <v>157</v>
      </c>
      <c r="U141" s="15">
        <v>1</v>
      </c>
      <c r="V141" s="15">
        <v>70000</v>
      </c>
      <c r="W141" s="268" t="s">
        <v>548</v>
      </c>
      <c r="X141" s="17">
        <v>70000</v>
      </c>
      <c r="Y141" s="15" t="s">
        <v>55</v>
      </c>
      <c r="Z141" s="15" t="s">
        <v>197</v>
      </c>
      <c r="AA141" s="14">
        <f t="shared" si="6"/>
        <v>63000</v>
      </c>
      <c r="AB141" s="14">
        <f t="shared" si="7"/>
        <v>56000</v>
      </c>
      <c r="AC141" s="14">
        <f t="shared" si="8"/>
        <v>49000</v>
      </c>
      <c r="AD141" s="15" t="s">
        <v>519</v>
      </c>
      <c r="AE141" s="15" t="s">
        <v>511</v>
      </c>
      <c r="AF141" s="3" t="s">
        <v>512</v>
      </c>
      <c r="AG141" s="45"/>
      <c r="AH141" s="45"/>
      <c r="AI141" s="45"/>
      <c r="AJ141" s="45">
        <v>70000</v>
      </c>
      <c r="AK141" s="45"/>
      <c r="AL141" s="45"/>
      <c r="AM141" s="45"/>
      <c r="AN141" s="45"/>
      <c r="AO141" s="45"/>
      <c r="AP141" s="45"/>
      <c r="AQ141" s="45"/>
      <c r="AR141" s="45"/>
      <c r="AS141" s="45">
        <v>70000</v>
      </c>
      <c r="AT141" s="3" t="s">
        <v>230</v>
      </c>
      <c r="AU141" s="272" t="s">
        <v>425</v>
      </c>
    </row>
    <row r="142" spans="1:47" ht="16.5" hidden="1" customHeight="1" x14ac:dyDescent="0.35">
      <c r="A142" s="15" t="s">
        <v>46</v>
      </c>
      <c r="B142" s="3" t="s">
        <v>46</v>
      </c>
      <c r="C142" s="15" t="s">
        <v>334</v>
      </c>
      <c r="D142" s="15">
        <v>847</v>
      </c>
      <c r="E142" s="15">
        <v>8470320</v>
      </c>
      <c r="F142" s="15" t="s">
        <v>507</v>
      </c>
      <c r="G142" s="15">
        <v>1</v>
      </c>
      <c r="H142" s="276">
        <v>492316</v>
      </c>
      <c r="I142" s="15" t="s">
        <v>221</v>
      </c>
      <c r="J142" s="15" t="s">
        <v>60</v>
      </c>
      <c r="K142" s="15" t="s">
        <v>50</v>
      </c>
      <c r="L142" s="7">
        <v>847001</v>
      </c>
      <c r="M142" s="15" t="s">
        <v>192</v>
      </c>
      <c r="N142" s="15">
        <v>300180</v>
      </c>
      <c r="O142" s="3" t="s">
        <v>538</v>
      </c>
      <c r="P142" s="15"/>
      <c r="Q142" s="15"/>
      <c r="R142" s="15"/>
      <c r="S142" s="15" t="s">
        <v>495</v>
      </c>
      <c r="T142" s="15" t="s">
        <v>157</v>
      </c>
      <c r="U142" s="15">
        <v>1</v>
      </c>
      <c r="V142" s="15">
        <v>135000</v>
      </c>
      <c r="W142" s="15" t="s">
        <v>549</v>
      </c>
      <c r="X142" s="17">
        <v>135000</v>
      </c>
      <c r="Y142" s="15" t="s">
        <v>55</v>
      </c>
      <c r="Z142" s="15" t="s">
        <v>197</v>
      </c>
      <c r="AA142" s="14">
        <f t="shared" si="6"/>
        <v>121500</v>
      </c>
      <c r="AB142" s="14">
        <f t="shared" si="7"/>
        <v>108000</v>
      </c>
      <c r="AC142" s="14">
        <f t="shared" si="8"/>
        <v>94500</v>
      </c>
      <c r="AD142" s="15" t="s">
        <v>519</v>
      </c>
      <c r="AE142" s="15" t="s">
        <v>511</v>
      </c>
      <c r="AF142" s="3" t="s">
        <v>512</v>
      </c>
      <c r="AG142" s="45"/>
      <c r="AH142" s="45"/>
      <c r="AI142" s="45"/>
      <c r="AJ142" s="45">
        <v>135000</v>
      </c>
      <c r="AK142" s="45"/>
      <c r="AL142" s="45"/>
      <c r="AM142" s="45"/>
      <c r="AN142" s="45"/>
      <c r="AO142" s="45"/>
      <c r="AP142" s="45"/>
      <c r="AQ142" s="45"/>
      <c r="AR142" s="45"/>
      <c r="AS142" s="45">
        <v>135000</v>
      </c>
      <c r="AT142" s="3" t="s">
        <v>230</v>
      </c>
      <c r="AU142" s="272" t="s">
        <v>425</v>
      </c>
    </row>
    <row r="143" spans="1:47" ht="16.5" hidden="1" customHeight="1" x14ac:dyDescent="0.35">
      <c r="A143" s="15" t="s">
        <v>46</v>
      </c>
      <c r="B143" s="3" t="s">
        <v>46</v>
      </c>
      <c r="C143" s="15" t="s">
        <v>334</v>
      </c>
      <c r="D143" s="15">
        <v>847</v>
      </c>
      <c r="E143" s="15">
        <v>8470320</v>
      </c>
      <c r="F143" s="15" t="s">
        <v>507</v>
      </c>
      <c r="G143" s="15">
        <v>1</v>
      </c>
      <c r="H143" s="276">
        <v>492316</v>
      </c>
      <c r="I143" s="15" t="s">
        <v>221</v>
      </c>
      <c r="J143" s="15" t="s">
        <v>60</v>
      </c>
      <c r="K143" s="15" t="s">
        <v>50</v>
      </c>
      <c r="L143" s="7">
        <v>847001</v>
      </c>
      <c r="M143" s="15" t="s">
        <v>192</v>
      </c>
      <c r="N143" s="15">
        <v>300180</v>
      </c>
      <c r="O143" s="3" t="s">
        <v>538</v>
      </c>
      <c r="P143" s="15"/>
      <c r="Q143" s="15"/>
      <c r="R143" s="15"/>
      <c r="S143" s="15" t="s">
        <v>495</v>
      </c>
      <c r="T143" s="15" t="s">
        <v>157</v>
      </c>
      <c r="U143" s="15">
        <v>1</v>
      </c>
      <c r="V143" s="15">
        <v>10000</v>
      </c>
      <c r="W143" s="15" t="s">
        <v>550</v>
      </c>
      <c r="X143" s="17">
        <v>10000</v>
      </c>
      <c r="Y143" s="15" t="s">
        <v>55</v>
      </c>
      <c r="Z143" s="15" t="s">
        <v>197</v>
      </c>
      <c r="AA143" s="14">
        <f t="shared" si="6"/>
        <v>9000</v>
      </c>
      <c r="AB143" s="14">
        <f t="shared" si="7"/>
        <v>8000</v>
      </c>
      <c r="AC143" s="14">
        <f t="shared" si="8"/>
        <v>7000</v>
      </c>
      <c r="AD143" s="15" t="s">
        <v>519</v>
      </c>
      <c r="AE143" s="15" t="s">
        <v>511</v>
      </c>
      <c r="AF143" s="3" t="s">
        <v>512</v>
      </c>
      <c r="AG143" s="45"/>
      <c r="AH143" s="45"/>
      <c r="AI143" s="45"/>
      <c r="AJ143" s="45">
        <v>10000</v>
      </c>
      <c r="AK143" s="45"/>
      <c r="AL143" s="45"/>
      <c r="AM143" s="45"/>
      <c r="AN143" s="45"/>
      <c r="AO143" s="45"/>
      <c r="AP143" s="45"/>
      <c r="AQ143" s="45"/>
      <c r="AR143" s="45"/>
      <c r="AS143" s="45">
        <v>10000</v>
      </c>
      <c r="AT143" s="3" t="s">
        <v>230</v>
      </c>
      <c r="AU143" s="272" t="s">
        <v>425</v>
      </c>
    </row>
    <row r="144" spans="1:47" ht="16.5" hidden="1" customHeight="1" x14ac:dyDescent="0.35">
      <c r="A144" s="15" t="s">
        <v>46</v>
      </c>
      <c r="B144" s="3" t="s">
        <v>46</v>
      </c>
      <c r="C144" s="15" t="s">
        <v>334</v>
      </c>
      <c r="D144" s="15">
        <v>847</v>
      </c>
      <c r="E144" s="15">
        <v>8470320</v>
      </c>
      <c r="F144" s="15" t="s">
        <v>507</v>
      </c>
      <c r="G144" s="15">
        <v>1</v>
      </c>
      <c r="H144" s="276">
        <v>492316</v>
      </c>
      <c r="I144" s="15" t="s">
        <v>221</v>
      </c>
      <c r="J144" s="15" t="s">
        <v>60</v>
      </c>
      <c r="K144" s="15" t="s">
        <v>50</v>
      </c>
      <c r="L144" s="7">
        <v>847001</v>
      </c>
      <c r="M144" s="15" t="s">
        <v>192</v>
      </c>
      <c r="N144" s="15">
        <v>300180</v>
      </c>
      <c r="O144" s="3" t="s">
        <v>538</v>
      </c>
      <c r="P144" s="15"/>
      <c r="Q144" s="15"/>
      <c r="R144" s="15"/>
      <c r="S144" s="15" t="s">
        <v>495</v>
      </c>
      <c r="T144" s="15" t="s">
        <v>157</v>
      </c>
      <c r="U144" s="15">
        <v>1</v>
      </c>
      <c r="V144" s="15">
        <v>275000</v>
      </c>
      <c r="W144" s="15" t="s">
        <v>551</v>
      </c>
      <c r="X144" s="17">
        <v>275000</v>
      </c>
      <c r="Y144" s="15" t="s">
        <v>55</v>
      </c>
      <c r="Z144" s="15" t="s">
        <v>197</v>
      </c>
      <c r="AA144" s="14">
        <f t="shared" si="6"/>
        <v>247500</v>
      </c>
      <c r="AB144" s="14">
        <f t="shared" si="7"/>
        <v>220000</v>
      </c>
      <c r="AC144" s="14">
        <f t="shared" si="8"/>
        <v>192500</v>
      </c>
      <c r="AD144" s="15" t="s">
        <v>519</v>
      </c>
      <c r="AE144" s="15" t="s">
        <v>511</v>
      </c>
      <c r="AF144" s="3" t="s">
        <v>512</v>
      </c>
      <c r="AG144" s="45"/>
      <c r="AH144" s="45"/>
      <c r="AI144" s="45"/>
      <c r="AJ144" s="45">
        <v>275000</v>
      </c>
      <c r="AK144" s="45"/>
      <c r="AL144" s="45"/>
      <c r="AM144" s="45"/>
      <c r="AN144" s="45"/>
      <c r="AO144" s="45"/>
      <c r="AP144" s="45"/>
      <c r="AQ144" s="45"/>
      <c r="AR144" s="45"/>
      <c r="AS144" s="45">
        <v>275000</v>
      </c>
      <c r="AT144" s="3" t="s">
        <v>230</v>
      </c>
      <c r="AU144" s="272" t="s">
        <v>425</v>
      </c>
    </row>
    <row r="145" spans="1:47" ht="16.5" hidden="1" customHeight="1" x14ac:dyDescent="0.35">
      <c r="A145" s="15" t="s">
        <v>46</v>
      </c>
      <c r="B145" s="3" t="s">
        <v>46</v>
      </c>
      <c r="C145" s="15" t="s">
        <v>334</v>
      </c>
      <c r="D145" s="15">
        <v>847</v>
      </c>
      <c r="E145" s="15">
        <v>8470320</v>
      </c>
      <c r="F145" s="15" t="s">
        <v>507</v>
      </c>
      <c r="G145" s="15">
        <v>1</v>
      </c>
      <c r="H145" s="276">
        <v>492316</v>
      </c>
      <c r="I145" s="15" t="s">
        <v>221</v>
      </c>
      <c r="J145" s="15" t="s">
        <v>60</v>
      </c>
      <c r="K145" s="15" t="s">
        <v>50</v>
      </c>
      <c r="L145" s="7">
        <v>847001</v>
      </c>
      <c r="M145" s="15" t="s">
        <v>192</v>
      </c>
      <c r="N145" s="15">
        <v>300180</v>
      </c>
      <c r="O145" s="3" t="s">
        <v>538</v>
      </c>
      <c r="P145" s="15"/>
      <c r="Q145" s="15"/>
      <c r="R145" s="15"/>
      <c r="S145" s="15" t="s">
        <v>495</v>
      </c>
      <c r="T145" s="15" t="s">
        <v>157</v>
      </c>
      <c r="U145" s="15">
        <v>1</v>
      </c>
      <c r="V145" s="15">
        <v>165000</v>
      </c>
      <c r="W145" s="15" t="s">
        <v>552</v>
      </c>
      <c r="X145" s="17">
        <v>165000</v>
      </c>
      <c r="Y145" s="15" t="s">
        <v>55</v>
      </c>
      <c r="Z145" s="15" t="s">
        <v>197</v>
      </c>
      <c r="AA145" s="14">
        <f t="shared" si="6"/>
        <v>148500</v>
      </c>
      <c r="AB145" s="14">
        <f t="shared" si="7"/>
        <v>132000</v>
      </c>
      <c r="AC145" s="14">
        <f t="shared" si="8"/>
        <v>115499.99999999999</v>
      </c>
      <c r="AD145" s="15" t="s">
        <v>519</v>
      </c>
      <c r="AE145" s="15" t="s">
        <v>511</v>
      </c>
      <c r="AF145" s="3" t="s">
        <v>512</v>
      </c>
      <c r="AG145" s="45"/>
      <c r="AH145" s="45"/>
      <c r="AI145" s="45"/>
      <c r="AJ145" s="45">
        <v>165000</v>
      </c>
      <c r="AK145" s="45"/>
      <c r="AL145" s="45"/>
      <c r="AM145" s="45"/>
      <c r="AN145" s="45"/>
      <c r="AO145" s="45"/>
      <c r="AP145" s="45"/>
      <c r="AQ145" s="45"/>
      <c r="AR145" s="45"/>
      <c r="AS145" s="45">
        <v>165000</v>
      </c>
      <c r="AT145" s="3" t="s">
        <v>230</v>
      </c>
      <c r="AU145" s="272" t="s">
        <v>425</v>
      </c>
    </row>
    <row r="146" spans="1:47" ht="16.5" hidden="1" customHeight="1" x14ac:dyDescent="0.35">
      <c r="A146" s="15" t="s">
        <v>46</v>
      </c>
      <c r="B146" s="3" t="s">
        <v>46</v>
      </c>
      <c r="C146" s="15" t="s">
        <v>334</v>
      </c>
      <c r="D146" s="15">
        <v>847</v>
      </c>
      <c r="E146" s="15">
        <v>8470320</v>
      </c>
      <c r="F146" s="15" t="s">
        <v>507</v>
      </c>
      <c r="G146" s="15">
        <v>1</v>
      </c>
      <c r="H146" s="276">
        <v>492316</v>
      </c>
      <c r="I146" s="15" t="s">
        <v>221</v>
      </c>
      <c r="J146" s="15" t="s">
        <v>60</v>
      </c>
      <c r="K146" s="15" t="s">
        <v>50</v>
      </c>
      <c r="L146" s="7">
        <v>847001</v>
      </c>
      <c r="M146" s="15" t="s">
        <v>192</v>
      </c>
      <c r="N146" s="15">
        <v>300180</v>
      </c>
      <c r="O146" s="3" t="s">
        <v>538</v>
      </c>
      <c r="P146" s="15"/>
      <c r="Q146" s="15"/>
      <c r="R146" s="15"/>
      <c r="S146" s="15" t="s">
        <v>495</v>
      </c>
      <c r="T146" s="15" t="s">
        <v>157</v>
      </c>
      <c r="U146" s="15">
        <v>1</v>
      </c>
      <c r="V146" s="15">
        <v>24500</v>
      </c>
      <c r="W146" s="15" t="s">
        <v>553</v>
      </c>
      <c r="X146" s="17">
        <v>24500</v>
      </c>
      <c r="Y146" s="15" t="s">
        <v>55</v>
      </c>
      <c r="Z146" s="15" t="s">
        <v>197</v>
      </c>
      <c r="AA146" s="14">
        <f t="shared" si="6"/>
        <v>22050</v>
      </c>
      <c r="AB146" s="14">
        <f t="shared" si="7"/>
        <v>19600</v>
      </c>
      <c r="AC146" s="14">
        <f t="shared" si="8"/>
        <v>17150</v>
      </c>
      <c r="AD146" s="15" t="s">
        <v>519</v>
      </c>
      <c r="AE146" s="15" t="s">
        <v>511</v>
      </c>
      <c r="AF146" s="3" t="s">
        <v>512</v>
      </c>
      <c r="AG146" s="45"/>
      <c r="AH146" s="45"/>
      <c r="AI146" s="45"/>
      <c r="AJ146" s="45">
        <v>24500</v>
      </c>
      <c r="AK146" s="45"/>
      <c r="AL146" s="45"/>
      <c r="AM146" s="45"/>
      <c r="AN146" s="45"/>
      <c r="AO146" s="45"/>
      <c r="AP146" s="45"/>
      <c r="AQ146" s="45"/>
      <c r="AR146" s="45"/>
      <c r="AS146" s="45">
        <v>24500</v>
      </c>
      <c r="AT146" s="3" t="s">
        <v>230</v>
      </c>
      <c r="AU146" s="272" t="s">
        <v>425</v>
      </c>
    </row>
    <row r="147" spans="1:47" ht="16.5" hidden="1" customHeight="1" x14ac:dyDescent="0.35">
      <c r="A147" s="15" t="s">
        <v>46</v>
      </c>
      <c r="B147" s="3" t="s">
        <v>46</v>
      </c>
      <c r="C147" s="15" t="s">
        <v>334</v>
      </c>
      <c r="D147" s="15">
        <v>847</v>
      </c>
      <c r="E147" s="15">
        <v>8470320</v>
      </c>
      <c r="F147" s="15" t="s">
        <v>507</v>
      </c>
      <c r="G147" s="15">
        <v>1</v>
      </c>
      <c r="H147" s="276">
        <v>492316</v>
      </c>
      <c r="I147" s="15" t="s">
        <v>221</v>
      </c>
      <c r="J147" s="15" t="s">
        <v>60</v>
      </c>
      <c r="K147" s="15" t="s">
        <v>50</v>
      </c>
      <c r="L147" s="7">
        <v>847001</v>
      </c>
      <c r="M147" s="15" t="s">
        <v>192</v>
      </c>
      <c r="N147" s="15">
        <v>300180</v>
      </c>
      <c r="O147" s="3" t="s">
        <v>538</v>
      </c>
      <c r="P147" s="15"/>
      <c r="Q147" s="15"/>
      <c r="R147" s="15"/>
      <c r="S147" s="15" t="s">
        <v>495</v>
      </c>
      <c r="T147" s="15" t="s">
        <v>157</v>
      </c>
      <c r="U147" s="15">
        <v>1</v>
      </c>
      <c r="V147" s="15">
        <v>110000</v>
      </c>
      <c r="W147" s="15" t="s">
        <v>554</v>
      </c>
      <c r="X147" s="17">
        <v>110000</v>
      </c>
      <c r="Y147" s="15" t="s">
        <v>55</v>
      </c>
      <c r="Z147" s="15" t="s">
        <v>197</v>
      </c>
      <c r="AA147" s="14">
        <f t="shared" si="6"/>
        <v>99000</v>
      </c>
      <c r="AB147" s="14">
        <f t="shared" si="7"/>
        <v>88000</v>
      </c>
      <c r="AC147" s="14">
        <f t="shared" si="8"/>
        <v>77000</v>
      </c>
      <c r="AD147" s="15" t="s">
        <v>519</v>
      </c>
      <c r="AE147" s="15" t="s">
        <v>511</v>
      </c>
      <c r="AF147" s="3" t="s">
        <v>512</v>
      </c>
      <c r="AG147" s="45"/>
      <c r="AH147" s="45"/>
      <c r="AI147" s="45"/>
      <c r="AJ147" s="45">
        <v>110000</v>
      </c>
      <c r="AK147" s="45"/>
      <c r="AL147" s="45"/>
      <c r="AM147" s="45"/>
      <c r="AN147" s="45"/>
      <c r="AO147" s="45"/>
      <c r="AP147" s="45"/>
      <c r="AQ147" s="45"/>
      <c r="AR147" s="45"/>
      <c r="AS147" s="45">
        <v>110000</v>
      </c>
      <c r="AT147" s="3" t="s">
        <v>230</v>
      </c>
      <c r="AU147" s="272" t="s">
        <v>425</v>
      </c>
    </row>
    <row r="148" spans="1:47" ht="16.5" hidden="1" customHeight="1" x14ac:dyDescent="0.35">
      <c r="A148" s="15" t="s">
        <v>46</v>
      </c>
      <c r="B148" s="3" t="s">
        <v>46</v>
      </c>
      <c r="C148" s="15" t="s">
        <v>334</v>
      </c>
      <c r="D148" s="15">
        <v>847</v>
      </c>
      <c r="E148" s="15">
        <v>8470320</v>
      </c>
      <c r="F148" s="15" t="s">
        <v>507</v>
      </c>
      <c r="G148" s="15">
        <v>1</v>
      </c>
      <c r="H148" s="276">
        <v>492316</v>
      </c>
      <c r="I148" s="15" t="s">
        <v>221</v>
      </c>
      <c r="J148" s="15" t="s">
        <v>60</v>
      </c>
      <c r="K148" s="15" t="s">
        <v>50</v>
      </c>
      <c r="L148" s="7">
        <v>847001</v>
      </c>
      <c r="M148" s="15" t="s">
        <v>192</v>
      </c>
      <c r="N148" s="15">
        <v>300180</v>
      </c>
      <c r="O148" s="3" t="s">
        <v>538</v>
      </c>
      <c r="P148" s="15"/>
      <c r="Q148" s="15"/>
      <c r="R148" s="15"/>
      <c r="S148" s="15" t="s">
        <v>495</v>
      </c>
      <c r="T148" s="15" t="s">
        <v>157</v>
      </c>
      <c r="U148" s="15">
        <v>1</v>
      </c>
      <c r="V148" s="15">
        <v>18500</v>
      </c>
      <c r="W148" s="15" t="s">
        <v>555</v>
      </c>
      <c r="X148" s="17">
        <v>18500</v>
      </c>
      <c r="Y148" s="15" t="s">
        <v>55</v>
      </c>
      <c r="Z148" s="15" t="s">
        <v>197</v>
      </c>
      <c r="AA148" s="14">
        <f t="shared" si="6"/>
        <v>16650</v>
      </c>
      <c r="AB148" s="14">
        <f t="shared" si="7"/>
        <v>14800</v>
      </c>
      <c r="AC148" s="14">
        <f t="shared" si="8"/>
        <v>12950</v>
      </c>
      <c r="AD148" s="15" t="s">
        <v>519</v>
      </c>
      <c r="AE148" s="15" t="s">
        <v>511</v>
      </c>
      <c r="AF148" s="3" t="s">
        <v>512</v>
      </c>
      <c r="AG148" s="45"/>
      <c r="AH148" s="45"/>
      <c r="AI148" s="45"/>
      <c r="AJ148" s="45">
        <v>18500</v>
      </c>
      <c r="AK148" s="45"/>
      <c r="AL148" s="45"/>
      <c r="AM148" s="45"/>
      <c r="AN148" s="45"/>
      <c r="AO148" s="45"/>
      <c r="AP148" s="45"/>
      <c r="AQ148" s="45"/>
      <c r="AR148" s="45"/>
      <c r="AS148" s="45">
        <v>18500</v>
      </c>
      <c r="AT148" s="3" t="s">
        <v>230</v>
      </c>
      <c r="AU148" s="272" t="s">
        <v>425</v>
      </c>
    </row>
    <row r="149" spans="1:47" ht="16.5" hidden="1" customHeight="1" x14ac:dyDescent="0.35">
      <c r="A149" s="15" t="s">
        <v>46</v>
      </c>
      <c r="B149" s="3" t="s">
        <v>46</v>
      </c>
      <c r="C149" s="15" t="s">
        <v>334</v>
      </c>
      <c r="D149" s="15">
        <v>847</v>
      </c>
      <c r="E149" s="15">
        <v>8470320</v>
      </c>
      <c r="F149" s="15" t="s">
        <v>507</v>
      </c>
      <c r="G149" s="15">
        <v>1</v>
      </c>
      <c r="H149" s="276">
        <v>492316</v>
      </c>
      <c r="I149" s="15" t="s">
        <v>221</v>
      </c>
      <c r="J149" s="15" t="s">
        <v>60</v>
      </c>
      <c r="K149" s="15" t="s">
        <v>50</v>
      </c>
      <c r="L149" s="7">
        <v>847001</v>
      </c>
      <c r="M149" s="15" t="s">
        <v>192</v>
      </c>
      <c r="N149" s="15">
        <v>300180</v>
      </c>
      <c r="O149" s="3" t="s">
        <v>538</v>
      </c>
      <c r="P149" s="15"/>
      <c r="Q149" s="15"/>
      <c r="R149" s="15"/>
      <c r="S149" s="15" t="s">
        <v>495</v>
      </c>
      <c r="T149" s="15" t="s">
        <v>157</v>
      </c>
      <c r="U149" s="15">
        <v>1</v>
      </c>
      <c r="V149" s="15">
        <v>325000</v>
      </c>
      <c r="W149" s="15" t="s">
        <v>556</v>
      </c>
      <c r="X149" s="17">
        <v>325000</v>
      </c>
      <c r="Y149" s="15" t="s">
        <v>55</v>
      </c>
      <c r="Z149" s="15" t="s">
        <v>197</v>
      </c>
      <c r="AA149" s="14">
        <f t="shared" si="6"/>
        <v>292500</v>
      </c>
      <c r="AB149" s="14">
        <f t="shared" si="7"/>
        <v>260000</v>
      </c>
      <c r="AC149" s="14">
        <f t="shared" si="8"/>
        <v>227500</v>
      </c>
      <c r="AD149" s="15" t="s">
        <v>519</v>
      </c>
      <c r="AE149" s="15" t="s">
        <v>511</v>
      </c>
      <c r="AF149" s="3" t="s">
        <v>512</v>
      </c>
      <c r="AG149" s="45"/>
      <c r="AH149" s="45"/>
      <c r="AI149" s="45"/>
      <c r="AJ149" s="45">
        <v>325000</v>
      </c>
      <c r="AK149" s="45"/>
      <c r="AL149" s="45"/>
      <c r="AM149" s="45"/>
      <c r="AN149" s="45"/>
      <c r="AO149" s="45"/>
      <c r="AP149" s="45"/>
      <c r="AQ149" s="45"/>
      <c r="AR149" s="45"/>
      <c r="AS149" s="45">
        <v>325000</v>
      </c>
      <c r="AT149" s="3" t="s">
        <v>230</v>
      </c>
      <c r="AU149" s="272" t="s">
        <v>425</v>
      </c>
    </row>
    <row r="150" spans="1:47" ht="16.5" hidden="1" customHeight="1" x14ac:dyDescent="0.35">
      <c r="A150" s="15" t="s">
        <v>46</v>
      </c>
      <c r="B150" s="3" t="s">
        <v>46</v>
      </c>
      <c r="C150" s="15" t="s">
        <v>334</v>
      </c>
      <c r="D150" s="15">
        <v>847</v>
      </c>
      <c r="E150" s="15">
        <v>8470320</v>
      </c>
      <c r="F150" s="15" t="s">
        <v>507</v>
      </c>
      <c r="G150" s="15">
        <v>1</v>
      </c>
      <c r="H150" s="276">
        <v>492316</v>
      </c>
      <c r="I150" s="15" t="s">
        <v>221</v>
      </c>
      <c r="J150" s="15" t="s">
        <v>60</v>
      </c>
      <c r="K150" s="15" t="s">
        <v>50</v>
      </c>
      <c r="L150" s="7">
        <v>847001</v>
      </c>
      <c r="M150" s="15" t="s">
        <v>192</v>
      </c>
      <c r="N150" s="15">
        <v>300180</v>
      </c>
      <c r="O150" s="3" t="s">
        <v>538</v>
      </c>
      <c r="P150" s="15"/>
      <c r="Q150" s="15"/>
      <c r="R150" s="15"/>
      <c r="S150" s="15" t="s">
        <v>495</v>
      </c>
      <c r="T150" s="15" t="s">
        <v>157</v>
      </c>
      <c r="U150" s="15">
        <v>1</v>
      </c>
      <c r="V150" s="15">
        <v>42000</v>
      </c>
      <c r="W150" s="15" t="s">
        <v>557</v>
      </c>
      <c r="X150" s="17">
        <v>42000</v>
      </c>
      <c r="Y150" s="15" t="s">
        <v>55</v>
      </c>
      <c r="Z150" s="15" t="s">
        <v>197</v>
      </c>
      <c r="AA150" s="14">
        <f t="shared" si="6"/>
        <v>37800</v>
      </c>
      <c r="AB150" s="14">
        <f t="shared" si="7"/>
        <v>33600</v>
      </c>
      <c r="AC150" s="14">
        <f t="shared" si="8"/>
        <v>29399.999999999996</v>
      </c>
      <c r="AD150" s="15" t="s">
        <v>519</v>
      </c>
      <c r="AE150" s="15" t="s">
        <v>511</v>
      </c>
      <c r="AF150" s="3" t="s">
        <v>512</v>
      </c>
      <c r="AG150" s="45"/>
      <c r="AH150" s="45"/>
      <c r="AI150" s="45"/>
      <c r="AJ150" s="45">
        <v>42000</v>
      </c>
      <c r="AK150" s="45"/>
      <c r="AL150" s="45"/>
      <c r="AM150" s="45"/>
      <c r="AN150" s="45"/>
      <c r="AO150" s="45"/>
      <c r="AP150" s="45"/>
      <c r="AQ150" s="45"/>
      <c r="AR150" s="45"/>
      <c r="AS150" s="45">
        <v>42000</v>
      </c>
      <c r="AT150" s="3" t="s">
        <v>230</v>
      </c>
      <c r="AU150" s="272" t="s">
        <v>425</v>
      </c>
    </row>
    <row r="151" spans="1:47" ht="16.5" hidden="1" customHeight="1" x14ac:dyDescent="0.35">
      <c r="A151" s="15" t="s">
        <v>46</v>
      </c>
      <c r="B151" s="3" t="s">
        <v>46</v>
      </c>
      <c r="C151" s="15" t="s">
        <v>334</v>
      </c>
      <c r="D151" s="15">
        <v>847</v>
      </c>
      <c r="E151" s="15">
        <v>8470320</v>
      </c>
      <c r="F151" s="15" t="s">
        <v>507</v>
      </c>
      <c r="G151" s="15">
        <v>1</v>
      </c>
      <c r="H151" s="276">
        <v>492316</v>
      </c>
      <c r="I151" s="15" t="s">
        <v>221</v>
      </c>
      <c r="J151" s="15" t="s">
        <v>60</v>
      </c>
      <c r="K151" s="15" t="s">
        <v>50</v>
      </c>
      <c r="L151" s="7">
        <v>847001</v>
      </c>
      <c r="M151" s="15" t="s">
        <v>192</v>
      </c>
      <c r="N151" s="15">
        <v>300180</v>
      </c>
      <c r="O151" s="3" t="s">
        <v>538</v>
      </c>
      <c r="P151" s="15"/>
      <c r="Q151" s="15"/>
      <c r="R151" s="15"/>
      <c r="S151" s="15" t="s">
        <v>495</v>
      </c>
      <c r="T151" s="15" t="s">
        <v>157</v>
      </c>
      <c r="U151" s="15">
        <v>1</v>
      </c>
      <c r="V151" s="15">
        <v>6000</v>
      </c>
      <c r="W151" s="15" t="s">
        <v>558</v>
      </c>
      <c r="X151" s="17">
        <v>6000</v>
      </c>
      <c r="Y151" s="15" t="s">
        <v>55</v>
      </c>
      <c r="Z151" s="15" t="s">
        <v>197</v>
      </c>
      <c r="AA151" s="14">
        <f t="shared" si="6"/>
        <v>5400</v>
      </c>
      <c r="AB151" s="14">
        <f t="shared" si="7"/>
        <v>4800</v>
      </c>
      <c r="AC151" s="14">
        <f t="shared" si="8"/>
        <v>4200</v>
      </c>
      <c r="AD151" s="15" t="s">
        <v>519</v>
      </c>
      <c r="AE151" s="15" t="s">
        <v>511</v>
      </c>
      <c r="AF151" s="3" t="s">
        <v>512</v>
      </c>
      <c r="AG151" s="45"/>
      <c r="AH151" s="45"/>
      <c r="AI151" s="45"/>
      <c r="AJ151" s="45">
        <v>6000</v>
      </c>
      <c r="AK151" s="45"/>
      <c r="AL151" s="45"/>
      <c r="AM151" s="45"/>
      <c r="AN151" s="45"/>
      <c r="AO151" s="45"/>
      <c r="AP151" s="45"/>
      <c r="AQ151" s="45"/>
      <c r="AR151" s="45"/>
      <c r="AS151" s="45">
        <v>6000</v>
      </c>
      <c r="AT151" s="3" t="s">
        <v>230</v>
      </c>
      <c r="AU151" s="272" t="s">
        <v>425</v>
      </c>
    </row>
    <row r="152" spans="1:47" ht="16.5" hidden="1" customHeight="1" x14ac:dyDescent="0.35">
      <c r="A152" s="15" t="s">
        <v>46</v>
      </c>
      <c r="B152" s="3" t="s">
        <v>46</v>
      </c>
      <c r="C152" s="15" t="s">
        <v>334</v>
      </c>
      <c r="D152" s="15">
        <v>847</v>
      </c>
      <c r="E152" s="15">
        <v>8470320</v>
      </c>
      <c r="F152" s="15" t="s">
        <v>507</v>
      </c>
      <c r="G152" s="15">
        <v>1</v>
      </c>
      <c r="H152" s="276">
        <v>492316</v>
      </c>
      <c r="I152" s="15" t="s">
        <v>221</v>
      </c>
      <c r="J152" s="15" t="s">
        <v>60</v>
      </c>
      <c r="K152" s="15" t="s">
        <v>50</v>
      </c>
      <c r="L152" s="7">
        <v>847001</v>
      </c>
      <c r="M152" s="15" t="s">
        <v>192</v>
      </c>
      <c r="N152" s="15">
        <v>300180</v>
      </c>
      <c r="O152" s="3" t="s">
        <v>538</v>
      </c>
      <c r="P152" s="15"/>
      <c r="Q152" s="15"/>
      <c r="R152" s="15"/>
      <c r="S152" s="15" t="s">
        <v>495</v>
      </c>
      <c r="T152" s="15" t="s">
        <v>157</v>
      </c>
      <c r="U152" s="15">
        <v>1</v>
      </c>
      <c r="V152" s="15">
        <v>13000</v>
      </c>
      <c r="W152" s="15" t="s">
        <v>559</v>
      </c>
      <c r="X152" s="17">
        <v>13000</v>
      </c>
      <c r="Y152" s="15" t="s">
        <v>55</v>
      </c>
      <c r="Z152" s="15" t="s">
        <v>197</v>
      </c>
      <c r="AA152" s="14">
        <f t="shared" si="6"/>
        <v>11700</v>
      </c>
      <c r="AB152" s="14">
        <f t="shared" si="7"/>
        <v>10400</v>
      </c>
      <c r="AC152" s="14">
        <f t="shared" si="8"/>
        <v>9100</v>
      </c>
      <c r="AD152" s="15" t="s">
        <v>519</v>
      </c>
      <c r="AE152" s="15" t="s">
        <v>511</v>
      </c>
      <c r="AF152" s="3" t="s">
        <v>512</v>
      </c>
      <c r="AG152" s="45"/>
      <c r="AH152" s="45"/>
      <c r="AI152" s="45"/>
      <c r="AJ152" s="45">
        <v>13000</v>
      </c>
      <c r="AK152" s="45"/>
      <c r="AL152" s="45"/>
      <c r="AM152" s="45"/>
      <c r="AN152" s="45"/>
      <c r="AO152" s="45"/>
      <c r="AP152" s="45"/>
      <c r="AQ152" s="45"/>
      <c r="AR152" s="45"/>
      <c r="AS152" s="45">
        <v>13000</v>
      </c>
      <c r="AT152" s="3" t="s">
        <v>230</v>
      </c>
      <c r="AU152" s="272" t="s">
        <v>425</v>
      </c>
    </row>
    <row r="153" spans="1:47" ht="16.5" hidden="1" customHeight="1" x14ac:dyDescent="0.35">
      <c r="A153" s="15" t="s">
        <v>222</v>
      </c>
      <c r="B153" s="3" t="s">
        <v>58</v>
      </c>
      <c r="C153" s="15" t="s">
        <v>334</v>
      </c>
      <c r="D153" s="15">
        <v>847</v>
      </c>
      <c r="E153" s="15">
        <v>8470325</v>
      </c>
      <c r="F153" s="15" t="s">
        <v>560</v>
      </c>
      <c r="G153" s="15">
        <v>1</v>
      </c>
      <c r="H153" s="276">
        <v>420550</v>
      </c>
      <c r="I153" s="15" t="s">
        <v>225</v>
      </c>
      <c r="J153" s="15" t="s">
        <v>60</v>
      </c>
      <c r="K153" s="15" t="s">
        <v>50</v>
      </c>
      <c r="L153" s="7">
        <v>847001</v>
      </c>
      <c r="M153" s="15" t="s">
        <v>61</v>
      </c>
      <c r="N153" s="15">
        <v>200179</v>
      </c>
      <c r="O153" s="3" t="s">
        <v>561</v>
      </c>
      <c r="P153" s="15" t="s">
        <v>46</v>
      </c>
      <c r="Q153" s="15">
        <v>4000</v>
      </c>
      <c r="R153" s="15">
        <v>4000</v>
      </c>
      <c r="S153" s="15" t="s">
        <v>227</v>
      </c>
      <c r="T153" s="15" t="s">
        <v>157</v>
      </c>
      <c r="U153" s="15">
        <v>1</v>
      </c>
      <c r="V153" s="15">
        <v>2000</v>
      </c>
      <c r="W153" s="15" t="s">
        <v>562</v>
      </c>
      <c r="X153" s="16">
        <v>2000</v>
      </c>
      <c r="Y153" s="15" t="s">
        <v>55</v>
      </c>
      <c r="Z153" s="15" t="s">
        <v>56</v>
      </c>
      <c r="AA153" s="14">
        <f t="shared" si="6"/>
        <v>1800</v>
      </c>
      <c r="AB153" s="14">
        <f t="shared" si="7"/>
        <v>1600</v>
      </c>
      <c r="AC153" s="14">
        <f t="shared" si="8"/>
        <v>1400</v>
      </c>
      <c r="AD153" s="15" t="s">
        <v>563</v>
      </c>
      <c r="AE153" s="15" t="s">
        <v>563</v>
      </c>
      <c r="AF153" s="3" t="s">
        <v>563</v>
      </c>
      <c r="AG153" s="45"/>
      <c r="AH153" s="45"/>
      <c r="AI153" s="45">
        <v>2000</v>
      </c>
      <c r="AJ153" s="45"/>
      <c r="AK153" s="45"/>
      <c r="AL153" s="45"/>
      <c r="AM153" s="45"/>
      <c r="AN153" s="45"/>
      <c r="AO153" s="45"/>
      <c r="AP153" s="45"/>
      <c r="AQ153" s="45"/>
      <c r="AR153" s="45"/>
      <c r="AS153" s="45">
        <v>2000</v>
      </c>
      <c r="AT153" s="3" t="s">
        <v>230</v>
      </c>
      <c r="AU153" s="272"/>
    </row>
    <row r="154" spans="1:47" ht="16.5" hidden="1" customHeight="1" x14ac:dyDescent="0.35">
      <c r="A154" s="15" t="s">
        <v>245</v>
      </c>
      <c r="B154" s="3" t="s">
        <v>246</v>
      </c>
      <c r="C154" s="15" t="s">
        <v>334</v>
      </c>
      <c r="D154" s="15">
        <v>847</v>
      </c>
      <c r="E154" s="15">
        <v>8470325</v>
      </c>
      <c r="F154" s="15" t="s">
        <v>560</v>
      </c>
      <c r="G154" s="15">
        <v>1</v>
      </c>
      <c r="H154" s="276">
        <v>425510</v>
      </c>
      <c r="I154" s="15" t="s">
        <v>247</v>
      </c>
      <c r="J154" s="15" t="s">
        <v>60</v>
      </c>
      <c r="K154" s="15" t="s">
        <v>50</v>
      </c>
      <c r="L154" s="7">
        <v>847001</v>
      </c>
      <c r="M154" s="15" t="s">
        <v>61</v>
      </c>
      <c r="N154" s="15">
        <v>200179</v>
      </c>
      <c r="O154" s="3" t="s">
        <v>564</v>
      </c>
      <c r="P154" s="15" t="s">
        <v>46</v>
      </c>
      <c r="Q154" s="15">
        <v>6600</v>
      </c>
      <c r="R154" s="15">
        <v>6600</v>
      </c>
      <c r="S154" s="15" t="s">
        <v>565</v>
      </c>
      <c r="T154" s="15" t="s">
        <v>157</v>
      </c>
      <c r="U154" s="15">
        <v>6</v>
      </c>
      <c r="V154" s="15">
        <v>1100</v>
      </c>
      <c r="W154" s="15" t="s">
        <v>566</v>
      </c>
      <c r="X154" s="16">
        <v>6600</v>
      </c>
      <c r="Y154" s="15" t="s">
        <v>55</v>
      </c>
      <c r="Z154" s="15" t="s">
        <v>56</v>
      </c>
      <c r="AA154" s="14">
        <f t="shared" si="6"/>
        <v>5940</v>
      </c>
      <c r="AB154" s="14">
        <f t="shared" si="7"/>
        <v>5280</v>
      </c>
      <c r="AC154" s="14">
        <f t="shared" si="8"/>
        <v>4620</v>
      </c>
      <c r="AD154" s="15" t="s">
        <v>563</v>
      </c>
      <c r="AE154" s="15" t="s">
        <v>567</v>
      </c>
      <c r="AF154" s="3" t="s">
        <v>567</v>
      </c>
      <c r="AG154" s="45"/>
      <c r="AH154" s="45"/>
      <c r="AI154" s="45">
        <v>3300</v>
      </c>
      <c r="AJ154" s="45"/>
      <c r="AK154" s="45"/>
      <c r="AL154" s="45"/>
      <c r="AM154" s="45"/>
      <c r="AN154" s="45"/>
      <c r="AO154" s="45">
        <v>3300</v>
      </c>
      <c r="AP154" s="45"/>
      <c r="AQ154" s="45"/>
      <c r="AR154" s="45"/>
      <c r="AS154" s="45">
        <v>6600</v>
      </c>
      <c r="AT154" s="3" t="s">
        <v>230</v>
      </c>
      <c r="AU154" s="272"/>
    </row>
    <row r="155" spans="1:47" ht="16.5" hidden="1" customHeight="1" x14ac:dyDescent="0.35">
      <c r="A155" s="15" t="s">
        <v>258</v>
      </c>
      <c r="B155" s="3" t="s">
        <v>350</v>
      </c>
      <c r="C155" s="15" t="s">
        <v>334</v>
      </c>
      <c r="D155" s="15">
        <v>847</v>
      </c>
      <c r="E155" s="15">
        <v>8470325</v>
      </c>
      <c r="F155" s="15" t="s">
        <v>560</v>
      </c>
      <c r="G155" s="15">
        <v>1</v>
      </c>
      <c r="H155" s="276">
        <v>425760</v>
      </c>
      <c r="I155" s="15" t="s">
        <v>352</v>
      </c>
      <c r="J155" s="15" t="s">
        <v>60</v>
      </c>
      <c r="K155" s="15" t="s">
        <v>50</v>
      </c>
      <c r="L155" s="7">
        <v>847001</v>
      </c>
      <c r="M155" s="15" t="s">
        <v>61</v>
      </c>
      <c r="N155" s="15">
        <v>200179</v>
      </c>
      <c r="O155" s="3" t="s">
        <v>568</v>
      </c>
      <c r="P155" s="15" t="s">
        <v>46</v>
      </c>
      <c r="Q155" s="15">
        <v>5000</v>
      </c>
      <c r="R155" s="15">
        <v>5000</v>
      </c>
      <c r="S155" s="15" t="s">
        <v>440</v>
      </c>
      <c r="T155" s="15" t="s">
        <v>441</v>
      </c>
      <c r="U155" s="15">
        <v>2</v>
      </c>
      <c r="V155" s="15">
        <v>2500</v>
      </c>
      <c r="W155" s="15" t="s">
        <v>569</v>
      </c>
      <c r="X155" s="16">
        <v>5000</v>
      </c>
      <c r="Y155" s="15" t="s">
        <v>55</v>
      </c>
      <c r="Z155" s="15" t="s">
        <v>56</v>
      </c>
      <c r="AA155" s="14">
        <f t="shared" si="6"/>
        <v>4500</v>
      </c>
      <c r="AB155" s="14">
        <f t="shared" si="7"/>
        <v>4000</v>
      </c>
      <c r="AC155" s="14">
        <f t="shared" si="8"/>
        <v>3500</v>
      </c>
      <c r="AD155" s="15" t="s">
        <v>563</v>
      </c>
      <c r="AE155" s="15" t="s">
        <v>567</v>
      </c>
      <c r="AF155" s="3" t="s">
        <v>567</v>
      </c>
      <c r="AG155" s="45"/>
      <c r="AH155" s="45"/>
      <c r="AI155" s="45">
        <v>2500</v>
      </c>
      <c r="AJ155" s="45"/>
      <c r="AK155" s="45"/>
      <c r="AL155" s="45"/>
      <c r="AM155" s="45"/>
      <c r="AN155" s="45"/>
      <c r="AO155" s="45">
        <v>2500</v>
      </c>
      <c r="AP155" s="45"/>
      <c r="AQ155" s="45"/>
      <c r="AR155" s="45"/>
      <c r="AS155" s="45">
        <v>5000</v>
      </c>
      <c r="AT155" s="3" t="s">
        <v>348</v>
      </c>
      <c r="AU155" s="272"/>
    </row>
    <row r="156" spans="1:47" ht="16.5" hidden="1" customHeight="1" x14ac:dyDescent="0.35">
      <c r="A156" s="15" t="s">
        <v>258</v>
      </c>
      <c r="B156" s="3" t="s">
        <v>58</v>
      </c>
      <c r="C156" s="15" t="s">
        <v>334</v>
      </c>
      <c r="D156" s="15">
        <v>847</v>
      </c>
      <c r="E156" s="15">
        <v>8470325</v>
      </c>
      <c r="F156" s="15" t="s">
        <v>560</v>
      </c>
      <c r="G156" s="15">
        <v>1</v>
      </c>
      <c r="H156" s="276">
        <v>425763</v>
      </c>
      <c r="I156" s="15" t="s">
        <v>359</v>
      </c>
      <c r="J156" s="15" t="s">
        <v>60</v>
      </c>
      <c r="K156" s="15" t="s">
        <v>50</v>
      </c>
      <c r="L156" s="7">
        <v>847001</v>
      </c>
      <c r="M156" s="15" t="s">
        <v>61</v>
      </c>
      <c r="N156" s="15">
        <v>200179</v>
      </c>
      <c r="O156" s="3" t="s">
        <v>570</v>
      </c>
      <c r="P156" s="15">
        <v>3020202.79</v>
      </c>
      <c r="Q156" s="15">
        <v>370000</v>
      </c>
      <c r="R156" s="15">
        <v>370000</v>
      </c>
      <c r="S156" s="15" t="s">
        <v>361</v>
      </c>
      <c r="T156" s="15" t="s">
        <v>68</v>
      </c>
      <c r="U156" s="15">
        <v>20</v>
      </c>
      <c r="V156" s="15">
        <v>3000</v>
      </c>
      <c r="W156" s="15" t="s">
        <v>571</v>
      </c>
      <c r="X156" s="16">
        <v>60000</v>
      </c>
      <c r="Y156" s="15" t="s">
        <v>55</v>
      </c>
      <c r="Z156" s="15" t="s">
        <v>56</v>
      </c>
      <c r="AA156" s="14">
        <f t="shared" si="6"/>
        <v>54000</v>
      </c>
      <c r="AB156" s="14">
        <f t="shared" si="7"/>
        <v>48000</v>
      </c>
      <c r="AC156" s="14">
        <f t="shared" si="8"/>
        <v>42000</v>
      </c>
      <c r="AD156" s="15" t="s">
        <v>563</v>
      </c>
      <c r="AE156" s="15" t="s">
        <v>567</v>
      </c>
      <c r="AF156" s="3" t="s">
        <v>567</v>
      </c>
      <c r="AG156" s="45"/>
      <c r="AH156" s="45"/>
      <c r="AI156" s="45">
        <v>30000</v>
      </c>
      <c r="AJ156" s="45"/>
      <c r="AK156" s="45"/>
      <c r="AL156" s="45"/>
      <c r="AM156" s="45"/>
      <c r="AN156" s="45"/>
      <c r="AO156" s="45">
        <v>30000</v>
      </c>
      <c r="AP156" s="45"/>
      <c r="AQ156" s="45"/>
      <c r="AR156" s="45"/>
      <c r="AS156" s="45">
        <v>60000</v>
      </c>
      <c r="AT156" s="3" t="s">
        <v>230</v>
      </c>
      <c r="AU156" s="272"/>
    </row>
    <row r="157" spans="1:47" ht="16.5" hidden="1" customHeight="1" x14ac:dyDescent="0.35">
      <c r="A157" s="15" t="s">
        <v>46</v>
      </c>
      <c r="B157" s="3" t="s">
        <v>46</v>
      </c>
      <c r="C157" s="15" t="s">
        <v>334</v>
      </c>
      <c r="D157" s="15">
        <v>847</v>
      </c>
      <c r="E157" s="15">
        <v>8470325</v>
      </c>
      <c r="F157" s="15" t="s">
        <v>560</v>
      </c>
      <c r="G157" s="15">
        <v>1</v>
      </c>
      <c r="H157" s="276">
        <v>425762</v>
      </c>
      <c r="I157" s="15" t="s">
        <v>573</v>
      </c>
      <c r="J157" s="15" t="s">
        <v>60</v>
      </c>
      <c r="K157" s="15" t="s">
        <v>50</v>
      </c>
      <c r="L157" s="7">
        <v>847001</v>
      </c>
      <c r="M157" s="15" t="s">
        <v>61</v>
      </c>
      <c r="N157" s="15">
        <v>200179</v>
      </c>
      <c r="O157" s="3" t="s">
        <v>574</v>
      </c>
      <c r="P157" s="15"/>
      <c r="Q157" s="15"/>
      <c r="R157" s="15"/>
      <c r="S157" s="15" t="s">
        <v>575</v>
      </c>
      <c r="T157" s="15" t="s">
        <v>157</v>
      </c>
      <c r="U157" s="15">
        <v>4</v>
      </c>
      <c r="V157" s="15">
        <v>10000</v>
      </c>
      <c r="W157" s="15" t="s">
        <v>576</v>
      </c>
      <c r="X157" s="16">
        <v>40000</v>
      </c>
      <c r="Y157" s="15" t="s">
        <v>210</v>
      </c>
      <c r="Z157" s="15" t="s">
        <v>56</v>
      </c>
      <c r="AA157" s="14">
        <f t="shared" si="6"/>
        <v>36000</v>
      </c>
      <c r="AB157" s="14">
        <f t="shared" si="7"/>
        <v>32000</v>
      </c>
      <c r="AC157" s="14">
        <f t="shared" si="8"/>
        <v>28000</v>
      </c>
      <c r="AD157" s="15" t="s">
        <v>563</v>
      </c>
      <c r="AE157" s="15" t="s">
        <v>567</v>
      </c>
      <c r="AF157" s="3" t="s">
        <v>567</v>
      </c>
      <c r="AG157" s="45"/>
      <c r="AH157" s="45"/>
      <c r="AI157" s="45">
        <v>20000</v>
      </c>
      <c r="AJ157" s="45"/>
      <c r="AK157" s="45"/>
      <c r="AL157" s="45"/>
      <c r="AM157" s="45"/>
      <c r="AN157" s="45"/>
      <c r="AO157" s="45">
        <v>20000</v>
      </c>
      <c r="AP157" s="45"/>
      <c r="AQ157" s="45"/>
      <c r="AR157" s="45"/>
      <c r="AS157" s="45">
        <v>40000</v>
      </c>
      <c r="AT157" s="3" t="s">
        <v>577</v>
      </c>
      <c r="AU157" s="272"/>
    </row>
    <row r="158" spans="1:47" ht="16.5" hidden="1" customHeight="1" x14ac:dyDescent="0.35">
      <c r="A158" s="15" t="s">
        <v>222</v>
      </c>
      <c r="B158" s="3" t="s">
        <v>58</v>
      </c>
      <c r="C158" s="15" t="s">
        <v>334</v>
      </c>
      <c r="D158" s="15">
        <v>847</v>
      </c>
      <c r="E158" s="15">
        <v>8470325</v>
      </c>
      <c r="F158" s="15" t="s">
        <v>560</v>
      </c>
      <c r="G158" s="15">
        <v>1</v>
      </c>
      <c r="H158" s="276">
        <v>425770</v>
      </c>
      <c r="I158" s="15" t="s">
        <v>367</v>
      </c>
      <c r="J158" s="15" t="s">
        <v>60</v>
      </c>
      <c r="K158" s="15" t="s">
        <v>50</v>
      </c>
      <c r="L158" s="7">
        <v>847001</v>
      </c>
      <c r="M158" s="15" t="s">
        <v>61</v>
      </c>
      <c r="N158" s="15">
        <v>200179</v>
      </c>
      <c r="O158" s="3" t="s">
        <v>578</v>
      </c>
      <c r="P158" s="15">
        <v>0</v>
      </c>
      <c r="Q158" s="15">
        <v>165000</v>
      </c>
      <c r="R158" s="15">
        <v>165000</v>
      </c>
      <c r="S158" s="15" t="s">
        <v>369</v>
      </c>
      <c r="T158" s="15" t="s">
        <v>157</v>
      </c>
      <c r="U158" s="15">
        <v>11</v>
      </c>
      <c r="V158" s="15">
        <v>20000</v>
      </c>
      <c r="W158" s="15" t="s">
        <v>579</v>
      </c>
      <c r="X158" s="16">
        <v>220000</v>
      </c>
      <c r="Y158" s="15" t="s">
        <v>55</v>
      </c>
      <c r="Z158" s="15" t="s">
        <v>56</v>
      </c>
      <c r="AA158" s="14">
        <f t="shared" si="6"/>
        <v>198000</v>
      </c>
      <c r="AB158" s="14">
        <f t="shared" si="7"/>
        <v>176000</v>
      </c>
      <c r="AC158" s="14">
        <f t="shared" si="8"/>
        <v>154000</v>
      </c>
      <c r="AD158" s="15" t="s">
        <v>563</v>
      </c>
      <c r="AE158" s="15" t="s">
        <v>563</v>
      </c>
      <c r="AF158" s="3" t="s">
        <v>563</v>
      </c>
      <c r="AG158" s="45"/>
      <c r="AH158" s="45"/>
      <c r="AI158" s="45">
        <v>100000</v>
      </c>
      <c r="AJ158" s="45"/>
      <c r="AK158" s="45"/>
      <c r="AL158" s="45"/>
      <c r="AM158" s="45"/>
      <c r="AN158" s="45"/>
      <c r="AO158" s="45">
        <v>120000</v>
      </c>
      <c r="AP158" s="45"/>
      <c r="AQ158" s="45"/>
      <c r="AR158" s="45"/>
      <c r="AS158" s="45">
        <v>220000</v>
      </c>
      <c r="AT158" s="3" t="s">
        <v>348</v>
      </c>
      <c r="AU158" s="272" t="s">
        <v>374</v>
      </c>
    </row>
    <row r="159" spans="1:47" ht="16.5" hidden="1" customHeight="1" x14ac:dyDescent="0.35">
      <c r="A159" s="15" t="s">
        <v>63</v>
      </c>
      <c r="B159" s="3" t="s">
        <v>64</v>
      </c>
      <c r="C159" s="15" t="s">
        <v>334</v>
      </c>
      <c r="D159" s="15">
        <v>847</v>
      </c>
      <c r="E159" s="15">
        <v>8470325</v>
      </c>
      <c r="F159" s="15" t="s">
        <v>560</v>
      </c>
      <c r="G159" s="15">
        <v>1</v>
      </c>
      <c r="H159" s="276">
        <v>426610</v>
      </c>
      <c r="I159" s="15" t="s">
        <v>74</v>
      </c>
      <c r="J159" s="15" t="s">
        <v>60</v>
      </c>
      <c r="K159" s="15" t="s">
        <v>50</v>
      </c>
      <c r="L159" s="7">
        <v>847001</v>
      </c>
      <c r="M159" s="15" t="s">
        <v>61</v>
      </c>
      <c r="N159" s="15">
        <v>200179</v>
      </c>
      <c r="O159" s="3" t="s">
        <v>580</v>
      </c>
      <c r="P159" s="15">
        <v>0</v>
      </c>
      <c r="Q159" s="15">
        <v>34910</v>
      </c>
      <c r="R159" s="15">
        <v>34910</v>
      </c>
      <c r="S159" s="15" t="s">
        <v>274</v>
      </c>
      <c r="T159" s="15" t="s">
        <v>157</v>
      </c>
      <c r="U159" s="15">
        <v>1</v>
      </c>
      <c r="V159" s="15">
        <v>45000</v>
      </c>
      <c r="W159" s="15" t="s">
        <v>581</v>
      </c>
      <c r="X159" s="16">
        <v>45000</v>
      </c>
      <c r="Y159" s="15" t="s">
        <v>55</v>
      </c>
      <c r="Z159" s="15" t="s">
        <v>56</v>
      </c>
      <c r="AA159" s="14">
        <f t="shared" si="6"/>
        <v>40500</v>
      </c>
      <c r="AB159" s="14">
        <f t="shared" si="7"/>
        <v>36000</v>
      </c>
      <c r="AC159" s="14">
        <f t="shared" si="8"/>
        <v>31499.999999999996</v>
      </c>
      <c r="AD159" s="15" t="s">
        <v>567</v>
      </c>
      <c r="AE159" s="15" t="s">
        <v>567</v>
      </c>
      <c r="AF159" s="3" t="s">
        <v>567</v>
      </c>
      <c r="AG159" s="45"/>
      <c r="AH159" s="45"/>
      <c r="AI159" s="45"/>
      <c r="AJ159" s="45">
        <v>45000</v>
      </c>
      <c r="AK159" s="45"/>
      <c r="AL159" s="45"/>
      <c r="AM159" s="45"/>
      <c r="AN159" s="45"/>
      <c r="AO159" s="45"/>
      <c r="AP159" s="45"/>
      <c r="AQ159" s="45"/>
      <c r="AR159" s="45"/>
      <c r="AS159" s="45">
        <v>45000</v>
      </c>
      <c r="AT159" s="3" t="s">
        <v>230</v>
      </c>
      <c r="AU159" s="272"/>
    </row>
    <row r="160" spans="1:47" ht="16.5" hidden="1" customHeight="1" x14ac:dyDescent="0.35">
      <c r="A160" s="15" t="s">
        <v>153</v>
      </c>
      <c r="B160" s="3" t="s">
        <v>58</v>
      </c>
      <c r="C160" s="15" t="s">
        <v>334</v>
      </c>
      <c r="D160" s="15">
        <v>847</v>
      </c>
      <c r="E160" s="15">
        <v>8470325</v>
      </c>
      <c r="F160" s="15" t="s">
        <v>560</v>
      </c>
      <c r="G160" s="15">
        <v>1</v>
      </c>
      <c r="H160" s="276">
        <v>428090</v>
      </c>
      <c r="I160" s="15" t="s">
        <v>154</v>
      </c>
      <c r="J160" s="15" t="s">
        <v>60</v>
      </c>
      <c r="K160" s="15" t="s">
        <v>50</v>
      </c>
      <c r="L160" s="7">
        <v>847001</v>
      </c>
      <c r="M160" s="15" t="s">
        <v>61</v>
      </c>
      <c r="N160" s="15">
        <v>200179</v>
      </c>
      <c r="O160" s="3" t="s">
        <v>582</v>
      </c>
      <c r="P160" s="15" t="s">
        <v>46</v>
      </c>
      <c r="Q160" s="15">
        <v>0</v>
      </c>
      <c r="R160" s="15"/>
      <c r="S160" s="15" t="s">
        <v>387</v>
      </c>
      <c r="T160" s="15" t="s">
        <v>157</v>
      </c>
      <c r="U160" s="15">
        <v>1</v>
      </c>
      <c r="V160" s="15">
        <v>20000</v>
      </c>
      <c r="W160" s="15" t="s">
        <v>583</v>
      </c>
      <c r="X160" s="16">
        <v>20000</v>
      </c>
      <c r="Y160" s="15" t="s">
        <v>55</v>
      </c>
      <c r="Z160" s="15" t="s">
        <v>56</v>
      </c>
      <c r="AA160" s="14">
        <f t="shared" si="6"/>
        <v>18000</v>
      </c>
      <c r="AB160" s="14">
        <f t="shared" si="7"/>
        <v>16000</v>
      </c>
      <c r="AC160" s="14">
        <f t="shared" si="8"/>
        <v>14000</v>
      </c>
      <c r="AD160" s="15" t="s">
        <v>563</v>
      </c>
      <c r="AE160" s="15" t="s">
        <v>567</v>
      </c>
      <c r="AF160" s="3" t="s">
        <v>567</v>
      </c>
      <c r="AG160" s="45"/>
      <c r="AH160" s="45"/>
      <c r="AI160" s="45">
        <v>20000</v>
      </c>
      <c r="AJ160" s="45"/>
      <c r="AK160" s="45"/>
      <c r="AL160" s="45"/>
      <c r="AM160" s="45"/>
      <c r="AN160" s="45"/>
      <c r="AO160" s="45"/>
      <c r="AP160" s="45"/>
      <c r="AQ160" s="45"/>
      <c r="AR160" s="45"/>
      <c r="AS160" s="45">
        <v>20000</v>
      </c>
      <c r="AT160" s="3" t="s">
        <v>480</v>
      </c>
      <c r="AU160" s="272"/>
    </row>
    <row r="161" spans="1:47" ht="16.5" hidden="1" customHeight="1" x14ac:dyDescent="0.35">
      <c r="A161" s="15" t="s">
        <v>222</v>
      </c>
      <c r="B161" s="3" t="s">
        <v>58</v>
      </c>
      <c r="C161" s="15" t="s">
        <v>334</v>
      </c>
      <c r="D161" s="15">
        <v>847</v>
      </c>
      <c r="E161" s="15">
        <v>8470325</v>
      </c>
      <c r="F161" s="15" t="s">
        <v>560</v>
      </c>
      <c r="G161" s="15">
        <v>1</v>
      </c>
      <c r="H161" s="276">
        <v>432209</v>
      </c>
      <c r="I161" s="15" t="s">
        <v>393</v>
      </c>
      <c r="J161" s="15" t="s">
        <v>60</v>
      </c>
      <c r="K161" s="15" t="s">
        <v>50</v>
      </c>
      <c r="L161" s="7">
        <v>847001</v>
      </c>
      <c r="M161" s="15" t="s">
        <v>61</v>
      </c>
      <c r="N161" s="15">
        <v>200179</v>
      </c>
      <c r="O161" s="3" t="s">
        <v>584</v>
      </c>
      <c r="P161" s="15" t="s">
        <v>46</v>
      </c>
      <c r="Q161" s="15">
        <v>201550</v>
      </c>
      <c r="R161" s="15">
        <v>201550</v>
      </c>
      <c r="S161" s="15" t="s">
        <v>470</v>
      </c>
      <c r="T161" s="15" t="s">
        <v>157</v>
      </c>
      <c r="U161" s="15">
        <v>1</v>
      </c>
      <c r="V161" s="15">
        <v>175000</v>
      </c>
      <c r="W161" s="15" t="s">
        <v>585</v>
      </c>
      <c r="X161" s="16">
        <v>175000</v>
      </c>
      <c r="Y161" s="15" t="s">
        <v>55</v>
      </c>
      <c r="Z161" s="15" t="s">
        <v>56</v>
      </c>
      <c r="AA161" s="14">
        <f t="shared" si="6"/>
        <v>157500</v>
      </c>
      <c r="AB161" s="14">
        <f t="shared" si="7"/>
        <v>140000</v>
      </c>
      <c r="AC161" s="14">
        <f t="shared" si="8"/>
        <v>122499.99999999999</v>
      </c>
      <c r="AD161" s="15" t="s">
        <v>567</v>
      </c>
      <c r="AE161" s="15" t="s">
        <v>567</v>
      </c>
      <c r="AF161" s="3" t="s">
        <v>567</v>
      </c>
      <c r="AG161" s="45"/>
      <c r="AH161" s="45"/>
      <c r="AI161" s="45"/>
      <c r="AJ161" s="45">
        <v>175000</v>
      </c>
      <c r="AK161" s="45"/>
      <c r="AL161" s="45"/>
      <c r="AM161" s="45"/>
      <c r="AN161" s="45"/>
      <c r="AO161" s="45"/>
      <c r="AP161" s="45"/>
      <c r="AQ161" s="45"/>
      <c r="AR161" s="45"/>
      <c r="AS161" s="45">
        <v>175000</v>
      </c>
      <c r="AT161" s="3" t="s">
        <v>230</v>
      </c>
      <c r="AU161" s="272" t="s">
        <v>397</v>
      </c>
    </row>
    <row r="162" spans="1:47" ht="16.5" hidden="1" customHeight="1" x14ac:dyDescent="0.35">
      <c r="A162" s="15" t="s">
        <v>222</v>
      </c>
      <c r="B162" s="3" t="s">
        <v>58</v>
      </c>
      <c r="C162" s="15" t="s">
        <v>334</v>
      </c>
      <c r="D162" s="15">
        <v>847</v>
      </c>
      <c r="E162" s="15">
        <v>8470325</v>
      </c>
      <c r="F162" s="15" t="s">
        <v>560</v>
      </c>
      <c r="G162" s="15">
        <v>1</v>
      </c>
      <c r="H162" s="276">
        <v>435350</v>
      </c>
      <c r="I162" s="15" t="s">
        <v>399</v>
      </c>
      <c r="J162" s="15" t="s">
        <v>60</v>
      </c>
      <c r="K162" s="15" t="s">
        <v>50</v>
      </c>
      <c r="L162" s="7">
        <v>847001</v>
      </c>
      <c r="M162" s="15" t="s">
        <v>61</v>
      </c>
      <c r="N162" s="15">
        <v>200179</v>
      </c>
      <c r="O162" s="3" t="s">
        <v>586</v>
      </c>
      <c r="P162" s="15" t="s">
        <v>46</v>
      </c>
      <c r="Q162" s="15">
        <v>80000</v>
      </c>
      <c r="R162" s="15">
        <v>80000</v>
      </c>
      <c r="S162" s="15" t="s">
        <v>401</v>
      </c>
      <c r="T162" s="15" t="s">
        <v>157</v>
      </c>
      <c r="U162" s="15">
        <v>8</v>
      </c>
      <c r="V162" s="15">
        <v>10000</v>
      </c>
      <c r="W162" s="15" t="s">
        <v>587</v>
      </c>
      <c r="X162" s="16">
        <v>80000</v>
      </c>
      <c r="Y162" s="15" t="s">
        <v>55</v>
      </c>
      <c r="Z162" s="15" t="s">
        <v>56</v>
      </c>
      <c r="AA162" s="14">
        <f t="shared" si="6"/>
        <v>72000</v>
      </c>
      <c r="AB162" s="14">
        <f t="shared" si="7"/>
        <v>64000</v>
      </c>
      <c r="AC162" s="14">
        <f t="shared" si="8"/>
        <v>56000</v>
      </c>
      <c r="AD162" s="15" t="s">
        <v>563</v>
      </c>
      <c r="AE162" s="15" t="s">
        <v>567</v>
      </c>
      <c r="AF162" s="3" t="s">
        <v>567</v>
      </c>
      <c r="AG162" s="45"/>
      <c r="AH162" s="45"/>
      <c r="AI162" s="45">
        <v>40000</v>
      </c>
      <c r="AJ162" s="45"/>
      <c r="AK162" s="45"/>
      <c r="AL162" s="45"/>
      <c r="AM162" s="45"/>
      <c r="AN162" s="45"/>
      <c r="AO162" s="45">
        <v>40000</v>
      </c>
      <c r="AP162" s="45"/>
      <c r="AQ162" s="45"/>
      <c r="AR162" s="45"/>
      <c r="AS162" s="45">
        <v>80000</v>
      </c>
      <c r="AT162" s="3" t="s">
        <v>480</v>
      </c>
      <c r="AU162" s="272"/>
    </row>
    <row r="163" spans="1:47" ht="16.5" hidden="1" customHeight="1" x14ac:dyDescent="0.35">
      <c r="A163" s="15" t="s">
        <v>222</v>
      </c>
      <c r="B163" s="3" t="s">
        <v>220</v>
      </c>
      <c r="C163" s="15" t="s">
        <v>334</v>
      </c>
      <c r="D163" s="15">
        <v>847</v>
      </c>
      <c r="E163" s="15">
        <v>8470325</v>
      </c>
      <c r="F163" s="15" t="s">
        <v>560</v>
      </c>
      <c r="G163" s="15">
        <v>1</v>
      </c>
      <c r="H163" s="276">
        <v>435508</v>
      </c>
      <c r="I163" s="15" t="s">
        <v>405</v>
      </c>
      <c r="J163" s="15" t="s">
        <v>60</v>
      </c>
      <c r="K163" s="15" t="s">
        <v>50</v>
      </c>
      <c r="L163" s="7">
        <v>847001</v>
      </c>
      <c r="M163" s="15" t="s">
        <v>61</v>
      </c>
      <c r="N163" s="15">
        <v>200179</v>
      </c>
      <c r="O163" s="3" t="s">
        <v>588</v>
      </c>
      <c r="P163" s="15">
        <v>35833.230000000003</v>
      </c>
      <c r="Q163" s="15">
        <v>92573</v>
      </c>
      <c r="R163" s="15">
        <v>92573</v>
      </c>
      <c r="S163" s="15" t="s">
        <v>482</v>
      </c>
      <c r="T163" s="15" t="s">
        <v>157</v>
      </c>
      <c r="U163" s="15">
        <v>1</v>
      </c>
      <c r="V163" s="15">
        <v>95000</v>
      </c>
      <c r="W163" s="15" t="s">
        <v>589</v>
      </c>
      <c r="X163" s="16">
        <v>95000</v>
      </c>
      <c r="Y163" s="15" t="s">
        <v>55</v>
      </c>
      <c r="Z163" s="15" t="s">
        <v>56</v>
      </c>
      <c r="AA163" s="14">
        <f t="shared" si="6"/>
        <v>85500</v>
      </c>
      <c r="AB163" s="14">
        <f t="shared" si="7"/>
        <v>76000</v>
      </c>
      <c r="AC163" s="14">
        <f t="shared" si="8"/>
        <v>66500</v>
      </c>
      <c r="AD163" s="15" t="s">
        <v>563</v>
      </c>
      <c r="AE163" s="15" t="s">
        <v>563</v>
      </c>
      <c r="AF163" s="3" t="s">
        <v>567</v>
      </c>
      <c r="AG163" s="45"/>
      <c r="AH163" s="45"/>
      <c r="AI163" s="45">
        <v>50000</v>
      </c>
      <c r="AJ163" s="45"/>
      <c r="AK163" s="45"/>
      <c r="AL163" s="45"/>
      <c r="AM163" s="45"/>
      <c r="AN163" s="45">
        <v>45000</v>
      </c>
      <c r="AO163" s="45"/>
      <c r="AP163" s="45"/>
      <c r="AQ163" s="45"/>
      <c r="AR163" s="45"/>
      <c r="AS163" s="45">
        <v>95000</v>
      </c>
      <c r="AT163" s="3" t="s">
        <v>230</v>
      </c>
      <c r="AU163" s="272"/>
    </row>
    <row r="164" spans="1:47" ht="16.5" hidden="1" customHeight="1" x14ac:dyDescent="0.35">
      <c r="A164" s="15" t="s">
        <v>161</v>
      </c>
      <c r="B164" s="3" t="s">
        <v>220</v>
      </c>
      <c r="C164" s="15" t="s">
        <v>334</v>
      </c>
      <c r="D164" s="15">
        <v>847</v>
      </c>
      <c r="E164" s="15">
        <v>8470325</v>
      </c>
      <c r="F164" s="15" t="s">
        <v>560</v>
      </c>
      <c r="G164" s="15">
        <v>1</v>
      </c>
      <c r="H164" s="276">
        <v>492316</v>
      </c>
      <c r="I164" s="15" t="s">
        <v>221</v>
      </c>
      <c r="J164" s="15" t="s">
        <v>60</v>
      </c>
      <c r="K164" s="15" t="s">
        <v>50</v>
      </c>
      <c r="L164" s="7">
        <v>847001</v>
      </c>
      <c r="M164" s="15" t="s">
        <v>192</v>
      </c>
      <c r="N164" s="15">
        <v>300180</v>
      </c>
      <c r="O164" s="3" t="s">
        <v>590</v>
      </c>
      <c r="P164" s="15">
        <v>190263</v>
      </c>
      <c r="Q164" s="15">
        <v>611783</v>
      </c>
      <c r="R164" s="15">
        <v>611783</v>
      </c>
      <c r="S164" s="15" t="s">
        <v>495</v>
      </c>
      <c r="T164" s="15" t="s">
        <v>157</v>
      </c>
      <c r="U164" s="15">
        <v>1</v>
      </c>
      <c r="V164" s="15">
        <v>174762</v>
      </c>
      <c r="W164" s="15" t="s">
        <v>591</v>
      </c>
      <c r="X164" s="16">
        <v>174762</v>
      </c>
      <c r="Y164" s="15" t="s">
        <v>210</v>
      </c>
      <c r="Z164" s="15" t="s">
        <v>197</v>
      </c>
      <c r="AA164" s="14">
        <f t="shared" si="6"/>
        <v>157285.80000000002</v>
      </c>
      <c r="AB164" s="14">
        <f t="shared" si="7"/>
        <v>139809.60000000001</v>
      </c>
      <c r="AC164" s="14">
        <f t="shared" si="8"/>
        <v>122333.4</v>
      </c>
      <c r="AD164" s="15" t="s">
        <v>563</v>
      </c>
      <c r="AE164" s="15" t="s">
        <v>567</v>
      </c>
      <c r="AF164" s="3" t="s">
        <v>567</v>
      </c>
      <c r="AG164" s="45"/>
      <c r="AH164" s="45"/>
      <c r="AI164" s="45"/>
      <c r="AJ164" s="45"/>
      <c r="AK164" s="45"/>
      <c r="AL164" s="45"/>
      <c r="AM164" s="45"/>
      <c r="AN164" s="45">
        <v>174762</v>
      </c>
      <c r="AO164" s="45"/>
      <c r="AP164" s="45"/>
      <c r="AQ164" s="45"/>
      <c r="AR164" s="45"/>
      <c r="AS164" s="45">
        <v>174762</v>
      </c>
      <c r="AT164" s="3" t="s">
        <v>365</v>
      </c>
      <c r="AU164" s="272" t="s">
        <v>425</v>
      </c>
    </row>
    <row r="165" spans="1:47" ht="16.5" hidden="1" customHeight="1" x14ac:dyDescent="0.35">
      <c r="A165" s="15" t="s">
        <v>46</v>
      </c>
      <c r="B165" s="3" t="s">
        <v>46</v>
      </c>
      <c r="C165" s="15" t="s">
        <v>334</v>
      </c>
      <c r="D165" s="15">
        <v>847</v>
      </c>
      <c r="E165" s="15">
        <v>8470325</v>
      </c>
      <c r="F165" s="15" t="s">
        <v>560</v>
      </c>
      <c r="G165" s="15">
        <v>1</v>
      </c>
      <c r="H165" s="276">
        <v>492316</v>
      </c>
      <c r="I165" s="15" t="s">
        <v>221</v>
      </c>
      <c r="J165" s="15" t="s">
        <v>60</v>
      </c>
      <c r="K165" s="15" t="s">
        <v>50</v>
      </c>
      <c r="L165" s="7">
        <v>847001</v>
      </c>
      <c r="M165" s="15" t="s">
        <v>192</v>
      </c>
      <c r="N165" s="15">
        <v>300180</v>
      </c>
      <c r="O165" s="3" t="s">
        <v>590</v>
      </c>
      <c r="P165" s="15"/>
      <c r="Q165" s="15"/>
      <c r="R165" s="15"/>
      <c r="S165" s="15" t="s">
        <v>495</v>
      </c>
      <c r="T165" s="15" t="s">
        <v>157</v>
      </c>
      <c r="U165" s="15">
        <v>1</v>
      </c>
      <c r="V165" s="15">
        <v>106000</v>
      </c>
      <c r="W165" s="15" t="s">
        <v>592</v>
      </c>
      <c r="X165" s="16">
        <v>106000</v>
      </c>
      <c r="Y165" s="15" t="s">
        <v>210</v>
      </c>
      <c r="Z165" s="15" t="s">
        <v>197</v>
      </c>
      <c r="AA165" s="14">
        <f t="shared" si="6"/>
        <v>95400</v>
      </c>
      <c r="AB165" s="14">
        <f t="shared" si="7"/>
        <v>84800</v>
      </c>
      <c r="AC165" s="14">
        <f t="shared" si="8"/>
        <v>74200</v>
      </c>
      <c r="AD165" s="15" t="s">
        <v>563</v>
      </c>
      <c r="AE165" s="15" t="s">
        <v>567</v>
      </c>
      <c r="AF165" s="3" t="s">
        <v>567</v>
      </c>
      <c r="AG165" s="45"/>
      <c r="AH165" s="45"/>
      <c r="AI165" s="45"/>
      <c r="AJ165" s="45"/>
      <c r="AK165" s="45"/>
      <c r="AL165" s="45"/>
      <c r="AM165" s="45">
        <v>106000</v>
      </c>
      <c r="AN165" s="45"/>
      <c r="AO165" s="45"/>
      <c r="AP165" s="45"/>
      <c r="AQ165" s="45"/>
      <c r="AR165" s="45"/>
      <c r="AS165" s="45">
        <v>106000</v>
      </c>
      <c r="AT165" s="3" t="s">
        <v>365</v>
      </c>
      <c r="AU165" s="272" t="s">
        <v>425</v>
      </c>
    </row>
    <row r="166" spans="1:47" ht="16.5" hidden="1" customHeight="1" x14ac:dyDescent="0.35">
      <c r="A166" s="15" t="s">
        <v>46</v>
      </c>
      <c r="B166" s="3" t="s">
        <v>46</v>
      </c>
      <c r="C166" s="15" t="s">
        <v>334</v>
      </c>
      <c r="D166" s="15">
        <v>847</v>
      </c>
      <c r="E166" s="15">
        <v>8470325</v>
      </c>
      <c r="F166" s="15" t="s">
        <v>560</v>
      </c>
      <c r="G166" s="15">
        <v>1</v>
      </c>
      <c r="H166" s="276">
        <v>492316</v>
      </c>
      <c r="I166" s="15" t="s">
        <v>221</v>
      </c>
      <c r="J166" s="15" t="s">
        <v>60</v>
      </c>
      <c r="K166" s="15" t="s">
        <v>50</v>
      </c>
      <c r="L166" s="7">
        <v>847001</v>
      </c>
      <c r="M166" s="15" t="s">
        <v>192</v>
      </c>
      <c r="N166" s="15">
        <v>300180</v>
      </c>
      <c r="O166" s="3" t="s">
        <v>590</v>
      </c>
      <c r="P166" s="15"/>
      <c r="Q166" s="15"/>
      <c r="R166" s="15"/>
      <c r="S166" s="15" t="s">
        <v>495</v>
      </c>
      <c r="T166" s="15" t="s">
        <v>157</v>
      </c>
      <c r="U166" s="15">
        <v>1</v>
      </c>
      <c r="V166" s="15">
        <v>75000</v>
      </c>
      <c r="W166" s="15" t="s">
        <v>593</v>
      </c>
      <c r="X166" s="16">
        <v>75000</v>
      </c>
      <c r="Y166" s="15" t="s">
        <v>210</v>
      </c>
      <c r="Z166" s="15" t="s">
        <v>197</v>
      </c>
      <c r="AA166" s="14">
        <f t="shared" si="6"/>
        <v>67500</v>
      </c>
      <c r="AB166" s="14">
        <f t="shared" si="7"/>
        <v>60000</v>
      </c>
      <c r="AC166" s="14">
        <f t="shared" si="8"/>
        <v>52500</v>
      </c>
      <c r="AD166" s="15" t="s">
        <v>563</v>
      </c>
      <c r="AE166" s="15" t="s">
        <v>567</v>
      </c>
      <c r="AF166" s="3" t="s">
        <v>567</v>
      </c>
      <c r="AG166" s="45"/>
      <c r="AH166" s="45"/>
      <c r="AI166" s="45"/>
      <c r="AJ166" s="45"/>
      <c r="AK166" s="45"/>
      <c r="AL166" s="45">
        <v>75000</v>
      </c>
      <c r="AM166" s="45"/>
      <c r="AN166" s="45"/>
      <c r="AO166" s="45"/>
      <c r="AP166" s="45"/>
      <c r="AQ166" s="45"/>
      <c r="AR166" s="45"/>
      <c r="AS166" s="45">
        <v>75000</v>
      </c>
      <c r="AT166" s="3" t="s">
        <v>365</v>
      </c>
      <c r="AU166" s="272" t="s">
        <v>425</v>
      </c>
    </row>
    <row r="167" spans="1:47" ht="16.5" hidden="1" customHeight="1" x14ac:dyDescent="0.35">
      <c r="A167" s="15" t="s">
        <v>46</v>
      </c>
      <c r="B167" s="3" t="s">
        <v>46</v>
      </c>
      <c r="C167" s="15" t="s">
        <v>334</v>
      </c>
      <c r="D167" s="15">
        <v>847</v>
      </c>
      <c r="E167" s="15">
        <v>8470325</v>
      </c>
      <c r="F167" s="15" t="s">
        <v>560</v>
      </c>
      <c r="G167" s="15">
        <v>1</v>
      </c>
      <c r="H167" s="276">
        <v>492316</v>
      </c>
      <c r="I167" s="15" t="s">
        <v>221</v>
      </c>
      <c r="J167" s="15" t="s">
        <v>60</v>
      </c>
      <c r="K167" s="15" t="s">
        <v>50</v>
      </c>
      <c r="L167" s="7">
        <v>847001</v>
      </c>
      <c r="M167" s="15" t="s">
        <v>192</v>
      </c>
      <c r="N167" s="15">
        <v>300180</v>
      </c>
      <c r="O167" s="3" t="s">
        <v>590</v>
      </c>
      <c r="P167" s="15"/>
      <c r="Q167" s="15"/>
      <c r="R167" s="15"/>
      <c r="S167" s="15" t="s">
        <v>495</v>
      </c>
      <c r="T167" s="15" t="s">
        <v>157</v>
      </c>
      <c r="U167" s="15">
        <v>2</v>
      </c>
      <c r="V167" s="15">
        <v>6200</v>
      </c>
      <c r="W167" s="15" t="s">
        <v>594</v>
      </c>
      <c r="X167" s="16">
        <v>12400</v>
      </c>
      <c r="Y167" s="15" t="s">
        <v>210</v>
      </c>
      <c r="Z167" s="15" t="s">
        <v>197</v>
      </c>
      <c r="AA167" s="14">
        <f t="shared" si="6"/>
        <v>11160</v>
      </c>
      <c r="AB167" s="14">
        <f t="shared" si="7"/>
        <v>9920</v>
      </c>
      <c r="AC167" s="14">
        <f t="shared" si="8"/>
        <v>8680</v>
      </c>
      <c r="AD167" s="15" t="s">
        <v>563</v>
      </c>
      <c r="AE167" s="15" t="s">
        <v>567</v>
      </c>
      <c r="AF167" s="3" t="s">
        <v>567</v>
      </c>
      <c r="AG167" s="45"/>
      <c r="AH167" s="45"/>
      <c r="AI167" s="45"/>
      <c r="AJ167" s="45"/>
      <c r="AK167" s="45"/>
      <c r="AL167" s="45">
        <v>12400</v>
      </c>
      <c r="AM167" s="45"/>
      <c r="AN167" s="45"/>
      <c r="AO167" s="45"/>
      <c r="AP167" s="45"/>
      <c r="AQ167" s="45"/>
      <c r="AR167" s="45"/>
      <c r="AS167" s="45">
        <v>12400</v>
      </c>
      <c r="AT167" s="3" t="s">
        <v>365</v>
      </c>
      <c r="AU167" s="272" t="s">
        <v>425</v>
      </c>
    </row>
    <row r="168" spans="1:47" ht="16.5" hidden="1" customHeight="1" x14ac:dyDescent="0.35">
      <c r="A168" s="15" t="s">
        <v>46</v>
      </c>
      <c r="B168" s="3" t="s">
        <v>46</v>
      </c>
      <c r="C168" s="15" t="s">
        <v>334</v>
      </c>
      <c r="D168" s="15">
        <v>847</v>
      </c>
      <c r="E168" s="15">
        <v>8470325</v>
      </c>
      <c r="F168" s="15" t="s">
        <v>560</v>
      </c>
      <c r="G168" s="15">
        <v>1</v>
      </c>
      <c r="H168" s="276">
        <v>492316</v>
      </c>
      <c r="I168" s="15" t="s">
        <v>221</v>
      </c>
      <c r="J168" s="15" t="s">
        <v>60</v>
      </c>
      <c r="K168" s="15" t="s">
        <v>50</v>
      </c>
      <c r="L168" s="7">
        <v>847001</v>
      </c>
      <c r="M168" s="15" t="s">
        <v>192</v>
      </c>
      <c r="N168" s="15">
        <v>300180</v>
      </c>
      <c r="O168" s="3" t="s">
        <v>590</v>
      </c>
      <c r="P168" s="15"/>
      <c r="Q168" s="15"/>
      <c r="R168" s="15"/>
      <c r="S168" s="15" t="s">
        <v>495</v>
      </c>
      <c r="T168" s="15" t="s">
        <v>157</v>
      </c>
      <c r="U168" s="15">
        <v>1</v>
      </c>
      <c r="V168" s="15">
        <v>120000</v>
      </c>
      <c r="W168" s="15" t="s">
        <v>595</v>
      </c>
      <c r="X168" s="16">
        <v>120000</v>
      </c>
      <c r="Y168" s="15" t="s">
        <v>210</v>
      </c>
      <c r="Z168" s="15" t="s">
        <v>197</v>
      </c>
      <c r="AA168" s="14">
        <f t="shared" si="6"/>
        <v>108000</v>
      </c>
      <c r="AB168" s="14">
        <f t="shared" si="7"/>
        <v>96000</v>
      </c>
      <c r="AC168" s="14">
        <f t="shared" si="8"/>
        <v>84000</v>
      </c>
      <c r="AD168" s="15" t="s">
        <v>563</v>
      </c>
      <c r="AE168" s="15" t="s">
        <v>567</v>
      </c>
      <c r="AF168" s="3" t="s">
        <v>567</v>
      </c>
      <c r="AG168" s="45"/>
      <c r="AH168" s="45"/>
      <c r="AI168" s="45"/>
      <c r="AJ168" s="45"/>
      <c r="AK168" s="45"/>
      <c r="AL168" s="45"/>
      <c r="AM168" s="45">
        <v>120000</v>
      </c>
      <c r="AN168" s="45"/>
      <c r="AO168" s="45"/>
      <c r="AP168" s="45"/>
      <c r="AQ168" s="45"/>
      <c r="AR168" s="45"/>
      <c r="AS168" s="45">
        <v>120000</v>
      </c>
      <c r="AT168" s="3" t="s">
        <v>365</v>
      </c>
      <c r="AU168" s="272" t="s">
        <v>425</v>
      </c>
    </row>
    <row r="169" spans="1:47" ht="16.5" hidden="1" customHeight="1" x14ac:dyDescent="0.35">
      <c r="A169" s="15" t="s">
        <v>46</v>
      </c>
      <c r="B169" s="3" t="s">
        <v>46</v>
      </c>
      <c r="C169" s="15" t="s">
        <v>334</v>
      </c>
      <c r="D169" s="15">
        <v>847</v>
      </c>
      <c r="E169" s="15">
        <v>8470325</v>
      </c>
      <c r="F169" s="15" t="s">
        <v>560</v>
      </c>
      <c r="G169" s="15">
        <v>1</v>
      </c>
      <c r="H169" s="276">
        <v>492316</v>
      </c>
      <c r="I169" s="15" t="s">
        <v>221</v>
      </c>
      <c r="J169" s="15" t="s">
        <v>60</v>
      </c>
      <c r="K169" s="15" t="s">
        <v>50</v>
      </c>
      <c r="L169" s="7">
        <v>847001</v>
      </c>
      <c r="M169" s="15" t="s">
        <v>192</v>
      </c>
      <c r="N169" s="15">
        <v>300180</v>
      </c>
      <c r="O169" s="3" t="s">
        <v>590</v>
      </c>
      <c r="P169" s="15"/>
      <c r="Q169" s="15"/>
      <c r="R169" s="15"/>
      <c r="S169" s="15" t="s">
        <v>495</v>
      </c>
      <c r="T169" s="15" t="s">
        <v>157</v>
      </c>
      <c r="U169" s="15">
        <v>1</v>
      </c>
      <c r="V169" s="15">
        <v>50200</v>
      </c>
      <c r="W169" s="15" t="s">
        <v>596</v>
      </c>
      <c r="X169" s="16">
        <v>50200</v>
      </c>
      <c r="Y169" s="15" t="s">
        <v>210</v>
      </c>
      <c r="Z169" s="15" t="s">
        <v>197</v>
      </c>
      <c r="AA169" s="14">
        <f t="shared" si="6"/>
        <v>45180</v>
      </c>
      <c r="AB169" s="14">
        <f t="shared" si="7"/>
        <v>40160</v>
      </c>
      <c r="AC169" s="14">
        <f t="shared" si="8"/>
        <v>35140</v>
      </c>
      <c r="AD169" s="15" t="s">
        <v>563</v>
      </c>
      <c r="AE169" s="15" t="s">
        <v>567</v>
      </c>
      <c r="AF169" s="3" t="s">
        <v>567</v>
      </c>
      <c r="AG169" s="45"/>
      <c r="AH169" s="45"/>
      <c r="AI169" s="45"/>
      <c r="AJ169" s="45"/>
      <c r="AK169" s="45"/>
      <c r="AL169" s="45">
        <v>50200</v>
      </c>
      <c r="AM169" s="45"/>
      <c r="AN169" s="45"/>
      <c r="AO169" s="45"/>
      <c r="AP169" s="45"/>
      <c r="AQ169" s="45"/>
      <c r="AR169" s="45"/>
      <c r="AS169" s="45">
        <v>50200</v>
      </c>
      <c r="AT169" s="3" t="s">
        <v>365</v>
      </c>
      <c r="AU169" s="272" t="s">
        <v>425</v>
      </c>
    </row>
    <row r="170" spans="1:47" ht="16.5" hidden="1" customHeight="1" x14ac:dyDescent="0.35">
      <c r="A170" s="15" t="s">
        <v>46</v>
      </c>
      <c r="B170" s="3" t="s">
        <v>46</v>
      </c>
      <c r="C170" s="15" t="s">
        <v>334</v>
      </c>
      <c r="D170" s="15">
        <v>847</v>
      </c>
      <c r="E170" s="15">
        <v>8470325</v>
      </c>
      <c r="F170" s="15" t="s">
        <v>560</v>
      </c>
      <c r="G170" s="15">
        <v>1</v>
      </c>
      <c r="H170" s="276">
        <v>492316</v>
      </c>
      <c r="I170" s="15" t="s">
        <v>221</v>
      </c>
      <c r="J170" s="15" t="s">
        <v>60</v>
      </c>
      <c r="K170" s="15" t="s">
        <v>50</v>
      </c>
      <c r="L170" s="7">
        <v>847001</v>
      </c>
      <c r="M170" s="15" t="s">
        <v>192</v>
      </c>
      <c r="N170" s="15">
        <v>300180</v>
      </c>
      <c r="O170" s="3" t="s">
        <v>590</v>
      </c>
      <c r="P170" s="15"/>
      <c r="Q170" s="15"/>
      <c r="R170" s="15"/>
      <c r="S170" s="15" t="s">
        <v>495</v>
      </c>
      <c r="T170" s="15" t="s">
        <v>157</v>
      </c>
      <c r="U170" s="15">
        <v>1</v>
      </c>
      <c r="V170" s="15">
        <v>670000</v>
      </c>
      <c r="W170" s="15" t="s">
        <v>597</v>
      </c>
      <c r="X170" s="16">
        <v>670000</v>
      </c>
      <c r="Y170" s="15" t="s">
        <v>210</v>
      </c>
      <c r="Z170" s="15" t="s">
        <v>197</v>
      </c>
      <c r="AA170" s="14">
        <f t="shared" si="6"/>
        <v>603000</v>
      </c>
      <c r="AB170" s="14">
        <f t="shared" si="7"/>
        <v>536000</v>
      </c>
      <c r="AC170" s="14">
        <f t="shared" si="8"/>
        <v>468999.99999999994</v>
      </c>
      <c r="AD170" s="15" t="s">
        <v>563</v>
      </c>
      <c r="AE170" s="15" t="s">
        <v>567</v>
      </c>
      <c r="AF170" s="3" t="s">
        <v>567</v>
      </c>
      <c r="AG170" s="45"/>
      <c r="AH170" s="45"/>
      <c r="AI170" s="45"/>
      <c r="AJ170" s="45"/>
      <c r="AK170" s="45"/>
      <c r="AL170" s="45"/>
      <c r="AM170" s="45"/>
      <c r="AN170" s="45">
        <v>670000</v>
      </c>
      <c r="AO170" s="45"/>
      <c r="AP170" s="45"/>
      <c r="AQ170" s="45"/>
      <c r="AR170" s="45"/>
      <c r="AS170" s="45">
        <v>670000</v>
      </c>
      <c r="AT170" s="3" t="s">
        <v>365</v>
      </c>
      <c r="AU170" s="272" t="s">
        <v>425</v>
      </c>
    </row>
    <row r="171" spans="1:47" ht="16.5" hidden="1" customHeight="1" x14ac:dyDescent="0.35">
      <c r="A171" s="15" t="s">
        <v>222</v>
      </c>
      <c r="B171" s="3" t="s">
        <v>58</v>
      </c>
      <c r="C171" s="15" t="s">
        <v>334</v>
      </c>
      <c r="D171" s="15">
        <v>847</v>
      </c>
      <c r="E171" s="15">
        <v>8470305</v>
      </c>
      <c r="F171" s="15" t="s">
        <v>598</v>
      </c>
      <c r="G171" s="15">
        <v>1</v>
      </c>
      <c r="H171" s="276">
        <v>420550</v>
      </c>
      <c r="I171" s="15" t="s">
        <v>225</v>
      </c>
      <c r="J171" s="15" t="s">
        <v>60</v>
      </c>
      <c r="K171" s="15" t="s">
        <v>50</v>
      </c>
      <c r="L171" s="7">
        <v>847001</v>
      </c>
      <c r="M171" s="15" t="s">
        <v>61</v>
      </c>
      <c r="N171" s="15">
        <v>200179</v>
      </c>
      <c r="O171" s="3" t="s">
        <v>599</v>
      </c>
      <c r="P171" s="15">
        <v>0</v>
      </c>
      <c r="Q171" s="15">
        <v>100000</v>
      </c>
      <c r="R171" s="15">
        <v>100000</v>
      </c>
      <c r="S171" s="15" t="s">
        <v>227</v>
      </c>
      <c r="T171" s="15"/>
      <c r="U171" s="15">
        <v>2</v>
      </c>
      <c r="V171" s="15">
        <v>50000</v>
      </c>
      <c r="W171" s="15" t="s">
        <v>600</v>
      </c>
      <c r="X171" s="16">
        <v>100000</v>
      </c>
      <c r="Y171" s="15" t="s">
        <v>55</v>
      </c>
      <c r="Z171" s="15" t="s">
        <v>56</v>
      </c>
      <c r="AA171" s="14">
        <f t="shared" si="6"/>
        <v>90000</v>
      </c>
      <c r="AB171" s="14">
        <f t="shared" si="7"/>
        <v>80000</v>
      </c>
      <c r="AC171" s="14">
        <f t="shared" si="8"/>
        <v>70000</v>
      </c>
      <c r="AD171" s="15" t="s">
        <v>601</v>
      </c>
      <c r="AE171" s="15" t="s">
        <v>602</v>
      </c>
      <c r="AF171" s="3" t="s">
        <v>603</v>
      </c>
      <c r="AG171" s="45"/>
      <c r="AH171" s="45"/>
      <c r="AI171" s="45">
        <v>50000</v>
      </c>
      <c r="AJ171" s="45"/>
      <c r="AK171" s="45"/>
      <c r="AL171" s="45"/>
      <c r="AM171" s="45"/>
      <c r="AN171" s="45"/>
      <c r="AO171" s="45"/>
      <c r="AP171" s="45">
        <v>50000</v>
      </c>
      <c r="AQ171" s="45"/>
      <c r="AR171" s="45"/>
      <c r="AS171" s="45">
        <v>100000</v>
      </c>
      <c r="AT171" s="3" t="s">
        <v>230</v>
      </c>
      <c r="AU171" s="272"/>
    </row>
    <row r="172" spans="1:47" ht="16.5" hidden="1" customHeight="1" x14ac:dyDescent="0.35">
      <c r="A172" s="15" t="s">
        <v>222</v>
      </c>
      <c r="B172" s="3" t="s">
        <v>58</v>
      </c>
      <c r="C172" s="15" t="s">
        <v>334</v>
      </c>
      <c r="D172" s="15">
        <v>847</v>
      </c>
      <c r="E172" s="15">
        <v>8470305</v>
      </c>
      <c r="F172" s="15" t="s">
        <v>598</v>
      </c>
      <c r="G172" s="15">
        <v>1</v>
      </c>
      <c r="H172" s="276">
        <v>420570</v>
      </c>
      <c r="I172" s="15" t="s">
        <v>231</v>
      </c>
      <c r="J172" s="15" t="s">
        <v>60</v>
      </c>
      <c r="K172" s="15" t="s">
        <v>50</v>
      </c>
      <c r="L172" s="7">
        <v>847001</v>
      </c>
      <c r="M172" s="15" t="s">
        <v>61</v>
      </c>
      <c r="N172" s="15">
        <v>200179</v>
      </c>
      <c r="O172" s="3" t="s">
        <v>605</v>
      </c>
      <c r="P172" s="15">
        <v>4591.25</v>
      </c>
      <c r="Q172" s="15">
        <v>10000</v>
      </c>
      <c r="R172" s="15">
        <v>10000</v>
      </c>
      <c r="S172" s="15" t="s">
        <v>606</v>
      </c>
      <c r="T172" s="15" t="s">
        <v>607</v>
      </c>
      <c r="U172" s="15">
        <v>2</v>
      </c>
      <c r="V172" s="15">
        <v>5000</v>
      </c>
      <c r="W172" s="15" t="s">
        <v>608</v>
      </c>
      <c r="X172" s="16">
        <v>10000</v>
      </c>
      <c r="Y172" s="15" t="s">
        <v>55</v>
      </c>
      <c r="Z172" s="15" t="s">
        <v>56</v>
      </c>
      <c r="AA172" s="14">
        <f t="shared" si="6"/>
        <v>9000</v>
      </c>
      <c r="AB172" s="14">
        <f t="shared" si="7"/>
        <v>8000</v>
      </c>
      <c r="AC172" s="14">
        <f t="shared" si="8"/>
        <v>7000</v>
      </c>
      <c r="AD172" s="15" t="s">
        <v>601</v>
      </c>
      <c r="AE172" s="15" t="s">
        <v>609</v>
      </c>
      <c r="AF172" s="3" t="s">
        <v>609</v>
      </c>
      <c r="AG172" s="45"/>
      <c r="AH172" s="45"/>
      <c r="AI172" s="45"/>
      <c r="AJ172" s="45">
        <v>5000</v>
      </c>
      <c r="AK172" s="45"/>
      <c r="AL172" s="45"/>
      <c r="AM172" s="45"/>
      <c r="AN172" s="45"/>
      <c r="AO172" s="45"/>
      <c r="AP172" s="45"/>
      <c r="AQ172" s="45">
        <v>5000</v>
      </c>
      <c r="AR172" s="45"/>
      <c r="AS172" s="45">
        <v>10000</v>
      </c>
      <c r="AT172" s="3" t="s">
        <v>237</v>
      </c>
      <c r="AU172" s="272"/>
    </row>
    <row r="173" spans="1:47" ht="16.5" hidden="1" customHeight="1" x14ac:dyDescent="0.35">
      <c r="A173" s="15" t="s">
        <v>222</v>
      </c>
      <c r="B173" s="3" t="s">
        <v>238</v>
      </c>
      <c r="C173" s="15" t="s">
        <v>334</v>
      </c>
      <c r="D173" s="15">
        <v>847</v>
      </c>
      <c r="E173" s="15">
        <v>8470305</v>
      </c>
      <c r="F173" s="15" t="s">
        <v>598</v>
      </c>
      <c r="G173" s="15">
        <v>1</v>
      </c>
      <c r="H173" s="276">
        <v>421700</v>
      </c>
      <c r="I173" s="15" t="s">
        <v>239</v>
      </c>
      <c r="J173" s="15" t="s">
        <v>60</v>
      </c>
      <c r="K173" s="15" t="s">
        <v>50</v>
      </c>
      <c r="L173" s="7">
        <v>847001</v>
      </c>
      <c r="M173" s="15" t="s">
        <v>61</v>
      </c>
      <c r="N173" s="15">
        <v>200179</v>
      </c>
      <c r="O173" s="3" t="s">
        <v>611</v>
      </c>
      <c r="P173" s="15">
        <v>123488.98</v>
      </c>
      <c r="Q173" s="15">
        <v>506004</v>
      </c>
      <c r="R173" s="15">
        <v>500000</v>
      </c>
      <c r="S173" s="15" t="s">
        <v>241</v>
      </c>
      <c r="T173" s="15" t="s">
        <v>157</v>
      </c>
      <c r="U173" s="18">
        <v>2</v>
      </c>
      <c r="V173" s="16">
        <v>150000</v>
      </c>
      <c r="W173" s="15" t="s">
        <v>612</v>
      </c>
      <c r="X173" s="16">
        <f>U173*V173</f>
        <v>300000</v>
      </c>
      <c r="Y173" s="15" t="s">
        <v>55</v>
      </c>
      <c r="Z173" s="15" t="s">
        <v>197</v>
      </c>
      <c r="AA173" s="14">
        <f t="shared" si="6"/>
        <v>270000</v>
      </c>
      <c r="AB173" s="14">
        <f t="shared" si="7"/>
        <v>240000</v>
      </c>
      <c r="AC173" s="14">
        <f t="shared" si="8"/>
        <v>210000</v>
      </c>
      <c r="AD173" s="15" t="s">
        <v>613</v>
      </c>
      <c r="AE173" s="15" t="s">
        <v>613</v>
      </c>
      <c r="AF173" s="3" t="s">
        <v>613</v>
      </c>
      <c r="AG173" s="46"/>
      <c r="AH173" s="46"/>
      <c r="AI173" s="46"/>
      <c r="AJ173" s="46"/>
      <c r="AK173" s="46">
        <v>300000</v>
      </c>
      <c r="AL173" s="46"/>
      <c r="AM173" s="46"/>
      <c r="AN173" s="46"/>
      <c r="AO173" s="46"/>
      <c r="AP173" s="46"/>
      <c r="AQ173" s="46"/>
      <c r="AR173" s="46"/>
      <c r="AS173" s="46">
        <v>300000</v>
      </c>
      <c r="AT173" s="3" t="s">
        <v>230</v>
      </c>
      <c r="AU173" s="272"/>
    </row>
    <row r="174" spans="1:47" ht="16.5" hidden="1" customHeight="1" x14ac:dyDescent="0.35">
      <c r="A174" s="15" t="s">
        <v>245</v>
      </c>
      <c r="B174" s="3" t="s">
        <v>246</v>
      </c>
      <c r="C174" s="15" t="s">
        <v>334</v>
      </c>
      <c r="D174" s="15">
        <v>847</v>
      </c>
      <c r="E174" s="15">
        <v>8470305</v>
      </c>
      <c r="F174" s="15" t="s">
        <v>598</v>
      </c>
      <c r="G174" s="15">
        <v>1</v>
      </c>
      <c r="H174" s="276">
        <v>425510</v>
      </c>
      <c r="I174" s="15" t="s">
        <v>247</v>
      </c>
      <c r="J174" s="15" t="s">
        <v>60</v>
      </c>
      <c r="K174" s="15" t="s">
        <v>50</v>
      </c>
      <c r="L174" s="7">
        <v>847001</v>
      </c>
      <c r="M174" s="15" t="s">
        <v>61</v>
      </c>
      <c r="N174" s="15">
        <v>200179</v>
      </c>
      <c r="O174" s="3" t="s">
        <v>614</v>
      </c>
      <c r="P174" s="15">
        <v>-252</v>
      </c>
      <c r="Q174" s="15">
        <v>20000</v>
      </c>
      <c r="R174" s="15">
        <v>20000</v>
      </c>
      <c r="S174" s="15" t="s">
        <v>615</v>
      </c>
      <c r="T174" s="15" t="s">
        <v>616</v>
      </c>
      <c r="U174" s="15">
        <v>2</v>
      </c>
      <c r="V174" s="15">
        <v>10000</v>
      </c>
      <c r="W174" s="15" t="s">
        <v>617</v>
      </c>
      <c r="X174" s="16">
        <v>20000</v>
      </c>
      <c r="Y174" s="15" t="s">
        <v>55</v>
      </c>
      <c r="Z174" s="15" t="s">
        <v>56</v>
      </c>
      <c r="AA174" s="14">
        <f t="shared" si="6"/>
        <v>18000</v>
      </c>
      <c r="AB174" s="14">
        <f t="shared" si="7"/>
        <v>16000</v>
      </c>
      <c r="AC174" s="14">
        <f t="shared" si="8"/>
        <v>14000</v>
      </c>
      <c r="AD174" s="15" t="s">
        <v>602</v>
      </c>
      <c r="AE174" s="15" t="s">
        <v>603</v>
      </c>
      <c r="AF174" s="3" t="s">
        <v>603</v>
      </c>
      <c r="AG174" s="45"/>
      <c r="AH174" s="45"/>
      <c r="AI174" s="45"/>
      <c r="AJ174" s="45">
        <v>10000</v>
      </c>
      <c r="AK174" s="45"/>
      <c r="AL174" s="45"/>
      <c r="AM174" s="45"/>
      <c r="AN174" s="45"/>
      <c r="AO174" s="45"/>
      <c r="AP174" s="45">
        <v>10000</v>
      </c>
      <c r="AQ174" s="45"/>
      <c r="AR174" s="45"/>
      <c r="AS174" s="45">
        <v>20000</v>
      </c>
      <c r="AT174" s="3" t="s">
        <v>618</v>
      </c>
      <c r="AU174" s="272"/>
    </row>
    <row r="175" spans="1:47" ht="16.5" hidden="1" customHeight="1" x14ac:dyDescent="0.35">
      <c r="A175" s="15" t="s">
        <v>258</v>
      </c>
      <c r="B175" s="3" t="s">
        <v>58</v>
      </c>
      <c r="C175" s="15" t="s">
        <v>334</v>
      </c>
      <c r="D175" s="15">
        <v>847</v>
      </c>
      <c r="E175" s="15">
        <v>8470305</v>
      </c>
      <c r="F175" s="15" t="s">
        <v>598</v>
      </c>
      <c r="G175" s="15">
        <v>1</v>
      </c>
      <c r="H175" s="276">
        <v>425720</v>
      </c>
      <c r="I175" s="15" t="s">
        <v>620</v>
      </c>
      <c r="J175" s="15" t="s">
        <v>60</v>
      </c>
      <c r="K175" s="15" t="s">
        <v>50</v>
      </c>
      <c r="L175" s="7">
        <v>847001</v>
      </c>
      <c r="M175" s="15" t="s">
        <v>61</v>
      </c>
      <c r="N175" s="15">
        <v>200179</v>
      </c>
      <c r="O175" s="3" t="s">
        <v>621</v>
      </c>
      <c r="P175" s="15">
        <v>-3415.89</v>
      </c>
      <c r="Q175" s="15" t="s">
        <v>46</v>
      </c>
      <c r="R175" s="15"/>
      <c r="S175" s="15" t="s">
        <v>622</v>
      </c>
      <c r="T175" s="15" t="s">
        <v>623</v>
      </c>
      <c r="U175" s="15">
        <v>2</v>
      </c>
      <c r="V175" s="15">
        <v>20000</v>
      </c>
      <c r="W175" s="15" t="s">
        <v>624</v>
      </c>
      <c r="X175" s="16">
        <v>40000</v>
      </c>
      <c r="Y175" s="15" t="s">
        <v>55</v>
      </c>
      <c r="Z175" s="15" t="s">
        <v>56</v>
      </c>
      <c r="AA175" s="14">
        <f t="shared" si="6"/>
        <v>36000</v>
      </c>
      <c r="AB175" s="14">
        <f t="shared" si="7"/>
        <v>32000</v>
      </c>
      <c r="AC175" s="14">
        <f t="shared" si="8"/>
        <v>28000</v>
      </c>
      <c r="AD175" s="15" t="s">
        <v>625</v>
      </c>
      <c r="AE175" s="15" t="s">
        <v>626</v>
      </c>
      <c r="AF175" s="3" t="s">
        <v>626</v>
      </c>
      <c r="AG175" s="45"/>
      <c r="AH175" s="45"/>
      <c r="AI175" s="45"/>
      <c r="AJ175" s="45">
        <v>20000</v>
      </c>
      <c r="AK175" s="45"/>
      <c r="AL175" s="45"/>
      <c r="AM175" s="45"/>
      <c r="AN175" s="45"/>
      <c r="AO175" s="45"/>
      <c r="AP175" s="45"/>
      <c r="AQ175" s="45">
        <v>20000</v>
      </c>
      <c r="AR175" s="45"/>
      <c r="AS175" s="45">
        <v>40000</v>
      </c>
      <c r="AT175" s="3" t="s">
        <v>365</v>
      </c>
      <c r="AU175" s="272"/>
    </row>
    <row r="176" spans="1:47" ht="16.5" hidden="1" customHeight="1" x14ac:dyDescent="0.35">
      <c r="A176" s="15" t="s">
        <v>258</v>
      </c>
      <c r="B176" s="3" t="s">
        <v>58</v>
      </c>
      <c r="C176" s="15" t="s">
        <v>334</v>
      </c>
      <c r="D176" s="15">
        <v>847</v>
      </c>
      <c r="E176" s="15">
        <v>8470305</v>
      </c>
      <c r="F176" s="15" t="s">
        <v>598</v>
      </c>
      <c r="G176" s="15">
        <v>1</v>
      </c>
      <c r="H176" s="276">
        <v>425763</v>
      </c>
      <c r="I176" s="15" t="s">
        <v>359</v>
      </c>
      <c r="J176" s="15" t="s">
        <v>60</v>
      </c>
      <c r="K176" s="15" t="s">
        <v>50</v>
      </c>
      <c r="L176" s="7">
        <v>847001</v>
      </c>
      <c r="M176" s="15" t="s">
        <v>61</v>
      </c>
      <c r="N176" s="15">
        <v>200179</v>
      </c>
      <c r="O176" s="3" t="s">
        <v>627</v>
      </c>
      <c r="P176" s="15">
        <v>55389.96</v>
      </c>
      <c r="Q176" s="15">
        <v>100000</v>
      </c>
      <c r="R176" s="15">
        <v>100000</v>
      </c>
      <c r="S176" s="15" t="s">
        <v>361</v>
      </c>
      <c r="T176" s="15" t="s">
        <v>68</v>
      </c>
      <c r="U176" s="15">
        <v>8</v>
      </c>
      <c r="V176" s="15">
        <v>15000</v>
      </c>
      <c r="W176" s="15" t="s">
        <v>628</v>
      </c>
      <c r="X176" s="16">
        <v>120000</v>
      </c>
      <c r="Y176" s="15" t="s">
        <v>55</v>
      </c>
      <c r="Z176" s="15" t="s">
        <v>56</v>
      </c>
      <c r="AA176" s="14">
        <f t="shared" si="6"/>
        <v>108000</v>
      </c>
      <c r="AB176" s="14">
        <f t="shared" si="7"/>
        <v>96000</v>
      </c>
      <c r="AC176" s="14">
        <f t="shared" si="8"/>
        <v>84000</v>
      </c>
      <c r="AD176" s="15" t="s">
        <v>629</v>
      </c>
      <c r="AE176" s="15" t="s">
        <v>629</v>
      </c>
      <c r="AF176" s="3" t="s">
        <v>629</v>
      </c>
      <c r="AG176" s="45"/>
      <c r="AH176" s="45">
        <v>15000</v>
      </c>
      <c r="AI176" s="45">
        <v>15000</v>
      </c>
      <c r="AJ176" s="45">
        <v>15000</v>
      </c>
      <c r="AK176" s="45">
        <v>15000</v>
      </c>
      <c r="AL176" s="45"/>
      <c r="AM176" s="45"/>
      <c r="AN176" s="45">
        <v>15000</v>
      </c>
      <c r="AO176" s="45">
        <v>15000</v>
      </c>
      <c r="AP176" s="45">
        <v>15000</v>
      </c>
      <c r="AQ176" s="45">
        <v>15000</v>
      </c>
      <c r="AR176" s="45"/>
      <c r="AS176" s="45">
        <v>120000</v>
      </c>
      <c r="AT176" s="3" t="s">
        <v>230</v>
      </c>
      <c r="AU176" s="272"/>
    </row>
    <row r="177" spans="1:47" ht="16.5" hidden="1" customHeight="1" x14ac:dyDescent="0.35">
      <c r="A177" s="15" t="s">
        <v>222</v>
      </c>
      <c r="B177" s="3" t="s">
        <v>58</v>
      </c>
      <c r="C177" s="15" t="s">
        <v>334</v>
      </c>
      <c r="D177" s="15">
        <v>847</v>
      </c>
      <c r="E177" s="15">
        <v>8470305</v>
      </c>
      <c r="F177" s="15" t="s">
        <v>598</v>
      </c>
      <c r="G177" s="15">
        <v>1</v>
      </c>
      <c r="H177" s="276">
        <v>425770</v>
      </c>
      <c r="I177" s="15" t="s">
        <v>367</v>
      </c>
      <c r="J177" s="15" t="s">
        <v>60</v>
      </c>
      <c r="K177" s="15" t="s">
        <v>50</v>
      </c>
      <c r="L177" s="7">
        <v>847001</v>
      </c>
      <c r="M177" s="15" t="s">
        <v>61</v>
      </c>
      <c r="N177" s="15">
        <v>200179</v>
      </c>
      <c r="O177" s="3" t="s">
        <v>630</v>
      </c>
      <c r="P177" s="15">
        <v>22014.5</v>
      </c>
      <c r="Q177" s="15">
        <v>614499</v>
      </c>
      <c r="R177" s="15">
        <v>600000</v>
      </c>
      <c r="S177" s="15" t="s">
        <v>369</v>
      </c>
      <c r="T177" s="15" t="s">
        <v>157</v>
      </c>
      <c r="U177" s="18">
        <v>50</v>
      </c>
      <c r="V177" s="15">
        <v>20000</v>
      </c>
      <c r="W177" s="15" t="s">
        <v>631</v>
      </c>
      <c r="X177" s="16">
        <f>U177*V177</f>
        <v>1000000</v>
      </c>
      <c r="Y177" s="15" t="s">
        <v>55</v>
      </c>
      <c r="Z177" s="15" t="s">
        <v>56</v>
      </c>
      <c r="AA177" s="14">
        <f t="shared" si="6"/>
        <v>900000</v>
      </c>
      <c r="AB177" s="14">
        <f t="shared" si="7"/>
        <v>800000</v>
      </c>
      <c r="AC177" s="14">
        <f t="shared" si="8"/>
        <v>700000</v>
      </c>
      <c r="AD177" s="15" t="s">
        <v>602</v>
      </c>
      <c r="AE177" s="15" t="s">
        <v>602</v>
      </c>
      <c r="AF177" s="3" t="s">
        <v>632</v>
      </c>
      <c r="AG177" s="46"/>
      <c r="AH177" s="46"/>
      <c r="AI177" s="46"/>
      <c r="AJ177" s="46"/>
      <c r="AK177" s="46"/>
      <c r="AL177" s="46">
        <v>500000</v>
      </c>
      <c r="AM177" s="46"/>
      <c r="AN177" s="46"/>
      <c r="AO177" s="46"/>
      <c r="AP177" s="46"/>
      <c r="AQ177" s="46">
        <v>500000</v>
      </c>
      <c r="AR177" s="46"/>
      <c r="AS177" s="46">
        <v>1000000</v>
      </c>
      <c r="AT177" s="3" t="s">
        <v>480</v>
      </c>
      <c r="AU177" s="272" t="s">
        <v>374</v>
      </c>
    </row>
    <row r="178" spans="1:47" ht="16.5" hidden="1" customHeight="1" x14ac:dyDescent="0.35">
      <c r="A178" s="15" t="s">
        <v>189</v>
      </c>
      <c r="B178" s="3" t="s">
        <v>265</v>
      </c>
      <c r="C178" s="15" t="s">
        <v>334</v>
      </c>
      <c r="D178" s="15">
        <v>847</v>
      </c>
      <c r="E178" s="15">
        <v>8470305</v>
      </c>
      <c r="F178" s="15" t="s">
        <v>598</v>
      </c>
      <c r="G178" s="15">
        <v>1</v>
      </c>
      <c r="H178" s="276">
        <v>425900</v>
      </c>
      <c r="I178" s="15" t="s">
        <v>266</v>
      </c>
      <c r="J178" s="15" t="s">
        <v>60</v>
      </c>
      <c r="K178" s="15" t="s">
        <v>50</v>
      </c>
      <c r="L178" s="7">
        <v>847001</v>
      </c>
      <c r="M178" s="15" t="s">
        <v>61</v>
      </c>
      <c r="N178" s="15">
        <v>200179</v>
      </c>
      <c r="O178" s="3" t="s">
        <v>633</v>
      </c>
      <c r="P178" s="15">
        <v>-131</v>
      </c>
      <c r="Q178" s="15">
        <v>18000</v>
      </c>
      <c r="R178" s="15">
        <v>16000</v>
      </c>
      <c r="S178" s="15" t="s">
        <v>268</v>
      </c>
      <c r="T178" s="15" t="s">
        <v>269</v>
      </c>
      <c r="U178" s="15">
        <v>3</v>
      </c>
      <c r="V178" s="15">
        <v>10000</v>
      </c>
      <c r="W178" s="15" t="s">
        <v>634</v>
      </c>
      <c r="X178" s="16">
        <v>30000</v>
      </c>
      <c r="Y178" s="15" t="s">
        <v>55</v>
      </c>
      <c r="Z178" s="15" t="s">
        <v>56</v>
      </c>
      <c r="AA178" s="14">
        <f t="shared" si="6"/>
        <v>27000</v>
      </c>
      <c r="AB178" s="14">
        <f t="shared" si="7"/>
        <v>24000</v>
      </c>
      <c r="AC178" s="14">
        <f t="shared" si="8"/>
        <v>21000</v>
      </c>
      <c r="AD178" s="15" t="s">
        <v>635</v>
      </c>
      <c r="AE178" s="15" t="s">
        <v>635</v>
      </c>
      <c r="AF178" s="3" t="s">
        <v>635</v>
      </c>
      <c r="AG178" s="45"/>
      <c r="AH178" s="45"/>
      <c r="AI178" s="45">
        <v>10000</v>
      </c>
      <c r="AJ178" s="45"/>
      <c r="AK178" s="45"/>
      <c r="AL178" s="45">
        <v>10000</v>
      </c>
      <c r="AM178" s="45"/>
      <c r="AN178" s="45"/>
      <c r="AO178" s="45"/>
      <c r="AP178" s="45"/>
      <c r="AQ178" s="45"/>
      <c r="AR178" s="45">
        <v>10000</v>
      </c>
      <c r="AS178" s="45">
        <v>30000</v>
      </c>
      <c r="AT178" s="3" t="s">
        <v>636</v>
      </c>
      <c r="AU178" s="272"/>
    </row>
    <row r="179" spans="1:47" ht="16.5" hidden="1" customHeight="1" x14ac:dyDescent="0.35">
      <c r="A179" s="15" t="s">
        <v>63</v>
      </c>
      <c r="B179" s="3" t="s">
        <v>64</v>
      </c>
      <c r="C179" s="15" t="s">
        <v>334</v>
      </c>
      <c r="D179" s="15">
        <v>847</v>
      </c>
      <c r="E179" s="15">
        <v>8470305</v>
      </c>
      <c r="F179" s="15" t="s">
        <v>598</v>
      </c>
      <c r="G179" s="15">
        <v>1</v>
      </c>
      <c r="H179" s="276">
        <v>426610</v>
      </c>
      <c r="I179" s="15" t="s">
        <v>74</v>
      </c>
      <c r="J179" s="15" t="s">
        <v>60</v>
      </c>
      <c r="K179" s="15" t="s">
        <v>50</v>
      </c>
      <c r="L179" s="7">
        <v>847001</v>
      </c>
      <c r="M179" s="15" t="s">
        <v>61</v>
      </c>
      <c r="N179" s="15">
        <v>200179</v>
      </c>
      <c r="O179" s="3" t="s">
        <v>637</v>
      </c>
      <c r="P179" s="15">
        <v>62198.28</v>
      </c>
      <c r="Q179" s="15">
        <v>100000</v>
      </c>
      <c r="R179" s="15">
        <v>90000</v>
      </c>
      <c r="S179" s="15" t="s">
        <v>75</v>
      </c>
      <c r="T179" s="15" t="s">
        <v>76</v>
      </c>
      <c r="U179" s="15">
        <v>1</v>
      </c>
      <c r="V179" s="15">
        <v>120000</v>
      </c>
      <c r="W179" s="15" t="s">
        <v>638</v>
      </c>
      <c r="X179" s="16">
        <v>120000</v>
      </c>
      <c r="Y179" s="15" t="s">
        <v>55</v>
      </c>
      <c r="Z179" s="15" t="s">
        <v>56</v>
      </c>
      <c r="AA179" s="14">
        <f t="shared" si="6"/>
        <v>108000</v>
      </c>
      <c r="AB179" s="14">
        <f t="shared" si="7"/>
        <v>96000</v>
      </c>
      <c r="AC179" s="14">
        <f t="shared" si="8"/>
        <v>84000</v>
      </c>
      <c r="AD179" s="15" t="s">
        <v>601</v>
      </c>
      <c r="AE179" s="15" t="s">
        <v>601</v>
      </c>
      <c r="AF179" s="3" t="s">
        <v>639</v>
      </c>
      <c r="AG179" s="45"/>
      <c r="AH179" s="45"/>
      <c r="AI179" s="45"/>
      <c r="AJ179" s="45"/>
      <c r="AK179" s="45"/>
      <c r="AL179" s="45"/>
      <c r="AM179" s="45"/>
      <c r="AN179" s="45"/>
      <c r="AO179" s="45">
        <v>120000</v>
      </c>
      <c r="AP179" s="45"/>
      <c r="AQ179" s="45"/>
      <c r="AR179" s="45"/>
      <c r="AS179" s="45">
        <v>120000</v>
      </c>
      <c r="AT179" s="3" t="s">
        <v>230</v>
      </c>
      <c r="AU179" s="272"/>
    </row>
    <row r="180" spans="1:47" ht="16.5" hidden="1" customHeight="1" x14ac:dyDescent="0.35">
      <c r="A180" s="15" t="s">
        <v>153</v>
      </c>
      <c r="B180" s="3" t="s">
        <v>58</v>
      </c>
      <c r="C180" s="15" t="s">
        <v>334</v>
      </c>
      <c r="D180" s="15">
        <v>847</v>
      </c>
      <c r="E180" s="15">
        <v>8470305</v>
      </c>
      <c r="F180" s="15" t="s">
        <v>598</v>
      </c>
      <c r="G180" s="15">
        <v>1</v>
      </c>
      <c r="H180" s="276">
        <v>428090</v>
      </c>
      <c r="I180" s="15" t="s">
        <v>154</v>
      </c>
      <c r="J180" s="15" t="s">
        <v>60</v>
      </c>
      <c r="K180" s="15" t="s">
        <v>50</v>
      </c>
      <c r="L180" s="7">
        <v>847001</v>
      </c>
      <c r="M180" s="15" t="s">
        <v>61</v>
      </c>
      <c r="N180" s="15">
        <v>200179</v>
      </c>
      <c r="O180" s="3" t="s">
        <v>640</v>
      </c>
      <c r="P180" s="15" t="s">
        <v>46</v>
      </c>
      <c r="Q180" s="15">
        <v>35000</v>
      </c>
      <c r="R180" s="15">
        <v>30000</v>
      </c>
      <c r="S180" s="15" t="s">
        <v>156</v>
      </c>
      <c r="T180" s="15" t="s">
        <v>157</v>
      </c>
      <c r="U180" s="15">
        <v>2</v>
      </c>
      <c r="V180" s="15">
        <v>45000</v>
      </c>
      <c r="W180" s="15" t="s">
        <v>641</v>
      </c>
      <c r="X180" s="16">
        <v>90000</v>
      </c>
      <c r="Y180" s="15" t="s">
        <v>55</v>
      </c>
      <c r="Z180" s="15" t="s">
        <v>56</v>
      </c>
      <c r="AA180" s="14">
        <f t="shared" si="6"/>
        <v>81000</v>
      </c>
      <c r="AB180" s="14">
        <f t="shared" si="7"/>
        <v>72000</v>
      </c>
      <c r="AC180" s="14">
        <f t="shared" si="8"/>
        <v>62999.999999999993</v>
      </c>
      <c r="AD180" s="15" t="s">
        <v>601</v>
      </c>
      <c r="AE180" s="15" t="s">
        <v>602</v>
      </c>
      <c r="AF180" s="3" t="s">
        <v>642</v>
      </c>
      <c r="AG180" s="45"/>
      <c r="AH180" s="45"/>
      <c r="AI180" s="45"/>
      <c r="AJ180" s="45">
        <v>45000</v>
      </c>
      <c r="AK180" s="45"/>
      <c r="AL180" s="45"/>
      <c r="AM180" s="45"/>
      <c r="AN180" s="45"/>
      <c r="AO180" s="45"/>
      <c r="AP180" s="45">
        <v>45000</v>
      </c>
      <c r="AQ180" s="45"/>
      <c r="AR180" s="45"/>
      <c r="AS180" s="45">
        <v>90000</v>
      </c>
      <c r="AT180" s="3" t="s">
        <v>237</v>
      </c>
      <c r="AU180" s="272"/>
    </row>
    <row r="181" spans="1:47" ht="16.5" hidden="1" customHeight="1" x14ac:dyDescent="0.35">
      <c r="A181" s="15" t="s">
        <v>245</v>
      </c>
      <c r="B181" s="3" t="s">
        <v>246</v>
      </c>
      <c r="C181" s="15" t="s">
        <v>334</v>
      </c>
      <c r="D181" s="15">
        <v>847</v>
      </c>
      <c r="E181" s="15">
        <v>8470305</v>
      </c>
      <c r="F181" s="15" t="s">
        <v>598</v>
      </c>
      <c r="G181" s="15">
        <v>1</v>
      </c>
      <c r="H181" s="276">
        <v>428640</v>
      </c>
      <c r="I181" s="15" t="s">
        <v>279</v>
      </c>
      <c r="J181" s="15" t="s">
        <v>60</v>
      </c>
      <c r="K181" s="15" t="s">
        <v>50</v>
      </c>
      <c r="L181" s="7">
        <v>847001</v>
      </c>
      <c r="M181" s="15" t="s">
        <v>61</v>
      </c>
      <c r="N181" s="15">
        <v>200179</v>
      </c>
      <c r="O181" s="3" t="s">
        <v>644</v>
      </c>
      <c r="P181" s="15">
        <v>0</v>
      </c>
      <c r="Q181" s="15">
        <v>45000</v>
      </c>
      <c r="R181" s="15">
        <v>10000</v>
      </c>
      <c r="S181" s="15" t="s">
        <v>645</v>
      </c>
      <c r="T181" s="15" t="s">
        <v>269</v>
      </c>
      <c r="U181" s="15">
        <v>20</v>
      </c>
      <c r="V181" s="16">
        <v>1500</v>
      </c>
      <c r="W181" s="15" t="s">
        <v>646</v>
      </c>
      <c r="X181" s="16">
        <v>30000</v>
      </c>
      <c r="Y181" s="15" t="s">
        <v>55</v>
      </c>
      <c r="Z181" s="15" t="s">
        <v>56</v>
      </c>
      <c r="AA181" s="14">
        <f t="shared" si="6"/>
        <v>27000</v>
      </c>
      <c r="AB181" s="14">
        <f t="shared" si="7"/>
        <v>24000</v>
      </c>
      <c r="AC181" s="14">
        <f t="shared" si="8"/>
        <v>21000</v>
      </c>
      <c r="AD181" s="15" t="s">
        <v>601</v>
      </c>
      <c r="AE181" s="15" t="s">
        <v>601</v>
      </c>
      <c r="AF181" s="3" t="s">
        <v>647</v>
      </c>
      <c r="AG181" s="45"/>
      <c r="AH181" s="45"/>
      <c r="AI181" s="45"/>
      <c r="AJ181" s="45"/>
      <c r="AK181" s="45">
        <v>15000</v>
      </c>
      <c r="AL181" s="45"/>
      <c r="AM181" s="45"/>
      <c r="AN181" s="45"/>
      <c r="AO181" s="45"/>
      <c r="AP181" s="45"/>
      <c r="AQ181" s="45">
        <v>15000</v>
      </c>
      <c r="AR181" s="45"/>
      <c r="AS181" s="45">
        <v>30000</v>
      </c>
      <c r="AT181" s="3" t="s">
        <v>252</v>
      </c>
      <c r="AU181" s="272"/>
    </row>
    <row r="182" spans="1:47" ht="16.5" hidden="1" customHeight="1" x14ac:dyDescent="0.35">
      <c r="A182" s="15" t="s">
        <v>222</v>
      </c>
      <c r="B182" s="3" t="s">
        <v>58</v>
      </c>
      <c r="C182" s="15" t="s">
        <v>334</v>
      </c>
      <c r="D182" s="15">
        <v>847</v>
      </c>
      <c r="E182" s="15">
        <v>8470305</v>
      </c>
      <c r="F182" s="15" t="s">
        <v>598</v>
      </c>
      <c r="G182" s="15">
        <v>1</v>
      </c>
      <c r="H182" s="276">
        <v>432209</v>
      </c>
      <c r="I182" s="15" t="s">
        <v>393</v>
      </c>
      <c r="J182" s="15" t="s">
        <v>60</v>
      </c>
      <c r="K182" s="15" t="s">
        <v>50</v>
      </c>
      <c r="L182" s="7">
        <v>847001</v>
      </c>
      <c r="M182" s="15" t="s">
        <v>61</v>
      </c>
      <c r="N182" s="15">
        <v>200179</v>
      </c>
      <c r="O182" s="3" t="s">
        <v>648</v>
      </c>
      <c r="P182" s="15">
        <v>201150.01</v>
      </c>
      <c r="Q182" s="15">
        <v>45292</v>
      </c>
      <c r="R182" s="15">
        <v>45000</v>
      </c>
      <c r="S182" s="15" t="s">
        <v>288</v>
      </c>
      <c r="T182" s="15" t="s">
        <v>157</v>
      </c>
      <c r="U182" s="18">
        <v>40</v>
      </c>
      <c r="V182" s="15">
        <v>5500</v>
      </c>
      <c r="W182" s="15" t="s">
        <v>649</v>
      </c>
      <c r="X182" s="16">
        <f>U182*V182</f>
        <v>220000</v>
      </c>
      <c r="Y182" s="15" t="s">
        <v>55</v>
      </c>
      <c r="Z182" s="15" t="s">
        <v>56</v>
      </c>
      <c r="AA182" s="14">
        <f t="shared" si="6"/>
        <v>198000</v>
      </c>
      <c r="AB182" s="14">
        <f t="shared" si="7"/>
        <v>176000</v>
      </c>
      <c r="AC182" s="14">
        <f t="shared" si="8"/>
        <v>154000</v>
      </c>
      <c r="AD182" s="15" t="s">
        <v>601</v>
      </c>
      <c r="AE182" s="15" t="s">
        <v>650</v>
      </c>
      <c r="AF182" s="3" t="s">
        <v>647</v>
      </c>
      <c r="AG182" s="46"/>
      <c r="AH182" s="46"/>
      <c r="AI182" s="46"/>
      <c r="AJ182" s="46">
        <v>110000</v>
      </c>
      <c r="AK182" s="46"/>
      <c r="AL182" s="46"/>
      <c r="AM182" s="46"/>
      <c r="AN182" s="46"/>
      <c r="AO182" s="46">
        <v>110000</v>
      </c>
      <c r="AP182" s="46"/>
      <c r="AQ182" s="46"/>
      <c r="AR182" s="46"/>
      <c r="AS182" s="46">
        <v>220000</v>
      </c>
      <c r="AT182" s="3" t="s">
        <v>230</v>
      </c>
      <c r="AU182" s="272" t="s">
        <v>397</v>
      </c>
    </row>
    <row r="183" spans="1:47" ht="16.5" hidden="1" customHeight="1" x14ac:dyDescent="0.35">
      <c r="A183" s="15" t="s">
        <v>161</v>
      </c>
      <c r="B183" s="3" t="s">
        <v>220</v>
      </c>
      <c r="C183" s="15" t="s">
        <v>334</v>
      </c>
      <c r="D183" s="15">
        <v>847</v>
      </c>
      <c r="E183" s="15">
        <v>8470305</v>
      </c>
      <c r="F183" s="15" t="s">
        <v>598</v>
      </c>
      <c r="G183" s="15">
        <v>1</v>
      </c>
      <c r="H183" s="276">
        <v>432690</v>
      </c>
      <c r="I183" s="15" t="s">
        <v>651</v>
      </c>
      <c r="J183" s="15" t="s">
        <v>60</v>
      </c>
      <c r="K183" s="15" t="s">
        <v>50</v>
      </c>
      <c r="L183" s="7">
        <v>847001</v>
      </c>
      <c r="M183" s="15" t="s">
        <v>61</v>
      </c>
      <c r="N183" s="15">
        <v>200179</v>
      </c>
      <c r="O183" s="3" t="s">
        <v>652</v>
      </c>
      <c r="P183" s="15">
        <v>5000</v>
      </c>
      <c r="Q183" s="15" t="s">
        <v>46</v>
      </c>
      <c r="R183" s="15"/>
      <c r="S183" s="15"/>
      <c r="T183" s="15" t="s">
        <v>62</v>
      </c>
      <c r="U183" s="15"/>
      <c r="V183" s="15"/>
      <c r="W183" s="15"/>
      <c r="X183" s="16">
        <v>0</v>
      </c>
      <c r="Y183" s="15"/>
      <c r="Z183" s="15"/>
      <c r="AA183" s="14">
        <f t="shared" si="6"/>
        <v>0</v>
      </c>
      <c r="AB183" s="14">
        <f t="shared" si="7"/>
        <v>0</v>
      </c>
      <c r="AC183" s="14">
        <f t="shared" si="8"/>
        <v>0</v>
      </c>
      <c r="AD183" s="15" t="s">
        <v>601</v>
      </c>
      <c r="AE183" s="15" t="s">
        <v>653</v>
      </c>
      <c r="AF183" s="3" t="s">
        <v>647</v>
      </c>
      <c r="AG183" s="45"/>
      <c r="AH183" s="45"/>
      <c r="AI183" s="45"/>
      <c r="AJ183" s="45"/>
      <c r="AK183" s="45"/>
      <c r="AL183" s="45"/>
      <c r="AM183" s="45"/>
      <c r="AN183" s="45"/>
      <c r="AO183" s="45"/>
      <c r="AP183" s="45"/>
      <c r="AQ183" s="45"/>
      <c r="AR183" s="45"/>
      <c r="AS183" s="45">
        <v>0</v>
      </c>
      <c r="AT183" s="3"/>
      <c r="AU183" s="272"/>
    </row>
    <row r="184" spans="1:47" ht="16.5" hidden="1" customHeight="1" x14ac:dyDescent="0.35">
      <c r="A184" s="15" t="s">
        <v>222</v>
      </c>
      <c r="B184" s="3" t="s">
        <v>58</v>
      </c>
      <c r="C184" s="15" t="s">
        <v>334</v>
      </c>
      <c r="D184" s="15">
        <v>847</v>
      </c>
      <c r="E184" s="15">
        <v>8470305</v>
      </c>
      <c r="F184" s="15" t="s">
        <v>598</v>
      </c>
      <c r="G184" s="15">
        <v>1</v>
      </c>
      <c r="H184" s="276">
        <v>435340</v>
      </c>
      <c r="I184" s="15" t="s">
        <v>655</v>
      </c>
      <c r="J184" s="15" t="s">
        <v>60</v>
      </c>
      <c r="K184" s="15" t="s">
        <v>50</v>
      </c>
      <c r="L184" s="7">
        <v>847001</v>
      </c>
      <c r="M184" s="15" t="s">
        <v>61</v>
      </c>
      <c r="N184" s="15">
        <v>200179</v>
      </c>
      <c r="O184" s="3" t="s">
        <v>656</v>
      </c>
      <c r="P184" s="15">
        <v>-13614</v>
      </c>
      <c r="Q184" s="15" t="s">
        <v>46</v>
      </c>
      <c r="R184" s="15"/>
      <c r="S184" s="15"/>
      <c r="T184" s="15" t="s">
        <v>62</v>
      </c>
      <c r="U184" s="15"/>
      <c r="V184" s="15"/>
      <c r="W184" s="15"/>
      <c r="X184" s="16">
        <v>0</v>
      </c>
      <c r="Y184" s="15"/>
      <c r="Z184" s="15"/>
      <c r="AA184" s="14">
        <f t="shared" si="6"/>
        <v>0</v>
      </c>
      <c r="AB184" s="14">
        <f t="shared" si="7"/>
        <v>0</v>
      </c>
      <c r="AC184" s="14">
        <f t="shared" si="8"/>
        <v>0</v>
      </c>
      <c r="AD184" s="15" t="s">
        <v>601</v>
      </c>
      <c r="AE184" s="15" t="s">
        <v>609</v>
      </c>
      <c r="AF184" s="3" t="s">
        <v>657</v>
      </c>
      <c r="AG184" s="45"/>
      <c r="AH184" s="45"/>
      <c r="AI184" s="45"/>
      <c r="AJ184" s="45"/>
      <c r="AK184" s="45"/>
      <c r="AL184" s="45"/>
      <c r="AM184" s="45"/>
      <c r="AN184" s="45"/>
      <c r="AO184" s="45"/>
      <c r="AP184" s="45"/>
      <c r="AQ184" s="45"/>
      <c r="AR184" s="45"/>
      <c r="AS184" s="45">
        <v>0</v>
      </c>
      <c r="AT184" s="3"/>
      <c r="AU184" s="272"/>
    </row>
    <row r="185" spans="1:47" ht="16.5" hidden="1" customHeight="1" x14ac:dyDescent="0.35">
      <c r="A185" s="15" t="s">
        <v>222</v>
      </c>
      <c r="B185" s="3" t="s">
        <v>58</v>
      </c>
      <c r="C185" s="15" t="s">
        <v>334</v>
      </c>
      <c r="D185" s="15">
        <v>847</v>
      </c>
      <c r="E185" s="15">
        <v>8470305</v>
      </c>
      <c r="F185" s="15" t="s">
        <v>598</v>
      </c>
      <c r="G185" s="15">
        <v>1</v>
      </c>
      <c r="H185" s="276">
        <v>435350</v>
      </c>
      <c r="I185" s="15" t="s">
        <v>399</v>
      </c>
      <c r="J185" s="15" t="s">
        <v>60</v>
      </c>
      <c r="K185" s="15" t="s">
        <v>50</v>
      </c>
      <c r="L185" s="7">
        <v>847001</v>
      </c>
      <c r="M185" s="15" t="s">
        <v>61</v>
      </c>
      <c r="N185" s="15">
        <v>200179</v>
      </c>
      <c r="O185" s="3" t="s">
        <v>658</v>
      </c>
      <c r="P185" s="15">
        <v>0</v>
      </c>
      <c r="Q185" s="15">
        <v>260000</v>
      </c>
      <c r="R185" s="15">
        <v>260000</v>
      </c>
      <c r="S185" s="15" t="s">
        <v>401</v>
      </c>
      <c r="T185" s="15" t="s">
        <v>157</v>
      </c>
      <c r="U185" s="19">
        <v>60</v>
      </c>
      <c r="V185" s="15">
        <v>4500</v>
      </c>
      <c r="W185" s="15" t="s">
        <v>659</v>
      </c>
      <c r="X185" s="16">
        <f>U185*V185</f>
        <v>270000</v>
      </c>
      <c r="Y185" s="15" t="s">
        <v>55</v>
      </c>
      <c r="Z185" s="15" t="s">
        <v>56</v>
      </c>
      <c r="AA185" s="14">
        <f t="shared" si="6"/>
        <v>243000</v>
      </c>
      <c r="AB185" s="14">
        <f t="shared" si="7"/>
        <v>216000</v>
      </c>
      <c r="AC185" s="14">
        <f t="shared" si="8"/>
        <v>189000</v>
      </c>
      <c r="AD185" s="15" t="s">
        <v>660</v>
      </c>
      <c r="AE185" s="15" t="s">
        <v>661</v>
      </c>
      <c r="AF185" s="3" t="s">
        <v>661</v>
      </c>
      <c r="AG185" s="46"/>
      <c r="AH185" s="46"/>
      <c r="AI185" s="46">
        <v>90000</v>
      </c>
      <c r="AJ185" s="46">
        <v>90000</v>
      </c>
      <c r="AK185" s="46">
        <v>90000</v>
      </c>
      <c r="AL185" s="46"/>
      <c r="AM185" s="46"/>
      <c r="AN185" s="46"/>
      <c r="AO185" s="46"/>
      <c r="AP185" s="46"/>
      <c r="AQ185" s="46"/>
      <c r="AR185" s="46"/>
      <c r="AS185" s="46">
        <v>270000</v>
      </c>
      <c r="AT185" s="3" t="s">
        <v>480</v>
      </c>
      <c r="AU185" s="272"/>
    </row>
    <row r="186" spans="1:47" ht="16.5" hidden="1" customHeight="1" x14ac:dyDescent="0.35">
      <c r="A186" s="15" t="s">
        <v>222</v>
      </c>
      <c r="B186" s="3" t="s">
        <v>220</v>
      </c>
      <c r="C186" s="15" t="s">
        <v>334</v>
      </c>
      <c r="D186" s="15">
        <v>847</v>
      </c>
      <c r="E186" s="15">
        <v>8470305</v>
      </c>
      <c r="F186" s="15" t="s">
        <v>598</v>
      </c>
      <c r="G186" s="15">
        <v>1</v>
      </c>
      <c r="H186" s="276">
        <v>435508</v>
      </c>
      <c r="I186" s="15" t="s">
        <v>405</v>
      </c>
      <c r="J186" s="15" t="s">
        <v>60</v>
      </c>
      <c r="K186" s="15" t="s">
        <v>50</v>
      </c>
      <c r="L186" s="7">
        <v>847001</v>
      </c>
      <c r="M186" s="15" t="s">
        <v>61</v>
      </c>
      <c r="N186" s="15">
        <v>200179</v>
      </c>
      <c r="O186" s="3" t="s">
        <v>662</v>
      </c>
      <c r="P186" s="15">
        <v>35691.550000000003</v>
      </c>
      <c r="Q186" s="15">
        <v>100000</v>
      </c>
      <c r="R186" s="15">
        <v>100000</v>
      </c>
      <c r="S186" s="15" t="s">
        <v>407</v>
      </c>
      <c r="T186" s="15" t="s">
        <v>157</v>
      </c>
      <c r="U186" s="15">
        <v>2</v>
      </c>
      <c r="V186" s="15">
        <v>60000</v>
      </c>
      <c r="W186" s="15" t="s">
        <v>663</v>
      </c>
      <c r="X186" s="16">
        <v>120000</v>
      </c>
      <c r="Y186" s="15" t="s">
        <v>55</v>
      </c>
      <c r="Z186" s="15" t="s">
        <v>56</v>
      </c>
      <c r="AA186" s="14">
        <f t="shared" si="6"/>
        <v>108000</v>
      </c>
      <c r="AB186" s="14">
        <f t="shared" si="7"/>
        <v>96000</v>
      </c>
      <c r="AC186" s="14">
        <f t="shared" si="8"/>
        <v>84000</v>
      </c>
      <c r="AD186" s="15">
        <v>108000</v>
      </c>
      <c r="AE186" s="15">
        <v>96000</v>
      </c>
      <c r="AF186" s="3">
        <v>84000</v>
      </c>
      <c r="AG186" s="45"/>
      <c r="AH186" s="45"/>
      <c r="AI186" s="45"/>
      <c r="AJ186" s="45">
        <v>60000</v>
      </c>
      <c r="AK186" s="45"/>
      <c r="AL186" s="45"/>
      <c r="AM186" s="45"/>
      <c r="AN186" s="45"/>
      <c r="AO186" s="45">
        <v>60000</v>
      </c>
      <c r="AP186" s="45"/>
      <c r="AQ186" s="45"/>
      <c r="AR186" s="45"/>
      <c r="AS186" s="45">
        <v>120000</v>
      </c>
      <c r="AT186" s="3" t="s">
        <v>70</v>
      </c>
      <c r="AU186" s="272"/>
    </row>
    <row r="187" spans="1:47" ht="16.5" hidden="1" customHeight="1" x14ac:dyDescent="0.35">
      <c r="A187" s="15" t="s">
        <v>222</v>
      </c>
      <c r="B187" s="3" t="s">
        <v>58</v>
      </c>
      <c r="C187" s="15" t="s">
        <v>334</v>
      </c>
      <c r="D187" s="15">
        <v>847</v>
      </c>
      <c r="E187" s="15">
        <v>8470305</v>
      </c>
      <c r="F187" s="15" t="s">
        <v>598</v>
      </c>
      <c r="G187" s="15">
        <v>1</v>
      </c>
      <c r="H187" s="276">
        <v>436600</v>
      </c>
      <c r="I187" s="15" t="s">
        <v>416</v>
      </c>
      <c r="J187" s="15" t="s">
        <v>60</v>
      </c>
      <c r="K187" s="15" t="s">
        <v>50</v>
      </c>
      <c r="L187" s="7">
        <v>847001</v>
      </c>
      <c r="M187" s="15" t="s">
        <v>61</v>
      </c>
      <c r="N187" s="15">
        <v>200179</v>
      </c>
      <c r="O187" s="3" t="s">
        <v>664</v>
      </c>
      <c r="P187" s="15" t="s">
        <v>46</v>
      </c>
      <c r="Q187" s="15">
        <v>25000</v>
      </c>
      <c r="R187" s="15">
        <v>20000</v>
      </c>
      <c r="S187" s="15" t="s">
        <v>418</v>
      </c>
      <c r="T187" s="15" t="s">
        <v>157</v>
      </c>
      <c r="U187" s="15">
        <v>2</v>
      </c>
      <c r="V187" s="15">
        <v>20000</v>
      </c>
      <c r="W187" s="15" t="s">
        <v>665</v>
      </c>
      <c r="X187" s="16">
        <v>40000</v>
      </c>
      <c r="Y187" s="15" t="s">
        <v>55</v>
      </c>
      <c r="Z187" s="15" t="s">
        <v>56</v>
      </c>
      <c r="AA187" s="14">
        <f t="shared" si="6"/>
        <v>36000</v>
      </c>
      <c r="AB187" s="14">
        <f t="shared" si="7"/>
        <v>32000</v>
      </c>
      <c r="AC187" s="14">
        <f t="shared" si="8"/>
        <v>28000</v>
      </c>
      <c r="AD187" s="15">
        <v>40000</v>
      </c>
      <c r="AE187" s="15">
        <v>32000</v>
      </c>
      <c r="AF187" s="3">
        <v>20000</v>
      </c>
      <c r="AG187" s="45"/>
      <c r="AH187" s="45"/>
      <c r="AI187" s="45">
        <v>20000</v>
      </c>
      <c r="AJ187" s="45"/>
      <c r="AK187" s="45"/>
      <c r="AL187" s="45"/>
      <c r="AM187" s="45"/>
      <c r="AN187" s="45"/>
      <c r="AO187" s="45"/>
      <c r="AP187" s="45">
        <v>20000</v>
      </c>
      <c r="AQ187" s="45"/>
      <c r="AR187" s="45"/>
      <c r="AS187" s="45">
        <v>40000</v>
      </c>
      <c r="AT187" s="3" t="s">
        <v>70</v>
      </c>
      <c r="AU187" s="272"/>
    </row>
    <row r="188" spans="1:47" ht="16.5" hidden="1" customHeight="1" x14ac:dyDescent="0.35">
      <c r="A188" s="15" t="s">
        <v>222</v>
      </c>
      <c r="B188" s="3" t="s">
        <v>58</v>
      </c>
      <c r="C188" s="15" t="s">
        <v>334</v>
      </c>
      <c r="D188" s="15">
        <v>847</v>
      </c>
      <c r="E188" s="15">
        <v>8470330</v>
      </c>
      <c r="F188" s="15" t="s">
        <v>666</v>
      </c>
      <c r="G188" s="15">
        <v>1</v>
      </c>
      <c r="H188" s="276">
        <v>420550</v>
      </c>
      <c r="I188" s="15" t="s">
        <v>225</v>
      </c>
      <c r="J188" s="15" t="s">
        <v>60</v>
      </c>
      <c r="K188" s="15" t="s">
        <v>50</v>
      </c>
      <c r="L188" s="7">
        <v>847001</v>
      </c>
      <c r="M188" s="15" t="s">
        <v>61</v>
      </c>
      <c r="N188" s="15">
        <v>200179</v>
      </c>
      <c r="O188" s="3" t="s">
        <v>667</v>
      </c>
      <c r="P188" s="15" t="s">
        <v>46</v>
      </c>
      <c r="Q188" s="15">
        <v>3000</v>
      </c>
      <c r="R188" s="16">
        <v>3000</v>
      </c>
      <c r="S188" s="15" t="s">
        <v>227</v>
      </c>
      <c r="T188" s="15"/>
      <c r="U188" s="15">
        <v>1</v>
      </c>
      <c r="V188" s="15">
        <v>3000</v>
      </c>
      <c r="W188" s="15" t="s">
        <v>668</v>
      </c>
      <c r="X188" s="16">
        <v>3000</v>
      </c>
      <c r="Y188" s="15" t="s">
        <v>55</v>
      </c>
      <c r="Z188" s="15" t="s">
        <v>56</v>
      </c>
      <c r="AA188" s="14">
        <f t="shared" si="6"/>
        <v>2700</v>
      </c>
      <c r="AB188" s="14">
        <f t="shared" si="7"/>
        <v>2400</v>
      </c>
      <c r="AC188" s="14">
        <f t="shared" si="8"/>
        <v>2100</v>
      </c>
      <c r="AD188" s="15" t="s">
        <v>669</v>
      </c>
      <c r="AE188" s="15" t="s">
        <v>670</v>
      </c>
      <c r="AF188" s="3" t="s">
        <v>670</v>
      </c>
      <c r="AG188" s="45">
        <v>0</v>
      </c>
      <c r="AH188" s="45">
        <v>0</v>
      </c>
      <c r="AI188" s="45">
        <v>0</v>
      </c>
      <c r="AJ188" s="45">
        <v>0</v>
      </c>
      <c r="AK188" s="45">
        <v>0</v>
      </c>
      <c r="AL188" s="45">
        <v>0</v>
      </c>
      <c r="AM188" s="45">
        <v>3000</v>
      </c>
      <c r="AN188" s="45">
        <v>0</v>
      </c>
      <c r="AO188" s="45">
        <v>0</v>
      </c>
      <c r="AP188" s="45">
        <v>0</v>
      </c>
      <c r="AQ188" s="45">
        <v>0</v>
      </c>
      <c r="AR188" s="45">
        <v>0</v>
      </c>
      <c r="AS188" s="45">
        <v>3000</v>
      </c>
      <c r="AT188" s="3" t="s">
        <v>384</v>
      </c>
      <c r="AU188" s="272"/>
    </row>
    <row r="189" spans="1:47" ht="16.5" hidden="1" customHeight="1" x14ac:dyDescent="0.35">
      <c r="A189" s="15" t="s">
        <v>245</v>
      </c>
      <c r="B189" s="3" t="s">
        <v>246</v>
      </c>
      <c r="C189" s="15" t="s">
        <v>334</v>
      </c>
      <c r="D189" s="15">
        <v>847</v>
      </c>
      <c r="E189" s="15">
        <v>8470330</v>
      </c>
      <c r="F189" s="15" t="s">
        <v>666</v>
      </c>
      <c r="G189" s="15">
        <v>1</v>
      </c>
      <c r="H189" s="276">
        <v>425510</v>
      </c>
      <c r="I189" s="15" t="s">
        <v>247</v>
      </c>
      <c r="J189" s="15" t="s">
        <v>60</v>
      </c>
      <c r="K189" s="15" t="s">
        <v>50</v>
      </c>
      <c r="L189" s="7">
        <v>847001</v>
      </c>
      <c r="M189" s="15" t="s">
        <v>61</v>
      </c>
      <c r="N189" s="15">
        <v>200179</v>
      </c>
      <c r="O189" s="3" t="s">
        <v>671</v>
      </c>
      <c r="P189" s="15" t="s">
        <v>46</v>
      </c>
      <c r="Q189" s="15">
        <v>42000</v>
      </c>
      <c r="R189" s="16">
        <v>42000</v>
      </c>
      <c r="S189" s="15" t="s">
        <v>672</v>
      </c>
      <c r="T189" s="15" t="s">
        <v>673</v>
      </c>
      <c r="U189" s="15">
        <v>1</v>
      </c>
      <c r="V189" s="15">
        <v>10000</v>
      </c>
      <c r="W189" s="15" t="s">
        <v>674</v>
      </c>
      <c r="X189" s="16">
        <v>10000</v>
      </c>
      <c r="Y189" s="15" t="s">
        <v>55</v>
      </c>
      <c r="Z189" s="15" t="s">
        <v>197</v>
      </c>
      <c r="AA189" s="14">
        <f t="shared" si="6"/>
        <v>9000</v>
      </c>
      <c r="AB189" s="14">
        <f t="shared" si="7"/>
        <v>8000</v>
      </c>
      <c r="AC189" s="14">
        <f t="shared" si="8"/>
        <v>7000</v>
      </c>
      <c r="AD189" s="15" t="s">
        <v>675</v>
      </c>
      <c r="AE189" s="15" t="s">
        <v>675</v>
      </c>
      <c r="AF189" s="3" t="s">
        <v>676</v>
      </c>
      <c r="AG189" s="45">
        <v>0</v>
      </c>
      <c r="AH189" s="45">
        <v>0</v>
      </c>
      <c r="AI189" s="45">
        <v>0</v>
      </c>
      <c r="AJ189" s="45">
        <v>0</v>
      </c>
      <c r="AK189" s="45">
        <v>0</v>
      </c>
      <c r="AL189" s="45">
        <v>0</v>
      </c>
      <c r="AM189" s="45">
        <v>10000</v>
      </c>
      <c r="AN189" s="45">
        <v>0</v>
      </c>
      <c r="AO189" s="45">
        <v>0</v>
      </c>
      <c r="AP189" s="45">
        <v>0</v>
      </c>
      <c r="AQ189" s="45">
        <v>0</v>
      </c>
      <c r="AR189" s="45">
        <v>0</v>
      </c>
      <c r="AS189" s="45">
        <v>10000</v>
      </c>
      <c r="AT189" s="3" t="s">
        <v>480</v>
      </c>
      <c r="AU189" s="272"/>
    </row>
    <row r="190" spans="1:47" ht="16.5" hidden="1" customHeight="1" x14ac:dyDescent="0.35">
      <c r="A190" s="15" t="s">
        <v>258</v>
      </c>
      <c r="B190" s="3" t="s">
        <v>350</v>
      </c>
      <c r="C190" s="15" t="s">
        <v>334</v>
      </c>
      <c r="D190" s="15">
        <v>847</v>
      </c>
      <c r="E190" s="15">
        <v>8470330</v>
      </c>
      <c r="F190" s="15" t="s">
        <v>666</v>
      </c>
      <c r="G190" s="15">
        <v>1</v>
      </c>
      <c r="H190" s="276">
        <v>425760</v>
      </c>
      <c r="I190" s="15" t="s">
        <v>352</v>
      </c>
      <c r="J190" s="15" t="s">
        <v>60</v>
      </c>
      <c r="K190" s="15" t="s">
        <v>50</v>
      </c>
      <c r="L190" s="7">
        <v>847001</v>
      </c>
      <c r="M190" s="15" t="s">
        <v>61</v>
      </c>
      <c r="N190" s="15">
        <v>200179</v>
      </c>
      <c r="O190" s="3" t="s">
        <v>677</v>
      </c>
      <c r="P190" s="15" t="s">
        <v>46</v>
      </c>
      <c r="Q190" s="15">
        <v>72000</v>
      </c>
      <c r="R190" s="16">
        <v>72000</v>
      </c>
      <c r="S190" s="15" t="s">
        <v>440</v>
      </c>
      <c r="T190" s="15" t="s">
        <v>441</v>
      </c>
      <c r="U190" s="15">
        <v>10</v>
      </c>
      <c r="V190" s="15">
        <v>7500</v>
      </c>
      <c r="W190" s="15" t="s">
        <v>678</v>
      </c>
      <c r="X190" s="16">
        <v>75000</v>
      </c>
      <c r="Y190" s="15" t="s">
        <v>55</v>
      </c>
      <c r="Z190" s="15" t="s">
        <v>56</v>
      </c>
      <c r="AA190" s="14">
        <f t="shared" si="6"/>
        <v>67500</v>
      </c>
      <c r="AB190" s="14">
        <f t="shared" si="7"/>
        <v>60000</v>
      </c>
      <c r="AC190" s="14">
        <f t="shared" si="8"/>
        <v>52500</v>
      </c>
      <c r="AD190" s="15" t="s">
        <v>679</v>
      </c>
      <c r="AE190" s="15" t="s">
        <v>679</v>
      </c>
      <c r="AF190" s="3" t="s">
        <v>679</v>
      </c>
      <c r="AG190" s="45">
        <v>0</v>
      </c>
      <c r="AH190" s="45">
        <v>7500</v>
      </c>
      <c r="AI190" s="45">
        <v>7500</v>
      </c>
      <c r="AJ190" s="45">
        <v>7500</v>
      </c>
      <c r="AK190" s="45">
        <v>7500</v>
      </c>
      <c r="AL190" s="45">
        <v>7500</v>
      </c>
      <c r="AM190" s="45">
        <v>7500</v>
      </c>
      <c r="AN190" s="45">
        <v>7500</v>
      </c>
      <c r="AO190" s="45">
        <v>7500</v>
      </c>
      <c r="AP190" s="45">
        <v>7500</v>
      </c>
      <c r="AQ190" s="45">
        <v>7500</v>
      </c>
      <c r="AR190" s="45">
        <v>0</v>
      </c>
      <c r="AS190" s="45">
        <v>75000</v>
      </c>
      <c r="AT190" s="3" t="s">
        <v>379</v>
      </c>
      <c r="AU190" s="272"/>
    </row>
    <row r="191" spans="1:47" ht="16.5" hidden="1" customHeight="1" x14ac:dyDescent="0.35">
      <c r="A191" s="15" t="s">
        <v>258</v>
      </c>
      <c r="B191" s="3" t="s">
        <v>58</v>
      </c>
      <c r="C191" s="15" t="s">
        <v>334</v>
      </c>
      <c r="D191" s="15">
        <v>847</v>
      </c>
      <c r="E191" s="15">
        <v>8470330</v>
      </c>
      <c r="F191" s="15" t="s">
        <v>666</v>
      </c>
      <c r="G191" s="15">
        <v>1</v>
      </c>
      <c r="H191" s="276">
        <v>425763</v>
      </c>
      <c r="I191" s="15" t="s">
        <v>359</v>
      </c>
      <c r="J191" s="15" t="s">
        <v>60</v>
      </c>
      <c r="K191" s="15" t="s">
        <v>50</v>
      </c>
      <c r="L191" s="7">
        <v>847001</v>
      </c>
      <c r="M191" s="15" t="s">
        <v>61</v>
      </c>
      <c r="N191" s="15">
        <v>200179</v>
      </c>
      <c r="O191" s="3" t="s">
        <v>680</v>
      </c>
      <c r="P191" s="15">
        <v>216899.04</v>
      </c>
      <c r="Q191" s="15">
        <v>405000</v>
      </c>
      <c r="R191" s="16">
        <v>405000</v>
      </c>
      <c r="S191" s="15" t="s">
        <v>361</v>
      </c>
      <c r="T191" s="15" t="s">
        <v>68</v>
      </c>
      <c r="U191" s="15">
        <v>145</v>
      </c>
      <c r="V191" s="15">
        <v>3000</v>
      </c>
      <c r="W191" s="15" t="s">
        <v>681</v>
      </c>
      <c r="X191" s="16">
        <v>435000</v>
      </c>
      <c r="Y191" s="15" t="s">
        <v>55</v>
      </c>
      <c r="Z191" s="15" t="s">
        <v>56</v>
      </c>
      <c r="AA191" s="14">
        <f t="shared" si="6"/>
        <v>391500</v>
      </c>
      <c r="AB191" s="14">
        <f t="shared" si="7"/>
        <v>348000</v>
      </c>
      <c r="AC191" s="14">
        <f t="shared" si="8"/>
        <v>304500</v>
      </c>
      <c r="AD191" s="15" t="s">
        <v>682</v>
      </c>
      <c r="AE191" s="15" t="s">
        <v>683</v>
      </c>
      <c r="AF191" s="3" t="s">
        <v>683</v>
      </c>
      <c r="AG191" s="45">
        <v>0</v>
      </c>
      <c r="AH191" s="45">
        <v>0</v>
      </c>
      <c r="AI191" s="45">
        <v>55000</v>
      </c>
      <c r="AJ191" s="45">
        <v>55000</v>
      </c>
      <c r="AK191" s="45">
        <v>55000</v>
      </c>
      <c r="AL191" s="45">
        <v>55000</v>
      </c>
      <c r="AM191" s="45">
        <v>55000</v>
      </c>
      <c r="AN191" s="45">
        <v>55000</v>
      </c>
      <c r="AO191" s="45">
        <v>55000</v>
      </c>
      <c r="AP191" s="45">
        <v>50000</v>
      </c>
      <c r="AQ191" s="45">
        <v>0</v>
      </c>
      <c r="AR191" s="45">
        <v>0</v>
      </c>
      <c r="AS191" s="45">
        <v>435000</v>
      </c>
      <c r="AT191" s="3" t="s">
        <v>365</v>
      </c>
      <c r="AU191" s="272"/>
    </row>
    <row r="192" spans="1:47" ht="16.5" hidden="1" customHeight="1" x14ac:dyDescent="0.35">
      <c r="A192" s="15" t="s">
        <v>222</v>
      </c>
      <c r="B192" s="3" t="s">
        <v>58</v>
      </c>
      <c r="C192" s="15" t="s">
        <v>334</v>
      </c>
      <c r="D192" s="15">
        <v>847</v>
      </c>
      <c r="E192" s="15">
        <v>8470330</v>
      </c>
      <c r="F192" s="15" t="s">
        <v>666</v>
      </c>
      <c r="G192" s="15">
        <v>1</v>
      </c>
      <c r="H192" s="276">
        <v>425770</v>
      </c>
      <c r="I192" s="15" t="s">
        <v>367</v>
      </c>
      <c r="J192" s="15" t="s">
        <v>60</v>
      </c>
      <c r="K192" s="15" t="s">
        <v>50</v>
      </c>
      <c r="L192" s="7">
        <v>847001</v>
      </c>
      <c r="M192" s="15" t="s">
        <v>61</v>
      </c>
      <c r="N192" s="15">
        <v>200179</v>
      </c>
      <c r="O192" s="3" t="s">
        <v>684</v>
      </c>
      <c r="P192" s="15">
        <v>12190.2</v>
      </c>
      <c r="Q192" s="15">
        <v>650000</v>
      </c>
      <c r="R192" s="16">
        <v>650000</v>
      </c>
      <c r="S192" s="15" t="s">
        <v>367</v>
      </c>
      <c r="T192" s="15" t="s">
        <v>62</v>
      </c>
      <c r="U192" s="15">
        <v>63</v>
      </c>
      <c r="V192" s="15">
        <v>20000</v>
      </c>
      <c r="W192" s="15" t="s">
        <v>685</v>
      </c>
      <c r="X192" s="16">
        <v>1260000</v>
      </c>
      <c r="Y192" s="15" t="s">
        <v>55</v>
      </c>
      <c r="Z192" s="15" t="s">
        <v>56</v>
      </c>
      <c r="AA192" s="14">
        <f t="shared" si="6"/>
        <v>1134000</v>
      </c>
      <c r="AB192" s="14">
        <f t="shared" si="7"/>
        <v>1008000</v>
      </c>
      <c r="AC192" s="14">
        <f t="shared" si="8"/>
        <v>882000</v>
      </c>
      <c r="AD192" s="15" t="s">
        <v>686</v>
      </c>
      <c r="AE192" s="15" t="s">
        <v>687</v>
      </c>
      <c r="AF192" s="3" t="s">
        <v>688</v>
      </c>
      <c r="AG192" s="45">
        <v>0</v>
      </c>
      <c r="AH192" s="45">
        <v>126000</v>
      </c>
      <c r="AI192" s="45">
        <v>126000</v>
      </c>
      <c r="AJ192" s="45">
        <v>126000</v>
      </c>
      <c r="AK192" s="45">
        <v>126000</v>
      </c>
      <c r="AL192" s="45">
        <v>126000</v>
      </c>
      <c r="AM192" s="45">
        <v>126000</v>
      </c>
      <c r="AN192" s="45">
        <v>126000</v>
      </c>
      <c r="AO192" s="45">
        <v>126000</v>
      </c>
      <c r="AP192" s="45">
        <v>126000</v>
      </c>
      <c r="AQ192" s="45">
        <v>126000</v>
      </c>
      <c r="AR192" s="45">
        <v>0</v>
      </c>
      <c r="AS192" s="45">
        <v>1260000</v>
      </c>
      <c r="AT192" s="3" t="s">
        <v>689</v>
      </c>
      <c r="AU192" s="272" t="s">
        <v>374</v>
      </c>
    </row>
    <row r="193" spans="1:47" ht="16.5" hidden="1" customHeight="1" x14ac:dyDescent="0.35">
      <c r="A193" s="15" t="s">
        <v>189</v>
      </c>
      <c r="B193" s="3" t="s">
        <v>265</v>
      </c>
      <c r="C193" s="15" t="s">
        <v>334</v>
      </c>
      <c r="D193" s="15">
        <v>847</v>
      </c>
      <c r="E193" s="15">
        <v>8470330</v>
      </c>
      <c r="F193" s="15" t="s">
        <v>666</v>
      </c>
      <c r="G193" s="15">
        <v>1</v>
      </c>
      <c r="H193" s="276">
        <v>425900</v>
      </c>
      <c r="I193" s="15" t="s">
        <v>266</v>
      </c>
      <c r="J193" s="15" t="s">
        <v>60</v>
      </c>
      <c r="K193" s="15" t="s">
        <v>50</v>
      </c>
      <c r="L193" s="7">
        <v>847001</v>
      </c>
      <c r="M193" s="15" t="s">
        <v>61</v>
      </c>
      <c r="N193" s="15">
        <v>200179</v>
      </c>
      <c r="O193" s="3" t="s">
        <v>690</v>
      </c>
      <c r="P193" s="15" t="s">
        <v>46</v>
      </c>
      <c r="Q193" s="15">
        <v>16000</v>
      </c>
      <c r="R193" s="16">
        <v>16000</v>
      </c>
      <c r="S193" s="15" t="s">
        <v>266</v>
      </c>
      <c r="T193" s="15" t="s">
        <v>62</v>
      </c>
      <c r="U193" s="15">
        <v>6</v>
      </c>
      <c r="V193" s="15">
        <v>5000</v>
      </c>
      <c r="W193" s="15" t="s">
        <v>691</v>
      </c>
      <c r="X193" s="16">
        <v>30000</v>
      </c>
      <c r="Y193" s="15" t="s">
        <v>55</v>
      </c>
      <c r="Z193" s="15" t="s">
        <v>56</v>
      </c>
      <c r="AA193" s="14">
        <f t="shared" si="6"/>
        <v>27000</v>
      </c>
      <c r="AB193" s="14">
        <f t="shared" si="7"/>
        <v>24000</v>
      </c>
      <c r="AC193" s="14">
        <f t="shared" si="8"/>
        <v>21000</v>
      </c>
      <c r="AD193" s="15" t="s">
        <v>669</v>
      </c>
      <c r="AE193" s="15" t="s">
        <v>692</v>
      </c>
      <c r="AF193" s="3" t="s">
        <v>693</v>
      </c>
      <c r="AG193" s="45">
        <v>5000</v>
      </c>
      <c r="AH193" s="45">
        <v>5000</v>
      </c>
      <c r="AI193" s="45">
        <v>5000</v>
      </c>
      <c r="AJ193" s="45">
        <v>0</v>
      </c>
      <c r="AK193" s="45">
        <v>0</v>
      </c>
      <c r="AL193" s="45">
        <v>0</v>
      </c>
      <c r="AM193" s="45">
        <v>0</v>
      </c>
      <c r="AN193" s="45">
        <v>5000</v>
      </c>
      <c r="AO193" s="45">
        <v>0</v>
      </c>
      <c r="AP193" s="45">
        <v>5000</v>
      </c>
      <c r="AQ193" s="45">
        <v>5000</v>
      </c>
      <c r="AR193" s="45">
        <v>0</v>
      </c>
      <c r="AS193" s="45">
        <v>30000</v>
      </c>
      <c r="AT193" s="3" t="s">
        <v>272</v>
      </c>
      <c r="AU193" s="272"/>
    </row>
    <row r="194" spans="1:47" ht="16.5" hidden="1" customHeight="1" x14ac:dyDescent="0.35">
      <c r="A194" s="15" t="s">
        <v>63</v>
      </c>
      <c r="B194" s="3" t="s">
        <v>64</v>
      </c>
      <c r="C194" s="15" t="s">
        <v>334</v>
      </c>
      <c r="D194" s="15">
        <v>847</v>
      </c>
      <c r="E194" s="15">
        <v>8470330</v>
      </c>
      <c r="F194" s="15" t="s">
        <v>666</v>
      </c>
      <c r="G194" s="15">
        <v>1</v>
      </c>
      <c r="H194" s="276">
        <v>426610</v>
      </c>
      <c r="I194" s="15" t="s">
        <v>694</v>
      </c>
      <c r="J194" s="15" t="s">
        <v>60</v>
      </c>
      <c r="K194" s="15" t="s">
        <v>50</v>
      </c>
      <c r="L194" s="7">
        <v>847001</v>
      </c>
      <c r="M194" s="15" t="s">
        <v>61</v>
      </c>
      <c r="N194" s="15">
        <v>200179</v>
      </c>
      <c r="O194" s="3" t="s">
        <v>695</v>
      </c>
      <c r="P194" s="15">
        <v>122131.96</v>
      </c>
      <c r="Q194" s="15">
        <v>720500</v>
      </c>
      <c r="R194" s="16">
        <v>720500</v>
      </c>
      <c r="S194" s="15" t="s">
        <v>694</v>
      </c>
      <c r="T194" s="15" t="s">
        <v>62</v>
      </c>
      <c r="U194" s="15">
        <v>9</v>
      </c>
      <c r="V194" s="15">
        <v>78958</v>
      </c>
      <c r="W194" s="15" t="s">
        <v>696</v>
      </c>
      <c r="X194" s="16">
        <v>710622</v>
      </c>
      <c r="Y194" s="15" t="s">
        <v>55</v>
      </c>
      <c r="Z194" s="15" t="s">
        <v>56</v>
      </c>
      <c r="AA194" s="14">
        <f t="shared" si="6"/>
        <v>639559.80000000005</v>
      </c>
      <c r="AB194" s="14">
        <f t="shared" si="7"/>
        <v>568497.6</v>
      </c>
      <c r="AC194" s="14">
        <f t="shared" si="8"/>
        <v>497435.39999999997</v>
      </c>
      <c r="AD194" s="15" t="s">
        <v>697</v>
      </c>
      <c r="AE194" s="15" t="s">
        <v>697</v>
      </c>
      <c r="AF194" s="3" t="s">
        <v>698</v>
      </c>
      <c r="AG194" s="45">
        <v>0</v>
      </c>
      <c r="AH194" s="45">
        <v>0</v>
      </c>
      <c r="AI194" s="45">
        <v>0</v>
      </c>
      <c r="AJ194" s="45">
        <v>0</v>
      </c>
      <c r="AK194" s="45">
        <v>600000</v>
      </c>
      <c r="AL194" s="45">
        <v>0</v>
      </c>
      <c r="AM194" s="45">
        <v>110622</v>
      </c>
      <c r="AN194" s="45">
        <v>0</v>
      </c>
      <c r="AO194" s="45">
        <v>0</v>
      </c>
      <c r="AP194" s="45">
        <v>0</v>
      </c>
      <c r="AQ194" s="45">
        <v>0</v>
      </c>
      <c r="AR194" s="45">
        <v>0</v>
      </c>
      <c r="AS194" s="45">
        <v>710622</v>
      </c>
      <c r="AT194" s="3" t="s">
        <v>70</v>
      </c>
      <c r="AU194" s="272"/>
    </row>
    <row r="195" spans="1:47" ht="16.5" hidden="1" customHeight="1" x14ac:dyDescent="0.35">
      <c r="A195" s="15" t="s">
        <v>245</v>
      </c>
      <c r="B195" s="3" t="s">
        <v>246</v>
      </c>
      <c r="C195" s="15" t="s">
        <v>334</v>
      </c>
      <c r="D195" s="15">
        <v>847</v>
      </c>
      <c r="E195" s="15">
        <v>8470330</v>
      </c>
      <c r="F195" s="15" t="s">
        <v>666</v>
      </c>
      <c r="G195" s="15">
        <v>1</v>
      </c>
      <c r="H195" s="276">
        <v>428640</v>
      </c>
      <c r="I195" s="15" t="s">
        <v>279</v>
      </c>
      <c r="J195" s="15" t="s">
        <v>60</v>
      </c>
      <c r="K195" s="15" t="s">
        <v>50</v>
      </c>
      <c r="L195" s="7">
        <v>847001</v>
      </c>
      <c r="M195" s="15" t="s">
        <v>61</v>
      </c>
      <c r="N195" s="15">
        <v>200179</v>
      </c>
      <c r="O195" s="3" t="s">
        <v>699</v>
      </c>
      <c r="P195" s="15">
        <v>4487.99</v>
      </c>
      <c r="Q195" s="15">
        <v>302000</v>
      </c>
      <c r="R195" s="16">
        <v>302000</v>
      </c>
      <c r="S195" s="15" t="s">
        <v>279</v>
      </c>
      <c r="T195" s="15" t="s">
        <v>62</v>
      </c>
      <c r="U195" s="15">
        <v>2</v>
      </c>
      <c r="V195" s="16">
        <v>151000</v>
      </c>
      <c r="W195" s="15" t="s">
        <v>700</v>
      </c>
      <c r="X195" s="16">
        <v>302000</v>
      </c>
      <c r="Y195" s="15" t="s">
        <v>55</v>
      </c>
      <c r="Z195" s="15" t="s">
        <v>56</v>
      </c>
      <c r="AA195" s="14">
        <f t="shared" ref="AA195:AA258" si="9">X195*0.9</f>
        <v>271800</v>
      </c>
      <c r="AB195" s="14">
        <f t="shared" ref="AB195:AB258" si="10">X195*0.8</f>
        <v>241600</v>
      </c>
      <c r="AC195" s="14">
        <f t="shared" ref="AC195:AC258" si="11">X195*0.7</f>
        <v>211400</v>
      </c>
      <c r="AD195" s="15" t="s">
        <v>669</v>
      </c>
      <c r="AE195" s="15" t="s">
        <v>701</v>
      </c>
      <c r="AF195" s="3" t="s">
        <v>702</v>
      </c>
      <c r="AG195" s="45">
        <v>0</v>
      </c>
      <c r="AH195" s="45">
        <v>0</v>
      </c>
      <c r="AI195" s="45">
        <v>0</v>
      </c>
      <c r="AJ195" s="45">
        <v>0</v>
      </c>
      <c r="AK195" s="45">
        <v>2000</v>
      </c>
      <c r="AL195" s="45">
        <v>0</v>
      </c>
      <c r="AM195" s="45">
        <v>0</v>
      </c>
      <c r="AN195" s="45">
        <v>0</v>
      </c>
      <c r="AO195" s="45">
        <v>0</v>
      </c>
      <c r="AP195" s="45">
        <v>0</v>
      </c>
      <c r="AQ195" s="45">
        <v>300000</v>
      </c>
      <c r="AR195" s="45">
        <v>0</v>
      </c>
      <c r="AS195" s="45">
        <v>302000</v>
      </c>
      <c r="AT195" s="3" t="s">
        <v>244</v>
      </c>
      <c r="AU195" s="272"/>
    </row>
    <row r="196" spans="1:47" ht="16.5" hidden="1" customHeight="1" x14ac:dyDescent="0.35">
      <c r="A196" s="15" t="s">
        <v>222</v>
      </c>
      <c r="B196" s="3" t="s">
        <v>58</v>
      </c>
      <c r="C196" s="15" t="s">
        <v>334</v>
      </c>
      <c r="D196" s="15">
        <v>847</v>
      </c>
      <c r="E196" s="15">
        <v>8470330</v>
      </c>
      <c r="F196" s="15" t="s">
        <v>666</v>
      </c>
      <c r="G196" s="15">
        <v>1</v>
      </c>
      <c r="H196" s="276">
        <v>432209</v>
      </c>
      <c r="I196" s="15" t="s">
        <v>393</v>
      </c>
      <c r="J196" s="15" t="s">
        <v>60</v>
      </c>
      <c r="K196" s="15" t="s">
        <v>50</v>
      </c>
      <c r="L196" s="7">
        <v>847001</v>
      </c>
      <c r="M196" s="15" t="s">
        <v>61</v>
      </c>
      <c r="N196" s="15">
        <v>200179</v>
      </c>
      <c r="O196" s="3" t="s">
        <v>703</v>
      </c>
      <c r="P196" s="15" t="s">
        <v>46</v>
      </c>
      <c r="Q196" s="15">
        <v>67400</v>
      </c>
      <c r="R196" s="16">
        <v>67400</v>
      </c>
      <c r="S196" s="15" t="s">
        <v>393</v>
      </c>
      <c r="T196" s="15" t="s">
        <v>62</v>
      </c>
      <c r="U196" s="15">
        <v>10</v>
      </c>
      <c r="V196" s="15">
        <v>5000</v>
      </c>
      <c r="W196" s="15" t="s">
        <v>704</v>
      </c>
      <c r="X196" s="16">
        <v>50000</v>
      </c>
      <c r="Y196" s="15" t="s">
        <v>55</v>
      </c>
      <c r="Z196" s="15" t="s">
        <v>56</v>
      </c>
      <c r="AA196" s="14">
        <f t="shared" si="9"/>
        <v>45000</v>
      </c>
      <c r="AB196" s="14">
        <f t="shared" si="10"/>
        <v>40000</v>
      </c>
      <c r="AC196" s="14">
        <f t="shared" si="11"/>
        <v>35000</v>
      </c>
      <c r="AD196" s="15" t="s">
        <v>705</v>
      </c>
      <c r="AE196" s="15" t="s">
        <v>706</v>
      </c>
      <c r="AF196" s="3" t="s">
        <v>707</v>
      </c>
      <c r="AG196" s="45">
        <v>0</v>
      </c>
      <c r="AH196" s="45">
        <v>5000</v>
      </c>
      <c r="AI196" s="45">
        <v>5000</v>
      </c>
      <c r="AJ196" s="45">
        <v>5000</v>
      </c>
      <c r="AK196" s="45">
        <v>5000</v>
      </c>
      <c r="AL196" s="45">
        <v>5000</v>
      </c>
      <c r="AM196" s="45">
        <v>5000</v>
      </c>
      <c r="AN196" s="45">
        <v>5000</v>
      </c>
      <c r="AO196" s="45">
        <v>5000</v>
      </c>
      <c r="AP196" s="45">
        <v>5000</v>
      </c>
      <c r="AQ196" s="45">
        <v>5000</v>
      </c>
      <c r="AR196" s="45">
        <v>0</v>
      </c>
      <c r="AS196" s="45">
        <v>50000</v>
      </c>
      <c r="AT196" s="3" t="s">
        <v>70</v>
      </c>
      <c r="AU196" s="272" t="s">
        <v>397</v>
      </c>
    </row>
    <row r="197" spans="1:47" ht="16.5" hidden="1" customHeight="1" x14ac:dyDescent="0.35">
      <c r="A197" s="15" t="s">
        <v>222</v>
      </c>
      <c r="B197" s="3" t="s">
        <v>58</v>
      </c>
      <c r="C197" s="15" t="s">
        <v>334</v>
      </c>
      <c r="D197" s="15">
        <v>847</v>
      </c>
      <c r="E197" s="15">
        <v>8470330</v>
      </c>
      <c r="F197" s="15" t="s">
        <v>666</v>
      </c>
      <c r="G197" s="15">
        <v>1</v>
      </c>
      <c r="H197" s="276">
        <v>435350</v>
      </c>
      <c r="I197" s="15" t="s">
        <v>399</v>
      </c>
      <c r="J197" s="15" t="s">
        <v>60</v>
      </c>
      <c r="K197" s="15" t="s">
        <v>50</v>
      </c>
      <c r="L197" s="7">
        <v>847001</v>
      </c>
      <c r="M197" s="15" t="s">
        <v>61</v>
      </c>
      <c r="N197" s="15">
        <v>200179</v>
      </c>
      <c r="O197" s="3" t="s">
        <v>708</v>
      </c>
      <c r="P197" s="15">
        <v>49194.96</v>
      </c>
      <c r="Q197" s="15">
        <v>420000</v>
      </c>
      <c r="R197" s="16">
        <v>420000</v>
      </c>
      <c r="S197" s="15" t="s">
        <v>399</v>
      </c>
      <c r="T197" s="15" t="s">
        <v>62</v>
      </c>
      <c r="U197" s="15">
        <v>63</v>
      </c>
      <c r="V197" s="15">
        <v>7000</v>
      </c>
      <c r="W197" s="15" t="s">
        <v>709</v>
      </c>
      <c r="X197" s="16">
        <v>441000</v>
      </c>
      <c r="Y197" s="15" t="s">
        <v>55</v>
      </c>
      <c r="Z197" s="15" t="s">
        <v>56</v>
      </c>
      <c r="AA197" s="14">
        <f t="shared" si="9"/>
        <v>396900</v>
      </c>
      <c r="AB197" s="14">
        <f t="shared" si="10"/>
        <v>352800</v>
      </c>
      <c r="AC197" s="14">
        <f t="shared" si="11"/>
        <v>308700</v>
      </c>
      <c r="AD197" s="15" t="s">
        <v>669</v>
      </c>
      <c r="AE197" s="15" t="s">
        <v>710</v>
      </c>
      <c r="AF197" s="3" t="s">
        <v>711</v>
      </c>
      <c r="AG197" s="45">
        <v>0</v>
      </c>
      <c r="AH197" s="45">
        <v>44100</v>
      </c>
      <c r="AI197" s="45">
        <v>44100</v>
      </c>
      <c r="AJ197" s="45">
        <v>44100</v>
      </c>
      <c r="AK197" s="45">
        <v>44100</v>
      </c>
      <c r="AL197" s="45">
        <v>44100</v>
      </c>
      <c r="AM197" s="45">
        <v>44100</v>
      </c>
      <c r="AN197" s="45">
        <v>44100</v>
      </c>
      <c r="AO197" s="45">
        <v>44100</v>
      </c>
      <c r="AP197" s="45">
        <v>44100</v>
      </c>
      <c r="AQ197" s="45">
        <v>44100</v>
      </c>
      <c r="AR197" s="45">
        <v>0</v>
      </c>
      <c r="AS197" s="45">
        <v>441000</v>
      </c>
      <c r="AT197" s="3" t="s">
        <v>480</v>
      </c>
      <c r="AU197" s="272"/>
    </row>
    <row r="198" spans="1:47" ht="16.5" hidden="1" customHeight="1" x14ac:dyDescent="0.35">
      <c r="A198" s="15" t="s">
        <v>222</v>
      </c>
      <c r="B198" s="3" t="s">
        <v>220</v>
      </c>
      <c r="C198" s="15" t="s">
        <v>334</v>
      </c>
      <c r="D198" s="15">
        <v>847</v>
      </c>
      <c r="E198" s="15">
        <v>8470330</v>
      </c>
      <c r="F198" s="15" t="s">
        <v>666</v>
      </c>
      <c r="G198" s="15">
        <v>1</v>
      </c>
      <c r="H198" s="276">
        <v>435508</v>
      </c>
      <c r="I198" s="15" t="s">
        <v>405</v>
      </c>
      <c r="J198" s="15" t="s">
        <v>60</v>
      </c>
      <c r="K198" s="15" t="s">
        <v>50</v>
      </c>
      <c r="L198" s="7">
        <v>847001</v>
      </c>
      <c r="M198" s="15" t="s">
        <v>61</v>
      </c>
      <c r="N198" s="15">
        <v>200179</v>
      </c>
      <c r="O198" s="3" t="s">
        <v>712</v>
      </c>
      <c r="P198" s="15">
        <v>82455.460000000006</v>
      </c>
      <c r="Q198" s="15">
        <v>20000</v>
      </c>
      <c r="R198" s="16">
        <v>20000</v>
      </c>
      <c r="S198" s="15" t="s">
        <v>405</v>
      </c>
      <c r="T198" s="15" t="s">
        <v>62</v>
      </c>
      <c r="U198" s="15">
        <v>8</v>
      </c>
      <c r="V198" s="15">
        <v>10000</v>
      </c>
      <c r="W198" s="15" t="s">
        <v>713</v>
      </c>
      <c r="X198" s="16">
        <v>80000</v>
      </c>
      <c r="Y198" s="15" t="s">
        <v>55</v>
      </c>
      <c r="Z198" s="15" t="s">
        <v>56</v>
      </c>
      <c r="AA198" s="14">
        <f t="shared" si="9"/>
        <v>72000</v>
      </c>
      <c r="AB198" s="14">
        <f t="shared" si="10"/>
        <v>64000</v>
      </c>
      <c r="AC198" s="14">
        <f t="shared" si="11"/>
        <v>56000</v>
      </c>
      <c r="AD198" s="15" t="s">
        <v>669</v>
      </c>
      <c r="AE198" s="15" t="s">
        <v>714</v>
      </c>
      <c r="AF198" s="3" t="s">
        <v>715</v>
      </c>
      <c r="AG198" s="45">
        <v>0</v>
      </c>
      <c r="AH198" s="45">
        <v>8000</v>
      </c>
      <c r="AI198" s="45">
        <v>8000</v>
      </c>
      <c r="AJ198" s="45">
        <v>8000</v>
      </c>
      <c r="AK198" s="45">
        <v>8000</v>
      </c>
      <c r="AL198" s="45">
        <v>8000</v>
      </c>
      <c r="AM198" s="45">
        <v>8000</v>
      </c>
      <c r="AN198" s="45">
        <v>8000</v>
      </c>
      <c r="AO198" s="45">
        <v>8000</v>
      </c>
      <c r="AP198" s="45">
        <v>8000</v>
      </c>
      <c r="AQ198" s="45">
        <v>8000</v>
      </c>
      <c r="AR198" s="45">
        <v>0</v>
      </c>
      <c r="AS198" s="45">
        <v>80000</v>
      </c>
      <c r="AT198" s="3" t="s">
        <v>70</v>
      </c>
      <c r="AU198" s="272"/>
    </row>
    <row r="199" spans="1:47" ht="16.5" hidden="1" customHeight="1" x14ac:dyDescent="0.35">
      <c r="A199" s="15" t="s">
        <v>222</v>
      </c>
      <c r="B199" s="3" t="s">
        <v>58</v>
      </c>
      <c r="C199" s="15" t="s">
        <v>334</v>
      </c>
      <c r="D199" s="15">
        <v>847</v>
      </c>
      <c r="E199" s="15">
        <v>8470330</v>
      </c>
      <c r="F199" s="15" t="s">
        <v>666</v>
      </c>
      <c r="G199" s="15">
        <v>1</v>
      </c>
      <c r="H199" s="276">
        <v>436600</v>
      </c>
      <c r="I199" s="15" t="s">
        <v>416</v>
      </c>
      <c r="J199" s="15" t="s">
        <v>60</v>
      </c>
      <c r="K199" s="15" t="s">
        <v>50</v>
      </c>
      <c r="L199" s="7">
        <v>847001</v>
      </c>
      <c r="M199" s="15" t="s">
        <v>61</v>
      </c>
      <c r="N199" s="15">
        <v>200179</v>
      </c>
      <c r="O199" s="3" t="s">
        <v>716</v>
      </c>
      <c r="P199" s="15">
        <v>0</v>
      </c>
      <c r="Q199" s="15">
        <v>60000</v>
      </c>
      <c r="R199" s="16">
        <v>60000</v>
      </c>
      <c r="S199" s="15" t="s">
        <v>416</v>
      </c>
      <c r="T199" s="15" t="s">
        <v>62</v>
      </c>
      <c r="U199" s="15">
        <v>2</v>
      </c>
      <c r="V199" s="15">
        <v>8000</v>
      </c>
      <c r="W199" s="15" t="s">
        <v>717</v>
      </c>
      <c r="X199" s="16">
        <v>16000</v>
      </c>
      <c r="Y199" s="15" t="s">
        <v>55</v>
      </c>
      <c r="Z199" s="15" t="s">
        <v>56</v>
      </c>
      <c r="AA199" s="14">
        <f t="shared" si="9"/>
        <v>14400</v>
      </c>
      <c r="AB199" s="14">
        <f t="shared" si="10"/>
        <v>12800</v>
      </c>
      <c r="AC199" s="14">
        <f t="shared" si="11"/>
        <v>11200</v>
      </c>
      <c r="AD199" s="15" t="s">
        <v>718</v>
      </c>
      <c r="AE199" s="15" t="s">
        <v>718</v>
      </c>
      <c r="AF199" s="3" t="s">
        <v>718</v>
      </c>
      <c r="AG199" s="45">
        <v>0</v>
      </c>
      <c r="AH199" s="45">
        <v>0</v>
      </c>
      <c r="AI199" s="45">
        <v>0</v>
      </c>
      <c r="AJ199" s="45">
        <v>0</v>
      </c>
      <c r="AK199" s="45">
        <v>0</v>
      </c>
      <c r="AL199" s="45">
        <v>8000</v>
      </c>
      <c r="AM199" s="45">
        <v>0</v>
      </c>
      <c r="AN199" s="45">
        <v>0</v>
      </c>
      <c r="AO199" s="45">
        <v>0</v>
      </c>
      <c r="AP199" s="45">
        <v>0</v>
      </c>
      <c r="AQ199" s="45">
        <v>8000</v>
      </c>
      <c r="AR199" s="45">
        <v>0</v>
      </c>
      <c r="AS199" s="45">
        <v>16000</v>
      </c>
      <c r="AT199" s="3" t="s">
        <v>70</v>
      </c>
      <c r="AU199" s="272"/>
    </row>
    <row r="200" spans="1:47" ht="16.5" hidden="1" customHeight="1" x14ac:dyDescent="0.35">
      <c r="A200" s="15" t="s">
        <v>161</v>
      </c>
      <c r="B200" s="3" t="s">
        <v>220</v>
      </c>
      <c r="C200" s="15" t="s">
        <v>334</v>
      </c>
      <c r="D200" s="15">
        <v>847</v>
      </c>
      <c r="E200" s="15">
        <v>8470330</v>
      </c>
      <c r="F200" s="15" t="s">
        <v>666</v>
      </c>
      <c r="G200" s="15">
        <v>1</v>
      </c>
      <c r="H200" s="276">
        <v>492316</v>
      </c>
      <c r="I200" s="15" t="s">
        <v>221</v>
      </c>
      <c r="J200" s="15" t="s">
        <v>60</v>
      </c>
      <c r="K200" s="15" t="s">
        <v>50</v>
      </c>
      <c r="L200" s="7">
        <v>847001</v>
      </c>
      <c r="M200" s="15" t="s">
        <v>192</v>
      </c>
      <c r="N200" s="15">
        <v>300180</v>
      </c>
      <c r="O200" s="3" t="s">
        <v>719</v>
      </c>
      <c r="P200" s="15">
        <v>228093.3</v>
      </c>
      <c r="Q200" s="15">
        <v>456796</v>
      </c>
      <c r="R200" s="16">
        <v>456796</v>
      </c>
      <c r="S200" s="15" t="s">
        <v>221</v>
      </c>
      <c r="T200" s="15" t="s">
        <v>62</v>
      </c>
      <c r="U200" s="15">
        <v>9</v>
      </c>
      <c r="V200" s="15">
        <v>115728</v>
      </c>
      <c r="W200" s="15" t="s">
        <v>720</v>
      </c>
      <c r="X200" s="16">
        <v>1041552</v>
      </c>
      <c r="Y200" s="15" t="s">
        <v>55</v>
      </c>
      <c r="Z200" s="15" t="s">
        <v>56</v>
      </c>
      <c r="AA200" s="14">
        <f t="shared" si="9"/>
        <v>937396.8</v>
      </c>
      <c r="AB200" s="14">
        <f t="shared" si="10"/>
        <v>833241.60000000009</v>
      </c>
      <c r="AC200" s="14">
        <f t="shared" si="11"/>
        <v>729086.39999999991</v>
      </c>
      <c r="AD200" s="15" t="s">
        <v>669</v>
      </c>
      <c r="AE200" s="15" t="s">
        <v>714</v>
      </c>
      <c r="AF200" s="3" t="s">
        <v>715</v>
      </c>
      <c r="AG200" s="45">
        <v>0</v>
      </c>
      <c r="AH200" s="45">
        <v>0</v>
      </c>
      <c r="AI200" s="45">
        <v>0</v>
      </c>
      <c r="AJ200" s="45"/>
      <c r="AK200" s="45">
        <v>1041552</v>
      </c>
      <c r="AL200" s="45">
        <v>0</v>
      </c>
      <c r="AM200" s="45">
        <v>0</v>
      </c>
      <c r="AN200" s="45">
        <v>0</v>
      </c>
      <c r="AO200" s="45">
        <v>0</v>
      </c>
      <c r="AP200" s="45">
        <v>0</v>
      </c>
      <c r="AQ200" s="45">
        <v>0</v>
      </c>
      <c r="AR200" s="45">
        <v>0</v>
      </c>
      <c r="AS200" s="45">
        <v>1041552</v>
      </c>
      <c r="AT200" s="3" t="s">
        <v>70</v>
      </c>
      <c r="AU200" s="272" t="s">
        <v>425</v>
      </c>
    </row>
    <row r="201" spans="1:47" ht="16.5" hidden="1" customHeight="1" x14ac:dyDescent="0.35">
      <c r="A201" s="15" t="s">
        <v>222</v>
      </c>
      <c r="B201" s="3" t="s">
        <v>58</v>
      </c>
      <c r="C201" s="15" t="s">
        <v>334</v>
      </c>
      <c r="D201" s="15">
        <v>847</v>
      </c>
      <c r="E201" s="15">
        <v>8470335</v>
      </c>
      <c r="F201" s="15" t="s">
        <v>721</v>
      </c>
      <c r="G201" s="15">
        <v>1</v>
      </c>
      <c r="H201" s="276">
        <v>420550</v>
      </c>
      <c r="I201" s="15" t="s">
        <v>225</v>
      </c>
      <c r="J201" s="15" t="s">
        <v>60</v>
      </c>
      <c r="K201" s="15" t="s">
        <v>50</v>
      </c>
      <c r="L201" s="7">
        <v>847001</v>
      </c>
      <c r="M201" s="15" t="s">
        <v>61</v>
      </c>
      <c r="N201" s="15">
        <v>200179</v>
      </c>
      <c r="O201" s="3" t="s">
        <v>722</v>
      </c>
      <c r="P201" s="15" t="s">
        <v>46</v>
      </c>
      <c r="Q201" s="15">
        <v>10000</v>
      </c>
      <c r="R201" s="15">
        <v>6800</v>
      </c>
      <c r="S201" s="15" t="s">
        <v>338</v>
      </c>
      <c r="T201" s="15" t="s">
        <v>157</v>
      </c>
      <c r="U201" s="15">
        <v>2</v>
      </c>
      <c r="V201" s="15">
        <v>6000</v>
      </c>
      <c r="W201" s="15" t="s">
        <v>723</v>
      </c>
      <c r="X201" s="16">
        <v>12000</v>
      </c>
      <c r="Y201" s="15" t="s">
        <v>55</v>
      </c>
      <c r="Z201" s="15" t="s">
        <v>56</v>
      </c>
      <c r="AA201" s="14">
        <f t="shared" si="9"/>
        <v>10800</v>
      </c>
      <c r="AB201" s="14">
        <f t="shared" si="10"/>
        <v>9600</v>
      </c>
      <c r="AC201" s="14">
        <f t="shared" si="11"/>
        <v>8400</v>
      </c>
      <c r="AD201" s="15" t="s">
        <v>601</v>
      </c>
      <c r="AE201" s="15" t="s">
        <v>602</v>
      </c>
      <c r="AF201" s="3" t="s">
        <v>603</v>
      </c>
      <c r="AG201" s="45"/>
      <c r="AH201" s="45"/>
      <c r="AI201" s="45">
        <v>6000</v>
      </c>
      <c r="AJ201" s="45"/>
      <c r="AK201" s="45"/>
      <c r="AL201" s="45"/>
      <c r="AM201" s="45"/>
      <c r="AN201" s="45"/>
      <c r="AO201" s="45"/>
      <c r="AP201" s="45"/>
      <c r="AQ201" s="45">
        <v>6000</v>
      </c>
      <c r="AR201" s="45"/>
      <c r="AS201" s="45">
        <v>12000</v>
      </c>
      <c r="AT201" s="3" t="s">
        <v>230</v>
      </c>
      <c r="AU201" s="272"/>
    </row>
    <row r="202" spans="1:47" ht="16.5" hidden="1" customHeight="1" x14ac:dyDescent="0.35">
      <c r="A202" s="15" t="s">
        <v>245</v>
      </c>
      <c r="B202" s="3" t="s">
        <v>246</v>
      </c>
      <c r="C202" s="15" t="s">
        <v>334</v>
      </c>
      <c r="D202" s="15">
        <v>847</v>
      </c>
      <c r="E202" s="15">
        <v>8470335</v>
      </c>
      <c r="F202" s="15" t="s">
        <v>721</v>
      </c>
      <c r="G202" s="15">
        <v>1</v>
      </c>
      <c r="H202" s="276">
        <v>425510</v>
      </c>
      <c r="I202" s="15" t="s">
        <v>247</v>
      </c>
      <c r="J202" s="15" t="s">
        <v>60</v>
      </c>
      <c r="K202" s="15" t="s">
        <v>50</v>
      </c>
      <c r="L202" s="7">
        <v>847001</v>
      </c>
      <c r="M202" s="15" t="s">
        <v>61</v>
      </c>
      <c r="N202" s="15">
        <v>200179</v>
      </c>
      <c r="O202" s="3" t="s">
        <v>724</v>
      </c>
      <c r="P202" s="15" t="s">
        <v>46</v>
      </c>
      <c r="Q202" s="15">
        <v>20000</v>
      </c>
      <c r="R202" s="15">
        <v>18500</v>
      </c>
      <c r="S202" s="15" t="s">
        <v>615</v>
      </c>
      <c r="T202" s="15" t="s">
        <v>616</v>
      </c>
      <c r="U202" s="15">
        <v>10</v>
      </c>
      <c r="V202" s="15">
        <v>2000</v>
      </c>
      <c r="W202" s="15" t="s">
        <v>725</v>
      </c>
      <c r="X202" s="16">
        <v>20000</v>
      </c>
      <c r="Y202" s="15" t="s">
        <v>55</v>
      </c>
      <c r="Z202" s="15" t="s">
        <v>56</v>
      </c>
      <c r="AA202" s="14">
        <f t="shared" si="9"/>
        <v>18000</v>
      </c>
      <c r="AB202" s="14">
        <f t="shared" si="10"/>
        <v>16000</v>
      </c>
      <c r="AC202" s="14">
        <f t="shared" si="11"/>
        <v>14000</v>
      </c>
      <c r="AD202" s="15" t="s">
        <v>601</v>
      </c>
      <c r="AE202" s="15" t="s">
        <v>609</v>
      </c>
      <c r="AF202" s="3" t="s">
        <v>647</v>
      </c>
      <c r="AG202" s="45"/>
      <c r="AH202" s="45"/>
      <c r="AI202" s="45"/>
      <c r="AJ202" s="45"/>
      <c r="AK202" s="45">
        <v>10000</v>
      </c>
      <c r="AL202" s="45"/>
      <c r="AM202" s="45"/>
      <c r="AN202" s="45"/>
      <c r="AO202" s="45"/>
      <c r="AP202" s="45">
        <v>10000</v>
      </c>
      <c r="AQ202" s="45"/>
      <c r="AR202" s="45"/>
      <c r="AS202" s="45">
        <v>20000</v>
      </c>
      <c r="AT202" s="3" t="s">
        <v>618</v>
      </c>
      <c r="AU202" s="272"/>
    </row>
    <row r="203" spans="1:47" ht="16.5" hidden="1" customHeight="1" x14ac:dyDescent="0.35">
      <c r="A203" s="15" t="s">
        <v>258</v>
      </c>
      <c r="B203" s="3" t="s">
        <v>350</v>
      </c>
      <c r="C203" s="15" t="s">
        <v>334</v>
      </c>
      <c r="D203" s="15">
        <v>847</v>
      </c>
      <c r="E203" s="15">
        <v>8470335</v>
      </c>
      <c r="F203" s="15" t="s">
        <v>721</v>
      </c>
      <c r="G203" s="15">
        <v>1</v>
      </c>
      <c r="H203" s="276">
        <v>425760</v>
      </c>
      <c r="I203" s="15" t="s">
        <v>352</v>
      </c>
      <c r="J203" s="15" t="s">
        <v>60</v>
      </c>
      <c r="K203" s="15" t="s">
        <v>50</v>
      </c>
      <c r="L203" s="7">
        <v>847001</v>
      </c>
      <c r="M203" s="15" t="s">
        <v>61</v>
      </c>
      <c r="N203" s="15">
        <v>200179</v>
      </c>
      <c r="O203" s="3" t="s">
        <v>726</v>
      </c>
      <c r="P203" s="15" t="s">
        <v>46</v>
      </c>
      <c r="Q203" s="15">
        <v>10000</v>
      </c>
      <c r="R203" s="15">
        <v>3800</v>
      </c>
      <c r="S203" s="15" t="s">
        <v>727</v>
      </c>
      <c r="T203" s="15" t="s">
        <v>68</v>
      </c>
      <c r="U203" s="15">
        <v>4</v>
      </c>
      <c r="V203" s="15">
        <v>2500</v>
      </c>
      <c r="W203" s="15" t="s">
        <v>728</v>
      </c>
      <c r="X203" s="16">
        <v>10000</v>
      </c>
      <c r="Y203" s="15" t="s">
        <v>55</v>
      </c>
      <c r="Z203" s="15" t="s">
        <v>56</v>
      </c>
      <c r="AA203" s="14">
        <f t="shared" si="9"/>
        <v>9000</v>
      </c>
      <c r="AB203" s="14">
        <f t="shared" si="10"/>
        <v>8000</v>
      </c>
      <c r="AC203" s="14">
        <f t="shared" si="11"/>
        <v>7000</v>
      </c>
      <c r="AD203" s="15" t="s">
        <v>601</v>
      </c>
      <c r="AE203" s="15" t="s">
        <v>609</v>
      </c>
      <c r="AF203" s="3" t="s">
        <v>729</v>
      </c>
      <c r="AG203" s="45"/>
      <c r="AH203" s="45"/>
      <c r="AI203" s="45"/>
      <c r="AJ203" s="45">
        <v>5000</v>
      </c>
      <c r="AK203" s="45"/>
      <c r="AL203" s="45"/>
      <c r="AM203" s="45"/>
      <c r="AN203" s="45"/>
      <c r="AO203" s="45"/>
      <c r="AP203" s="45">
        <v>5000</v>
      </c>
      <c r="AQ203" s="45"/>
      <c r="AR203" s="45"/>
      <c r="AS203" s="45">
        <v>10000</v>
      </c>
      <c r="AT203" s="3" t="s">
        <v>230</v>
      </c>
      <c r="AU203" s="272"/>
    </row>
    <row r="204" spans="1:47" ht="16.5" hidden="1" customHeight="1" x14ac:dyDescent="0.35">
      <c r="A204" s="15" t="s">
        <v>258</v>
      </c>
      <c r="B204" s="3" t="s">
        <v>58</v>
      </c>
      <c r="C204" s="15" t="s">
        <v>334</v>
      </c>
      <c r="D204" s="15">
        <v>847</v>
      </c>
      <c r="E204" s="15">
        <v>8470335</v>
      </c>
      <c r="F204" s="15" t="s">
        <v>721</v>
      </c>
      <c r="G204" s="15">
        <v>1</v>
      </c>
      <c r="H204" s="276">
        <v>425763</v>
      </c>
      <c r="I204" s="15" t="s">
        <v>359</v>
      </c>
      <c r="J204" s="15" t="s">
        <v>60</v>
      </c>
      <c r="K204" s="15" t="s">
        <v>50</v>
      </c>
      <c r="L204" s="7">
        <v>847001</v>
      </c>
      <c r="M204" s="15" t="s">
        <v>61</v>
      </c>
      <c r="N204" s="15">
        <v>200179</v>
      </c>
      <c r="O204" s="3" t="s">
        <v>730</v>
      </c>
      <c r="P204" s="15">
        <v>24127.64</v>
      </c>
      <c r="Q204" s="15">
        <v>50000</v>
      </c>
      <c r="R204" s="15">
        <v>50000</v>
      </c>
      <c r="S204" s="15" t="s">
        <v>361</v>
      </c>
      <c r="T204" s="15" t="s">
        <v>68</v>
      </c>
      <c r="U204" s="15">
        <v>40</v>
      </c>
      <c r="V204" s="15">
        <v>2000</v>
      </c>
      <c r="W204" s="15" t="s">
        <v>731</v>
      </c>
      <c r="X204" s="16">
        <v>80000</v>
      </c>
      <c r="Y204" s="15" t="s">
        <v>55</v>
      </c>
      <c r="Z204" s="15" t="s">
        <v>56</v>
      </c>
      <c r="AA204" s="14">
        <f t="shared" si="9"/>
        <v>72000</v>
      </c>
      <c r="AB204" s="14">
        <f t="shared" si="10"/>
        <v>64000</v>
      </c>
      <c r="AC204" s="14">
        <f t="shared" si="11"/>
        <v>56000</v>
      </c>
      <c r="AD204" s="15" t="s">
        <v>613</v>
      </c>
      <c r="AE204" s="15" t="s">
        <v>613</v>
      </c>
      <c r="AF204" s="3" t="s">
        <v>613</v>
      </c>
      <c r="AG204" s="45"/>
      <c r="AH204" s="45"/>
      <c r="AI204" s="45"/>
      <c r="AJ204" s="45"/>
      <c r="AK204" s="45">
        <v>30000</v>
      </c>
      <c r="AL204" s="45"/>
      <c r="AM204" s="45"/>
      <c r="AN204" s="45"/>
      <c r="AO204" s="45">
        <v>50000</v>
      </c>
      <c r="AP204" s="45"/>
      <c r="AQ204" s="45"/>
      <c r="AR204" s="45"/>
      <c r="AS204" s="45">
        <v>80000</v>
      </c>
      <c r="AT204" s="3" t="s">
        <v>230</v>
      </c>
      <c r="AU204" s="272"/>
    </row>
    <row r="205" spans="1:47" ht="16.5" hidden="1" customHeight="1" x14ac:dyDescent="0.35">
      <c r="A205" s="15" t="s">
        <v>222</v>
      </c>
      <c r="B205" s="3" t="s">
        <v>58</v>
      </c>
      <c r="C205" s="15" t="s">
        <v>334</v>
      </c>
      <c r="D205" s="15">
        <v>847</v>
      </c>
      <c r="E205" s="15">
        <v>8470335</v>
      </c>
      <c r="F205" s="15" t="s">
        <v>721</v>
      </c>
      <c r="G205" s="15">
        <v>1</v>
      </c>
      <c r="H205" s="276">
        <v>425770</v>
      </c>
      <c r="I205" s="15" t="s">
        <v>367</v>
      </c>
      <c r="J205" s="15" t="s">
        <v>60</v>
      </c>
      <c r="K205" s="15" t="s">
        <v>50</v>
      </c>
      <c r="L205" s="7">
        <v>847001</v>
      </c>
      <c r="M205" s="15" t="s">
        <v>61</v>
      </c>
      <c r="N205" s="15">
        <v>200179</v>
      </c>
      <c r="O205" s="3" t="s">
        <v>732</v>
      </c>
      <c r="P205" s="15">
        <v>-3762.15</v>
      </c>
      <c r="Q205" s="15">
        <v>270000</v>
      </c>
      <c r="R205" s="15">
        <v>260000</v>
      </c>
      <c r="S205" s="15" t="s">
        <v>369</v>
      </c>
      <c r="T205" s="15" t="s">
        <v>157</v>
      </c>
      <c r="U205" s="15">
        <v>20</v>
      </c>
      <c r="V205" s="15">
        <v>20000</v>
      </c>
      <c r="W205" s="15" t="s">
        <v>733</v>
      </c>
      <c r="X205" s="16">
        <v>400000</v>
      </c>
      <c r="Y205" s="15" t="s">
        <v>55</v>
      </c>
      <c r="Z205" s="15" t="s">
        <v>56</v>
      </c>
      <c r="AA205" s="14">
        <f t="shared" si="9"/>
        <v>360000</v>
      </c>
      <c r="AB205" s="14">
        <f t="shared" si="10"/>
        <v>320000</v>
      </c>
      <c r="AC205" s="14">
        <f t="shared" si="11"/>
        <v>280000</v>
      </c>
      <c r="AD205" s="15" t="s">
        <v>601</v>
      </c>
      <c r="AE205" s="15" t="s">
        <v>734</v>
      </c>
      <c r="AF205" s="3" t="s">
        <v>734</v>
      </c>
      <c r="AG205" s="45"/>
      <c r="AH205" s="45"/>
      <c r="AI205" s="45">
        <v>20000</v>
      </c>
      <c r="AJ205" s="45">
        <v>40000</v>
      </c>
      <c r="AK205" s="45"/>
      <c r="AL205" s="45">
        <v>120000</v>
      </c>
      <c r="AM205" s="45">
        <v>120000</v>
      </c>
      <c r="AN205" s="45"/>
      <c r="AO205" s="45"/>
      <c r="AP205" s="45">
        <v>60000</v>
      </c>
      <c r="AQ205" s="45">
        <v>40000</v>
      </c>
      <c r="AR205" s="45"/>
      <c r="AS205" s="45">
        <v>400000</v>
      </c>
      <c r="AT205" s="3" t="s">
        <v>480</v>
      </c>
      <c r="AU205" s="272" t="s">
        <v>374</v>
      </c>
    </row>
    <row r="206" spans="1:47" ht="16.5" hidden="1" customHeight="1" x14ac:dyDescent="0.35">
      <c r="A206" s="15" t="s">
        <v>189</v>
      </c>
      <c r="B206" s="3" t="s">
        <v>265</v>
      </c>
      <c r="C206" s="15" t="s">
        <v>334</v>
      </c>
      <c r="D206" s="15">
        <v>847</v>
      </c>
      <c r="E206" s="15">
        <v>8470335</v>
      </c>
      <c r="F206" s="15" t="s">
        <v>721</v>
      </c>
      <c r="G206" s="15">
        <v>1</v>
      </c>
      <c r="H206" s="276">
        <v>425900</v>
      </c>
      <c r="I206" s="15" t="s">
        <v>266</v>
      </c>
      <c r="J206" s="15" t="s">
        <v>60</v>
      </c>
      <c r="K206" s="15" t="s">
        <v>50</v>
      </c>
      <c r="L206" s="7">
        <v>847001</v>
      </c>
      <c r="M206" s="15" t="s">
        <v>61</v>
      </c>
      <c r="N206" s="15">
        <v>200179</v>
      </c>
      <c r="O206" s="3" t="s">
        <v>735</v>
      </c>
      <c r="P206" s="15" t="s">
        <v>46</v>
      </c>
      <c r="Q206" s="15">
        <v>20000</v>
      </c>
      <c r="R206" s="15">
        <v>15500</v>
      </c>
      <c r="S206" s="15" t="s">
        <v>268</v>
      </c>
      <c r="T206" s="15" t="s">
        <v>269</v>
      </c>
      <c r="U206" s="15">
        <v>6</v>
      </c>
      <c r="V206" s="15">
        <v>6000</v>
      </c>
      <c r="W206" s="15" t="s">
        <v>736</v>
      </c>
      <c r="X206" s="16">
        <v>36000</v>
      </c>
      <c r="Y206" s="15" t="s">
        <v>55</v>
      </c>
      <c r="Z206" s="15" t="s">
        <v>56</v>
      </c>
      <c r="AA206" s="14">
        <f t="shared" si="9"/>
        <v>32400</v>
      </c>
      <c r="AB206" s="14">
        <f t="shared" si="10"/>
        <v>28800</v>
      </c>
      <c r="AC206" s="14">
        <f t="shared" si="11"/>
        <v>25200</v>
      </c>
      <c r="AD206" s="15" t="s">
        <v>601</v>
      </c>
      <c r="AE206" s="15" t="s">
        <v>609</v>
      </c>
      <c r="AF206" s="3" t="s">
        <v>629</v>
      </c>
      <c r="AG206" s="45"/>
      <c r="AH206" s="45">
        <v>6000</v>
      </c>
      <c r="AI206" s="45">
        <v>6000</v>
      </c>
      <c r="AJ206" s="45">
        <v>6000</v>
      </c>
      <c r="AK206" s="45"/>
      <c r="AL206" s="45"/>
      <c r="AM206" s="45"/>
      <c r="AN206" s="45"/>
      <c r="AO206" s="45"/>
      <c r="AP206" s="45">
        <v>6000</v>
      </c>
      <c r="AQ206" s="45">
        <v>6000</v>
      </c>
      <c r="AR206" s="45">
        <v>6000</v>
      </c>
      <c r="AS206" s="45">
        <v>36000</v>
      </c>
      <c r="AT206" s="3" t="s">
        <v>636</v>
      </c>
      <c r="AU206" s="272"/>
    </row>
    <row r="207" spans="1:47" ht="16.5" hidden="1" customHeight="1" x14ac:dyDescent="0.35">
      <c r="A207" s="15" t="s">
        <v>63</v>
      </c>
      <c r="B207" s="3" t="s">
        <v>64</v>
      </c>
      <c r="C207" s="15" t="s">
        <v>334</v>
      </c>
      <c r="D207" s="15">
        <v>847</v>
      </c>
      <c r="E207" s="15">
        <v>8470335</v>
      </c>
      <c r="F207" s="15" t="s">
        <v>721</v>
      </c>
      <c r="G207" s="15">
        <v>1</v>
      </c>
      <c r="H207" s="276">
        <v>426610</v>
      </c>
      <c r="I207" s="15" t="s">
        <v>74</v>
      </c>
      <c r="J207" s="15" t="s">
        <v>60</v>
      </c>
      <c r="K207" s="15" t="s">
        <v>50</v>
      </c>
      <c r="L207" s="7">
        <v>847001</v>
      </c>
      <c r="M207" s="15" t="s">
        <v>61</v>
      </c>
      <c r="N207" s="15">
        <v>200179</v>
      </c>
      <c r="O207" s="3" t="s">
        <v>737</v>
      </c>
      <c r="P207" s="15">
        <v>134361.95000000001</v>
      </c>
      <c r="Q207" s="15">
        <v>150257</v>
      </c>
      <c r="R207" s="15">
        <v>150000</v>
      </c>
      <c r="S207" s="15" t="s">
        <v>75</v>
      </c>
      <c r="T207" s="15" t="s">
        <v>76</v>
      </c>
      <c r="U207" s="15">
        <v>33</v>
      </c>
      <c r="V207" s="15">
        <v>6000</v>
      </c>
      <c r="W207" s="15" t="s">
        <v>738</v>
      </c>
      <c r="X207" s="16">
        <v>198000</v>
      </c>
      <c r="Y207" s="15" t="s">
        <v>55</v>
      </c>
      <c r="Z207" s="15" t="s">
        <v>56</v>
      </c>
      <c r="AA207" s="14">
        <f t="shared" si="9"/>
        <v>178200</v>
      </c>
      <c r="AB207" s="14">
        <f t="shared" si="10"/>
        <v>158400</v>
      </c>
      <c r="AC207" s="14">
        <f t="shared" si="11"/>
        <v>138600</v>
      </c>
      <c r="AD207" s="15" t="s">
        <v>613</v>
      </c>
      <c r="AE207" s="15" t="s">
        <v>613</v>
      </c>
      <c r="AF207" s="3" t="s">
        <v>613</v>
      </c>
      <c r="AG207" s="45"/>
      <c r="AH207" s="45"/>
      <c r="AI207" s="45">
        <v>84000</v>
      </c>
      <c r="AJ207" s="45">
        <v>15000</v>
      </c>
      <c r="AK207" s="45"/>
      <c r="AL207" s="45"/>
      <c r="AM207" s="45"/>
      <c r="AN207" s="45"/>
      <c r="AO207" s="45">
        <v>84000</v>
      </c>
      <c r="AP207" s="45">
        <v>15000</v>
      </c>
      <c r="AQ207" s="45"/>
      <c r="AR207" s="45"/>
      <c r="AS207" s="45">
        <v>198000</v>
      </c>
      <c r="AT207" s="3" t="s">
        <v>230</v>
      </c>
      <c r="AU207" s="272"/>
    </row>
    <row r="208" spans="1:47" ht="16.5" hidden="1" customHeight="1" x14ac:dyDescent="0.35">
      <c r="A208" s="15" t="s">
        <v>153</v>
      </c>
      <c r="B208" s="3" t="s">
        <v>58</v>
      </c>
      <c r="C208" s="15" t="s">
        <v>334</v>
      </c>
      <c r="D208" s="15">
        <v>847</v>
      </c>
      <c r="E208" s="15">
        <v>8470335</v>
      </c>
      <c r="F208" s="15" t="s">
        <v>721</v>
      </c>
      <c r="G208" s="15">
        <v>1</v>
      </c>
      <c r="H208" s="276">
        <v>428090</v>
      </c>
      <c r="I208" s="15" t="s">
        <v>154</v>
      </c>
      <c r="J208" s="15" t="s">
        <v>60</v>
      </c>
      <c r="K208" s="15" t="s">
        <v>50</v>
      </c>
      <c r="L208" s="7">
        <v>847001</v>
      </c>
      <c r="M208" s="15" t="s">
        <v>61</v>
      </c>
      <c r="N208" s="15">
        <v>200179</v>
      </c>
      <c r="O208" s="3" t="s">
        <v>739</v>
      </c>
      <c r="P208" s="15" t="s">
        <v>46</v>
      </c>
      <c r="Q208" s="15">
        <v>40000</v>
      </c>
      <c r="R208" s="15">
        <v>15000</v>
      </c>
      <c r="S208" s="15" t="s">
        <v>156</v>
      </c>
      <c r="T208" s="15" t="s">
        <v>157</v>
      </c>
      <c r="U208" s="15">
        <v>1</v>
      </c>
      <c r="V208" s="15">
        <v>45000</v>
      </c>
      <c r="W208" s="15" t="s">
        <v>740</v>
      </c>
      <c r="X208" s="16">
        <v>45000</v>
      </c>
      <c r="Y208" s="15" t="s">
        <v>55</v>
      </c>
      <c r="Z208" s="15" t="s">
        <v>56</v>
      </c>
      <c r="AA208" s="14">
        <f t="shared" si="9"/>
        <v>40500</v>
      </c>
      <c r="AB208" s="14">
        <f t="shared" si="10"/>
        <v>36000</v>
      </c>
      <c r="AC208" s="14">
        <f t="shared" si="11"/>
        <v>31499.999999999996</v>
      </c>
      <c r="AD208" s="15" t="s">
        <v>601</v>
      </c>
      <c r="AE208" s="15" t="s">
        <v>609</v>
      </c>
      <c r="AF208" s="3" t="s">
        <v>741</v>
      </c>
      <c r="AG208" s="45"/>
      <c r="AH208" s="45"/>
      <c r="AI208" s="45"/>
      <c r="AJ208" s="45">
        <v>45000</v>
      </c>
      <c r="AK208" s="45"/>
      <c r="AL208" s="45"/>
      <c r="AM208" s="45"/>
      <c r="AN208" s="45"/>
      <c r="AO208" s="45"/>
      <c r="AP208" s="45"/>
      <c r="AQ208" s="45"/>
      <c r="AR208" s="45"/>
      <c r="AS208" s="45">
        <v>45000</v>
      </c>
      <c r="AT208" s="3" t="s">
        <v>237</v>
      </c>
      <c r="AU208" s="272"/>
    </row>
    <row r="209" spans="1:47" ht="16.5" hidden="1" customHeight="1" x14ac:dyDescent="0.35">
      <c r="A209" s="15" t="s">
        <v>222</v>
      </c>
      <c r="B209" s="3" t="s">
        <v>58</v>
      </c>
      <c r="C209" s="15" t="s">
        <v>334</v>
      </c>
      <c r="D209" s="15">
        <v>847</v>
      </c>
      <c r="E209" s="15">
        <v>8470335</v>
      </c>
      <c r="F209" s="15" t="s">
        <v>721</v>
      </c>
      <c r="G209" s="15">
        <v>1</v>
      </c>
      <c r="H209" s="276">
        <v>435350</v>
      </c>
      <c r="I209" s="15" t="s">
        <v>399</v>
      </c>
      <c r="J209" s="15" t="s">
        <v>60</v>
      </c>
      <c r="K209" s="15" t="s">
        <v>50</v>
      </c>
      <c r="L209" s="7">
        <v>847001</v>
      </c>
      <c r="M209" s="15" t="s">
        <v>61</v>
      </c>
      <c r="N209" s="15">
        <v>200179</v>
      </c>
      <c r="O209" s="3" t="s">
        <v>742</v>
      </c>
      <c r="P209" s="15">
        <v>22479.86</v>
      </c>
      <c r="Q209" s="15">
        <v>51520</v>
      </c>
      <c r="R209" s="15">
        <v>51000</v>
      </c>
      <c r="S209" s="15" t="s">
        <v>401</v>
      </c>
      <c r="T209" s="15" t="s">
        <v>157</v>
      </c>
      <c r="U209" s="15">
        <v>10</v>
      </c>
      <c r="V209" s="15">
        <v>6500</v>
      </c>
      <c r="W209" s="15" t="s">
        <v>743</v>
      </c>
      <c r="X209" s="16">
        <v>65000</v>
      </c>
      <c r="Y209" s="15" t="s">
        <v>55</v>
      </c>
      <c r="Z209" s="15" t="s">
        <v>56</v>
      </c>
      <c r="AA209" s="14">
        <f t="shared" si="9"/>
        <v>58500</v>
      </c>
      <c r="AB209" s="14">
        <f t="shared" si="10"/>
        <v>52000</v>
      </c>
      <c r="AC209" s="14">
        <f t="shared" si="11"/>
        <v>45500</v>
      </c>
      <c r="AD209" s="15" t="s">
        <v>601</v>
      </c>
      <c r="AE209" s="15" t="s">
        <v>744</v>
      </c>
      <c r="AF209" s="3" t="s">
        <v>744</v>
      </c>
      <c r="AG209" s="45"/>
      <c r="AH209" s="45">
        <v>13000</v>
      </c>
      <c r="AI209" s="45">
        <v>13000</v>
      </c>
      <c r="AJ209" s="45">
        <v>13000</v>
      </c>
      <c r="AK209" s="45"/>
      <c r="AL209" s="45"/>
      <c r="AM209" s="45"/>
      <c r="AN209" s="45"/>
      <c r="AO209" s="45">
        <v>13000</v>
      </c>
      <c r="AP209" s="45">
        <v>13000</v>
      </c>
      <c r="AQ209" s="45"/>
      <c r="AR209" s="45"/>
      <c r="AS209" s="45">
        <v>65000</v>
      </c>
      <c r="AT209" s="3" t="s">
        <v>480</v>
      </c>
      <c r="AU209" s="272"/>
    </row>
    <row r="210" spans="1:47" ht="16.5" hidden="1" customHeight="1" x14ac:dyDescent="0.35">
      <c r="A210" s="15" t="s">
        <v>222</v>
      </c>
      <c r="B210" s="3" t="s">
        <v>220</v>
      </c>
      <c r="C210" s="15" t="s">
        <v>334</v>
      </c>
      <c r="D210" s="15">
        <v>847</v>
      </c>
      <c r="E210" s="15">
        <v>8470335</v>
      </c>
      <c r="F210" s="15" t="s">
        <v>721</v>
      </c>
      <c r="G210" s="15">
        <v>1</v>
      </c>
      <c r="H210" s="276">
        <v>435508</v>
      </c>
      <c r="I210" s="15" t="s">
        <v>405</v>
      </c>
      <c r="J210" s="15" t="s">
        <v>60</v>
      </c>
      <c r="K210" s="15" t="s">
        <v>50</v>
      </c>
      <c r="L210" s="7">
        <v>847001</v>
      </c>
      <c r="M210" s="15" t="s">
        <v>61</v>
      </c>
      <c r="N210" s="15">
        <v>200179</v>
      </c>
      <c r="O210" s="3" t="s">
        <v>745</v>
      </c>
      <c r="P210" s="15">
        <v>66171.5</v>
      </c>
      <c r="Q210" s="15">
        <v>139000</v>
      </c>
      <c r="R210" s="15">
        <v>139000</v>
      </c>
      <c r="S210" s="15" t="s">
        <v>407</v>
      </c>
      <c r="T210" s="15" t="s">
        <v>157</v>
      </c>
      <c r="U210" s="15">
        <v>3</v>
      </c>
      <c r="V210" s="15">
        <v>68500</v>
      </c>
      <c r="W210" s="15" t="s">
        <v>746</v>
      </c>
      <c r="X210" s="16">
        <v>205500</v>
      </c>
      <c r="Y210" s="15" t="s">
        <v>210</v>
      </c>
      <c r="Z210" s="15" t="s">
        <v>197</v>
      </c>
      <c r="AA210" s="14">
        <f t="shared" si="9"/>
        <v>184950</v>
      </c>
      <c r="AB210" s="14">
        <f t="shared" si="10"/>
        <v>164400</v>
      </c>
      <c r="AC210" s="14">
        <f t="shared" si="11"/>
        <v>143850</v>
      </c>
      <c r="AD210" s="15" t="s">
        <v>613</v>
      </c>
      <c r="AE210" s="15" t="s">
        <v>613</v>
      </c>
      <c r="AF210" s="3" t="s">
        <v>613</v>
      </c>
      <c r="AG210" s="45"/>
      <c r="AH210" s="45"/>
      <c r="AI210" s="45">
        <v>105500</v>
      </c>
      <c r="AJ210" s="45"/>
      <c r="AK210" s="45">
        <v>100000</v>
      </c>
      <c r="AL210" s="45"/>
      <c r="AM210" s="45"/>
      <c r="AN210" s="45"/>
      <c r="AO210" s="45"/>
      <c r="AP210" s="45"/>
      <c r="AQ210" s="45"/>
      <c r="AR210" s="45"/>
      <c r="AS210" s="45">
        <v>205500</v>
      </c>
      <c r="AT210" s="3" t="s">
        <v>70</v>
      </c>
      <c r="AU210" s="272"/>
    </row>
    <row r="211" spans="1:47" ht="16.5" hidden="1" customHeight="1" x14ac:dyDescent="0.35">
      <c r="A211" s="15" t="s">
        <v>189</v>
      </c>
      <c r="B211" s="3" t="s">
        <v>58</v>
      </c>
      <c r="C211" s="15" t="s">
        <v>334</v>
      </c>
      <c r="D211" s="15">
        <v>847</v>
      </c>
      <c r="E211" s="15">
        <v>8470335</v>
      </c>
      <c r="F211" s="15" t="s">
        <v>721</v>
      </c>
      <c r="G211" s="15">
        <v>1</v>
      </c>
      <c r="H211" s="276">
        <v>436110</v>
      </c>
      <c r="I211" s="15" t="s">
        <v>190</v>
      </c>
      <c r="J211" s="15" t="s">
        <v>60</v>
      </c>
      <c r="K211" s="15" t="s">
        <v>50</v>
      </c>
      <c r="L211" s="7">
        <v>847001</v>
      </c>
      <c r="M211" s="15" t="s">
        <v>61</v>
      </c>
      <c r="N211" s="15">
        <v>200179</v>
      </c>
      <c r="O211" s="3" t="s">
        <v>747</v>
      </c>
      <c r="P211" s="15">
        <v>0</v>
      </c>
      <c r="Q211" s="15">
        <v>4000</v>
      </c>
      <c r="R211" s="15">
        <v>4000</v>
      </c>
      <c r="S211" s="15" t="s">
        <v>748</v>
      </c>
      <c r="T211" s="15" t="s">
        <v>269</v>
      </c>
      <c r="U211" s="15">
        <v>5</v>
      </c>
      <c r="V211" s="15">
        <v>1750</v>
      </c>
      <c r="W211" s="15" t="s">
        <v>749</v>
      </c>
      <c r="X211" s="16">
        <v>8750</v>
      </c>
      <c r="Y211" s="15" t="s">
        <v>55</v>
      </c>
      <c r="Z211" s="15" t="s">
        <v>56</v>
      </c>
      <c r="AA211" s="14">
        <f t="shared" si="9"/>
        <v>7875</v>
      </c>
      <c r="AB211" s="14">
        <f t="shared" si="10"/>
        <v>7000</v>
      </c>
      <c r="AC211" s="14">
        <f t="shared" si="11"/>
        <v>6125</v>
      </c>
      <c r="AD211" s="15" t="s">
        <v>601</v>
      </c>
      <c r="AE211" s="15" t="s">
        <v>602</v>
      </c>
      <c r="AF211" s="3" t="s">
        <v>750</v>
      </c>
      <c r="AG211" s="45"/>
      <c r="AH211" s="45"/>
      <c r="AI211" s="45">
        <v>1750</v>
      </c>
      <c r="AJ211" s="45">
        <v>1750</v>
      </c>
      <c r="AK211" s="45"/>
      <c r="AL211" s="45"/>
      <c r="AM211" s="45"/>
      <c r="AN211" s="45">
        <v>1750</v>
      </c>
      <c r="AO211" s="45">
        <v>1750</v>
      </c>
      <c r="AP211" s="45">
        <v>1750</v>
      </c>
      <c r="AQ211" s="45"/>
      <c r="AR211" s="45"/>
      <c r="AS211" s="45">
        <v>8750</v>
      </c>
      <c r="AT211" s="3" t="s">
        <v>70</v>
      </c>
      <c r="AU211" s="272"/>
    </row>
    <row r="212" spans="1:47" ht="16.5" hidden="1" customHeight="1" x14ac:dyDescent="0.35">
      <c r="A212" s="15" t="s">
        <v>222</v>
      </c>
      <c r="B212" s="3" t="s">
        <v>58</v>
      </c>
      <c r="C212" s="15" t="s">
        <v>334</v>
      </c>
      <c r="D212" s="15">
        <v>847</v>
      </c>
      <c r="E212" s="15">
        <v>8470335</v>
      </c>
      <c r="F212" s="15" t="s">
        <v>721</v>
      </c>
      <c r="G212" s="15">
        <v>1</v>
      </c>
      <c r="H212" s="276">
        <v>436600</v>
      </c>
      <c r="I212" s="15" t="s">
        <v>416</v>
      </c>
      <c r="J212" s="15" t="s">
        <v>60</v>
      </c>
      <c r="K212" s="15" t="s">
        <v>50</v>
      </c>
      <c r="L212" s="7">
        <v>847001</v>
      </c>
      <c r="M212" s="15" t="s">
        <v>61</v>
      </c>
      <c r="N212" s="15">
        <v>200179</v>
      </c>
      <c r="O212" s="3" t="s">
        <v>751</v>
      </c>
      <c r="P212" s="15">
        <v>11192.69</v>
      </c>
      <c r="Q212" s="15">
        <v>12000</v>
      </c>
      <c r="R212" s="15">
        <v>11850</v>
      </c>
      <c r="S212" s="15" t="s">
        <v>418</v>
      </c>
      <c r="T212" s="15" t="s">
        <v>157</v>
      </c>
      <c r="U212" s="15">
        <v>3</v>
      </c>
      <c r="V212" s="15">
        <v>4000</v>
      </c>
      <c r="W212" s="15" t="s">
        <v>752</v>
      </c>
      <c r="X212" s="16">
        <v>12000</v>
      </c>
      <c r="Y212" s="15" t="s">
        <v>55</v>
      </c>
      <c r="Z212" s="15" t="s">
        <v>56</v>
      </c>
      <c r="AA212" s="14">
        <f t="shared" si="9"/>
        <v>10800</v>
      </c>
      <c r="AB212" s="14">
        <f t="shared" si="10"/>
        <v>9600</v>
      </c>
      <c r="AC212" s="14">
        <f t="shared" si="11"/>
        <v>8400</v>
      </c>
      <c r="AD212" s="15" t="s">
        <v>601</v>
      </c>
      <c r="AE212" s="15" t="s">
        <v>602</v>
      </c>
      <c r="AF212" s="3" t="s">
        <v>753</v>
      </c>
      <c r="AG212" s="45"/>
      <c r="AH212" s="45"/>
      <c r="AI212" s="45">
        <v>4000</v>
      </c>
      <c r="AJ212" s="45"/>
      <c r="AK212" s="45">
        <v>4000</v>
      </c>
      <c r="AL212" s="45"/>
      <c r="AM212" s="45"/>
      <c r="AN212" s="45"/>
      <c r="AO212" s="45"/>
      <c r="AP212" s="45">
        <v>4000</v>
      </c>
      <c r="AQ212" s="45"/>
      <c r="AR212" s="45"/>
      <c r="AS212" s="45">
        <v>12000</v>
      </c>
      <c r="AT212" s="3" t="s">
        <v>272</v>
      </c>
      <c r="AU212" s="272"/>
    </row>
    <row r="213" spans="1:47" ht="16.5" hidden="1" customHeight="1" x14ac:dyDescent="0.35">
      <c r="A213" s="15" t="s">
        <v>161</v>
      </c>
      <c r="B213" s="3" t="s">
        <v>220</v>
      </c>
      <c r="C213" s="15" t="s">
        <v>334</v>
      </c>
      <c r="D213" s="15">
        <v>847</v>
      </c>
      <c r="E213" s="15">
        <v>8470335</v>
      </c>
      <c r="F213" s="15" t="s">
        <v>721</v>
      </c>
      <c r="G213" s="15">
        <v>1</v>
      </c>
      <c r="H213" s="276">
        <v>492316</v>
      </c>
      <c r="I213" s="15" t="s">
        <v>221</v>
      </c>
      <c r="J213" s="15" t="s">
        <v>60</v>
      </c>
      <c r="K213" s="15" t="s">
        <v>50</v>
      </c>
      <c r="L213" s="7">
        <v>847001</v>
      </c>
      <c r="M213" s="15" t="s">
        <v>192</v>
      </c>
      <c r="N213" s="15">
        <v>300180</v>
      </c>
      <c r="O213" s="3" t="s">
        <v>754</v>
      </c>
      <c r="P213" s="15">
        <v>31330</v>
      </c>
      <c r="Q213" s="15">
        <v>234334</v>
      </c>
      <c r="R213" s="15">
        <v>234000</v>
      </c>
      <c r="S213" s="15" t="s">
        <v>495</v>
      </c>
      <c r="T213" s="15" t="s">
        <v>157</v>
      </c>
      <c r="U213" s="15">
        <v>2</v>
      </c>
      <c r="V213" s="15">
        <v>145000</v>
      </c>
      <c r="W213" s="15" t="s">
        <v>755</v>
      </c>
      <c r="X213" s="16">
        <v>290000</v>
      </c>
      <c r="Y213" s="15" t="s">
        <v>210</v>
      </c>
      <c r="Z213" s="15" t="s">
        <v>197</v>
      </c>
      <c r="AA213" s="14">
        <f t="shared" si="9"/>
        <v>261000</v>
      </c>
      <c r="AB213" s="14">
        <f t="shared" si="10"/>
        <v>232000</v>
      </c>
      <c r="AC213" s="14">
        <f t="shared" si="11"/>
        <v>203000</v>
      </c>
      <c r="AD213" s="15" t="s">
        <v>613</v>
      </c>
      <c r="AE213" s="15" t="s">
        <v>756</v>
      </c>
      <c r="AF213" s="3" t="s">
        <v>757</v>
      </c>
      <c r="AG213" s="45"/>
      <c r="AH213" s="45"/>
      <c r="AI213" s="45">
        <v>145000</v>
      </c>
      <c r="AJ213" s="45"/>
      <c r="AK213" s="45">
        <v>145000</v>
      </c>
      <c r="AL213" s="45"/>
      <c r="AM213" s="45"/>
      <c r="AN213" s="45"/>
      <c r="AO213" s="45"/>
      <c r="AP213" s="45"/>
      <c r="AQ213" s="45"/>
      <c r="AR213" s="45"/>
      <c r="AS213" s="45">
        <v>290000</v>
      </c>
      <c r="AT213" s="3" t="s">
        <v>230</v>
      </c>
      <c r="AU213" s="272" t="s">
        <v>425</v>
      </c>
    </row>
    <row r="214" spans="1:47" ht="16.5" hidden="1" customHeight="1" x14ac:dyDescent="0.35">
      <c r="A214" s="15" t="s">
        <v>222</v>
      </c>
      <c r="B214" s="3" t="s">
        <v>58</v>
      </c>
      <c r="C214" s="15" t="s">
        <v>334</v>
      </c>
      <c r="D214" s="15">
        <v>847</v>
      </c>
      <c r="E214" s="15">
        <v>8470340</v>
      </c>
      <c r="F214" s="15" t="s">
        <v>758</v>
      </c>
      <c r="G214" s="15">
        <v>1</v>
      </c>
      <c r="H214" s="276">
        <v>420550</v>
      </c>
      <c r="I214" s="15" t="s">
        <v>225</v>
      </c>
      <c r="J214" s="15" t="s">
        <v>60</v>
      </c>
      <c r="K214" s="15" t="s">
        <v>50</v>
      </c>
      <c r="L214" s="7">
        <v>847001</v>
      </c>
      <c r="M214" s="15" t="s">
        <v>61</v>
      </c>
      <c r="N214" s="15">
        <v>200179</v>
      </c>
      <c r="O214" s="3" t="s">
        <v>759</v>
      </c>
      <c r="P214" s="15" t="s">
        <v>46</v>
      </c>
      <c r="Q214" s="15">
        <v>3000</v>
      </c>
      <c r="R214" s="15">
        <v>3000</v>
      </c>
      <c r="S214" s="15" t="s">
        <v>338</v>
      </c>
      <c r="T214" s="15" t="s">
        <v>157</v>
      </c>
      <c r="U214" s="15">
        <v>1</v>
      </c>
      <c r="V214" s="15">
        <v>3000</v>
      </c>
      <c r="W214" s="15" t="s">
        <v>760</v>
      </c>
      <c r="X214" s="16">
        <v>3000</v>
      </c>
      <c r="Y214" s="15" t="s">
        <v>55</v>
      </c>
      <c r="Z214" s="15" t="s">
        <v>56</v>
      </c>
      <c r="AA214" s="14">
        <f t="shared" si="9"/>
        <v>2700</v>
      </c>
      <c r="AB214" s="14">
        <f t="shared" si="10"/>
        <v>2400</v>
      </c>
      <c r="AC214" s="14">
        <f t="shared" si="11"/>
        <v>2100</v>
      </c>
      <c r="AD214" s="15" t="s">
        <v>761</v>
      </c>
      <c r="AE214" s="15" t="s">
        <v>761</v>
      </c>
      <c r="AF214" s="3" t="s">
        <v>761</v>
      </c>
      <c r="AG214" s="45"/>
      <c r="AH214" s="45"/>
      <c r="AI214" s="45"/>
      <c r="AJ214" s="45"/>
      <c r="AK214" s="45"/>
      <c r="AL214" s="45"/>
      <c r="AM214" s="45"/>
      <c r="AN214" s="45"/>
      <c r="AO214" s="45"/>
      <c r="AP214" s="45"/>
      <c r="AQ214" s="45"/>
      <c r="AR214" s="45">
        <v>3000</v>
      </c>
      <c r="AS214" s="45">
        <v>3000</v>
      </c>
      <c r="AT214" s="3" t="s">
        <v>230</v>
      </c>
      <c r="AU214" s="272"/>
    </row>
    <row r="215" spans="1:47" ht="16.5" hidden="1" customHeight="1" x14ac:dyDescent="0.35">
      <c r="A215" s="15" t="s">
        <v>245</v>
      </c>
      <c r="B215" s="3" t="s">
        <v>246</v>
      </c>
      <c r="C215" s="15" t="s">
        <v>334</v>
      </c>
      <c r="D215" s="15">
        <v>847</v>
      </c>
      <c r="E215" s="15">
        <v>8470340</v>
      </c>
      <c r="F215" s="15" t="s">
        <v>758</v>
      </c>
      <c r="G215" s="15">
        <v>1</v>
      </c>
      <c r="H215" s="276">
        <v>425510</v>
      </c>
      <c r="I215" s="15" t="s">
        <v>247</v>
      </c>
      <c r="J215" s="15" t="s">
        <v>60</v>
      </c>
      <c r="K215" s="15" t="s">
        <v>50</v>
      </c>
      <c r="L215" s="7">
        <v>847001</v>
      </c>
      <c r="M215" s="15" t="s">
        <v>61</v>
      </c>
      <c r="N215" s="15">
        <v>200179</v>
      </c>
      <c r="O215" s="3" t="s">
        <v>762</v>
      </c>
      <c r="P215" s="15" t="s">
        <v>46</v>
      </c>
      <c r="Q215" s="15">
        <v>10000</v>
      </c>
      <c r="R215" s="15">
        <v>10000</v>
      </c>
      <c r="S215" s="15" t="s">
        <v>514</v>
      </c>
      <c r="T215" s="15" t="s">
        <v>515</v>
      </c>
      <c r="U215" s="15">
        <v>1</v>
      </c>
      <c r="V215" s="15">
        <v>10000</v>
      </c>
      <c r="W215" s="15" t="s">
        <v>763</v>
      </c>
      <c r="X215" s="16">
        <v>10000</v>
      </c>
      <c r="Y215" s="15" t="s">
        <v>55</v>
      </c>
      <c r="Z215" s="15" t="s">
        <v>56</v>
      </c>
      <c r="AA215" s="14">
        <f t="shared" si="9"/>
        <v>9000</v>
      </c>
      <c r="AB215" s="14">
        <f t="shared" si="10"/>
        <v>8000</v>
      </c>
      <c r="AC215" s="14">
        <f t="shared" si="11"/>
        <v>7000</v>
      </c>
      <c r="AD215" s="15" t="s">
        <v>761</v>
      </c>
      <c r="AE215" s="15" t="s">
        <v>761</v>
      </c>
      <c r="AF215" s="3" t="s">
        <v>761</v>
      </c>
      <c r="AG215" s="45"/>
      <c r="AH215" s="45"/>
      <c r="AI215" s="45"/>
      <c r="AJ215" s="45"/>
      <c r="AK215" s="45">
        <v>5000</v>
      </c>
      <c r="AL215" s="45"/>
      <c r="AM215" s="45"/>
      <c r="AN215" s="45"/>
      <c r="AO215" s="45"/>
      <c r="AP215" s="45"/>
      <c r="AQ215" s="45">
        <v>5000</v>
      </c>
      <c r="AR215" s="45"/>
      <c r="AS215" s="45">
        <v>10000</v>
      </c>
      <c r="AT215" s="3" t="s">
        <v>414</v>
      </c>
      <c r="AU215" s="272"/>
    </row>
    <row r="216" spans="1:47" ht="16.5" hidden="1" customHeight="1" x14ac:dyDescent="0.35">
      <c r="A216" s="15" t="s">
        <v>258</v>
      </c>
      <c r="B216" s="3" t="s">
        <v>58</v>
      </c>
      <c r="C216" s="15" t="s">
        <v>334</v>
      </c>
      <c r="D216" s="15">
        <v>847</v>
      </c>
      <c r="E216" s="15">
        <v>8470340</v>
      </c>
      <c r="F216" s="15" t="s">
        <v>758</v>
      </c>
      <c r="G216" s="15">
        <v>1</v>
      </c>
      <c r="H216" s="276">
        <v>425720</v>
      </c>
      <c r="I216" s="15" t="s">
        <v>620</v>
      </c>
      <c r="J216" s="15" t="s">
        <v>60</v>
      </c>
      <c r="K216" s="15" t="s">
        <v>50</v>
      </c>
      <c r="L216" s="7">
        <v>847001</v>
      </c>
      <c r="M216" s="15" t="s">
        <v>61</v>
      </c>
      <c r="N216" s="15">
        <v>200179</v>
      </c>
      <c r="O216" s="3" t="s">
        <v>764</v>
      </c>
      <c r="P216" s="15" t="s">
        <v>46</v>
      </c>
      <c r="Q216" s="15">
        <v>30000</v>
      </c>
      <c r="R216" s="15">
        <v>10000</v>
      </c>
      <c r="S216" s="15" t="s">
        <v>622</v>
      </c>
      <c r="T216" s="15" t="s">
        <v>623</v>
      </c>
      <c r="U216" s="15">
        <v>2</v>
      </c>
      <c r="V216" s="15">
        <v>5000</v>
      </c>
      <c r="W216" s="15" t="s">
        <v>765</v>
      </c>
      <c r="X216" s="16">
        <v>10000</v>
      </c>
      <c r="Y216" s="15"/>
      <c r="Z216" s="15" t="s">
        <v>56</v>
      </c>
      <c r="AA216" s="14">
        <f t="shared" si="9"/>
        <v>9000</v>
      </c>
      <c r="AB216" s="14">
        <f t="shared" si="10"/>
        <v>8000</v>
      </c>
      <c r="AC216" s="14">
        <f t="shared" si="11"/>
        <v>7000</v>
      </c>
      <c r="AD216" s="15" t="s">
        <v>761</v>
      </c>
      <c r="AE216" s="15" t="s">
        <v>766</v>
      </c>
      <c r="AF216" s="3" t="s">
        <v>766</v>
      </c>
      <c r="AG216" s="45"/>
      <c r="AH216" s="45"/>
      <c r="AI216" s="45"/>
      <c r="AJ216" s="45">
        <v>5000</v>
      </c>
      <c r="AK216" s="45"/>
      <c r="AL216" s="45"/>
      <c r="AM216" s="45"/>
      <c r="AN216" s="45"/>
      <c r="AO216" s="45"/>
      <c r="AP216" s="45">
        <v>5000</v>
      </c>
      <c r="AQ216" s="45"/>
      <c r="AR216" s="45"/>
      <c r="AS216" s="45">
        <v>10000</v>
      </c>
      <c r="AT216" s="3" t="s">
        <v>70</v>
      </c>
      <c r="AU216" s="272"/>
    </row>
    <row r="217" spans="1:47" ht="16.5" hidden="1" customHeight="1" x14ac:dyDescent="0.35">
      <c r="A217" s="15" t="s">
        <v>258</v>
      </c>
      <c r="B217" s="3" t="s">
        <v>350</v>
      </c>
      <c r="C217" s="15" t="s">
        <v>334</v>
      </c>
      <c r="D217" s="15">
        <v>847</v>
      </c>
      <c r="E217" s="15">
        <v>8470340</v>
      </c>
      <c r="F217" s="15" t="s">
        <v>758</v>
      </c>
      <c r="G217" s="15">
        <v>1</v>
      </c>
      <c r="H217" s="276">
        <v>425760</v>
      </c>
      <c r="I217" s="15" t="s">
        <v>352</v>
      </c>
      <c r="J217" s="15" t="s">
        <v>60</v>
      </c>
      <c r="K217" s="15" t="s">
        <v>50</v>
      </c>
      <c r="L217" s="7">
        <v>847001</v>
      </c>
      <c r="M217" s="15" t="s">
        <v>61</v>
      </c>
      <c r="N217" s="15">
        <v>200179</v>
      </c>
      <c r="O217" s="3" t="s">
        <v>767</v>
      </c>
      <c r="P217" s="15" t="s">
        <v>46</v>
      </c>
      <c r="Q217" s="15">
        <v>12000</v>
      </c>
      <c r="R217" s="15">
        <v>32000</v>
      </c>
      <c r="S217" s="15" t="s">
        <v>354</v>
      </c>
      <c r="T217" s="15" t="s">
        <v>262</v>
      </c>
      <c r="U217" s="15">
        <v>6</v>
      </c>
      <c r="V217" s="15">
        <v>2000</v>
      </c>
      <c r="W217" s="15" t="s">
        <v>768</v>
      </c>
      <c r="X217" s="16">
        <v>12000</v>
      </c>
      <c r="Y217" s="15" t="s">
        <v>55</v>
      </c>
      <c r="Z217" s="15" t="s">
        <v>56</v>
      </c>
      <c r="AA217" s="14">
        <f t="shared" si="9"/>
        <v>10800</v>
      </c>
      <c r="AB217" s="14">
        <f t="shared" si="10"/>
        <v>9600</v>
      </c>
      <c r="AC217" s="14">
        <f t="shared" si="11"/>
        <v>8400</v>
      </c>
      <c r="AD217" s="15" t="s">
        <v>761</v>
      </c>
      <c r="AE217" s="15" t="s">
        <v>766</v>
      </c>
      <c r="AF217" s="3" t="s">
        <v>766</v>
      </c>
      <c r="AG217" s="45"/>
      <c r="AH217" s="45">
        <v>2000</v>
      </c>
      <c r="AI217" s="45"/>
      <c r="AJ217" s="45">
        <v>2000</v>
      </c>
      <c r="AK217" s="45">
        <v>2000</v>
      </c>
      <c r="AL217" s="45"/>
      <c r="AM217" s="45"/>
      <c r="AN217" s="45"/>
      <c r="AO217" s="45">
        <v>2000</v>
      </c>
      <c r="AP217" s="45">
        <v>2000</v>
      </c>
      <c r="AQ217" s="45">
        <v>2000</v>
      </c>
      <c r="AR217" s="45"/>
      <c r="AS217" s="45">
        <v>12000</v>
      </c>
      <c r="AT217" s="3" t="s">
        <v>230</v>
      </c>
      <c r="AU217" s="272"/>
    </row>
    <row r="218" spans="1:47" ht="16.5" hidden="1" customHeight="1" x14ac:dyDescent="0.35">
      <c r="A218" s="15" t="s">
        <v>258</v>
      </c>
      <c r="B218" s="3" t="s">
        <v>58</v>
      </c>
      <c r="C218" s="15" t="s">
        <v>334</v>
      </c>
      <c r="D218" s="15">
        <v>847</v>
      </c>
      <c r="E218" s="15">
        <v>8470340</v>
      </c>
      <c r="F218" s="15" t="s">
        <v>758</v>
      </c>
      <c r="G218" s="15">
        <v>1</v>
      </c>
      <c r="H218" s="276">
        <v>425763</v>
      </c>
      <c r="I218" s="15" t="s">
        <v>359</v>
      </c>
      <c r="J218" s="15" t="s">
        <v>60</v>
      </c>
      <c r="K218" s="15" t="s">
        <v>50</v>
      </c>
      <c r="L218" s="7">
        <v>847001</v>
      </c>
      <c r="M218" s="15" t="s">
        <v>61</v>
      </c>
      <c r="N218" s="15">
        <v>200179</v>
      </c>
      <c r="O218" s="3" t="s">
        <v>769</v>
      </c>
      <c r="P218" s="15">
        <v>252926.41</v>
      </c>
      <c r="Q218" s="15">
        <v>480000</v>
      </c>
      <c r="R218" s="15">
        <v>480000</v>
      </c>
      <c r="S218" s="15" t="s">
        <v>361</v>
      </c>
      <c r="T218" s="15" t="s">
        <v>68</v>
      </c>
      <c r="U218" s="15">
        <v>100</v>
      </c>
      <c r="V218" s="15">
        <v>5000</v>
      </c>
      <c r="W218" s="15" t="s">
        <v>770</v>
      </c>
      <c r="X218" s="16">
        <v>500000</v>
      </c>
      <c r="Y218" s="15" t="s">
        <v>55</v>
      </c>
      <c r="Z218" s="15" t="s">
        <v>56</v>
      </c>
      <c r="AA218" s="14">
        <f t="shared" si="9"/>
        <v>450000</v>
      </c>
      <c r="AB218" s="14">
        <f t="shared" si="10"/>
        <v>400000</v>
      </c>
      <c r="AC218" s="14">
        <f t="shared" si="11"/>
        <v>350000</v>
      </c>
      <c r="AD218" s="15" t="s">
        <v>766</v>
      </c>
      <c r="AE218" s="15" t="s">
        <v>771</v>
      </c>
      <c r="AF218" s="3" t="s">
        <v>772</v>
      </c>
      <c r="AG218" s="45"/>
      <c r="AH218" s="45">
        <v>150000</v>
      </c>
      <c r="AI218" s="45"/>
      <c r="AJ218" s="45">
        <v>100000</v>
      </c>
      <c r="AK218" s="45"/>
      <c r="AL218" s="45"/>
      <c r="AM218" s="45"/>
      <c r="AN218" s="45"/>
      <c r="AO218" s="45">
        <v>150000</v>
      </c>
      <c r="AP218" s="45"/>
      <c r="AQ218" s="45">
        <v>100000</v>
      </c>
      <c r="AR218" s="45"/>
      <c r="AS218" s="45">
        <v>500000</v>
      </c>
      <c r="AT218" s="3" t="s">
        <v>230</v>
      </c>
      <c r="AU218" s="272"/>
    </row>
    <row r="219" spans="1:47" ht="16.5" hidden="1" customHeight="1" x14ac:dyDescent="0.35">
      <c r="A219" s="15" t="s">
        <v>222</v>
      </c>
      <c r="B219" s="3" t="s">
        <v>58</v>
      </c>
      <c r="C219" s="15" t="s">
        <v>334</v>
      </c>
      <c r="D219" s="15">
        <v>847</v>
      </c>
      <c r="E219" s="15">
        <v>8470340</v>
      </c>
      <c r="F219" s="15" t="s">
        <v>758</v>
      </c>
      <c r="G219" s="15">
        <v>1</v>
      </c>
      <c r="H219" s="276">
        <v>425770</v>
      </c>
      <c r="I219" s="15" t="s">
        <v>367</v>
      </c>
      <c r="J219" s="15" t="s">
        <v>60</v>
      </c>
      <c r="K219" s="15" t="s">
        <v>50</v>
      </c>
      <c r="L219" s="7">
        <v>847001</v>
      </c>
      <c r="M219" s="15" t="s">
        <v>61</v>
      </c>
      <c r="N219" s="15">
        <v>200179</v>
      </c>
      <c r="O219" s="3" t="s">
        <v>773</v>
      </c>
      <c r="P219" s="15">
        <v>30017.78</v>
      </c>
      <c r="Q219" s="15">
        <v>630000</v>
      </c>
      <c r="R219" s="15">
        <v>630000</v>
      </c>
      <c r="S219" s="15" t="s">
        <v>369</v>
      </c>
      <c r="T219" s="15" t="s">
        <v>157</v>
      </c>
      <c r="U219" s="15">
        <v>35</v>
      </c>
      <c r="V219" s="15">
        <v>20000</v>
      </c>
      <c r="W219" s="15" t="s">
        <v>774</v>
      </c>
      <c r="X219" s="16">
        <v>700000</v>
      </c>
      <c r="Y219" s="15" t="s">
        <v>55</v>
      </c>
      <c r="Z219" s="15" t="s">
        <v>56</v>
      </c>
      <c r="AA219" s="14">
        <f t="shared" si="9"/>
        <v>630000</v>
      </c>
      <c r="AB219" s="14">
        <f t="shared" si="10"/>
        <v>560000</v>
      </c>
      <c r="AC219" s="14">
        <f t="shared" si="11"/>
        <v>489999.99999999994</v>
      </c>
      <c r="AD219" s="15" t="s">
        <v>766</v>
      </c>
      <c r="AE219" s="15" t="s">
        <v>771</v>
      </c>
      <c r="AF219" s="3" t="s">
        <v>772</v>
      </c>
      <c r="AG219" s="45"/>
      <c r="AH219" s="45">
        <v>70000</v>
      </c>
      <c r="AI219" s="45">
        <v>70000</v>
      </c>
      <c r="AJ219" s="45">
        <v>70000</v>
      </c>
      <c r="AK219" s="45">
        <v>70000</v>
      </c>
      <c r="AL219" s="45">
        <v>70000</v>
      </c>
      <c r="AM219" s="45">
        <v>70000</v>
      </c>
      <c r="AN219" s="45">
        <v>70000</v>
      </c>
      <c r="AO219" s="45">
        <v>70000</v>
      </c>
      <c r="AP219" s="45">
        <v>70000</v>
      </c>
      <c r="AQ219" s="45">
        <v>70000</v>
      </c>
      <c r="AR219" s="45"/>
      <c r="AS219" s="45">
        <v>700000</v>
      </c>
      <c r="AT219" s="3" t="s">
        <v>252</v>
      </c>
      <c r="AU219" s="272" t="s">
        <v>374</v>
      </c>
    </row>
    <row r="220" spans="1:47" ht="16.5" hidden="1" customHeight="1" x14ac:dyDescent="0.35">
      <c r="A220" s="15" t="s">
        <v>189</v>
      </c>
      <c r="B220" s="3" t="s">
        <v>265</v>
      </c>
      <c r="C220" s="15" t="s">
        <v>334</v>
      </c>
      <c r="D220" s="15">
        <v>847</v>
      </c>
      <c r="E220" s="15">
        <v>8470340</v>
      </c>
      <c r="F220" s="15" t="s">
        <v>758</v>
      </c>
      <c r="G220" s="15">
        <v>1</v>
      </c>
      <c r="H220" s="276">
        <v>425900</v>
      </c>
      <c r="I220" s="15" t="s">
        <v>266</v>
      </c>
      <c r="J220" s="15" t="s">
        <v>60</v>
      </c>
      <c r="K220" s="15" t="s">
        <v>50</v>
      </c>
      <c r="L220" s="7">
        <v>847001</v>
      </c>
      <c r="M220" s="15" t="s">
        <v>61</v>
      </c>
      <c r="N220" s="15">
        <v>200179</v>
      </c>
      <c r="O220" s="3" t="s">
        <v>775</v>
      </c>
      <c r="P220" s="15" t="s">
        <v>46</v>
      </c>
      <c r="Q220" s="15">
        <v>54000</v>
      </c>
      <c r="R220" s="15">
        <v>54000</v>
      </c>
      <c r="S220" s="15" t="s">
        <v>268</v>
      </c>
      <c r="T220" s="15" t="s">
        <v>269</v>
      </c>
      <c r="U220" s="15">
        <v>2</v>
      </c>
      <c r="V220" s="15">
        <v>10000</v>
      </c>
      <c r="W220" s="15" t="s">
        <v>776</v>
      </c>
      <c r="X220" s="16">
        <v>20000</v>
      </c>
      <c r="Y220" s="15" t="s">
        <v>55</v>
      </c>
      <c r="Z220" s="15" t="s">
        <v>56</v>
      </c>
      <c r="AA220" s="14">
        <f t="shared" si="9"/>
        <v>18000</v>
      </c>
      <c r="AB220" s="14">
        <f t="shared" si="10"/>
        <v>16000</v>
      </c>
      <c r="AC220" s="14">
        <f t="shared" si="11"/>
        <v>14000</v>
      </c>
      <c r="AD220" s="15" t="s">
        <v>761</v>
      </c>
      <c r="AE220" s="15" t="s">
        <v>761</v>
      </c>
      <c r="AF220" s="3" t="s">
        <v>761</v>
      </c>
      <c r="AG220" s="45"/>
      <c r="AH220" s="45"/>
      <c r="AI220" s="45">
        <v>10000</v>
      </c>
      <c r="AJ220" s="45"/>
      <c r="AK220" s="45"/>
      <c r="AL220" s="45"/>
      <c r="AM220" s="45"/>
      <c r="AN220" s="45"/>
      <c r="AO220" s="45"/>
      <c r="AP220" s="45"/>
      <c r="AQ220" s="45">
        <v>10000</v>
      </c>
      <c r="AR220" s="45"/>
      <c r="AS220" s="45">
        <v>20000</v>
      </c>
      <c r="AT220" s="3" t="s">
        <v>252</v>
      </c>
      <c r="AU220" s="272"/>
    </row>
    <row r="221" spans="1:47" ht="16.5" hidden="1" customHeight="1" x14ac:dyDescent="0.35">
      <c r="A221" s="15" t="s">
        <v>63</v>
      </c>
      <c r="B221" s="3" t="s">
        <v>64</v>
      </c>
      <c r="C221" s="15" t="s">
        <v>334</v>
      </c>
      <c r="D221" s="15">
        <v>847</v>
      </c>
      <c r="E221" s="15">
        <v>8470340</v>
      </c>
      <c r="F221" s="15" t="s">
        <v>758</v>
      </c>
      <c r="G221" s="15">
        <v>1</v>
      </c>
      <c r="H221" s="276">
        <v>426610</v>
      </c>
      <c r="I221" s="15" t="s">
        <v>74</v>
      </c>
      <c r="J221" s="15" t="s">
        <v>60</v>
      </c>
      <c r="K221" s="15" t="s">
        <v>50</v>
      </c>
      <c r="L221" s="7">
        <v>847001</v>
      </c>
      <c r="M221" s="15" t="s">
        <v>61</v>
      </c>
      <c r="N221" s="15">
        <v>200179</v>
      </c>
      <c r="O221" s="3" t="s">
        <v>777</v>
      </c>
      <c r="P221" s="15">
        <v>167257</v>
      </c>
      <c r="Q221" s="15">
        <v>210000</v>
      </c>
      <c r="R221" s="15">
        <v>210000</v>
      </c>
      <c r="S221" s="15" t="s">
        <v>274</v>
      </c>
      <c r="T221" s="15" t="s">
        <v>157</v>
      </c>
      <c r="U221" s="15">
        <v>1</v>
      </c>
      <c r="V221" s="15">
        <v>230000</v>
      </c>
      <c r="W221" s="15" t="s">
        <v>778</v>
      </c>
      <c r="X221" s="16">
        <v>230000</v>
      </c>
      <c r="Y221" s="15" t="s">
        <v>55</v>
      </c>
      <c r="Z221" s="15" t="s">
        <v>56</v>
      </c>
      <c r="AA221" s="14">
        <f t="shared" si="9"/>
        <v>207000</v>
      </c>
      <c r="AB221" s="14">
        <f t="shared" si="10"/>
        <v>184000</v>
      </c>
      <c r="AC221" s="14">
        <f t="shared" si="11"/>
        <v>161000</v>
      </c>
      <c r="AD221" s="15" t="s">
        <v>772</v>
      </c>
      <c r="AE221" s="15" t="s">
        <v>772</v>
      </c>
      <c r="AF221" s="3" t="s">
        <v>772</v>
      </c>
      <c r="AG221" s="45"/>
      <c r="AH221" s="45">
        <v>115000</v>
      </c>
      <c r="AI221" s="45"/>
      <c r="AJ221" s="45"/>
      <c r="AK221" s="45">
        <v>115000</v>
      </c>
      <c r="AL221" s="45"/>
      <c r="AM221" s="45"/>
      <c r="AN221" s="45"/>
      <c r="AO221" s="45"/>
      <c r="AP221" s="45"/>
      <c r="AQ221" s="45"/>
      <c r="AR221" s="45"/>
      <c r="AS221" s="45">
        <v>230000</v>
      </c>
      <c r="AT221" s="3" t="s">
        <v>230</v>
      </c>
      <c r="AU221" s="272"/>
    </row>
    <row r="222" spans="1:47" ht="16.5" hidden="1" customHeight="1" x14ac:dyDescent="0.35">
      <c r="A222" s="15" t="s">
        <v>222</v>
      </c>
      <c r="B222" s="3" t="s">
        <v>58</v>
      </c>
      <c r="C222" s="15" t="s">
        <v>334</v>
      </c>
      <c r="D222" s="15">
        <v>847</v>
      </c>
      <c r="E222" s="15">
        <v>8470340</v>
      </c>
      <c r="F222" s="15" t="s">
        <v>758</v>
      </c>
      <c r="G222" s="15">
        <v>1</v>
      </c>
      <c r="H222" s="276">
        <v>432209</v>
      </c>
      <c r="I222" s="15" t="s">
        <v>393</v>
      </c>
      <c r="J222" s="15" t="s">
        <v>60</v>
      </c>
      <c r="K222" s="15" t="s">
        <v>50</v>
      </c>
      <c r="L222" s="7">
        <v>847001</v>
      </c>
      <c r="M222" s="15" t="s">
        <v>61</v>
      </c>
      <c r="N222" s="15">
        <v>200179</v>
      </c>
      <c r="O222" s="3" t="s">
        <v>779</v>
      </c>
      <c r="P222" s="15">
        <v>44819.01</v>
      </c>
      <c r="Q222" s="15">
        <v>80000</v>
      </c>
      <c r="R222" s="15">
        <v>80000</v>
      </c>
      <c r="S222" s="15" t="s">
        <v>470</v>
      </c>
      <c r="T222" s="15" t="s">
        <v>157</v>
      </c>
      <c r="U222" s="15">
        <v>1</v>
      </c>
      <c r="V222" s="15">
        <v>80000</v>
      </c>
      <c r="W222" s="15" t="s">
        <v>780</v>
      </c>
      <c r="X222" s="16">
        <v>80000</v>
      </c>
      <c r="Y222" s="15" t="s">
        <v>55</v>
      </c>
      <c r="Z222" s="15" t="s">
        <v>56</v>
      </c>
      <c r="AA222" s="14">
        <f t="shared" si="9"/>
        <v>72000</v>
      </c>
      <c r="AB222" s="14">
        <f t="shared" si="10"/>
        <v>64000</v>
      </c>
      <c r="AC222" s="14">
        <f t="shared" si="11"/>
        <v>56000</v>
      </c>
      <c r="AD222" s="15" t="s">
        <v>766</v>
      </c>
      <c r="AE222" s="15" t="s">
        <v>781</v>
      </c>
      <c r="AF222" s="3" t="s">
        <v>781</v>
      </c>
      <c r="AG222" s="45">
        <v>80000</v>
      </c>
      <c r="AH222" s="45"/>
      <c r="AI222" s="45"/>
      <c r="AJ222" s="45"/>
      <c r="AK222" s="45"/>
      <c r="AL222" s="45"/>
      <c r="AM222" s="45"/>
      <c r="AN222" s="45"/>
      <c r="AO222" s="45"/>
      <c r="AP222" s="45"/>
      <c r="AQ222" s="45"/>
      <c r="AR222" s="45"/>
      <c r="AS222" s="45">
        <v>80000</v>
      </c>
      <c r="AT222" s="3" t="s">
        <v>70</v>
      </c>
      <c r="AU222" s="272" t="s">
        <v>397</v>
      </c>
    </row>
    <row r="223" spans="1:47" ht="16.5" hidden="1" customHeight="1" x14ac:dyDescent="0.35">
      <c r="A223" s="15" t="s">
        <v>222</v>
      </c>
      <c r="B223" s="3" t="s">
        <v>58</v>
      </c>
      <c r="C223" s="15" t="s">
        <v>334</v>
      </c>
      <c r="D223" s="15">
        <v>847</v>
      </c>
      <c r="E223" s="15">
        <v>8470340</v>
      </c>
      <c r="F223" s="15" t="s">
        <v>758</v>
      </c>
      <c r="G223" s="15">
        <v>1</v>
      </c>
      <c r="H223" s="276">
        <v>435350</v>
      </c>
      <c r="I223" s="15" t="s">
        <v>399</v>
      </c>
      <c r="J223" s="15" t="s">
        <v>60</v>
      </c>
      <c r="K223" s="15" t="s">
        <v>50</v>
      </c>
      <c r="L223" s="7">
        <v>847001</v>
      </c>
      <c r="M223" s="15" t="s">
        <v>61</v>
      </c>
      <c r="N223" s="15">
        <v>200179</v>
      </c>
      <c r="O223" s="3" t="s">
        <v>782</v>
      </c>
      <c r="P223" s="15">
        <v>98140.64</v>
      </c>
      <c r="Q223" s="15">
        <v>336000</v>
      </c>
      <c r="R223" s="15">
        <v>350000</v>
      </c>
      <c r="S223" s="15" t="s">
        <v>748</v>
      </c>
      <c r="T223" s="15" t="s">
        <v>269</v>
      </c>
      <c r="U223" s="15">
        <v>35</v>
      </c>
      <c r="V223" s="15">
        <v>10000</v>
      </c>
      <c r="W223" s="15" t="s">
        <v>783</v>
      </c>
      <c r="X223" s="16">
        <v>350000</v>
      </c>
      <c r="Y223" s="15" t="s">
        <v>55</v>
      </c>
      <c r="Z223" s="15" t="s">
        <v>56</v>
      </c>
      <c r="AA223" s="14">
        <f t="shared" si="9"/>
        <v>315000</v>
      </c>
      <c r="AB223" s="14">
        <f t="shared" si="10"/>
        <v>280000</v>
      </c>
      <c r="AC223" s="14">
        <f t="shared" si="11"/>
        <v>244999.99999999997</v>
      </c>
      <c r="AD223" s="15" t="s">
        <v>771</v>
      </c>
      <c r="AE223" s="15" t="s">
        <v>771</v>
      </c>
      <c r="AF223" s="3" t="s">
        <v>771</v>
      </c>
      <c r="AG223" s="45">
        <v>25000</v>
      </c>
      <c r="AH223" s="45">
        <v>30000</v>
      </c>
      <c r="AI223" s="45">
        <v>30000</v>
      </c>
      <c r="AJ223" s="45">
        <v>30000</v>
      </c>
      <c r="AK223" s="45">
        <v>30000</v>
      </c>
      <c r="AL223" s="45">
        <v>30000</v>
      </c>
      <c r="AM223" s="45">
        <v>30000</v>
      </c>
      <c r="AN223" s="45">
        <v>30000</v>
      </c>
      <c r="AO223" s="45">
        <v>30000</v>
      </c>
      <c r="AP223" s="45">
        <v>30000</v>
      </c>
      <c r="AQ223" s="45">
        <v>30000</v>
      </c>
      <c r="AR223" s="45">
        <v>25000</v>
      </c>
      <c r="AS223" s="45">
        <v>350000</v>
      </c>
      <c r="AT223" s="3" t="s">
        <v>252</v>
      </c>
      <c r="AU223" s="272"/>
    </row>
    <row r="224" spans="1:47" ht="16.5" hidden="1" customHeight="1" x14ac:dyDescent="0.35">
      <c r="A224" s="15" t="s">
        <v>222</v>
      </c>
      <c r="B224" s="3" t="s">
        <v>220</v>
      </c>
      <c r="C224" s="15" t="s">
        <v>334</v>
      </c>
      <c r="D224" s="15">
        <v>847</v>
      </c>
      <c r="E224" s="15">
        <v>8470340</v>
      </c>
      <c r="F224" s="15" t="s">
        <v>758</v>
      </c>
      <c r="G224" s="15">
        <v>1</v>
      </c>
      <c r="H224" s="276">
        <v>435508</v>
      </c>
      <c r="I224" s="15" t="s">
        <v>405</v>
      </c>
      <c r="J224" s="15" t="s">
        <v>60</v>
      </c>
      <c r="K224" s="15" t="s">
        <v>50</v>
      </c>
      <c r="L224" s="7">
        <v>847001</v>
      </c>
      <c r="M224" s="15" t="s">
        <v>61</v>
      </c>
      <c r="N224" s="15">
        <v>200179</v>
      </c>
      <c r="O224" s="3" t="s">
        <v>784</v>
      </c>
      <c r="P224" s="15">
        <v>71573.960000000006</v>
      </c>
      <c r="Q224" s="15">
        <v>264000</v>
      </c>
      <c r="R224" s="15">
        <v>250000</v>
      </c>
      <c r="S224" s="15" t="s">
        <v>470</v>
      </c>
      <c r="T224" s="15" t="s">
        <v>157</v>
      </c>
      <c r="U224" s="15">
        <v>12</v>
      </c>
      <c r="V224" s="15">
        <v>20000</v>
      </c>
      <c r="W224" s="15" t="s">
        <v>785</v>
      </c>
      <c r="X224" s="16">
        <v>240000</v>
      </c>
      <c r="Y224" s="15" t="s">
        <v>55</v>
      </c>
      <c r="Z224" s="15" t="s">
        <v>56</v>
      </c>
      <c r="AA224" s="14">
        <f t="shared" si="9"/>
        <v>216000</v>
      </c>
      <c r="AB224" s="14">
        <f t="shared" si="10"/>
        <v>192000</v>
      </c>
      <c r="AC224" s="14">
        <f t="shared" si="11"/>
        <v>168000</v>
      </c>
      <c r="AD224" s="15" t="s">
        <v>766</v>
      </c>
      <c r="AE224" s="15" t="s">
        <v>766</v>
      </c>
      <c r="AF224" s="3" t="s">
        <v>771</v>
      </c>
      <c r="AG224" s="45">
        <v>20000</v>
      </c>
      <c r="AH224" s="45">
        <v>20000</v>
      </c>
      <c r="AI224" s="45">
        <v>20000</v>
      </c>
      <c r="AJ224" s="45">
        <v>20000</v>
      </c>
      <c r="AK224" s="45">
        <v>20000</v>
      </c>
      <c r="AL224" s="45">
        <v>20000</v>
      </c>
      <c r="AM224" s="45">
        <v>20000</v>
      </c>
      <c r="AN224" s="45">
        <v>20000</v>
      </c>
      <c r="AO224" s="45">
        <v>20000</v>
      </c>
      <c r="AP224" s="45">
        <v>20000</v>
      </c>
      <c r="AQ224" s="45">
        <v>20000</v>
      </c>
      <c r="AR224" s="45">
        <v>20000</v>
      </c>
      <c r="AS224" s="45">
        <v>240000</v>
      </c>
      <c r="AT224" s="3" t="s">
        <v>70</v>
      </c>
      <c r="AU224" s="272"/>
    </row>
    <row r="225" spans="1:47" ht="16.5" hidden="1" customHeight="1" x14ac:dyDescent="0.35">
      <c r="A225" s="15" t="s">
        <v>161</v>
      </c>
      <c r="B225" s="3" t="s">
        <v>220</v>
      </c>
      <c r="C225" s="15" t="s">
        <v>334</v>
      </c>
      <c r="D225" s="15">
        <v>847</v>
      </c>
      <c r="E225" s="15">
        <v>8470340</v>
      </c>
      <c r="F225" s="15" t="s">
        <v>758</v>
      </c>
      <c r="G225" s="15">
        <v>1</v>
      </c>
      <c r="H225" s="276">
        <v>492316</v>
      </c>
      <c r="I225" s="15" t="s">
        <v>221</v>
      </c>
      <c r="J225" s="15" t="s">
        <v>60</v>
      </c>
      <c r="K225" s="15" t="s">
        <v>50</v>
      </c>
      <c r="L225" s="7">
        <v>847001</v>
      </c>
      <c r="M225" s="15" t="s">
        <v>192</v>
      </c>
      <c r="N225" s="15">
        <v>300180</v>
      </c>
      <c r="O225" s="3" t="s">
        <v>786</v>
      </c>
      <c r="P225" s="15">
        <v>267712</v>
      </c>
      <c r="Q225" s="15">
        <v>533159</v>
      </c>
      <c r="R225" s="15">
        <v>533159</v>
      </c>
      <c r="S225" s="15" t="s">
        <v>288</v>
      </c>
      <c r="T225" s="15" t="s">
        <v>157</v>
      </c>
      <c r="U225" s="15">
        <v>1</v>
      </c>
      <c r="V225" s="15">
        <v>185000</v>
      </c>
      <c r="W225" s="15" t="s">
        <v>787</v>
      </c>
      <c r="X225" s="16">
        <v>185000</v>
      </c>
      <c r="Y225" s="15" t="s">
        <v>210</v>
      </c>
      <c r="Z225" s="15" t="s">
        <v>197</v>
      </c>
      <c r="AA225" s="14">
        <f t="shared" si="9"/>
        <v>166500</v>
      </c>
      <c r="AB225" s="14">
        <f t="shared" si="10"/>
        <v>148000</v>
      </c>
      <c r="AC225" s="14">
        <f t="shared" si="11"/>
        <v>129499.99999999999</v>
      </c>
      <c r="AD225" s="15" t="s">
        <v>766</v>
      </c>
      <c r="AE225" s="15" t="s">
        <v>788</v>
      </c>
      <c r="AF225" s="3" t="s">
        <v>788</v>
      </c>
      <c r="AG225" s="45"/>
      <c r="AH225" s="45"/>
      <c r="AI225" s="45">
        <v>185000</v>
      </c>
      <c r="AJ225" s="45"/>
      <c r="AK225" s="45"/>
      <c r="AL225" s="45"/>
      <c r="AM225" s="45"/>
      <c r="AN225" s="45"/>
      <c r="AO225" s="45"/>
      <c r="AP225" s="45"/>
      <c r="AQ225" s="45"/>
      <c r="AR225" s="45"/>
      <c r="AS225" s="45">
        <v>185000</v>
      </c>
      <c r="AT225" s="3" t="s">
        <v>230</v>
      </c>
      <c r="AU225" s="272" t="s">
        <v>425</v>
      </c>
    </row>
    <row r="226" spans="1:47" ht="16.5" hidden="1" customHeight="1" x14ac:dyDescent="0.35">
      <c r="A226" s="15" t="s">
        <v>161</v>
      </c>
      <c r="B226" s="3" t="s">
        <v>220</v>
      </c>
      <c r="C226" s="15" t="s">
        <v>334</v>
      </c>
      <c r="D226" s="15">
        <v>847</v>
      </c>
      <c r="E226" s="15">
        <v>8470340</v>
      </c>
      <c r="F226" s="15" t="s">
        <v>758</v>
      </c>
      <c r="G226" s="15">
        <v>1</v>
      </c>
      <c r="H226" s="276">
        <v>492316</v>
      </c>
      <c r="I226" s="15" t="s">
        <v>221</v>
      </c>
      <c r="J226" s="15" t="s">
        <v>60</v>
      </c>
      <c r="K226" s="15" t="s">
        <v>50</v>
      </c>
      <c r="L226" s="7">
        <v>847001</v>
      </c>
      <c r="M226" s="15" t="s">
        <v>192</v>
      </c>
      <c r="N226" s="15">
        <v>300180</v>
      </c>
      <c r="O226" s="3" t="s">
        <v>786</v>
      </c>
      <c r="P226" s="15"/>
      <c r="Q226" s="15"/>
      <c r="R226" s="15"/>
      <c r="S226" s="15" t="s">
        <v>288</v>
      </c>
      <c r="T226" s="15" t="s">
        <v>157</v>
      </c>
      <c r="U226" s="15">
        <v>1</v>
      </c>
      <c r="V226" s="15">
        <v>90000</v>
      </c>
      <c r="W226" s="15" t="s">
        <v>789</v>
      </c>
      <c r="X226" s="16">
        <v>90000</v>
      </c>
      <c r="Y226" s="15" t="s">
        <v>210</v>
      </c>
      <c r="Z226" s="15" t="s">
        <v>197</v>
      </c>
      <c r="AA226" s="14">
        <f t="shared" si="9"/>
        <v>81000</v>
      </c>
      <c r="AB226" s="14">
        <f t="shared" si="10"/>
        <v>72000</v>
      </c>
      <c r="AC226" s="14">
        <f t="shared" si="11"/>
        <v>62999.999999999993</v>
      </c>
      <c r="AD226" s="15" t="s">
        <v>766</v>
      </c>
      <c r="AE226" s="15" t="s">
        <v>788</v>
      </c>
      <c r="AF226" s="3" t="s">
        <v>788</v>
      </c>
      <c r="AG226" s="45"/>
      <c r="AH226" s="45">
        <v>90000</v>
      </c>
      <c r="AI226" s="45"/>
      <c r="AJ226" s="45"/>
      <c r="AK226" s="45"/>
      <c r="AL226" s="45"/>
      <c r="AM226" s="45"/>
      <c r="AN226" s="45"/>
      <c r="AO226" s="45"/>
      <c r="AP226" s="45"/>
      <c r="AQ226" s="45"/>
      <c r="AR226" s="45"/>
      <c r="AS226" s="45">
        <v>90000</v>
      </c>
      <c r="AT226" s="3" t="s">
        <v>70</v>
      </c>
      <c r="AU226" s="272" t="s">
        <v>425</v>
      </c>
    </row>
    <row r="227" spans="1:47" ht="16.5" hidden="1" customHeight="1" x14ac:dyDescent="0.35">
      <c r="A227" s="15" t="s">
        <v>161</v>
      </c>
      <c r="B227" s="3" t="s">
        <v>220</v>
      </c>
      <c r="C227" s="15" t="s">
        <v>334</v>
      </c>
      <c r="D227" s="15">
        <v>847</v>
      </c>
      <c r="E227" s="15">
        <v>8470340</v>
      </c>
      <c r="F227" s="15" t="s">
        <v>758</v>
      </c>
      <c r="G227" s="15">
        <v>1</v>
      </c>
      <c r="H227" s="276">
        <v>492316</v>
      </c>
      <c r="I227" s="15" t="s">
        <v>221</v>
      </c>
      <c r="J227" s="15" t="s">
        <v>60</v>
      </c>
      <c r="K227" s="15" t="s">
        <v>50</v>
      </c>
      <c r="L227" s="7">
        <v>847001</v>
      </c>
      <c r="M227" s="15" t="s">
        <v>192</v>
      </c>
      <c r="N227" s="15">
        <v>300180</v>
      </c>
      <c r="O227" s="3" t="s">
        <v>786</v>
      </c>
      <c r="P227" s="15"/>
      <c r="Q227" s="15"/>
      <c r="R227" s="15"/>
      <c r="S227" s="15" t="s">
        <v>288</v>
      </c>
      <c r="T227" s="15" t="s">
        <v>157</v>
      </c>
      <c r="U227" s="15">
        <v>1</v>
      </c>
      <c r="V227" s="15">
        <v>240000</v>
      </c>
      <c r="W227" s="15" t="s">
        <v>790</v>
      </c>
      <c r="X227" s="16">
        <v>240000</v>
      </c>
      <c r="Y227" s="15" t="s">
        <v>210</v>
      </c>
      <c r="Z227" s="15" t="s">
        <v>197</v>
      </c>
      <c r="AA227" s="14">
        <f t="shared" si="9"/>
        <v>216000</v>
      </c>
      <c r="AB227" s="14">
        <f t="shared" si="10"/>
        <v>192000</v>
      </c>
      <c r="AC227" s="14">
        <f t="shared" si="11"/>
        <v>168000</v>
      </c>
      <c r="AD227" s="15" t="s">
        <v>766</v>
      </c>
      <c r="AE227" s="15" t="s">
        <v>788</v>
      </c>
      <c r="AF227" s="3" t="s">
        <v>788</v>
      </c>
      <c r="AG227" s="45"/>
      <c r="AH227" s="45"/>
      <c r="AI227" s="45"/>
      <c r="AJ227" s="45">
        <v>240000</v>
      </c>
      <c r="AK227" s="45"/>
      <c r="AL227" s="45"/>
      <c r="AM227" s="45"/>
      <c r="AN227" s="45"/>
      <c r="AO227" s="45"/>
      <c r="AP227" s="45"/>
      <c r="AQ227" s="45"/>
      <c r="AR227" s="45"/>
      <c r="AS227" s="45">
        <v>240000</v>
      </c>
      <c r="AT227" s="3" t="s">
        <v>70</v>
      </c>
      <c r="AU227" s="272" t="s">
        <v>425</v>
      </c>
    </row>
    <row r="228" spans="1:47" ht="16.5" hidden="1" customHeight="1" x14ac:dyDescent="0.35">
      <c r="A228" s="15" t="s">
        <v>222</v>
      </c>
      <c r="B228" s="3" t="s">
        <v>58</v>
      </c>
      <c r="C228" s="15" t="s">
        <v>334</v>
      </c>
      <c r="D228" s="15">
        <v>847</v>
      </c>
      <c r="E228" s="15">
        <v>8470345</v>
      </c>
      <c r="F228" s="15" t="s">
        <v>791</v>
      </c>
      <c r="G228" s="15">
        <v>1</v>
      </c>
      <c r="H228" s="276">
        <v>420550</v>
      </c>
      <c r="I228" s="15" t="s">
        <v>225</v>
      </c>
      <c r="J228" s="15" t="s">
        <v>60</v>
      </c>
      <c r="K228" s="15" t="s">
        <v>50</v>
      </c>
      <c r="L228" s="7">
        <v>847001</v>
      </c>
      <c r="M228" s="15" t="s">
        <v>61</v>
      </c>
      <c r="N228" s="15">
        <v>200179</v>
      </c>
      <c r="O228" s="3" t="s">
        <v>792</v>
      </c>
      <c r="P228" s="15" t="s">
        <v>46</v>
      </c>
      <c r="Q228" s="15">
        <v>20000</v>
      </c>
      <c r="R228" s="15">
        <v>20000</v>
      </c>
      <c r="S228" s="15" t="s">
        <v>338</v>
      </c>
      <c r="T228" s="15">
        <v>10</v>
      </c>
      <c r="U228" s="15">
        <v>2</v>
      </c>
      <c r="V228" s="15">
        <v>10000</v>
      </c>
      <c r="W228" s="15" t="s">
        <v>793</v>
      </c>
      <c r="X228" s="16">
        <v>20000</v>
      </c>
      <c r="Y228" s="15" t="s">
        <v>55</v>
      </c>
      <c r="Z228" s="15" t="s">
        <v>56</v>
      </c>
      <c r="AA228" s="14">
        <f t="shared" si="9"/>
        <v>18000</v>
      </c>
      <c r="AB228" s="14">
        <f t="shared" si="10"/>
        <v>16000</v>
      </c>
      <c r="AC228" s="14">
        <f t="shared" si="11"/>
        <v>14000</v>
      </c>
      <c r="AD228" s="15" t="s">
        <v>794</v>
      </c>
      <c r="AE228" s="15" t="s">
        <v>795</v>
      </c>
      <c r="AF228" s="3" t="s">
        <v>796</v>
      </c>
      <c r="AG228" s="45"/>
      <c r="AH228" s="45"/>
      <c r="AI228" s="45">
        <v>10000</v>
      </c>
      <c r="AJ228" s="45"/>
      <c r="AK228" s="45"/>
      <c r="AL228" s="45"/>
      <c r="AM228" s="45"/>
      <c r="AN228" s="45">
        <v>10000</v>
      </c>
      <c r="AO228" s="45"/>
      <c r="AP228" s="45"/>
      <c r="AQ228" s="45"/>
      <c r="AR228" s="45"/>
      <c r="AS228" s="45">
        <v>20000</v>
      </c>
      <c r="AT228" s="3" t="s">
        <v>230</v>
      </c>
      <c r="AU228" s="272"/>
    </row>
    <row r="229" spans="1:47" ht="16.5" hidden="1" customHeight="1" x14ac:dyDescent="0.35">
      <c r="A229" s="15" t="s">
        <v>245</v>
      </c>
      <c r="B229" s="3" t="s">
        <v>246</v>
      </c>
      <c r="C229" s="15" t="s">
        <v>334</v>
      </c>
      <c r="D229" s="15">
        <v>847</v>
      </c>
      <c r="E229" s="15">
        <v>8470345</v>
      </c>
      <c r="F229" s="15" t="s">
        <v>791</v>
      </c>
      <c r="G229" s="15">
        <v>1</v>
      </c>
      <c r="H229" s="276">
        <v>425510</v>
      </c>
      <c r="I229" s="15" t="s">
        <v>247</v>
      </c>
      <c r="J229" s="15" t="s">
        <v>60</v>
      </c>
      <c r="K229" s="15" t="s">
        <v>50</v>
      </c>
      <c r="L229" s="7">
        <v>847001</v>
      </c>
      <c r="M229" s="15" t="s">
        <v>61</v>
      </c>
      <c r="N229" s="15">
        <v>200179</v>
      </c>
      <c r="O229" s="3" t="s">
        <v>797</v>
      </c>
      <c r="P229" s="15">
        <v>65000</v>
      </c>
      <c r="Q229" s="15">
        <v>30000</v>
      </c>
      <c r="R229" s="15">
        <v>30000</v>
      </c>
      <c r="S229" s="15" t="s">
        <v>344</v>
      </c>
      <c r="T229" s="15">
        <v>2</v>
      </c>
      <c r="U229" s="15">
        <v>2</v>
      </c>
      <c r="V229" s="15">
        <v>17500</v>
      </c>
      <c r="W229" s="15" t="s">
        <v>798</v>
      </c>
      <c r="X229" s="16">
        <v>35000</v>
      </c>
      <c r="Y229" s="15" t="s">
        <v>55</v>
      </c>
      <c r="Z229" s="15" t="s">
        <v>56</v>
      </c>
      <c r="AA229" s="14">
        <f t="shared" si="9"/>
        <v>31500</v>
      </c>
      <c r="AB229" s="14">
        <f t="shared" si="10"/>
        <v>28000</v>
      </c>
      <c r="AC229" s="14">
        <f t="shared" si="11"/>
        <v>24500</v>
      </c>
      <c r="AD229" s="15" t="s">
        <v>799</v>
      </c>
      <c r="AE229" s="15" t="s">
        <v>799</v>
      </c>
      <c r="AF229" s="3" t="s">
        <v>799</v>
      </c>
      <c r="AG229" s="45"/>
      <c r="AH229" s="45"/>
      <c r="AI229" s="45">
        <v>15000</v>
      </c>
      <c r="AJ229" s="45"/>
      <c r="AK229" s="45"/>
      <c r="AL229" s="45"/>
      <c r="AM229" s="45"/>
      <c r="AN229" s="45"/>
      <c r="AO229" s="45">
        <v>20000</v>
      </c>
      <c r="AP229" s="45"/>
      <c r="AQ229" s="45"/>
      <c r="AR229" s="45"/>
      <c r="AS229" s="45">
        <v>35000</v>
      </c>
      <c r="AT229" s="3" t="s">
        <v>618</v>
      </c>
      <c r="AU229" s="272"/>
    </row>
    <row r="230" spans="1:47" ht="16.5" hidden="1" customHeight="1" x14ac:dyDescent="0.35">
      <c r="A230" s="15" t="s">
        <v>258</v>
      </c>
      <c r="B230" s="3" t="s">
        <v>350</v>
      </c>
      <c r="C230" s="15" t="s">
        <v>334</v>
      </c>
      <c r="D230" s="15">
        <v>847</v>
      </c>
      <c r="E230" s="15">
        <v>8470345</v>
      </c>
      <c r="F230" s="15" t="s">
        <v>791</v>
      </c>
      <c r="G230" s="15">
        <v>1</v>
      </c>
      <c r="H230" s="276">
        <v>425760</v>
      </c>
      <c r="I230" s="15" t="s">
        <v>352</v>
      </c>
      <c r="J230" s="15" t="s">
        <v>60</v>
      </c>
      <c r="K230" s="15" t="s">
        <v>50</v>
      </c>
      <c r="L230" s="7">
        <v>847001</v>
      </c>
      <c r="M230" s="15" t="s">
        <v>61</v>
      </c>
      <c r="N230" s="15">
        <v>200179</v>
      </c>
      <c r="O230" s="3" t="s">
        <v>800</v>
      </c>
      <c r="P230" s="15" t="s">
        <v>46</v>
      </c>
      <c r="Q230" s="15">
        <v>120000</v>
      </c>
      <c r="R230" s="15">
        <v>120000</v>
      </c>
      <c r="S230" s="15" t="s">
        <v>440</v>
      </c>
      <c r="T230" s="15">
        <v>1</v>
      </c>
      <c r="U230" s="15">
        <v>8</v>
      </c>
      <c r="V230" s="15">
        <v>20000</v>
      </c>
      <c r="W230" s="15" t="s">
        <v>801</v>
      </c>
      <c r="X230" s="16">
        <v>160000</v>
      </c>
      <c r="Y230" s="15" t="s">
        <v>55</v>
      </c>
      <c r="Z230" s="15" t="s">
        <v>56</v>
      </c>
      <c r="AA230" s="14">
        <f t="shared" si="9"/>
        <v>144000</v>
      </c>
      <c r="AB230" s="14">
        <f t="shared" si="10"/>
        <v>128000</v>
      </c>
      <c r="AC230" s="14">
        <f t="shared" si="11"/>
        <v>112000</v>
      </c>
      <c r="AD230" s="15" t="s">
        <v>802</v>
      </c>
      <c r="AE230" s="15" t="s">
        <v>803</v>
      </c>
      <c r="AF230" s="3" t="s">
        <v>804</v>
      </c>
      <c r="AG230" s="45"/>
      <c r="AH230" s="45"/>
      <c r="AI230" s="45"/>
      <c r="AJ230" s="45"/>
      <c r="AK230" s="45"/>
      <c r="AL230" s="45"/>
      <c r="AM230" s="45">
        <v>160000</v>
      </c>
      <c r="AN230" s="45"/>
      <c r="AO230" s="45"/>
      <c r="AP230" s="45"/>
      <c r="AQ230" s="45"/>
      <c r="AR230" s="45"/>
      <c r="AS230" s="45">
        <v>160000</v>
      </c>
      <c r="AT230" s="3" t="s">
        <v>348</v>
      </c>
      <c r="AU230" s="272"/>
    </row>
    <row r="231" spans="1:47" ht="16.5" hidden="1" customHeight="1" x14ac:dyDescent="0.35">
      <c r="A231" s="15" t="s">
        <v>222</v>
      </c>
      <c r="B231" s="3" t="s">
        <v>58</v>
      </c>
      <c r="C231" s="15" t="s">
        <v>334</v>
      </c>
      <c r="D231" s="15">
        <v>847</v>
      </c>
      <c r="E231" s="15">
        <v>8470345</v>
      </c>
      <c r="F231" s="15" t="s">
        <v>791</v>
      </c>
      <c r="G231" s="15">
        <v>1</v>
      </c>
      <c r="H231" s="276">
        <v>425770</v>
      </c>
      <c r="I231" s="15" t="s">
        <v>367</v>
      </c>
      <c r="J231" s="15" t="s">
        <v>60</v>
      </c>
      <c r="K231" s="15" t="s">
        <v>50</v>
      </c>
      <c r="L231" s="7">
        <v>847001</v>
      </c>
      <c r="M231" s="15" t="s">
        <v>61</v>
      </c>
      <c r="N231" s="15">
        <v>200179</v>
      </c>
      <c r="O231" s="3" t="s">
        <v>805</v>
      </c>
      <c r="P231" s="15">
        <v>20865</v>
      </c>
      <c r="Q231" s="15">
        <v>105000</v>
      </c>
      <c r="R231" s="15">
        <v>105000</v>
      </c>
      <c r="S231" s="15" t="s">
        <v>369</v>
      </c>
      <c r="T231" s="15">
        <v>7</v>
      </c>
      <c r="U231" s="15">
        <v>7</v>
      </c>
      <c r="V231" s="15">
        <v>20000</v>
      </c>
      <c r="W231" s="15" t="s">
        <v>806</v>
      </c>
      <c r="X231" s="16">
        <v>140000</v>
      </c>
      <c r="Y231" s="15" t="s">
        <v>55</v>
      </c>
      <c r="Z231" s="15" t="s">
        <v>56</v>
      </c>
      <c r="AA231" s="14">
        <f t="shared" si="9"/>
        <v>126000</v>
      </c>
      <c r="AB231" s="14">
        <f t="shared" si="10"/>
        <v>112000</v>
      </c>
      <c r="AC231" s="14">
        <f t="shared" si="11"/>
        <v>98000</v>
      </c>
      <c r="AD231" s="15" t="s">
        <v>807</v>
      </c>
      <c r="AE231" s="15" t="s">
        <v>807</v>
      </c>
      <c r="AF231" s="3" t="s">
        <v>807</v>
      </c>
      <c r="AG231" s="45">
        <v>20000</v>
      </c>
      <c r="AH231" s="45"/>
      <c r="AI231" s="45">
        <v>20000</v>
      </c>
      <c r="AJ231" s="45"/>
      <c r="AK231" s="45">
        <v>20000</v>
      </c>
      <c r="AL231" s="45">
        <v>20000</v>
      </c>
      <c r="AM231" s="45"/>
      <c r="AN231" s="45">
        <v>20000</v>
      </c>
      <c r="AO231" s="45"/>
      <c r="AP231" s="45">
        <v>20000</v>
      </c>
      <c r="AQ231" s="45"/>
      <c r="AR231" s="45">
        <v>20000</v>
      </c>
      <c r="AS231" s="45">
        <v>140000</v>
      </c>
      <c r="AT231" s="3" t="s">
        <v>379</v>
      </c>
      <c r="AU231" s="272" t="s">
        <v>374</v>
      </c>
    </row>
    <row r="232" spans="1:47" ht="16.5" hidden="1" customHeight="1" x14ac:dyDescent="0.35">
      <c r="A232" s="15" t="s">
        <v>189</v>
      </c>
      <c r="B232" s="3" t="s">
        <v>265</v>
      </c>
      <c r="C232" s="15" t="s">
        <v>334</v>
      </c>
      <c r="D232" s="15">
        <v>847</v>
      </c>
      <c r="E232" s="15">
        <v>8470345</v>
      </c>
      <c r="F232" s="15" t="s">
        <v>791</v>
      </c>
      <c r="G232" s="15">
        <v>1</v>
      </c>
      <c r="H232" s="276">
        <v>425900</v>
      </c>
      <c r="I232" s="15" t="s">
        <v>266</v>
      </c>
      <c r="J232" s="15" t="s">
        <v>60</v>
      </c>
      <c r="K232" s="15" t="s">
        <v>50</v>
      </c>
      <c r="L232" s="7">
        <v>847001</v>
      </c>
      <c r="M232" s="15" t="s">
        <v>61</v>
      </c>
      <c r="N232" s="15">
        <v>200179</v>
      </c>
      <c r="O232" s="3" t="s">
        <v>808</v>
      </c>
      <c r="P232" s="15" t="s">
        <v>46</v>
      </c>
      <c r="Q232" s="15">
        <v>3000</v>
      </c>
      <c r="R232" s="15">
        <v>3000</v>
      </c>
      <c r="S232" s="15" t="s">
        <v>268</v>
      </c>
      <c r="T232" s="15">
        <v>6</v>
      </c>
      <c r="U232" s="15">
        <v>6</v>
      </c>
      <c r="V232" s="15">
        <v>500</v>
      </c>
      <c r="W232" s="15" t="s">
        <v>809</v>
      </c>
      <c r="X232" s="16">
        <v>3000</v>
      </c>
      <c r="Y232" s="15" t="s">
        <v>55</v>
      </c>
      <c r="Z232" s="15" t="s">
        <v>56</v>
      </c>
      <c r="AA232" s="14">
        <f t="shared" si="9"/>
        <v>2700</v>
      </c>
      <c r="AB232" s="14">
        <f t="shared" si="10"/>
        <v>2400</v>
      </c>
      <c r="AC232" s="14">
        <f t="shared" si="11"/>
        <v>2100</v>
      </c>
      <c r="AD232" s="15" t="s">
        <v>810</v>
      </c>
      <c r="AE232" s="15" t="s">
        <v>811</v>
      </c>
      <c r="AF232" s="3" t="s">
        <v>812</v>
      </c>
      <c r="AG232" s="45">
        <v>500</v>
      </c>
      <c r="AH232" s="45"/>
      <c r="AI232" s="45">
        <v>500</v>
      </c>
      <c r="AJ232" s="45"/>
      <c r="AK232" s="45">
        <v>500</v>
      </c>
      <c r="AL232" s="45"/>
      <c r="AM232" s="45">
        <v>500</v>
      </c>
      <c r="AN232" s="45"/>
      <c r="AO232" s="45">
        <v>500</v>
      </c>
      <c r="AP232" s="45"/>
      <c r="AQ232" s="45">
        <v>500</v>
      </c>
      <c r="AR232" s="45"/>
      <c r="AS232" s="45">
        <v>3000</v>
      </c>
      <c r="AT232" s="3" t="s">
        <v>379</v>
      </c>
      <c r="AU232" s="272"/>
    </row>
    <row r="233" spans="1:47" ht="16.5" hidden="1" customHeight="1" x14ac:dyDescent="0.35">
      <c r="A233" s="15" t="s">
        <v>63</v>
      </c>
      <c r="B233" s="3" t="s">
        <v>64</v>
      </c>
      <c r="C233" s="15" t="s">
        <v>334</v>
      </c>
      <c r="D233" s="15">
        <v>847</v>
      </c>
      <c r="E233" s="15">
        <v>8470345</v>
      </c>
      <c r="F233" s="15" t="s">
        <v>791</v>
      </c>
      <c r="G233" s="15">
        <v>1</v>
      </c>
      <c r="H233" s="276">
        <v>426610</v>
      </c>
      <c r="I233" s="15" t="s">
        <v>74</v>
      </c>
      <c r="J233" s="15" t="s">
        <v>60</v>
      </c>
      <c r="K233" s="15" t="s">
        <v>50</v>
      </c>
      <c r="L233" s="7">
        <v>847001</v>
      </c>
      <c r="M233" s="15" t="s">
        <v>61</v>
      </c>
      <c r="N233" s="15">
        <v>200179</v>
      </c>
      <c r="O233" s="3" t="s">
        <v>813</v>
      </c>
      <c r="P233" s="15">
        <v>-38267.69</v>
      </c>
      <c r="Q233" s="15">
        <v>146983</v>
      </c>
      <c r="R233" s="15">
        <v>146983</v>
      </c>
      <c r="S233" s="15" t="s">
        <v>274</v>
      </c>
      <c r="T233" s="15">
        <v>1</v>
      </c>
      <c r="U233" s="15">
        <v>1</v>
      </c>
      <c r="V233" s="15">
        <v>59217</v>
      </c>
      <c r="W233" s="15" t="s">
        <v>814</v>
      </c>
      <c r="X233" s="16">
        <v>59217</v>
      </c>
      <c r="Y233" s="15" t="s">
        <v>55</v>
      </c>
      <c r="Z233" s="15" t="s">
        <v>56</v>
      </c>
      <c r="AA233" s="14">
        <f t="shared" si="9"/>
        <v>53295.3</v>
      </c>
      <c r="AB233" s="14">
        <f t="shared" si="10"/>
        <v>47373.600000000006</v>
      </c>
      <c r="AC233" s="14">
        <f t="shared" si="11"/>
        <v>41451.899999999994</v>
      </c>
      <c r="AD233" s="15" t="s">
        <v>815</v>
      </c>
      <c r="AE233" s="15" t="s">
        <v>815</v>
      </c>
      <c r="AF233" s="3" t="s">
        <v>815</v>
      </c>
      <c r="AG233" s="45">
        <v>59217</v>
      </c>
      <c r="AH233" s="45"/>
      <c r="AI233" s="45"/>
      <c r="AJ233" s="45"/>
      <c r="AK233" s="45"/>
      <c r="AL233" s="45"/>
      <c r="AM233" s="45"/>
      <c r="AN233" s="45"/>
      <c r="AO233" s="45"/>
      <c r="AP233" s="45"/>
      <c r="AQ233" s="45"/>
      <c r="AR233" s="45"/>
      <c r="AS233" s="45">
        <v>59217</v>
      </c>
      <c r="AT233" s="3" t="s">
        <v>816</v>
      </c>
      <c r="AU233" s="272"/>
    </row>
    <row r="234" spans="1:47" ht="16.5" hidden="1" customHeight="1" x14ac:dyDescent="0.35">
      <c r="A234" s="15" t="s">
        <v>153</v>
      </c>
      <c r="B234" s="3" t="s">
        <v>58</v>
      </c>
      <c r="C234" s="15" t="s">
        <v>334</v>
      </c>
      <c r="D234" s="15">
        <v>847</v>
      </c>
      <c r="E234" s="15">
        <v>8470345</v>
      </c>
      <c r="F234" s="15" t="s">
        <v>791</v>
      </c>
      <c r="G234" s="15">
        <v>1</v>
      </c>
      <c r="H234" s="276">
        <v>428090</v>
      </c>
      <c r="I234" s="15" t="s">
        <v>154</v>
      </c>
      <c r="J234" s="15" t="s">
        <v>60</v>
      </c>
      <c r="K234" s="15" t="s">
        <v>50</v>
      </c>
      <c r="L234" s="7">
        <v>847001</v>
      </c>
      <c r="M234" s="15" t="s">
        <v>61</v>
      </c>
      <c r="N234" s="15">
        <v>200179</v>
      </c>
      <c r="O234" s="3" t="s">
        <v>817</v>
      </c>
      <c r="P234" s="15">
        <v>3907.76</v>
      </c>
      <c r="Q234" s="15">
        <v>44592</v>
      </c>
      <c r="R234" s="15">
        <v>44592</v>
      </c>
      <c r="S234" s="15" t="s">
        <v>387</v>
      </c>
      <c r="T234" s="15">
        <v>2</v>
      </c>
      <c r="U234" s="15">
        <v>2</v>
      </c>
      <c r="V234" s="15">
        <v>25000</v>
      </c>
      <c r="W234" s="15" t="s">
        <v>818</v>
      </c>
      <c r="X234" s="16">
        <v>50000</v>
      </c>
      <c r="Y234" s="15" t="s">
        <v>55</v>
      </c>
      <c r="Z234" s="15" t="s">
        <v>56</v>
      </c>
      <c r="AA234" s="14">
        <f t="shared" si="9"/>
        <v>45000</v>
      </c>
      <c r="AB234" s="14">
        <f t="shared" si="10"/>
        <v>40000</v>
      </c>
      <c r="AC234" s="14">
        <f t="shared" si="11"/>
        <v>35000</v>
      </c>
      <c r="AD234" s="15" t="s">
        <v>819</v>
      </c>
      <c r="AE234" s="15" t="s">
        <v>820</v>
      </c>
      <c r="AF234" s="3" t="s">
        <v>821</v>
      </c>
      <c r="AG234" s="45"/>
      <c r="AH234" s="45"/>
      <c r="AI234" s="45">
        <v>25000</v>
      </c>
      <c r="AJ234" s="45"/>
      <c r="AK234" s="45"/>
      <c r="AL234" s="45"/>
      <c r="AM234" s="45"/>
      <c r="AN234" s="45">
        <v>25000</v>
      </c>
      <c r="AO234" s="45"/>
      <c r="AP234" s="45"/>
      <c r="AQ234" s="45"/>
      <c r="AR234" s="45"/>
      <c r="AS234" s="45">
        <v>50000</v>
      </c>
      <c r="AT234" s="3" t="s">
        <v>237</v>
      </c>
      <c r="AU234" s="272"/>
    </row>
    <row r="235" spans="1:47" ht="16.5" hidden="1" customHeight="1" x14ac:dyDescent="0.35">
      <c r="A235" s="15" t="s">
        <v>222</v>
      </c>
      <c r="B235" s="3" t="s">
        <v>58</v>
      </c>
      <c r="C235" s="15" t="s">
        <v>334</v>
      </c>
      <c r="D235" s="15">
        <v>847</v>
      </c>
      <c r="E235" s="15">
        <v>8470345</v>
      </c>
      <c r="F235" s="15" t="s">
        <v>791</v>
      </c>
      <c r="G235" s="15">
        <v>1</v>
      </c>
      <c r="H235" s="276">
        <v>435350</v>
      </c>
      <c r="I235" s="15" t="s">
        <v>399</v>
      </c>
      <c r="J235" s="15" t="s">
        <v>60</v>
      </c>
      <c r="K235" s="15" t="s">
        <v>50</v>
      </c>
      <c r="L235" s="7">
        <v>847001</v>
      </c>
      <c r="M235" s="15" t="s">
        <v>61</v>
      </c>
      <c r="N235" s="15">
        <v>200179</v>
      </c>
      <c r="O235" s="3" t="s">
        <v>822</v>
      </c>
      <c r="P235" s="15">
        <v>17035.740000000002</v>
      </c>
      <c r="Q235" s="15">
        <v>70000</v>
      </c>
      <c r="R235" s="15">
        <v>70000</v>
      </c>
      <c r="S235" s="15" t="s">
        <v>401</v>
      </c>
      <c r="T235" s="15">
        <v>7</v>
      </c>
      <c r="U235" s="15">
        <v>14</v>
      </c>
      <c r="V235" s="15">
        <v>12000</v>
      </c>
      <c r="W235" s="15" t="s">
        <v>823</v>
      </c>
      <c r="X235" s="16">
        <v>168000</v>
      </c>
      <c r="Y235" s="15" t="s">
        <v>55</v>
      </c>
      <c r="Z235" s="15" t="s">
        <v>56</v>
      </c>
      <c r="AA235" s="14">
        <f t="shared" si="9"/>
        <v>151200</v>
      </c>
      <c r="AB235" s="14">
        <f t="shared" si="10"/>
        <v>134400</v>
      </c>
      <c r="AC235" s="14">
        <f t="shared" si="11"/>
        <v>117599.99999999999</v>
      </c>
      <c r="AD235" s="15" t="s">
        <v>824</v>
      </c>
      <c r="AE235" s="15" t="s">
        <v>824</v>
      </c>
      <c r="AF235" s="3" t="s">
        <v>824</v>
      </c>
      <c r="AG235" s="45">
        <v>12000</v>
      </c>
      <c r="AH235" s="45">
        <v>12000</v>
      </c>
      <c r="AI235" s="45">
        <v>12000</v>
      </c>
      <c r="AJ235" s="45">
        <v>24000</v>
      </c>
      <c r="AK235" s="45">
        <v>12000</v>
      </c>
      <c r="AL235" s="45">
        <v>12000</v>
      </c>
      <c r="AM235" s="45">
        <v>12000</v>
      </c>
      <c r="AN235" s="45">
        <v>12000</v>
      </c>
      <c r="AO235" s="45">
        <v>24000</v>
      </c>
      <c r="AP235" s="45">
        <v>12000</v>
      </c>
      <c r="AQ235" s="45">
        <v>12000</v>
      </c>
      <c r="AR235" s="45">
        <v>12000</v>
      </c>
      <c r="AS235" s="45">
        <v>168000</v>
      </c>
      <c r="AT235" s="3" t="s">
        <v>480</v>
      </c>
      <c r="AU235" s="272"/>
    </row>
    <row r="236" spans="1:47" ht="16.5" hidden="1" customHeight="1" x14ac:dyDescent="0.35">
      <c r="A236" s="15" t="s">
        <v>222</v>
      </c>
      <c r="B236" s="3" t="s">
        <v>220</v>
      </c>
      <c r="C236" s="15" t="s">
        <v>334</v>
      </c>
      <c r="D236" s="15">
        <v>847</v>
      </c>
      <c r="E236" s="15">
        <v>8470345</v>
      </c>
      <c r="F236" s="15" t="s">
        <v>791</v>
      </c>
      <c r="G236" s="15">
        <v>1</v>
      </c>
      <c r="H236" s="276">
        <v>435508</v>
      </c>
      <c r="I236" s="15" t="s">
        <v>405</v>
      </c>
      <c r="J236" s="15" t="s">
        <v>60</v>
      </c>
      <c r="K236" s="15" t="s">
        <v>50</v>
      </c>
      <c r="L236" s="7">
        <v>847001</v>
      </c>
      <c r="M236" s="15" t="s">
        <v>61</v>
      </c>
      <c r="N236" s="15">
        <v>200179</v>
      </c>
      <c r="O236" s="3" t="s">
        <v>825</v>
      </c>
      <c r="P236" s="15">
        <v>52975.5</v>
      </c>
      <c r="Q236" s="15">
        <v>197477</v>
      </c>
      <c r="R236" s="15">
        <v>197477</v>
      </c>
      <c r="S236" s="15" t="s">
        <v>482</v>
      </c>
      <c r="T236" s="15">
        <v>1</v>
      </c>
      <c r="U236" s="15">
        <v>1</v>
      </c>
      <c r="V236" s="15">
        <v>549184</v>
      </c>
      <c r="W236" s="15" t="s">
        <v>826</v>
      </c>
      <c r="X236" s="16">
        <v>549184</v>
      </c>
      <c r="Y236" s="15" t="s">
        <v>55</v>
      </c>
      <c r="Z236" s="15" t="s">
        <v>56</v>
      </c>
      <c r="AA236" s="14">
        <f t="shared" si="9"/>
        <v>494265.60000000003</v>
      </c>
      <c r="AB236" s="14">
        <f t="shared" si="10"/>
        <v>439347.20000000001</v>
      </c>
      <c r="AC236" s="14">
        <f t="shared" si="11"/>
        <v>384428.79999999999</v>
      </c>
      <c r="AD236" s="15" t="s">
        <v>827</v>
      </c>
      <c r="AE236" s="15" t="s">
        <v>827</v>
      </c>
      <c r="AF236" s="3" t="s">
        <v>827</v>
      </c>
      <c r="AG236" s="45"/>
      <c r="AH236" s="45">
        <v>349184</v>
      </c>
      <c r="AI236" s="45"/>
      <c r="AJ236" s="45"/>
      <c r="AK236" s="45">
        <v>100000</v>
      </c>
      <c r="AL236" s="45"/>
      <c r="AM236" s="45"/>
      <c r="AN236" s="45">
        <v>100000</v>
      </c>
      <c r="AO236" s="45"/>
      <c r="AP236" s="45"/>
      <c r="AQ236" s="45"/>
      <c r="AR236" s="45"/>
      <c r="AS236" s="45">
        <v>549184</v>
      </c>
      <c r="AT236" s="3" t="s">
        <v>816</v>
      </c>
      <c r="AU236" s="272"/>
    </row>
    <row r="237" spans="1:47" ht="16.5" hidden="1" customHeight="1" x14ac:dyDescent="0.35">
      <c r="A237" s="15" t="s">
        <v>189</v>
      </c>
      <c r="B237" s="3" t="s">
        <v>58</v>
      </c>
      <c r="C237" s="15" t="s">
        <v>334</v>
      </c>
      <c r="D237" s="15">
        <v>847</v>
      </c>
      <c r="E237" s="15">
        <v>8470345</v>
      </c>
      <c r="F237" s="15" t="s">
        <v>791</v>
      </c>
      <c r="G237" s="15">
        <v>1</v>
      </c>
      <c r="H237" s="276">
        <v>436110</v>
      </c>
      <c r="I237" s="15" t="s">
        <v>190</v>
      </c>
      <c r="J237" s="15" t="s">
        <v>60</v>
      </c>
      <c r="K237" s="15" t="s">
        <v>50</v>
      </c>
      <c r="L237" s="7">
        <v>847001</v>
      </c>
      <c r="M237" s="15" t="s">
        <v>61</v>
      </c>
      <c r="N237" s="15">
        <v>200179</v>
      </c>
      <c r="O237" s="3" t="s">
        <v>828</v>
      </c>
      <c r="P237" s="15">
        <v>0</v>
      </c>
      <c r="Q237" s="15">
        <v>5742</v>
      </c>
      <c r="R237" s="15">
        <v>5742</v>
      </c>
      <c r="S237" s="15" t="s">
        <v>829</v>
      </c>
      <c r="T237" s="15">
        <v>5</v>
      </c>
      <c r="U237" s="15">
        <v>6</v>
      </c>
      <c r="V237" s="15">
        <v>1000</v>
      </c>
      <c r="W237" s="15" t="s">
        <v>830</v>
      </c>
      <c r="X237" s="16">
        <v>6000</v>
      </c>
      <c r="Y237" s="15" t="s">
        <v>55</v>
      </c>
      <c r="Z237" s="15" t="s">
        <v>56</v>
      </c>
      <c r="AA237" s="14">
        <f t="shared" si="9"/>
        <v>5400</v>
      </c>
      <c r="AB237" s="14">
        <f t="shared" si="10"/>
        <v>4800</v>
      </c>
      <c r="AC237" s="14">
        <f t="shared" si="11"/>
        <v>4200</v>
      </c>
      <c r="AD237" s="15" t="s">
        <v>831</v>
      </c>
      <c r="AE237" s="15" t="s">
        <v>832</v>
      </c>
      <c r="AF237" s="3" t="s">
        <v>833</v>
      </c>
      <c r="AG237" s="45">
        <v>1000</v>
      </c>
      <c r="AH237" s="45"/>
      <c r="AI237" s="45">
        <v>1000</v>
      </c>
      <c r="AJ237" s="45"/>
      <c r="AK237" s="45">
        <v>1000</v>
      </c>
      <c r="AL237" s="45"/>
      <c r="AM237" s="45">
        <v>1000</v>
      </c>
      <c r="AN237" s="45"/>
      <c r="AO237" s="45">
        <v>1000</v>
      </c>
      <c r="AP237" s="45"/>
      <c r="AQ237" s="45">
        <v>1000</v>
      </c>
      <c r="AR237" s="45"/>
      <c r="AS237" s="45">
        <v>6000</v>
      </c>
      <c r="AT237" s="3" t="s">
        <v>834</v>
      </c>
      <c r="AU237" s="272"/>
    </row>
    <row r="238" spans="1:47" ht="16.5" hidden="1" customHeight="1" x14ac:dyDescent="0.35">
      <c r="A238" s="20" t="s">
        <v>222</v>
      </c>
      <c r="B238" s="21" t="s">
        <v>58</v>
      </c>
      <c r="C238" s="20" t="s">
        <v>334</v>
      </c>
      <c r="D238" s="15">
        <v>847</v>
      </c>
      <c r="E238" s="20">
        <v>8470345</v>
      </c>
      <c r="F238" s="20" t="s">
        <v>791</v>
      </c>
      <c r="G238" s="15">
        <v>1</v>
      </c>
      <c r="H238" s="276">
        <v>436600</v>
      </c>
      <c r="I238" s="20" t="s">
        <v>416</v>
      </c>
      <c r="J238" s="15" t="s">
        <v>60</v>
      </c>
      <c r="K238" s="20" t="s">
        <v>50</v>
      </c>
      <c r="L238" s="7">
        <v>847001</v>
      </c>
      <c r="M238" s="20" t="s">
        <v>61</v>
      </c>
      <c r="N238" s="20">
        <v>200179</v>
      </c>
      <c r="O238" s="3" t="s">
        <v>835</v>
      </c>
      <c r="P238" s="20" t="s">
        <v>46</v>
      </c>
      <c r="Q238" s="20">
        <v>9640</v>
      </c>
      <c r="R238" s="20">
        <v>9640</v>
      </c>
      <c r="S238" s="20" t="s">
        <v>836</v>
      </c>
      <c r="T238" s="20">
        <v>15</v>
      </c>
      <c r="U238" s="20">
        <v>15</v>
      </c>
      <c r="V238" s="20">
        <v>38560</v>
      </c>
      <c r="W238" s="20" t="s">
        <v>837</v>
      </c>
      <c r="X238" s="22">
        <f>U238*V238</f>
        <v>578400</v>
      </c>
      <c r="Y238" s="20" t="s">
        <v>210</v>
      </c>
      <c r="Z238" s="20" t="s">
        <v>197</v>
      </c>
      <c r="AA238" s="14">
        <f t="shared" si="9"/>
        <v>520560</v>
      </c>
      <c r="AB238" s="14">
        <f t="shared" si="10"/>
        <v>462720</v>
      </c>
      <c r="AC238" s="14">
        <f t="shared" si="11"/>
        <v>404880</v>
      </c>
      <c r="AD238" s="20" t="s">
        <v>838</v>
      </c>
      <c r="AE238" s="20" t="s">
        <v>838</v>
      </c>
      <c r="AF238" s="21" t="s">
        <v>838</v>
      </c>
      <c r="AG238" s="47"/>
      <c r="AH238" s="47">
        <v>578400</v>
      </c>
      <c r="AI238" s="47"/>
      <c r="AJ238" s="47"/>
      <c r="AK238" s="47"/>
      <c r="AL238" s="47"/>
      <c r="AM238" s="47"/>
      <c r="AN238" s="47"/>
      <c r="AO238" s="47"/>
      <c r="AP238" s="47"/>
      <c r="AQ238" s="47"/>
      <c r="AR238" s="47"/>
      <c r="AS238" s="48">
        <v>578400</v>
      </c>
      <c r="AT238" s="3" t="s">
        <v>70</v>
      </c>
      <c r="AU238" s="272"/>
    </row>
    <row r="239" spans="1:47" ht="16.5" hidden="1" customHeight="1" x14ac:dyDescent="0.35">
      <c r="A239" s="20" t="s">
        <v>161</v>
      </c>
      <c r="B239" s="21" t="s">
        <v>220</v>
      </c>
      <c r="C239" s="20" t="s">
        <v>334</v>
      </c>
      <c r="D239" s="15">
        <v>847</v>
      </c>
      <c r="E239" s="20">
        <v>8470345</v>
      </c>
      <c r="F239" s="20" t="s">
        <v>791</v>
      </c>
      <c r="G239" s="15">
        <v>1</v>
      </c>
      <c r="H239" s="276">
        <v>492316</v>
      </c>
      <c r="I239" s="20" t="s">
        <v>221</v>
      </c>
      <c r="J239" s="15" t="s">
        <v>60</v>
      </c>
      <c r="K239" s="20" t="s">
        <v>50</v>
      </c>
      <c r="L239" s="7">
        <v>847001</v>
      </c>
      <c r="M239" s="20" t="s">
        <v>192</v>
      </c>
      <c r="N239" s="20">
        <v>300180</v>
      </c>
      <c r="O239" s="3" t="s">
        <v>839</v>
      </c>
      <c r="P239" s="20">
        <v>77504.460000000006</v>
      </c>
      <c r="Q239" s="20">
        <v>551330</v>
      </c>
      <c r="R239" s="20">
        <v>551330</v>
      </c>
      <c r="S239" s="20" t="s">
        <v>495</v>
      </c>
      <c r="T239" s="20">
        <v>1</v>
      </c>
      <c r="U239" s="22">
        <v>1</v>
      </c>
      <c r="V239" s="22">
        <v>2090045.75</v>
      </c>
      <c r="W239" s="20" t="s">
        <v>840</v>
      </c>
      <c r="X239" s="22">
        <f>U239*V239</f>
        <v>2090045.75</v>
      </c>
      <c r="Y239" s="20" t="s">
        <v>210</v>
      </c>
      <c r="Z239" s="20" t="s">
        <v>197</v>
      </c>
      <c r="AA239" s="14">
        <f t="shared" si="9"/>
        <v>1881041.175</v>
      </c>
      <c r="AB239" s="14">
        <f t="shared" si="10"/>
        <v>1672036.6</v>
      </c>
      <c r="AC239" s="14">
        <f t="shared" si="11"/>
        <v>1463032.0249999999</v>
      </c>
      <c r="AD239" s="20" t="s">
        <v>841</v>
      </c>
      <c r="AE239" s="20" t="s">
        <v>842</v>
      </c>
      <c r="AF239" s="21" t="s">
        <v>842</v>
      </c>
      <c r="AG239" s="47"/>
      <c r="AH239" s="47"/>
      <c r="AI239" s="47">
        <v>1090045.75</v>
      </c>
      <c r="AJ239" s="47">
        <v>1000000</v>
      </c>
      <c r="AK239" s="47"/>
      <c r="AL239" s="47"/>
      <c r="AM239" s="47"/>
      <c r="AN239" s="47"/>
      <c r="AO239" s="47"/>
      <c r="AP239" s="47"/>
      <c r="AQ239" s="47"/>
      <c r="AR239" s="47"/>
      <c r="AS239" s="47">
        <v>2090045.75</v>
      </c>
      <c r="AT239" s="3" t="s">
        <v>70</v>
      </c>
      <c r="AU239" s="272" t="s">
        <v>425</v>
      </c>
    </row>
    <row r="240" spans="1:47" ht="16.5" hidden="1" customHeight="1" x14ac:dyDescent="0.35">
      <c r="A240" s="15" t="s">
        <v>245</v>
      </c>
      <c r="B240" s="3" t="s">
        <v>246</v>
      </c>
      <c r="C240" s="15" t="s">
        <v>334</v>
      </c>
      <c r="D240" s="15">
        <v>847</v>
      </c>
      <c r="E240" s="15">
        <v>8470350</v>
      </c>
      <c r="F240" s="15" t="s">
        <v>843</v>
      </c>
      <c r="G240" s="15">
        <v>1</v>
      </c>
      <c r="H240" s="276">
        <v>425510</v>
      </c>
      <c r="I240" s="15" t="s">
        <v>247</v>
      </c>
      <c r="J240" s="15" t="s">
        <v>60</v>
      </c>
      <c r="K240" s="15" t="s">
        <v>50</v>
      </c>
      <c r="L240" s="7">
        <v>847001</v>
      </c>
      <c r="M240" s="15" t="s">
        <v>61</v>
      </c>
      <c r="N240" s="15">
        <v>200179</v>
      </c>
      <c r="O240" s="3" t="s">
        <v>844</v>
      </c>
      <c r="P240" s="15">
        <v>2679.4</v>
      </c>
      <c r="Q240" s="15">
        <v>16000</v>
      </c>
      <c r="R240" s="15">
        <v>16000</v>
      </c>
      <c r="S240" s="15" t="s">
        <v>249</v>
      </c>
      <c r="T240" s="15" t="s">
        <v>250</v>
      </c>
      <c r="U240" s="15">
        <v>5</v>
      </c>
      <c r="V240" s="15">
        <v>4000</v>
      </c>
      <c r="W240" s="15" t="s">
        <v>845</v>
      </c>
      <c r="X240" s="16">
        <v>20000</v>
      </c>
      <c r="Y240" s="15" t="s">
        <v>55</v>
      </c>
      <c r="Z240" s="15" t="s">
        <v>56</v>
      </c>
      <c r="AA240" s="14">
        <f t="shared" si="9"/>
        <v>18000</v>
      </c>
      <c r="AB240" s="14">
        <f t="shared" si="10"/>
        <v>16000</v>
      </c>
      <c r="AC240" s="14">
        <f t="shared" si="11"/>
        <v>14000</v>
      </c>
      <c r="AD240" s="15" t="s">
        <v>846</v>
      </c>
      <c r="AE240" s="15" t="s">
        <v>847</v>
      </c>
      <c r="AF240" s="3" t="s">
        <v>848</v>
      </c>
      <c r="AG240" s="45">
        <v>2000</v>
      </c>
      <c r="AH240" s="45">
        <v>2000</v>
      </c>
      <c r="AI240" s="45">
        <v>2000</v>
      </c>
      <c r="AJ240" s="45">
        <v>2000</v>
      </c>
      <c r="AK240" s="45">
        <v>2000</v>
      </c>
      <c r="AL240" s="45">
        <v>2000</v>
      </c>
      <c r="AM240" s="45"/>
      <c r="AN240" s="45">
        <v>2000</v>
      </c>
      <c r="AO240" s="45">
        <v>2000</v>
      </c>
      <c r="AP240" s="45">
        <v>2000</v>
      </c>
      <c r="AQ240" s="45">
        <v>2000</v>
      </c>
      <c r="AR240" s="45"/>
      <c r="AS240" s="45">
        <v>20000</v>
      </c>
      <c r="AT240" s="3" t="s">
        <v>230</v>
      </c>
      <c r="AU240" s="272"/>
    </row>
    <row r="241" spans="1:47" ht="16.5" hidden="1" customHeight="1" x14ac:dyDescent="0.35">
      <c r="A241" s="15" t="s">
        <v>258</v>
      </c>
      <c r="B241" s="3" t="s">
        <v>350</v>
      </c>
      <c r="C241" s="15" t="s">
        <v>334</v>
      </c>
      <c r="D241" s="15">
        <v>847</v>
      </c>
      <c r="E241" s="15">
        <v>8470350</v>
      </c>
      <c r="F241" s="15" t="s">
        <v>843</v>
      </c>
      <c r="G241" s="15">
        <v>1</v>
      </c>
      <c r="H241" s="276">
        <v>425760</v>
      </c>
      <c r="I241" s="15" t="s">
        <v>352</v>
      </c>
      <c r="J241" s="15" t="s">
        <v>60</v>
      </c>
      <c r="K241" s="15" t="s">
        <v>50</v>
      </c>
      <c r="L241" s="7">
        <v>847001</v>
      </c>
      <c r="M241" s="15" t="s">
        <v>61</v>
      </c>
      <c r="N241" s="15">
        <v>200179</v>
      </c>
      <c r="O241" s="3" t="s">
        <v>849</v>
      </c>
      <c r="P241" s="15" t="s">
        <v>46</v>
      </c>
      <c r="Q241" s="15">
        <v>25000</v>
      </c>
      <c r="R241" s="15">
        <v>25000</v>
      </c>
      <c r="S241" s="15" t="s">
        <v>440</v>
      </c>
      <c r="T241" s="15" t="s">
        <v>441</v>
      </c>
      <c r="U241" s="15">
        <v>10</v>
      </c>
      <c r="V241" s="15">
        <v>2500</v>
      </c>
      <c r="W241" s="15" t="s">
        <v>850</v>
      </c>
      <c r="X241" s="16">
        <v>25000</v>
      </c>
      <c r="Y241" s="15" t="s">
        <v>55</v>
      </c>
      <c r="Z241" s="15" t="s">
        <v>56</v>
      </c>
      <c r="AA241" s="14">
        <f t="shared" si="9"/>
        <v>22500</v>
      </c>
      <c r="AB241" s="14">
        <f t="shared" si="10"/>
        <v>20000</v>
      </c>
      <c r="AC241" s="14">
        <f t="shared" si="11"/>
        <v>17500</v>
      </c>
      <c r="AD241" s="15" t="s">
        <v>846</v>
      </c>
      <c r="AE241" s="15" t="s">
        <v>847</v>
      </c>
      <c r="AF241" s="3" t="s">
        <v>848</v>
      </c>
      <c r="AG241" s="45"/>
      <c r="AH241" s="45">
        <v>5000</v>
      </c>
      <c r="AI241" s="45"/>
      <c r="AJ241" s="45">
        <v>5000</v>
      </c>
      <c r="AK241" s="45"/>
      <c r="AL241" s="45">
        <v>5000</v>
      </c>
      <c r="AM241" s="45"/>
      <c r="AN241" s="45">
        <v>5000</v>
      </c>
      <c r="AO241" s="45"/>
      <c r="AP241" s="45">
        <v>5000</v>
      </c>
      <c r="AQ241" s="45"/>
      <c r="AR241" s="45"/>
      <c r="AS241" s="45">
        <v>25000</v>
      </c>
      <c r="AT241" s="3" t="s">
        <v>379</v>
      </c>
      <c r="AU241" s="272"/>
    </row>
    <row r="242" spans="1:47" ht="16.5" hidden="1" customHeight="1" x14ac:dyDescent="0.35">
      <c r="A242" s="15" t="s">
        <v>258</v>
      </c>
      <c r="B242" s="3" t="s">
        <v>58</v>
      </c>
      <c r="C242" s="15" t="s">
        <v>334</v>
      </c>
      <c r="D242" s="15">
        <v>847</v>
      </c>
      <c r="E242" s="15">
        <v>8470350</v>
      </c>
      <c r="F242" s="15" t="s">
        <v>843</v>
      </c>
      <c r="G242" s="15">
        <v>1</v>
      </c>
      <c r="H242" s="276">
        <v>425763</v>
      </c>
      <c r="I242" s="15" t="s">
        <v>359</v>
      </c>
      <c r="J242" s="15" t="s">
        <v>60</v>
      </c>
      <c r="K242" s="15" t="s">
        <v>50</v>
      </c>
      <c r="L242" s="7">
        <v>847001</v>
      </c>
      <c r="M242" s="15" t="s">
        <v>61</v>
      </c>
      <c r="N242" s="15">
        <v>200179</v>
      </c>
      <c r="O242" s="3" t="s">
        <v>851</v>
      </c>
      <c r="P242" s="15">
        <v>0</v>
      </c>
      <c r="Q242" s="15">
        <v>30000</v>
      </c>
      <c r="R242" s="15">
        <v>25000</v>
      </c>
      <c r="S242" s="15" t="s">
        <v>440</v>
      </c>
      <c r="T242" s="15" t="s">
        <v>441</v>
      </c>
      <c r="U242" s="15">
        <v>10</v>
      </c>
      <c r="V242" s="15">
        <v>1000</v>
      </c>
      <c r="W242" s="15" t="s">
        <v>852</v>
      </c>
      <c r="X242" s="16">
        <v>10000</v>
      </c>
      <c r="Y242" s="15" t="s">
        <v>55</v>
      </c>
      <c r="Z242" s="15" t="s">
        <v>56</v>
      </c>
      <c r="AA242" s="14">
        <f t="shared" si="9"/>
        <v>9000</v>
      </c>
      <c r="AB242" s="14">
        <f t="shared" si="10"/>
        <v>8000</v>
      </c>
      <c r="AC242" s="14">
        <f t="shared" si="11"/>
        <v>7000</v>
      </c>
      <c r="AD242" s="15" t="s">
        <v>846</v>
      </c>
      <c r="AE242" s="15" t="s">
        <v>847</v>
      </c>
      <c r="AF242" s="3" t="s">
        <v>848</v>
      </c>
      <c r="AG242" s="45"/>
      <c r="AH242" s="45">
        <v>5000</v>
      </c>
      <c r="AI242" s="45"/>
      <c r="AJ242" s="45"/>
      <c r="AK242" s="45"/>
      <c r="AL242" s="45"/>
      <c r="AM242" s="45"/>
      <c r="AN242" s="45">
        <v>5000</v>
      </c>
      <c r="AO242" s="45"/>
      <c r="AP242" s="45"/>
      <c r="AQ242" s="45"/>
      <c r="AR242" s="45"/>
      <c r="AS242" s="45">
        <v>10000</v>
      </c>
      <c r="AT242" s="3" t="s">
        <v>230</v>
      </c>
      <c r="AU242" s="272"/>
    </row>
    <row r="243" spans="1:47" ht="16.5" hidden="1" customHeight="1" x14ac:dyDescent="0.35">
      <c r="A243" s="15" t="s">
        <v>222</v>
      </c>
      <c r="B243" s="3" t="s">
        <v>58</v>
      </c>
      <c r="C243" s="15" t="s">
        <v>334</v>
      </c>
      <c r="D243" s="15">
        <v>847</v>
      </c>
      <c r="E243" s="15">
        <v>8470350</v>
      </c>
      <c r="F243" s="15" t="s">
        <v>843</v>
      </c>
      <c r="G243" s="15">
        <v>1</v>
      </c>
      <c r="H243" s="276">
        <v>425770</v>
      </c>
      <c r="I243" s="15" t="s">
        <v>367</v>
      </c>
      <c r="J243" s="15" t="s">
        <v>60</v>
      </c>
      <c r="K243" s="15" t="s">
        <v>50</v>
      </c>
      <c r="L243" s="7">
        <v>847001</v>
      </c>
      <c r="M243" s="15" t="s">
        <v>61</v>
      </c>
      <c r="N243" s="15">
        <v>200179</v>
      </c>
      <c r="O243" s="3" t="s">
        <v>853</v>
      </c>
      <c r="P243" s="15">
        <v>30382.77</v>
      </c>
      <c r="Q243" s="15">
        <v>150000</v>
      </c>
      <c r="R243" s="15">
        <v>150000</v>
      </c>
      <c r="S243" s="15" t="s">
        <v>369</v>
      </c>
      <c r="T243" s="15" t="s">
        <v>157</v>
      </c>
      <c r="U243" s="15">
        <v>11</v>
      </c>
      <c r="V243" s="15">
        <v>20000</v>
      </c>
      <c r="W243" s="15" t="s">
        <v>854</v>
      </c>
      <c r="X243" s="16">
        <v>220000</v>
      </c>
      <c r="Y243" s="15" t="s">
        <v>55</v>
      </c>
      <c r="Z243" s="15" t="s">
        <v>56</v>
      </c>
      <c r="AA243" s="14">
        <f t="shared" si="9"/>
        <v>198000</v>
      </c>
      <c r="AB243" s="14">
        <f t="shared" si="10"/>
        <v>176000</v>
      </c>
      <c r="AC243" s="14">
        <f t="shared" si="11"/>
        <v>154000</v>
      </c>
      <c r="AD243" s="15" t="s">
        <v>855</v>
      </c>
      <c r="AE243" s="15" t="s">
        <v>856</v>
      </c>
      <c r="AF243" s="3" t="s">
        <v>857</v>
      </c>
      <c r="AG243" s="45"/>
      <c r="AH243" s="45"/>
      <c r="AI243" s="45">
        <v>110000</v>
      </c>
      <c r="AJ243" s="45"/>
      <c r="AK243" s="45"/>
      <c r="AL243" s="45"/>
      <c r="AM243" s="45"/>
      <c r="AN243" s="45">
        <v>110000</v>
      </c>
      <c r="AO243" s="45"/>
      <c r="AP243" s="45"/>
      <c r="AQ243" s="45"/>
      <c r="AR243" s="45"/>
      <c r="AS243" s="45">
        <v>220000</v>
      </c>
      <c r="AT243" s="3" t="s">
        <v>480</v>
      </c>
      <c r="AU243" s="272" t="s">
        <v>374</v>
      </c>
    </row>
    <row r="244" spans="1:47" ht="16.5" hidden="1" customHeight="1" x14ac:dyDescent="0.35">
      <c r="A244" s="15" t="s">
        <v>189</v>
      </c>
      <c r="B244" s="3" t="s">
        <v>265</v>
      </c>
      <c r="C244" s="15" t="s">
        <v>334</v>
      </c>
      <c r="D244" s="15">
        <v>847</v>
      </c>
      <c r="E244" s="15">
        <v>8470350</v>
      </c>
      <c r="F244" s="15" t="s">
        <v>843</v>
      </c>
      <c r="G244" s="15">
        <v>1</v>
      </c>
      <c r="H244" s="276">
        <v>425900</v>
      </c>
      <c r="I244" s="15" t="s">
        <v>266</v>
      </c>
      <c r="J244" s="15" t="s">
        <v>60</v>
      </c>
      <c r="K244" s="15" t="s">
        <v>50</v>
      </c>
      <c r="L244" s="7">
        <v>847001</v>
      </c>
      <c r="M244" s="15" t="s">
        <v>61</v>
      </c>
      <c r="N244" s="15">
        <v>200179</v>
      </c>
      <c r="O244" s="3" t="s">
        <v>858</v>
      </c>
      <c r="P244" s="15" t="s">
        <v>46</v>
      </c>
      <c r="Q244" s="15">
        <v>8500</v>
      </c>
      <c r="R244" s="15">
        <v>8500</v>
      </c>
      <c r="S244" s="15" t="s">
        <v>268</v>
      </c>
      <c r="T244" s="15" t="s">
        <v>269</v>
      </c>
      <c r="U244" s="15">
        <v>20</v>
      </c>
      <c r="V244" s="15">
        <v>1000</v>
      </c>
      <c r="W244" s="15" t="s">
        <v>859</v>
      </c>
      <c r="X244" s="16">
        <v>20000</v>
      </c>
      <c r="Y244" s="15" t="s">
        <v>55</v>
      </c>
      <c r="Z244" s="15" t="s">
        <v>56</v>
      </c>
      <c r="AA244" s="14">
        <f t="shared" si="9"/>
        <v>18000</v>
      </c>
      <c r="AB244" s="14">
        <f t="shared" si="10"/>
        <v>16000</v>
      </c>
      <c r="AC244" s="14">
        <f t="shared" si="11"/>
        <v>14000</v>
      </c>
      <c r="AD244" s="15" t="s">
        <v>860</v>
      </c>
      <c r="AE244" s="15" t="s">
        <v>861</v>
      </c>
      <c r="AF244" s="3" t="s">
        <v>862</v>
      </c>
      <c r="AG244" s="45">
        <v>10000</v>
      </c>
      <c r="AH244" s="45"/>
      <c r="AI244" s="45"/>
      <c r="AJ244" s="45"/>
      <c r="AK244" s="45"/>
      <c r="AL244" s="45"/>
      <c r="AM244" s="45"/>
      <c r="AN244" s="45">
        <v>10000</v>
      </c>
      <c r="AO244" s="45"/>
      <c r="AP244" s="45"/>
      <c r="AQ244" s="45"/>
      <c r="AR244" s="45"/>
      <c r="AS244" s="45">
        <v>20000</v>
      </c>
      <c r="AT244" s="3" t="s">
        <v>230</v>
      </c>
      <c r="AU244" s="272"/>
    </row>
    <row r="245" spans="1:47" ht="16.5" hidden="1" customHeight="1" x14ac:dyDescent="0.35">
      <c r="A245" s="15" t="s">
        <v>63</v>
      </c>
      <c r="B245" s="3" t="s">
        <v>64</v>
      </c>
      <c r="C245" s="15" t="s">
        <v>334</v>
      </c>
      <c r="D245" s="15">
        <v>847</v>
      </c>
      <c r="E245" s="15">
        <v>8470350</v>
      </c>
      <c r="F245" s="15" t="s">
        <v>843</v>
      </c>
      <c r="G245" s="15">
        <v>1</v>
      </c>
      <c r="H245" s="276">
        <v>426610</v>
      </c>
      <c r="I245" s="15" t="s">
        <v>74</v>
      </c>
      <c r="J245" s="15" t="s">
        <v>60</v>
      </c>
      <c r="K245" s="15" t="s">
        <v>50</v>
      </c>
      <c r="L245" s="7">
        <v>847001</v>
      </c>
      <c r="M245" s="15" t="s">
        <v>61</v>
      </c>
      <c r="N245" s="15">
        <v>200179</v>
      </c>
      <c r="O245" s="3" t="s">
        <v>863</v>
      </c>
      <c r="P245" s="15">
        <v>114404.74</v>
      </c>
      <c r="Q245" s="15">
        <v>210200</v>
      </c>
      <c r="R245" s="15">
        <v>210200</v>
      </c>
      <c r="S245" s="15" t="s">
        <v>75</v>
      </c>
      <c r="T245" s="15" t="s">
        <v>76</v>
      </c>
      <c r="U245" s="15">
        <v>1</v>
      </c>
      <c r="V245" s="15">
        <v>5200</v>
      </c>
      <c r="W245" s="15" t="s">
        <v>864</v>
      </c>
      <c r="X245" s="16">
        <v>5200</v>
      </c>
      <c r="Y245" s="15" t="s">
        <v>55</v>
      </c>
      <c r="Z245" s="15" t="s">
        <v>56</v>
      </c>
      <c r="AA245" s="14">
        <f t="shared" si="9"/>
        <v>4680</v>
      </c>
      <c r="AB245" s="14">
        <f t="shared" si="10"/>
        <v>4160</v>
      </c>
      <c r="AC245" s="14">
        <f t="shared" si="11"/>
        <v>3639.9999999999995</v>
      </c>
      <c r="AD245" s="15" t="s">
        <v>865</v>
      </c>
      <c r="AE245" s="15" t="s">
        <v>865</v>
      </c>
      <c r="AF245" s="3" t="s">
        <v>865</v>
      </c>
      <c r="AG245" s="45"/>
      <c r="AH245" s="45">
        <v>5200</v>
      </c>
      <c r="AI245" s="45"/>
      <c r="AJ245" s="45"/>
      <c r="AK245" s="45"/>
      <c r="AL245" s="45"/>
      <c r="AM245" s="45"/>
      <c r="AN245" s="45"/>
      <c r="AO245" s="45"/>
      <c r="AP245" s="45"/>
      <c r="AQ245" s="45"/>
      <c r="AR245" s="45"/>
      <c r="AS245" s="45">
        <v>5200</v>
      </c>
      <c r="AT245" s="3" t="s">
        <v>230</v>
      </c>
      <c r="AU245" s="272"/>
    </row>
    <row r="246" spans="1:47" ht="16.5" hidden="1" customHeight="1" x14ac:dyDescent="0.35">
      <c r="A246" s="15" t="s">
        <v>63</v>
      </c>
      <c r="B246" s="3" t="s">
        <v>64</v>
      </c>
      <c r="C246" s="15" t="s">
        <v>334</v>
      </c>
      <c r="D246" s="15">
        <v>847</v>
      </c>
      <c r="E246" s="15">
        <v>8470350</v>
      </c>
      <c r="F246" s="15" t="s">
        <v>843</v>
      </c>
      <c r="G246" s="15">
        <v>1</v>
      </c>
      <c r="H246" s="276">
        <v>426610</v>
      </c>
      <c r="I246" s="15" t="s">
        <v>74</v>
      </c>
      <c r="J246" s="15" t="s">
        <v>60</v>
      </c>
      <c r="K246" s="15" t="s">
        <v>50</v>
      </c>
      <c r="L246" s="7">
        <v>847001</v>
      </c>
      <c r="M246" s="15" t="s">
        <v>61</v>
      </c>
      <c r="N246" s="15">
        <v>200179</v>
      </c>
      <c r="O246" s="3" t="s">
        <v>863</v>
      </c>
      <c r="P246" s="15"/>
      <c r="Q246" s="15"/>
      <c r="R246" s="15"/>
      <c r="S246" s="15" t="s">
        <v>75</v>
      </c>
      <c r="T246" s="15" t="s">
        <v>76</v>
      </c>
      <c r="U246" s="15">
        <v>1</v>
      </c>
      <c r="V246" s="15">
        <v>5000</v>
      </c>
      <c r="W246" s="15" t="s">
        <v>866</v>
      </c>
      <c r="X246" s="16">
        <v>5000</v>
      </c>
      <c r="Y246" s="15" t="s">
        <v>55</v>
      </c>
      <c r="Z246" s="15" t="s">
        <v>56</v>
      </c>
      <c r="AA246" s="14">
        <f t="shared" si="9"/>
        <v>4500</v>
      </c>
      <c r="AB246" s="14">
        <f t="shared" si="10"/>
        <v>4000</v>
      </c>
      <c r="AC246" s="14">
        <f t="shared" si="11"/>
        <v>3500</v>
      </c>
      <c r="AD246" s="15" t="s">
        <v>865</v>
      </c>
      <c r="AE246" s="15" t="s">
        <v>865</v>
      </c>
      <c r="AF246" s="3" t="s">
        <v>865</v>
      </c>
      <c r="AG246" s="45"/>
      <c r="AH246" s="45"/>
      <c r="AI246" s="45">
        <v>5000</v>
      </c>
      <c r="AJ246" s="45"/>
      <c r="AK246" s="45"/>
      <c r="AL246" s="45"/>
      <c r="AM246" s="45"/>
      <c r="AN246" s="45"/>
      <c r="AO246" s="45"/>
      <c r="AP246" s="45"/>
      <c r="AQ246" s="45"/>
      <c r="AR246" s="45"/>
      <c r="AS246" s="45">
        <v>5000</v>
      </c>
      <c r="AT246" s="3" t="s">
        <v>230</v>
      </c>
      <c r="AU246" s="272"/>
    </row>
    <row r="247" spans="1:47" ht="16.5" hidden="1" customHeight="1" x14ac:dyDescent="0.35">
      <c r="A247" s="15" t="s">
        <v>63</v>
      </c>
      <c r="B247" s="3" t="s">
        <v>64</v>
      </c>
      <c r="C247" s="15" t="s">
        <v>334</v>
      </c>
      <c r="D247" s="15">
        <v>847</v>
      </c>
      <c r="E247" s="15">
        <v>8470350</v>
      </c>
      <c r="F247" s="15" t="s">
        <v>843</v>
      </c>
      <c r="G247" s="15">
        <v>1</v>
      </c>
      <c r="H247" s="276">
        <v>426610</v>
      </c>
      <c r="I247" s="15" t="s">
        <v>74</v>
      </c>
      <c r="J247" s="15" t="s">
        <v>60</v>
      </c>
      <c r="K247" s="15" t="s">
        <v>50</v>
      </c>
      <c r="L247" s="7">
        <v>847001</v>
      </c>
      <c r="M247" s="15" t="s">
        <v>61</v>
      </c>
      <c r="N247" s="15">
        <v>200179</v>
      </c>
      <c r="O247" s="3" t="s">
        <v>863</v>
      </c>
      <c r="P247" s="15"/>
      <c r="Q247" s="15"/>
      <c r="R247" s="15"/>
      <c r="S247" s="15" t="s">
        <v>75</v>
      </c>
      <c r="T247" s="15" t="s">
        <v>76</v>
      </c>
      <c r="U247" s="15">
        <v>1</v>
      </c>
      <c r="V247" s="15">
        <v>25000</v>
      </c>
      <c r="W247" s="15" t="s">
        <v>867</v>
      </c>
      <c r="X247" s="16">
        <v>25000</v>
      </c>
      <c r="Y247" s="15" t="s">
        <v>55</v>
      </c>
      <c r="Z247" s="15" t="s">
        <v>56</v>
      </c>
      <c r="AA247" s="14">
        <f t="shared" si="9"/>
        <v>22500</v>
      </c>
      <c r="AB247" s="14">
        <f t="shared" si="10"/>
        <v>20000</v>
      </c>
      <c r="AC247" s="14">
        <f t="shared" si="11"/>
        <v>17500</v>
      </c>
      <c r="AD247" s="15" t="s">
        <v>865</v>
      </c>
      <c r="AE247" s="15" t="s">
        <v>865</v>
      </c>
      <c r="AF247" s="3" t="s">
        <v>865</v>
      </c>
      <c r="AG247" s="45"/>
      <c r="AH247" s="45"/>
      <c r="AI247" s="45"/>
      <c r="AJ247" s="45">
        <v>25000</v>
      </c>
      <c r="AK247" s="45"/>
      <c r="AL247" s="45"/>
      <c r="AM247" s="45"/>
      <c r="AN247" s="45"/>
      <c r="AO247" s="45"/>
      <c r="AP247" s="45"/>
      <c r="AQ247" s="45"/>
      <c r="AR247" s="45"/>
      <c r="AS247" s="45">
        <v>25000</v>
      </c>
      <c r="AT247" s="3" t="s">
        <v>230</v>
      </c>
      <c r="AU247" s="272"/>
    </row>
    <row r="248" spans="1:47" ht="16.5" hidden="1" customHeight="1" x14ac:dyDescent="0.35">
      <c r="A248" s="15" t="s">
        <v>63</v>
      </c>
      <c r="B248" s="3" t="s">
        <v>64</v>
      </c>
      <c r="C248" s="15" t="s">
        <v>334</v>
      </c>
      <c r="D248" s="15">
        <v>847</v>
      </c>
      <c r="E248" s="15">
        <v>8470350</v>
      </c>
      <c r="F248" s="15" t="s">
        <v>843</v>
      </c>
      <c r="G248" s="15">
        <v>1</v>
      </c>
      <c r="H248" s="276">
        <v>426610</v>
      </c>
      <c r="I248" s="15" t="s">
        <v>74</v>
      </c>
      <c r="J248" s="15" t="s">
        <v>60</v>
      </c>
      <c r="K248" s="15" t="s">
        <v>50</v>
      </c>
      <c r="L248" s="7">
        <v>847001</v>
      </c>
      <c r="M248" s="15" t="s">
        <v>61</v>
      </c>
      <c r="N248" s="15">
        <v>200179</v>
      </c>
      <c r="O248" s="3" t="s">
        <v>863</v>
      </c>
      <c r="P248" s="15"/>
      <c r="Q248" s="15"/>
      <c r="R248" s="15"/>
      <c r="S248" s="15" t="s">
        <v>75</v>
      </c>
      <c r="T248" s="15" t="s">
        <v>76</v>
      </c>
      <c r="U248" s="15">
        <v>1</v>
      </c>
      <c r="V248" s="15">
        <v>200000</v>
      </c>
      <c r="W248" s="15" t="s">
        <v>868</v>
      </c>
      <c r="X248" s="16">
        <v>200000</v>
      </c>
      <c r="Y248" s="15" t="s">
        <v>55</v>
      </c>
      <c r="Z248" s="15" t="s">
        <v>56</v>
      </c>
      <c r="AA248" s="14">
        <f t="shared" si="9"/>
        <v>180000</v>
      </c>
      <c r="AB248" s="14">
        <f t="shared" si="10"/>
        <v>160000</v>
      </c>
      <c r="AC248" s="14">
        <f t="shared" si="11"/>
        <v>140000</v>
      </c>
      <c r="AD248" s="15" t="s">
        <v>865</v>
      </c>
      <c r="AE248" s="15" t="s">
        <v>865</v>
      </c>
      <c r="AF248" s="3" t="s">
        <v>865</v>
      </c>
      <c r="AG248" s="45"/>
      <c r="AH248" s="45"/>
      <c r="AI248" s="45"/>
      <c r="AJ248" s="45"/>
      <c r="AK248" s="45"/>
      <c r="AL248" s="45"/>
      <c r="AM248" s="45">
        <v>200000</v>
      </c>
      <c r="AN248" s="45"/>
      <c r="AO248" s="45"/>
      <c r="AP248" s="45"/>
      <c r="AQ248" s="45"/>
      <c r="AR248" s="45"/>
      <c r="AS248" s="45">
        <v>200000</v>
      </c>
      <c r="AT248" s="3" t="s">
        <v>230</v>
      </c>
      <c r="AU248" s="272"/>
    </row>
    <row r="249" spans="1:47" ht="16.5" hidden="1" customHeight="1" x14ac:dyDescent="0.35">
      <c r="A249" s="15" t="s">
        <v>63</v>
      </c>
      <c r="B249" s="3" t="s">
        <v>64</v>
      </c>
      <c r="C249" s="15" t="s">
        <v>334</v>
      </c>
      <c r="D249" s="15">
        <v>847</v>
      </c>
      <c r="E249" s="15">
        <v>8470350</v>
      </c>
      <c r="F249" s="15" t="s">
        <v>843</v>
      </c>
      <c r="G249" s="15">
        <v>1</v>
      </c>
      <c r="H249" s="276">
        <v>426610</v>
      </c>
      <c r="I249" s="15" t="s">
        <v>74</v>
      </c>
      <c r="J249" s="15" t="s">
        <v>60</v>
      </c>
      <c r="K249" s="15" t="s">
        <v>50</v>
      </c>
      <c r="L249" s="7">
        <v>847001</v>
      </c>
      <c r="M249" s="15" t="s">
        <v>61</v>
      </c>
      <c r="N249" s="15">
        <v>200179</v>
      </c>
      <c r="O249" s="3" t="s">
        <v>863</v>
      </c>
      <c r="P249" s="15"/>
      <c r="Q249" s="15"/>
      <c r="R249" s="15"/>
      <c r="S249" s="15" t="s">
        <v>75</v>
      </c>
      <c r="T249" s="15" t="s">
        <v>76</v>
      </c>
      <c r="U249" s="15">
        <v>1</v>
      </c>
      <c r="V249" s="15">
        <v>45000</v>
      </c>
      <c r="W249" s="15" t="s">
        <v>869</v>
      </c>
      <c r="X249" s="16">
        <v>45000</v>
      </c>
      <c r="Y249" s="15" t="s">
        <v>55</v>
      </c>
      <c r="Z249" s="15" t="s">
        <v>56</v>
      </c>
      <c r="AA249" s="14">
        <f t="shared" si="9"/>
        <v>40500</v>
      </c>
      <c r="AB249" s="14">
        <f t="shared" si="10"/>
        <v>36000</v>
      </c>
      <c r="AC249" s="14">
        <f t="shared" si="11"/>
        <v>31499.999999999996</v>
      </c>
      <c r="AD249" s="15" t="s">
        <v>865</v>
      </c>
      <c r="AE249" s="15" t="s">
        <v>865</v>
      </c>
      <c r="AF249" s="3" t="s">
        <v>865</v>
      </c>
      <c r="AG249" s="45"/>
      <c r="AH249" s="45"/>
      <c r="AI249" s="45"/>
      <c r="AJ249" s="45"/>
      <c r="AK249" s="45"/>
      <c r="AL249" s="45">
        <v>45000</v>
      </c>
      <c r="AM249" s="45"/>
      <c r="AN249" s="45"/>
      <c r="AO249" s="45"/>
      <c r="AP249" s="45"/>
      <c r="AQ249" s="45"/>
      <c r="AR249" s="45"/>
      <c r="AS249" s="45">
        <v>45000</v>
      </c>
      <c r="AT249" s="3" t="s">
        <v>230</v>
      </c>
      <c r="AU249" s="272"/>
    </row>
    <row r="250" spans="1:47" ht="16.5" hidden="1" customHeight="1" x14ac:dyDescent="0.35">
      <c r="A250" s="15" t="s">
        <v>222</v>
      </c>
      <c r="B250" s="3" t="s">
        <v>58</v>
      </c>
      <c r="C250" s="15" t="s">
        <v>334</v>
      </c>
      <c r="D250" s="15">
        <v>847</v>
      </c>
      <c r="E250" s="15">
        <v>8470350</v>
      </c>
      <c r="F250" s="15" t="s">
        <v>843</v>
      </c>
      <c r="G250" s="15">
        <v>1</v>
      </c>
      <c r="H250" s="276">
        <v>432209</v>
      </c>
      <c r="I250" s="15" t="s">
        <v>393</v>
      </c>
      <c r="J250" s="15" t="s">
        <v>60</v>
      </c>
      <c r="K250" s="15" t="s">
        <v>50</v>
      </c>
      <c r="L250" s="7">
        <v>847001</v>
      </c>
      <c r="M250" s="15" t="s">
        <v>61</v>
      </c>
      <c r="N250" s="15">
        <v>200179</v>
      </c>
      <c r="O250" s="3" t="s">
        <v>870</v>
      </c>
      <c r="P250" s="15">
        <v>215416.78</v>
      </c>
      <c r="Q250" s="15">
        <v>305000</v>
      </c>
      <c r="R250" s="15">
        <v>305000</v>
      </c>
      <c r="S250" s="15" t="s">
        <v>470</v>
      </c>
      <c r="T250" s="15" t="s">
        <v>157</v>
      </c>
      <c r="U250" s="15">
        <v>10</v>
      </c>
      <c r="V250" s="15">
        <v>35000</v>
      </c>
      <c r="W250" s="15" t="s">
        <v>871</v>
      </c>
      <c r="X250" s="16">
        <v>350000</v>
      </c>
      <c r="Y250" s="15" t="s">
        <v>55</v>
      </c>
      <c r="Z250" s="15" t="s">
        <v>56</v>
      </c>
      <c r="AA250" s="14">
        <f t="shared" si="9"/>
        <v>315000</v>
      </c>
      <c r="AB250" s="14">
        <f t="shared" si="10"/>
        <v>280000</v>
      </c>
      <c r="AC250" s="14">
        <f t="shared" si="11"/>
        <v>244999.99999999997</v>
      </c>
      <c r="AD250" s="15" t="s">
        <v>872</v>
      </c>
      <c r="AE250" s="15" t="s">
        <v>872</v>
      </c>
      <c r="AF250" s="3" t="s">
        <v>872</v>
      </c>
      <c r="AG250" s="45"/>
      <c r="AH250" s="45">
        <v>350000</v>
      </c>
      <c r="AI250" s="45"/>
      <c r="AJ250" s="45"/>
      <c r="AK250" s="45"/>
      <c r="AL250" s="45"/>
      <c r="AM250" s="45"/>
      <c r="AN250" s="45"/>
      <c r="AO250" s="45"/>
      <c r="AP250" s="45"/>
      <c r="AQ250" s="45"/>
      <c r="AR250" s="45"/>
      <c r="AS250" s="45">
        <v>350000</v>
      </c>
      <c r="AT250" s="3" t="s">
        <v>230</v>
      </c>
      <c r="AU250" s="272"/>
    </row>
    <row r="251" spans="1:47" ht="16.5" hidden="1" customHeight="1" x14ac:dyDescent="0.35">
      <c r="A251" s="15" t="s">
        <v>222</v>
      </c>
      <c r="B251" s="3" t="s">
        <v>58</v>
      </c>
      <c r="C251" s="15" t="s">
        <v>334</v>
      </c>
      <c r="D251" s="15">
        <v>847</v>
      </c>
      <c r="E251" s="15">
        <v>8470350</v>
      </c>
      <c r="F251" s="15" t="s">
        <v>843</v>
      </c>
      <c r="G251" s="15">
        <v>1</v>
      </c>
      <c r="H251" s="276">
        <v>432209</v>
      </c>
      <c r="I251" s="15" t="s">
        <v>393</v>
      </c>
      <c r="J251" s="15" t="s">
        <v>60</v>
      </c>
      <c r="K251" s="15" t="s">
        <v>50</v>
      </c>
      <c r="L251" s="7">
        <v>847001</v>
      </c>
      <c r="M251" s="15" t="s">
        <v>61</v>
      </c>
      <c r="N251" s="15">
        <v>200179</v>
      </c>
      <c r="O251" s="3" t="s">
        <v>870</v>
      </c>
      <c r="P251" s="15"/>
      <c r="Q251" s="15"/>
      <c r="R251" s="15"/>
      <c r="S251" s="15" t="s">
        <v>470</v>
      </c>
      <c r="T251" s="15" t="s">
        <v>157</v>
      </c>
      <c r="U251" s="15">
        <v>1</v>
      </c>
      <c r="V251" s="15">
        <v>74000</v>
      </c>
      <c r="W251" s="15" t="s">
        <v>873</v>
      </c>
      <c r="X251" s="16">
        <v>74000</v>
      </c>
      <c r="Y251" s="15" t="s">
        <v>55</v>
      </c>
      <c r="Z251" s="15" t="s">
        <v>56</v>
      </c>
      <c r="AA251" s="14">
        <f t="shared" si="9"/>
        <v>66600</v>
      </c>
      <c r="AB251" s="14">
        <f t="shared" si="10"/>
        <v>59200</v>
      </c>
      <c r="AC251" s="14">
        <f t="shared" si="11"/>
        <v>51800</v>
      </c>
      <c r="AD251" s="15" t="s">
        <v>865</v>
      </c>
      <c r="AE251" s="15" t="s">
        <v>865</v>
      </c>
      <c r="AF251" s="3" t="s">
        <v>865</v>
      </c>
      <c r="AG251" s="45"/>
      <c r="AH251" s="45"/>
      <c r="AI251" s="45">
        <v>74000</v>
      </c>
      <c r="AJ251" s="45"/>
      <c r="AK251" s="45"/>
      <c r="AL251" s="45"/>
      <c r="AM251" s="45"/>
      <c r="AN251" s="45"/>
      <c r="AO251" s="45"/>
      <c r="AP251" s="45"/>
      <c r="AQ251" s="45"/>
      <c r="AR251" s="45"/>
      <c r="AS251" s="45">
        <v>74000</v>
      </c>
      <c r="AT251" s="3" t="s">
        <v>230</v>
      </c>
      <c r="AU251" s="272"/>
    </row>
    <row r="252" spans="1:47" ht="16.5" hidden="1" customHeight="1" x14ac:dyDescent="0.35">
      <c r="A252" s="15" t="s">
        <v>222</v>
      </c>
      <c r="B252" s="3" t="s">
        <v>58</v>
      </c>
      <c r="C252" s="15" t="s">
        <v>334</v>
      </c>
      <c r="D252" s="15">
        <v>847</v>
      </c>
      <c r="E252" s="15">
        <v>8470350</v>
      </c>
      <c r="F252" s="15" t="s">
        <v>843</v>
      </c>
      <c r="G252" s="15">
        <v>1</v>
      </c>
      <c r="H252" s="276">
        <v>432209</v>
      </c>
      <c r="I252" s="15" t="s">
        <v>393</v>
      </c>
      <c r="J252" s="15" t="s">
        <v>60</v>
      </c>
      <c r="K252" s="15" t="s">
        <v>50</v>
      </c>
      <c r="L252" s="7">
        <v>847001</v>
      </c>
      <c r="M252" s="15" t="s">
        <v>61</v>
      </c>
      <c r="N252" s="15">
        <v>200179</v>
      </c>
      <c r="O252" s="3" t="s">
        <v>870</v>
      </c>
      <c r="P252" s="15"/>
      <c r="Q252" s="15"/>
      <c r="R252" s="15"/>
      <c r="S252" s="15" t="s">
        <v>470</v>
      </c>
      <c r="T252" s="15" t="s">
        <v>157</v>
      </c>
      <c r="U252" s="15">
        <v>35</v>
      </c>
      <c r="V252" s="15">
        <v>3000</v>
      </c>
      <c r="W252" s="15" t="s">
        <v>874</v>
      </c>
      <c r="X252" s="16">
        <v>105000</v>
      </c>
      <c r="Y252" s="15" t="s">
        <v>55</v>
      </c>
      <c r="Z252" s="15" t="s">
        <v>56</v>
      </c>
      <c r="AA252" s="14">
        <f t="shared" si="9"/>
        <v>94500</v>
      </c>
      <c r="AB252" s="14">
        <f t="shared" si="10"/>
        <v>84000</v>
      </c>
      <c r="AC252" s="14">
        <f t="shared" si="11"/>
        <v>73500</v>
      </c>
      <c r="AD252" s="15" t="s">
        <v>875</v>
      </c>
      <c r="AE252" s="15" t="s">
        <v>876</v>
      </c>
      <c r="AF252" s="3" t="s">
        <v>877</v>
      </c>
      <c r="AG252" s="45"/>
      <c r="AH252" s="45"/>
      <c r="AI252" s="45"/>
      <c r="AJ252" s="45">
        <v>105000</v>
      </c>
      <c r="AK252" s="45"/>
      <c r="AL252" s="45"/>
      <c r="AM252" s="45"/>
      <c r="AN252" s="45"/>
      <c r="AO252" s="45"/>
      <c r="AP252" s="45"/>
      <c r="AQ252" s="45"/>
      <c r="AR252" s="45"/>
      <c r="AS252" s="45">
        <v>105000</v>
      </c>
      <c r="AT252" s="3" t="s">
        <v>230</v>
      </c>
      <c r="AU252" s="272"/>
    </row>
    <row r="253" spans="1:47" ht="16.5" hidden="1" customHeight="1" x14ac:dyDescent="0.35">
      <c r="A253" s="15" t="s">
        <v>222</v>
      </c>
      <c r="B253" s="3" t="s">
        <v>58</v>
      </c>
      <c r="C253" s="15" t="s">
        <v>334</v>
      </c>
      <c r="D253" s="15">
        <v>847</v>
      </c>
      <c r="E253" s="15">
        <v>8470350</v>
      </c>
      <c r="F253" s="15" t="s">
        <v>843</v>
      </c>
      <c r="G253" s="15">
        <v>1</v>
      </c>
      <c r="H253" s="276">
        <v>432209</v>
      </c>
      <c r="I253" s="15" t="s">
        <v>393</v>
      </c>
      <c r="J253" s="15" t="s">
        <v>60</v>
      </c>
      <c r="K253" s="15" t="s">
        <v>50</v>
      </c>
      <c r="L253" s="7">
        <v>847001</v>
      </c>
      <c r="M253" s="15" t="s">
        <v>61</v>
      </c>
      <c r="N253" s="15">
        <v>200179</v>
      </c>
      <c r="O253" s="3" t="s">
        <v>870</v>
      </c>
      <c r="P253" s="15"/>
      <c r="Q253" s="15"/>
      <c r="R253" s="15"/>
      <c r="S253" s="15" t="s">
        <v>470</v>
      </c>
      <c r="T253" s="15" t="s">
        <v>157</v>
      </c>
      <c r="U253" s="15">
        <v>1</v>
      </c>
      <c r="V253" s="15">
        <v>300000</v>
      </c>
      <c r="W253" s="15" t="s">
        <v>878</v>
      </c>
      <c r="X253" s="16">
        <v>300000</v>
      </c>
      <c r="Y253" s="15" t="s">
        <v>55</v>
      </c>
      <c r="Z253" s="15" t="s">
        <v>56</v>
      </c>
      <c r="AA253" s="14">
        <f t="shared" si="9"/>
        <v>270000</v>
      </c>
      <c r="AB253" s="14">
        <f t="shared" si="10"/>
        <v>240000</v>
      </c>
      <c r="AC253" s="14">
        <f t="shared" si="11"/>
        <v>210000</v>
      </c>
      <c r="AD253" s="15" t="s">
        <v>875</v>
      </c>
      <c r="AE253" s="15" t="s">
        <v>876</v>
      </c>
      <c r="AF253" s="3" t="s">
        <v>877</v>
      </c>
      <c r="AG253" s="45"/>
      <c r="AH253" s="45">
        <v>300000</v>
      </c>
      <c r="AI253" s="45"/>
      <c r="AJ253" s="45"/>
      <c r="AK253" s="45"/>
      <c r="AL253" s="45"/>
      <c r="AM253" s="45"/>
      <c r="AN253" s="45"/>
      <c r="AO253" s="45"/>
      <c r="AP253" s="45"/>
      <c r="AQ253" s="45"/>
      <c r="AR253" s="45"/>
      <c r="AS253" s="45">
        <v>300000</v>
      </c>
      <c r="AT253" s="3" t="s">
        <v>230</v>
      </c>
      <c r="AU253" s="272"/>
    </row>
    <row r="254" spans="1:47" ht="16.5" hidden="1" customHeight="1" x14ac:dyDescent="0.35">
      <c r="A254" s="15" t="s">
        <v>222</v>
      </c>
      <c r="B254" s="3" t="s">
        <v>58</v>
      </c>
      <c r="C254" s="15" t="s">
        <v>334</v>
      </c>
      <c r="D254" s="15">
        <v>847</v>
      </c>
      <c r="E254" s="15">
        <v>8470350</v>
      </c>
      <c r="F254" s="15" t="s">
        <v>843</v>
      </c>
      <c r="G254" s="15">
        <v>1</v>
      </c>
      <c r="H254" s="276">
        <v>432209</v>
      </c>
      <c r="I254" s="15" t="s">
        <v>393</v>
      </c>
      <c r="J254" s="15" t="s">
        <v>60</v>
      </c>
      <c r="K254" s="15" t="s">
        <v>50</v>
      </c>
      <c r="L254" s="7">
        <v>847001</v>
      </c>
      <c r="M254" s="15" t="s">
        <v>61</v>
      </c>
      <c r="N254" s="15">
        <v>200179</v>
      </c>
      <c r="O254" s="3" t="s">
        <v>870</v>
      </c>
      <c r="P254" s="15"/>
      <c r="Q254" s="15"/>
      <c r="R254" s="15"/>
      <c r="S254" s="15" t="s">
        <v>470</v>
      </c>
      <c r="T254" s="15" t="s">
        <v>157</v>
      </c>
      <c r="U254" s="15">
        <v>15</v>
      </c>
      <c r="V254" s="15">
        <v>10000</v>
      </c>
      <c r="W254" s="15" t="s">
        <v>879</v>
      </c>
      <c r="X254" s="16">
        <v>150000</v>
      </c>
      <c r="Y254" s="15" t="s">
        <v>55</v>
      </c>
      <c r="Z254" s="15" t="s">
        <v>56</v>
      </c>
      <c r="AA254" s="14">
        <f t="shared" si="9"/>
        <v>135000</v>
      </c>
      <c r="AB254" s="14">
        <f t="shared" si="10"/>
        <v>120000</v>
      </c>
      <c r="AC254" s="14">
        <f t="shared" si="11"/>
        <v>105000</v>
      </c>
      <c r="AD254" s="15" t="s">
        <v>875</v>
      </c>
      <c r="AE254" s="15" t="s">
        <v>876</v>
      </c>
      <c r="AF254" s="3" t="s">
        <v>877</v>
      </c>
      <c r="AG254" s="45"/>
      <c r="AH254" s="45"/>
      <c r="AI254" s="45">
        <v>150000</v>
      </c>
      <c r="AJ254" s="45"/>
      <c r="AK254" s="45"/>
      <c r="AL254" s="45"/>
      <c r="AM254" s="45"/>
      <c r="AN254" s="45"/>
      <c r="AO254" s="45"/>
      <c r="AP254" s="45"/>
      <c r="AQ254" s="45"/>
      <c r="AR254" s="45"/>
      <c r="AS254" s="45">
        <v>150000</v>
      </c>
      <c r="AT254" s="3" t="s">
        <v>880</v>
      </c>
      <c r="AU254" s="272"/>
    </row>
    <row r="255" spans="1:47" ht="16.5" hidden="1" customHeight="1" x14ac:dyDescent="0.35">
      <c r="A255" s="15" t="s">
        <v>222</v>
      </c>
      <c r="B255" s="3" t="s">
        <v>58</v>
      </c>
      <c r="C255" s="15" t="s">
        <v>334</v>
      </c>
      <c r="D255" s="15">
        <v>847</v>
      </c>
      <c r="E255" s="15">
        <v>8470350</v>
      </c>
      <c r="F255" s="15" t="s">
        <v>843</v>
      </c>
      <c r="G255" s="15">
        <v>1</v>
      </c>
      <c r="H255" s="276">
        <v>435340</v>
      </c>
      <c r="I255" s="15" t="s">
        <v>655</v>
      </c>
      <c r="J255" s="15" t="s">
        <v>60</v>
      </c>
      <c r="K255" s="15" t="s">
        <v>50</v>
      </c>
      <c r="L255" s="7">
        <v>847001</v>
      </c>
      <c r="M255" s="15" t="s">
        <v>61</v>
      </c>
      <c r="N255" s="15">
        <v>200179</v>
      </c>
      <c r="O255" s="3" t="s">
        <v>881</v>
      </c>
      <c r="P255" s="15">
        <v>0</v>
      </c>
      <c r="Q255" s="15">
        <v>10000</v>
      </c>
      <c r="R255" s="15">
        <v>10000</v>
      </c>
      <c r="S255" s="15" t="s">
        <v>882</v>
      </c>
      <c r="T255" s="15" t="s">
        <v>883</v>
      </c>
      <c r="U255" s="15">
        <v>10</v>
      </c>
      <c r="V255" s="15">
        <v>1000</v>
      </c>
      <c r="W255" s="15" t="s">
        <v>884</v>
      </c>
      <c r="X255" s="16">
        <v>10000</v>
      </c>
      <c r="Y255" s="15" t="s">
        <v>55</v>
      </c>
      <c r="Z255" s="15" t="s">
        <v>56</v>
      </c>
      <c r="AA255" s="14">
        <f t="shared" si="9"/>
        <v>9000</v>
      </c>
      <c r="AB255" s="14">
        <f t="shared" si="10"/>
        <v>8000</v>
      </c>
      <c r="AC255" s="14">
        <f t="shared" si="11"/>
        <v>7000</v>
      </c>
      <c r="AD255" s="15" t="s">
        <v>885</v>
      </c>
      <c r="AE255" s="15" t="s">
        <v>886</v>
      </c>
      <c r="AF255" s="3" t="s">
        <v>887</v>
      </c>
      <c r="AG255" s="45"/>
      <c r="AH255" s="45"/>
      <c r="AI255" s="45"/>
      <c r="AJ255" s="45">
        <v>10000</v>
      </c>
      <c r="AK255" s="45"/>
      <c r="AL255" s="45"/>
      <c r="AM255" s="45"/>
      <c r="AN255" s="45"/>
      <c r="AO255" s="45"/>
      <c r="AP255" s="45"/>
      <c r="AQ255" s="45"/>
      <c r="AR255" s="45"/>
      <c r="AS255" s="45">
        <v>10000</v>
      </c>
      <c r="AT255" s="3" t="s">
        <v>880</v>
      </c>
      <c r="AU255" s="272"/>
    </row>
    <row r="256" spans="1:47" ht="16.5" hidden="1" customHeight="1" x14ac:dyDescent="0.35">
      <c r="A256" s="15" t="s">
        <v>222</v>
      </c>
      <c r="B256" s="3" t="s">
        <v>58</v>
      </c>
      <c r="C256" s="15" t="s">
        <v>334</v>
      </c>
      <c r="D256" s="15">
        <v>847</v>
      </c>
      <c r="E256" s="15">
        <v>8470350</v>
      </c>
      <c r="F256" s="15" t="s">
        <v>843</v>
      </c>
      <c r="G256" s="15">
        <v>1</v>
      </c>
      <c r="H256" s="276">
        <v>435350</v>
      </c>
      <c r="I256" s="15" t="s">
        <v>399</v>
      </c>
      <c r="J256" s="15" t="s">
        <v>60</v>
      </c>
      <c r="K256" s="15" t="s">
        <v>50</v>
      </c>
      <c r="L256" s="7">
        <v>847001</v>
      </c>
      <c r="M256" s="15" t="s">
        <v>61</v>
      </c>
      <c r="N256" s="15">
        <v>200179</v>
      </c>
      <c r="O256" s="3" t="s">
        <v>888</v>
      </c>
      <c r="P256" s="15">
        <v>31761.56</v>
      </c>
      <c r="Q256" s="15">
        <v>50000</v>
      </c>
      <c r="R256" s="15">
        <v>50000</v>
      </c>
      <c r="S256" s="15" t="s">
        <v>401</v>
      </c>
      <c r="T256" s="15" t="s">
        <v>157</v>
      </c>
      <c r="U256" s="15">
        <v>10</v>
      </c>
      <c r="V256" s="15">
        <v>9000</v>
      </c>
      <c r="W256" s="15" t="s">
        <v>889</v>
      </c>
      <c r="X256" s="16">
        <v>90000</v>
      </c>
      <c r="Y256" s="15" t="s">
        <v>55</v>
      </c>
      <c r="Z256" s="15" t="s">
        <v>56</v>
      </c>
      <c r="AA256" s="14">
        <f t="shared" si="9"/>
        <v>81000</v>
      </c>
      <c r="AB256" s="14">
        <f t="shared" si="10"/>
        <v>72000</v>
      </c>
      <c r="AC256" s="14">
        <f t="shared" si="11"/>
        <v>62999.999999999993</v>
      </c>
      <c r="AD256" s="15" t="s">
        <v>890</v>
      </c>
      <c r="AE256" s="15" t="s">
        <v>891</v>
      </c>
      <c r="AF256" s="3" t="s">
        <v>890</v>
      </c>
      <c r="AG256" s="45"/>
      <c r="AH256" s="45">
        <v>45000</v>
      </c>
      <c r="AI256" s="45"/>
      <c r="AJ256" s="45"/>
      <c r="AK256" s="45"/>
      <c r="AL256" s="45"/>
      <c r="AM256" s="45"/>
      <c r="AN256" s="45"/>
      <c r="AO256" s="45">
        <v>45000</v>
      </c>
      <c r="AP256" s="45"/>
      <c r="AQ256" s="45"/>
      <c r="AR256" s="45"/>
      <c r="AS256" s="45">
        <v>90000</v>
      </c>
      <c r="AT256" s="3" t="s">
        <v>480</v>
      </c>
      <c r="AU256" s="272"/>
    </row>
    <row r="257" spans="1:47" ht="16.5" hidden="1" customHeight="1" x14ac:dyDescent="0.35">
      <c r="A257" s="15" t="s">
        <v>222</v>
      </c>
      <c r="B257" s="3" t="s">
        <v>220</v>
      </c>
      <c r="C257" s="15" t="s">
        <v>334</v>
      </c>
      <c r="D257" s="15">
        <v>847</v>
      </c>
      <c r="E257" s="15">
        <v>8470350</v>
      </c>
      <c r="F257" s="15" t="s">
        <v>843</v>
      </c>
      <c r="G257" s="15">
        <v>1</v>
      </c>
      <c r="H257" s="276">
        <v>435508</v>
      </c>
      <c r="I257" s="15" t="s">
        <v>405</v>
      </c>
      <c r="J257" s="15" t="s">
        <v>60</v>
      </c>
      <c r="K257" s="15" t="s">
        <v>50</v>
      </c>
      <c r="L257" s="7">
        <v>847001</v>
      </c>
      <c r="M257" s="15" t="s">
        <v>61</v>
      </c>
      <c r="N257" s="15">
        <v>200179</v>
      </c>
      <c r="O257" s="3" t="s">
        <v>892</v>
      </c>
      <c r="P257" s="15">
        <v>29959.5</v>
      </c>
      <c r="Q257" s="15">
        <v>100000</v>
      </c>
      <c r="R257" s="15">
        <v>100000</v>
      </c>
      <c r="S257" s="15" t="s">
        <v>482</v>
      </c>
      <c r="T257" s="15" t="s">
        <v>157</v>
      </c>
      <c r="U257" s="15">
        <v>50</v>
      </c>
      <c r="V257" s="15">
        <v>500</v>
      </c>
      <c r="W257" s="15" t="s">
        <v>893</v>
      </c>
      <c r="X257" s="16">
        <v>25000</v>
      </c>
      <c r="Y257" s="15" t="s">
        <v>55</v>
      </c>
      <c r="Z257" s="15" t="s">
        <v>56</v>
      </c>
      <c r="AA257" s="14">
        <f t="shared" si="9"/>
        <v>22500</v>
      </c>
      <c r="AB257" s="14">
        <f t="shared" si="10"/>
        <v>20000</v>
      </c>
      <c r="AC257" s="14">
        <f t="shared" si="11"/>
        <v>17500</v>
      </c>
      <c r="AD257" s="15" t="s">
        <v>875</v>
      </c>
      <c r="AE257" s="15" t="s">
        <v>876</v>
      </c>
      <c r="AF257" s="3" t="s">
        <v>877</v>
      </c>
      <c r="AG257" s="45"/>
      <c r="AH257" s="45">
        <v>5000</v>
      </c>
      <c r="AI257" s="45"/>
      <c r="AJ257" s="45">
        <v>5000</v>
      </c>
      <c r="AK257" s="45"/>
      <c r="AL257" s="45">
        <v>5000</v>
      </c>
      <c r="AM257" s="45"/>
      <c r="AN257" s="45">
        <v>5000</v>
      </c>
      <c r="AO257" s="45"/>
      <c r="AP257" s="45">
        <v>5000</v>
      </c>
      <c r="AQ257" s="45"/>
      <c r="AR257" s="45"/>
      <c r="AS257" s="45">
        <v>25000</v>
      </c>
      <c r="AT257" s="3" t="s">
        <v>230</v>
      </c>
      <c r="AU257" s="272"/>
    </row>
    <row r="258" spans="1:47" ht="16.5" hidden="1" customHeight="1" x14ac:dyDescent="0.35">
      <c r="A258" s="15" t="s">
        <v>222</v>
      </c>
      <c r="B258" s="3" t="s">
        <v>220</v>
      </c>
      <c r="C258" s="15" t="s">
        <v>334</v>
      </c>
      <c r="D258" s="15">
        <v>847</v>
      </c>
      <c r="E258" s="15">
        <v>8470350</v>
      </c>
      <c r="F258" s="15" t="s">
        <v>843</v>
      </c>
      <c r="G258" s="15">
        <v>1</v>
      </c>
      <c r="H258" s="276">
        <v>435508</v>
      </c>
      <c r="I258" s="15" t="s">
        <v>405</v>
      </c>
      <c r="J258" s="15" t="s">
        <v>60</v>
      </c>
      <c r="K258" s="15" t="s">
        <v>50</v>
      </c>
      <c r="L258" s="7">
        <v>847001</v>
      </c>
      <c r="M258" s="15" t="s">
        <v>61</v>
      </c>
      <c r="N258" s="15">
        <v>200179</v>
      </c>
      <c r="O258" s="3" t="s">
        <v>892</v>
      </c>
      <c r="P258" s="15"/>
      <c r="Q258" s="15"/>
      <c r="R258" s="15"/>
      <c r="S258" s="15" t="s">
        <v>482</v>
      </c>
      <c r="T258" s="15" t="s">
        <v>157</v>
      </c>
      <c r="U258" s="15">
        <v>50</v>
      </c>
      <c r="V258" s="15">
        <v>500</v>
      </c>
      <c r="W258" s="15" t="s">
        <v>894</v>
      </c>
      <c r="X258" s="16">
        <v>25000</v>
      </c>
      <c r="Y258" s="15" t="s">
        <v>55</v>
      </c>
      <c r="Z258" s="15" t="s">
        <v>56</v>
      </c>
      <c r="AA258" s="14">
        <f t="shared" si="9"/>
        <v>22500</v>
      </c>
      <c r="AB258" s="14">
        <f t="shared" si="10"/>
        <v>20000</v>
      </c>
      <c r="AC258" s="14">
        <f t="shared" si="11"/>
        <v>17500</v>
      </c>
      <c r="AD258" s="15" t="s">
        <v>875</v>
      </c>
      <c r="AE258" s="15" t="s">
        <v>876</v>
      </c>
      <c r="AF258" s="3" t="s">
        <v>877</v>
      </c>
      <c r="AG258" s="45"/>
      <c r="AH258" s="45">
        <v>5000</v>
      </c>
      <c r="AI258" s="45"/>
      <c r="AJ258" s="45">
        <v>5000</v>
      </c>
      <c r="AK258" s="45"/>
      <c r="AL258" s="45">
        <v>5000</v>
      </c>
      <c r="AM258" s="45"/>
      <c r="AN258" s="45">
        <v>5000</v>
      </c>
      <c r="AO258" s="45"/>
      <c r="AP258" s="45">
        <v>5000</v>
      </c>
      <c r="AQ258" s="45"/>
      <c r="AR258" s="45"/>
      <c r="AS258" s="45">
        <v>25000</v>
      </c>
      <c r="AT258" s="3" t="s">
        <v>230</v>
      </c>
      <c r="AU258" s="272"/>
    </row>
    <row r="259" spans="1:47" ht="16.5" hidden="1" customHeight="1" x14ac:dyDescent="0.35">
      <c r="A259" s="15" t="s">
        <v>222</v>
      </c>
      <c r="B259" s="3" t="s">
        <v>220</v>
      </c>
      <c r="C259" s="15" t="s">
        <v>334</v>
      </c>
      <c r="D259" s="15">
        <v>847</v>
      </c>
      <c r="E259" s="15">
        <v>8470350</v>
      </c>
      <c r="F259" s="15" t="s">
        <v>843</v>
      </c>
      <c r="G259" s="15">
        <v>1</v>
      </c>
      <c r="H259" s="276">
        <v>435508</v>
      </c>
      <c r="I259" s="15" t="s">
        <v>405</v>
      </c>
      <c r="J259" s="15" t="s">
        <v>60</v>
      </c>
      <c r="K259" s="15" t="s">
        <v>50</v>
      </c>
      <c r="L259" s="7">
        <v>847001</v>
      </c>
      <c r="M259" s="15" t="s">
        <v>61</v>
      </c>
      <c r="N259" s="15">
        <v>200179</v>
      </c>
      <c r="O259" s="3" t="s">
        <v>892</v>
      </c>
      <c r="P259" s="15"/>
      <c r="Q259" s="15"/>
      <c r="R259" s="15"/>
      <c r="S259" s="15" t="s">
        <v>482</v>
      </c>
      <c r="T259" s="15" t="s">
        <v>157</v>
      </c>
      <c r="U259" s="15">
        <v>50</v>
      </c>
      <c r="V259" s="15">
        <v>1200</v>
      </c>
      <c r="W259" s="15" t="s">
        <v>895</v>
      </c>
      <c r="X259" s="16">
        <v>60000</v>
      </c>
      <c r="Y259" s="15" t="s">
        <v>55</v>
      </c>
      <c r="Z259" s="15" t="s">
        <v>56</v>
      </c>
      <c r="AA259" s="14">
        <f t="shared" ref="AA259:AA322" si="12">X259*0.9</f>
        <v>54000</v>
      </c>
      <c r="AB259" s="14">
        <f t="shared" ref="AB259:AB322" si="13">X259*0.8</f>
        <v>48000</v>
      </c>
      <c r="AC259" s="14">
        <f t="shared" ref="AC259:AC322" si="14">X259*0.7</f>
        <v>42000</v>
      </c>
      <c r="AD259" s="15" t="s">
        <v>875</v>
      </c>
      <c r="AE259" s="15" t="s">
        <v>876</v>
      </c>
      <c r="AF259" s="3" t="s">
        <v>877</v>
      </c>
      <c r="AG259" s="45">
        <v>10000</v>
      </c>
      <c r="AH259" s="45"/>
      <c r="AI259" s="45">
        <v>10000</v>
      </c>
      <c r="AJ259" s="45"/>
      <c r="AK259" s="45">
        <v>10000</v>
      </c>
      <c r="AL259" s="45"/>
      <c r="AM259" s="45">
        <v>10000</v>
      </c>
      <c r="AN259" s="45"/>
      <c r="AO259" s="45">
        <v>10000</v>
      </c>
      <c r="AP259" s="45"/>
      <c r="AQ259" s="45">
        <v>10000</v>
      </c>
      <c r="AR259" s="45"/>
      <c r="AS259" s="45">
        <v>60000</v>
      </c>
      <c r="AT259" s="3" t="s">
        <v>230</v>
      </c>
      <c r="AU259" s="272"/>
    </row>
    <row r="260" spans="1:47" ht="16.5" hidden="1" customHeight="1" x14ac:dyDescent="0.35">
      <c r="A260" s="15" t="s">
        <v>189</v>
      </c>
      <c r="B260" s="3" t="s">
        <v>58</v>
      </c>
      <c r="C260" s="15" t="s">
        <v>334</v>
      </c>
      <c r="D260" s="15">
        <v>847</v>
      </c>
      <c r="E260" s="15">
        <v>8470350</v>
      </c>
      <c r="F260" s="15" t="s">
        <v>843</v>
      </c>
      <c r="G260" s="15">
        <v>1</v>
      </c>
      <c r="H260" s="276">
        <v>436110</v>
      </c>
      <c r="I260" s="15" t="s">
        <v>190</v>
      </c>
      <c r="J260" s="15" t="s">
        <v>60</v>
      </c>
      <c r="K260" s="15" t="s">
        <v>50</v>
      </c>
      <c r="L260" s="7">
        <v>847001</v>
      </c>
      <c r="M260" s="15" t="s">
        <v>61</v>
      </c>
      <c r="N260" s="15">
        <v>200179</v>
      </c>
      <c r="O260" s="3" t="s">
        <v>896</v>
      </c>
      <c r="P260" s="15">
        <v>0</v>
      </c>
      <c r="Q260" s="15">
        <v>7500</v>
      </c>
      <c r="R260" s="15">
        <v>7500</v>
      </c>
      <c r="S260" s="15" t="s">
        <v>488</v>
      </c>
      <c r="T260" s="15" t="s">
        <v>157</v>
      </c>
      <c r="U260" s="15">
        <v>15</v>
      </c>
      <c r="V260" s="15">
        <v>500</v>
      </c>
      <c r="W260" s="15"/>
      <c r="X260" s="16">
        <v>7500</v>
      </c>
      <c r="Y260" s="15" t="s">
        <v>55</v>
      </c>
      <c r="Z260" s="15" t="s">
        <v>56</v>
      </c>
      <c r="AA260" s="14">
        <f t="shared" si="12"/>
        <v>6750</v>
      </c>
      <c r="AB260" s="14">
        <f t="shared" si="13"/>
        <v>6000</v>
      </c>
      <c r="AC260" s="14">
        <f t="shared" si="14"/>
        <v>5250</v>
      </c>
      <c r="AD260" s="15" t="s">
        <v>846</v>
      </c>
      <c r="AE260" s="15" t="s">
        <v>847</v>
      </c>
      <c r="AF260" s="3" t="s">
        <v>848</v>
      </c>
      <c r="AG260" s="45">
        <v>7500</v>
      </c>
      <c r="AH260" s="45"/>
      <c r="AI260" s="45"/>
      <c r="AJ260" s="45"/>
      <c r="AK260" s="45"/>
      <c r="AL260" s="45"/>
      <c r="AM260" s="45"/>
      <c r="AN260" s="45"/>
      <c r="AO260" s="45"/>
      <c r="AP260" s="45"/>
      <c r="AQ260" s="45"/>
      <c r="AR260" s="45"/>
      <c r="AS260" s="45">
        <v>7500</v>
      </c>
      <c r="AT260" s="3" t="s">
        <v>379</v>
      </c>
      <c r="AU260" s="272"/>
    </row>
    <row r="261" spans="1:47" ht="16.5" hidden="1" customHeight="1" x14ac:dyDescent="0.35">
      <c r="A261" s="15" t="s">
        <v>222</v>
      </c>
      <c r="B261" s="3" t="s">
        <v>58</v>
      </c>
      <c r="C261" s="15" t="s">
        <v>334</v>
      </c>
      <c r="D261" s="15">
        <v>847</v>
      </c>
      <c r="E261" s="15">
        <v>8470350</v>
      </c>
      <c r="F261" s="15" t="s">
        <v>843</v>
      </c>
      <c r="G261" s="15">
        <v>1</v>
      </c>
      <c r="H261" s="276">
        <v>436600</v>
      </c>
      <c r="I261" s="15" t="s">
        <v>416</v>
      </c>
      <c r="J261" s="15" t="s">
        <v>60</v>
      </c>
      <c r="K261" s="15" t="s">
        <v>50</v>
      </c>
      <c r="L261" s="7">
        <v>847001</v>
      </c>
      <c r="M261" s="15" t="s">
        <v>61</v>
      </c>
      <c r="N261" s="15">
        <v>200179</v>
      </c>
      <c r="O261" s="3" t="s">
        <v>897</v>
      </c>
      <c r="P261" s="15" t="s">
        <v>46</v>
      </c>
      <c r="Q261" s="15">
        <v>60000</v>
      </c>
      <c r="R261" s="15">
        <v>60000</v>
      </c>
      <c r="S261" s="15" t="s">
        <v>492</v>
      </c>
      <c r="T261" s="15" t="s">
        <v>157</v>
      </c>
      <c r="U261" s="15">
        <v>4</v>
      </c>
      <c r="V261" s="15">
        <v>25000</v>
      </c>
      <c r="W261" s="15" t="s">
        <v>898</v>
      </c>
      <c r="X261" s="16">
        <v>100000</v>
      </c>
      <c r="Y261" s="15" t="s">
        <v>55</v>
      </c>
      <c r="Z261" s="15" t="s">
        <v>56</v>
      </c>
      <c r="AA261" s="14">
        <f t="shared" si="12"/>
        <v>90000</v>
      </c>
      <c r="AB261" s="14">
        <f t="shared" si="13"/>
        <v>80000</v>
      </c>
      <c r="AC261" s="14">
        <f t="shared" si="14"/>
        <v>70000</v>
      </c>
      <c r="AD261" s="15" t="s">
        <v>846</v>
      </c>
      <c r="AE261" s="15" t="s">
        <v>847</v>
      </c>
      <c r="AF261" s="3" t="s">
        <v>848</v>
      </c>
      <c r="AG261" s="45"/>
      <c r="AH261" s="45"/>
      <c r="AI261" s="45">
        <v>50000</v>
      </c>
      <c r="AJ261" s="45"/>
      <c r="AK261" s="45"/>
      <c r="AL261" s="45">
        <v>50000</v>
      </c>
      <c r="AM261" s="45"/>
      <c r="AN261" s="45"/>
      <c r="AO261" s="45"/>
      <c r="AP261" s="45"/>
      <c r="AQ261" s="45"/>
      <c r="AR261" s="45"/>
      <c r="AS261" s="45">
        <v>100000</v>
      </c>
      <c r="AT261" s="3" t="s">
        <v>414</v>
      </c>
      <c r="AU261" s="272"/>
    </row>
    <row r="262" spans="1:47" ht="16.5" hidden="1" customHeight="1" x14ac:dyDescent="0.35">
      <c r="A262" s="15" t="s">
        <v>161</v>
      </c>
      <c r="B262" s="3" t="s">
        <v>220</v>
      </c>
      <c r="C262" s="15" t="s">
        <v>334</v>
      </c>
      <c r="D262" s="15">
        <v>847</v>
      </c>
      <c r="E262" s="15">
        <v>8470350</v>
      </c>
      <c r="F262" s="15" t="s">
        <v>843</v>
      </c>
      <c r="G262" s="15">
        <v>1</v>
      </c>
      <c r="H262" s="276">
        <v>492316</v>
      </c>
      <c r="I262" s="15" t="s">
        <v>221</v>
      </c>
      <c r="J262" s="15" t="s">
        <v>60</v>
      </c>
      <c r="K262" s="15" t="s">
        <v>50</v>
      </c>
      <c r="L262" s="7">
        <v>847001</v>
      </c>
      <c r="M262" s="15" t="s">
        <v>192</v>
      </c>
      <c r="N262" s="15">
        <v>300180</v>
      </c>
      <c r="O262" s="3" t="s">
        <v>899</v>
      </c>
      <c r="P262" s="15">
        <v>0</v>
      </c>
      <c r="Q262" s="15">
        <v>1446520</v>
      </c>
      <c r="R262" s="15">
        <v>1445832.28</v>
      </c>
      <c r="S262" s="15" t="s">
        <v>495</v>
      </c>
      <c r="T262" s="15" t="s">
        <v>157</v>
      </c>
      <c r="U262" s="15">
        <v>25</v>
      </c>
      <c r="V262" s="15">
        <v>6500</v>
      </c>
      <c r="W262" s="15" t="s">
        <v>900</v>
      </c>
      <c r="X262" s="16">
        <v>162500</v>
      </c>
      <c r="Y262" s="15" t="s">
        <v>55</v>
      </c>
      <c r="Z262" s="15" t="s">
        <v>197</v>
      </c>
      <c r="AA262" s="14">
        <f t="shared" si="12"/>
        <v>146250</v>
      </c>
      <c r="AB262" s="14">
        <f t="shared" si="13"/>
        <v>130000</v>
      </c>
      <c r="AC262" s="14">
        <f t="shared" si="14"/>
        <v>113750</v>
      </c>
      <c r="AD262" s="15" t="s">
        <v>901</v>
      </c>
      <c r="AE262" s="15" t="s">
        <v>902</v>
      </c>
      <c r="AF262" s="3" t="s">
        <v>903</v>
      </c>
      <c r="AG262" s="45"/>
      <c r="AH262" s="45">
        <v>162500</v>
      </c>
      <c r="AI262" s="45"/>
      <c r="AJ262" s="45"/>
      <c r="AK262" s="45"/>
      <c r="AL262" s="45"/>
      <c r="AM262" s="45"/>
      <c r="AN262" s="45"/>
      <c r="AO262" s="45"/>
      <c r="AP262" s="45"/>
      <c r="AQ262" s="45"/>
      <c r="AR262" s="45"/>
      <c r="AS262" s="45">
        <v>162500</v>
      </c>
      <c r="AT262" s="3" t="s">
        <v>384</v>
      </c>
      <c r="AU262" s="272" t="s">
        <v>425</v>
      </c>
    </row>
    <row r="263" spans="1:47" ht="16.5" hidden="1" customHeight="1" x14ac:dyDescent="0.35">
      <c r="A263" s="15" t="s">
        <v>161</v>
      </c>
      <c r="B263" s="3" t="s">
        <v>220</v>
      </c>
      <c r="C263" s="15" t="s">
        <v>334</v>
      </c>
      <c r="D263" s="15">
        <v>847</v>
      </c>
      <c r="E263" s="15">
        <v>8470350</v>
      </c>
      <c r="F263" s="15" t="s">
        <v>843</v>
      </c>
      <c r="G263" s="15">
        <v>1</v>
      </c>
      <c r="H263" s="276">
        <v>492316</v>
      </c>
      <c r="I263" s="15" t="s">
        <v>221</v>
      </c>
      <c r="J263" s="15" t="s">
        <v>60</v>
      </c>
      <c r="K263" s="15" t="s">
        <v>50</v>
      </c>
      <c r="L263" s="7">
        <v>847001</v>
      </c>
      <c r="M263" s="15" t="s">
        <v>192</v>
      </c>
      <c r="N263" s="15">
        <v>300180</v>
      </c>
      <c r="O263" s="3" t="s">
        <v>899</v>
      </c>
      <c r="P263" s="15"/>
      <c r="Q263" s="15"/>
      <c r="R263" s="15"/>
      <c r="S263" s="15" t="s">
        <v>495</v>
      </c>
      <c r="T263" s="15" t="s">
        <v>157</v>
      </c>
      <c r="U263" s="15">
        <v>21</v>
      </c>
      <c r="V263" s="15">
        <v>8000</v>
      </c>
      <c r="W263" s="15" t="s">
        <v>904</v>
      </c>
      <c r="X263" s="16">
        <v>168000</v>
      </c>
      <c r="Y263" s="15" t="s">
        <v>55</v>
      </c>
      <c r="Z263" s="15" t="s">
        <v>197</v>
      </c>
      <c r="AA263" s="14">
        <f t="shared" si="12"/>
        <v>151200</v>
      </c>
      <c r="AB263" s="14">
        <f t="shared" si="13"/>
        <v>134400</v>
      </c>
      <c r="AC263" s="14">
        <f t="shared" si="14"/>
        <v>117599.99999999999</v>
      </c>
      <c r="AD263" s="15" t="s">
        <v>901</v>
      </c>
      <c r="AE263" s="15" t="s">
        <v>902</v>
      </c>
      <c r="AF263" s="3" t="s">
        <v>903</v>
      </c>
      <c r="AG263" s="45"/>
      <c r="AH263" s="45"/>
      <c r="AI263" s="45"/>
      <c r="AJ263" s="45"/>
      <c r="AK263" s="45">
        <v>168000</v>
      </c>
      <c r="AL263" s="45"/>
      <c r="AM263" s="45"/>
      <c r="AN263" s="45"/>
      <c r="AO263" s="45"/>
      <c r="AP263" s="45"/>
      <c r="AQ263" s="45"/>
      <c r="AR263" s="45"/>
      <c r="AS263" s="45">
        <v>168000</v>
      </c>
      <c r="AT263" s="3" t="s">
        <v>384</v>
      </c>
      <c r="AU263" s="272" t="s">
        <v>425</v>
      </c>
    </row>
    <row r="264" spans="1:47" ht="16.5" hidden="1" customHeight="1" x14ac:dyDescent="0.35">
      <c r="A264" s="15" t="s">
        <v>161</v>
      </c>
      <c r="B264" s="3" t="s">
        <v>220</v>
      </c>
      <c r="C264" s="15" t="s">
        <v>334</v>
      </c>
      <c r="D264" s="15">
        <v>847</v>
      </c>
      <c r="E264" s="15">
        <v>8470350</v>
      </c>
      <c r="F264" s="15" t="s">
        <v>843</v>
      </c>
      <c r="G264" s="15">
        <v>1</v>
      </c>
      <c r="H264" s="276">
        <v>495110</v>
      </c>
      <c r="I264" s="15" t="s">
        <v>213</v>
      </c>
      <c r="J264" s="15" t="s">
        <v>60</v>
      </c>
      <c r="K264" s="15" t="s">
        <v>50</v>
      </c>
      <c r="L264" s="7">
        <v>847001</v>
      </c>
      <c r="M264" s="15" t="s">
        <v>192</v>
      </c>
      <c r="N264" s="15">
        <v>300180</v>
      </c>
      <c r="O264" s="3" t="s">
        <v>906</v>
      </c>
      <c r="P264" s="15"/>
      <c r="Q264" s="15"/>
      <c r="R264" s="15"/>
      <c r="S264" s="15" t="s">
        <v>907</v>
      </c>
      <c r="T264" s="15" t="s">
        <v>201</v>
      </c>
      <c r="U264" s="15">
        <v>1</v>
      </c>
      <c r="V264" s="15">
        <v>45000</v>
      </c>
      <c r="W264" s="15" t="s">
        <v>908</v>
      </c>
      <c r="X264" s="16">
        <v>45000</v>
      </c>
      <c r="Y264" s="15" t="s">
        <v>55</v>
      </c>
      <c r="Z264" s="15" t="s">
        <v>197</v>
      </c>
      <c r="AA264" s="14">
        <f t="shared" si="12"/>
        <v>40500</v>
      </c>
      <c r="AB264" s="14">
        <f t="shared" si="13"/>
        <v>36000</v>
      </c>
      <c r="AC264" s="14">
        <f t="shared" si="14"/>
        <v>31499.999999999996</v>
      </c>
      <c r="AD264" s="15" t="s">
        <v>909</v>
      </c>
      <c r="AE264" s="15" t="s">
        <v>909</v>
      </c>
      <c r="AF264" s="3" t="s">
        <v>909</v>
      </c>
      <c r="AG264" s="45"/>
      <c r="AH264" s="45">
        <v>45000</v>
      </c>
      <c r="AI264" s="45"/>
      <c r="AJ264" s="45"/>
      <c r="AK264" s="45"/>
      <c r="AL264" s="45"/>
      <c r="AM264" s="45"/>
      <c r="AN264" s="45"/>
      <c r="AO264" s="45"/>
      <c r="AP264" s="45"/>
      <c r="AQ264" s="45"/>
      <c r="AR264" s="45"/>
      <c r="AS264" s="45">
        <v>45000</v>
      </c>
      <c r="AT264" s="3" t="s">
        <v>384</v>
      </c>
      <c r="AU264" s="272"/>
    </row>
    <row r="265" spans="1:47" ht="16.5" hidden="1" customHeight="1" x14ac:dyDescent="0.35">
      <c r="A265" s="15" t="s">
        <v>161</v>
      </c>
      <c r="B265" s="3" t="s">
        <v>220</v>
      </c>
      <c r="C265" s="15" t="s">
        <v>334</v>
      </c>
      <c r="D265" s="15">
        <v>847</v>
      </c>
      <c r="E265" s="15">
        <v>8470350</v>
      </c>
      <c r="F265" s="15" t="s">
        <v>843</v>
      </c>
      <c r="G265" s="15">
        <v>1</v>
      </c>
      <c r="H265" s="276">
        <v>492316</v>
      </c>
      <c r="I265" s="15" t="s">
        <v>221</v>
      </c>
      <c r="J265" s="15" t="s">
        <v>60</v>
      </c>
      <c r="K265" s="15" t="s">
        <v>50</v>
      </c>
      <c r="L265" s="7">
        <v>847001</v>
      </c>
      <c r="M265" s="15" t="s">
        <v>192</v>
      </c>
      <c r="N265" s="15">
        <v>300180</v>
      </c>
      <c r="O265" s="3" t="s">
        <v>899</v>
      </c>
      <c r="P265" s="15">
        <v>0</v>
      </c>
      <c r="Q265" s="15"/>
      <c r="R265" s="15"/>
      <c r="S265" s="15" t="s">
        <v>495</v>
      </c>
      <c r="T265" s="15" t="s">
        <v>157</v>
      </c>
      <c r="U265" s="15">
        <v>3</v>
      </c>
      <c r="V265" s="15">
        <v>25000</v>
      </c>
      <c r="W265" s="15" t="s">
        <v>910</v>
      </c>
      <c r="X265" s="16">
        <v>75000</v>
      </c>
      <c r="Y265" s="15" t="s">
        <v>55</v>
      </c>
      <c r="Z265" s="15" t="s">
        <v>197</v>
      </c>
      <c r="AA265" s="14">
        <f t="shared" si="12"/>
        <v>67500</v>
      </c>
      <c r="AB265" s="14">
        <f t="shared" si="13"/>
        <v>60000</v>
      </c>
      <c r="AC265" s="14">
        <f t="shared" si="14"/>
        <v>52500</v>
      </c>
      <c r="AD265" s="15" t="s">
        <v>901</v>
      </c>
      <c r="AE265" s="15" t="s">
        <v>902</v>
      </c>
      <c r="AF265" s="3" t="s">
        <v>903</v>
      </c>
      <c r="AG265" s="45"/>
      <c r="AH265" s="45"/>
      <c r="AI265" s="45"/>
      <c r="AJ265" s="45">
        <v>75000</v>
      </c>
      <c r="AK265" s="45"/>
      <c r="AL265" s="45"/>
      <c r="AM265" s="45"/>
      <c r="AN265" s="45"/>
      <c r="AO265" s="45"/>
      <c r="AP265" s="45"/>
      <c r="AQ265" s="45"/>
      <c r="AR265" s="45"/>
      <c r="AS265" s="45">
        <v>75000</v>
      </c>
      <c r="AT265" s="3" t="s">
        <v>384</v>
      </c>
      <c r="AU265" s="272" t="s">
        <v>425</v>
      </c>
    </row>
    <row r="266" spans="1:47" ht="16.5" hidden="1" customHeight="1" x14ac:dyDescent="0.35">
      <c r="A266" s="15" t="s">
        <v>161</v>
      </c>
      <c r="B266" s="3" t="s">
        <v>220</v>
      </c>
      <c r="C266" s="15" t="s">
        <v>334</v>
      </c>
      <c r="D266" s="15">
        <v>847</v>
      </c>
      <c r="E266" s="15">
        <v>8470350</v>
      </c>
      <c r="F266" s="15" t="s">
        <v>843</v>
      </c>
      <c r="G266" s="15">
        <v>1</v>
      </c>
      <c r="H266" s="276">
        <v>492316</v>
      </c>
      <c r="I266" s="15" t="s">
        <v>221</v>
      </c>
      <c r="J266" s="15" t="s">
        <v>60</v>
      </c>
      <c r="K266" s="15" t="s">
        <v>50</v>
      </c>
      <c r="L266" s="7">
        <v>847001</v>
      </c>
      <c r="M266" s="15" t="s">
        <v>192</v>
      </c>
      <c r="N266" s="15">
        <v>300180</v>
      </c>
      <c r="O266" s="3" t="s">
        <v>899</v>
      </c>
      <c r="P266" s="15"/>
      <c r="Q266" s="15"/>
      <c r="R266" s="15"/>
      <c r="S266" s="15" t="s">
        <v>495</v>
      </c>
      <c r="T266" s="15" t="s">
        <v>157</v>
      </c>
      <c r="U266" s="15">
        <v>10</v>
      </c>
      <c r="V266" s="15">
        <v>10000</v>
      </c>
      <c r="W266" s="15" t="s">
        <v>911</v>
      </c>
      <c r="X266" s="16">
        <v>100000</v>
      </c>
      <c r="Y266" s="15" t="s">
        <v>55</v>
      </c>
      <c r="Z266" s="15" t="s">
        <v>197</v>
      </c>
      <c r="AA266" s="14">
        <f t="shared" si="12"/>
        <v>90000</v>
      </c>
      <c r="AB266" s="14">
        <f t="shared" si="13"/>
        <v>80000</v>
      </c>
      <c r="AC266" s="14">
        <f t="shared" si="14"/>
        <v>70000</v>
      </c>
      <c r="AD266" s="15" t="s">
        <v>912</v>
      </c>
      <c r="AE266" s="15" t="s">
        <v>912</v>
      </c>
      <c r="AF266" s="3" t="s">
        <v>912</v>
      </c>
      <c r="AG266" s="45"/>
      <c r="AH266" s="45"/>
      <c r="AI266" s="45">
        <v>100000</v>
      </c>
      <c r="AJ266" s="45"/>
      <c r="AK266" s="45"/>
      <c r="AL266" s="45"/>
      <c r="AM266" s="45"/>
      <c r="AN266" s="45"/>
      <c r="AO266" s="45"/>
      <c r="AP266" s="45"/>
      <c r="AQ266" s="45"/>
      <c r="AR266" s="45"/>
      <c r="AS266" s="45">
        <v>100000</v>
      </c>
      <c r="AT266" s="3" t="s">
        <v>230</v>
      </c>
      <c r="AU266" s="272" t="s">
        <v>425</v>
      </c>
    </row>
    <row r="267" spans="1:47" ht="16.5" hidden="1" customHeight="1" x14ac:dyDescent="0.35">
      <c r="A267" s="15" t="s">
        <v>161</v>
      </c>
      <c r="B267" s="3" t="s">
        <v>220</v>
      </c>
      <c r="C267" s="15" t="s">
        <v>334</v>
      </c>
      <c r="D267" s="15">
        <v>847</v>
      </c>
      <c r="E267" s="15">
        <v>8470350</v>
      </c>
      <c r="F267" s="15" t="s">
        <v>843</v>
      </c>
      <c r="G267" s="15">
        <v>1</v>
      </c>
      <c r="H267" s="276">
        <v>492316</v>
      </c>
      <c r="I267" s="15" t="s">
        <v>221</v>
      </c>
      <c r="J267" s="15" t="s">
        <v>60</v>
      </c>
      <c r="K267" s="15" t="s">
        <v>50</v>
      </c>
      <c r="L267" s="7">
        <v>847001</v>
      </c>
      <c r="M267" s="15" t="s">
        <v>192</v>
      </c>
      <c r="N267" s="15">
        <v>300180</v>
      </c>
      <c r="O267" s="3" t="s">
        <v>899</v>
      </c>
      <c r="P267" s="15"/>
      <c r="Q267" s="15"/>
      <c r="R267" s="15"/>
      <c r="S267" s="15" t="s">
        <v>495</v>
      </c>
      <c r="T267" s="15" t="s">
        <v>157</v>
      </c>
      <c r="U267" s="15">
        <v>1</v>
      </c>
      <c r="V267" s="15">
        <v>200000</v>
      </c>
      <c r="W267" s="15" t="s">
        <v>913</v>
      </c>
      <c r="X267" s="16">
        <v>200000</v>
      </c>
      <c r="Y267" s="15" t="s">
        <v>55</v>
      </c>
      <c r="Z267" s="15" t="s">
        <v>197</v>
      </c>
      <c r="AA267" s="14">
        <f t="shared" si="12"/>
        <v>180000</v>
      </c>
      <c r="AB267" s="14">
        <f t="shared" si="13"/>
        <v>160000</v>
      </c>
      <c r="AC267" s="14">
        <f t="shared" si="14"/>
        <v>140000</v>
      </c>
      <c r="AD267" s="15" t="s">
        <v>914</v>
      </c>
      <c r="AE267" s="15" t="s">
        <v>915</v>
      </c>
      <c r="AF267" s="3" t="s">
        <v>916</v>
      </c>
      <c r="AG267" s="45"/>
      <c r="AH267" s="45"/>
      <c r="AI267" s="45"/>
      <c r="AJ267" s="45"/>
      <c r="AK267" s="45">
        <v>200000</v>
      </c>
      <c r="AL267" s="45"/>
      <c r="AM267" s="45"/>
      <c r="AN267" s="45"/>
      <c r="AO267" s="45"/>
      <c r="AP267" s="45"/>
      <c r="AQ267" s="45"/>
      <c r="AR267" s="45"/>
      <c r="AS267" s="45">
        <v>200000</v>
      </c>
      <c r="AT267" s="3" t="s">
        <v>230</v>
      </c>
      <c r="AU267" s="272" t="s">
        <v>425</v>
      </c>
    </row>
    <row r="268" spans="1:47" ht="16.5" hidden="1" customHeight="1" x14ac:dyDescent="0.35">
      <c r="A268" s="15" t="s">
        <v>161</v>
      </c>
      <c r="B268" s="3" t="s">
        <v>220</v>
      </c>
      <c r="C268" s="15" t="s">
        <v>334</v>
      </c>
      <c r="D268" s="15">
        <v>847</v>
      </c>
      <c r="E268" s="15">
        <v>8470350</v>
      </c>
      <c r="F268" s="15" t="s">
        <v>843</v>
      </c>
      <c r="G268" s="15">
        <v>1</v>
      </c>
      <c r="H268" s="276">
        <v>492316</v>
      </c>
      <c r="I268" s="15" t="s">
        <v>221</v>
      </c>
      <c r="J268" s="15" t="s">
        <v>60</v>
      </c>
      <c r="K268" s="15" t="s">
        <v>50</v>
      </c>
      <c r="L268" s="7">
        <v>847001</v>
      </c>
      <c r="M268" s="15" t="s">
        <v>192</v>
      </c>
      <c r="N268" s="15">
        <v>300180</v>
      </c>
      <c r="O268" s="3" t="s">
        <v>899</v>
      </c>
      <c r="P268" s="15"/>
      <c r="Q268" s="15"/>
      <c r="R268" s="15"/>
      <c r="S268" s="15" t="s">
        <v>495</v>
      </c>
      <c r="T268" s="15" t="s">
        <v>157</v>
      </c>
      <c r="U268" s="15">
        <v>2</v>
      </c>
      <c r="V268" s="15">
        <v>75000</v>
      </c>
      <c r="W268" s="15" t="s">
        <v>917</v>
      </c>
      <c r="X268" s="16">
        <v>150000</v>
      </c>
      <c r="Y268" s="15" t="s">
        <v>55</v>
      </c>
      <c r="Z268" s="15" t="s">
        <v>197</v>
      </c>
      <c r="AA268" s="14">
        <f t="shared" si="12"/>
        <v>135000</v>
      </c>
      <c r="AB268" s="14">
        <f t="shared" si="13"/>
        <v>120000</v>
      </c>
      <c r="AC268" s="14">
        <f t="shared" si="14"/>
        <v>105000</v>
      </c>
      <c r="AD268" s="15" t="s">
        <v>914</v>
      </c>
      <c r="AE268" s="15" t="s">
        <v>915</v>
      </c>
      <c r="AF268" s="3" t="s">
        <v>916</v>
      </c>
      <c r="AG268" s="45"/>
      <c r="AH268" s="45"/>
      <c r="AI268" s="45"/>
      <c r="AJ268" s="45"/>
      <c r="AK268" s="45">
        <v>150000</v>
      </c>
      <c r="AL268" s="45"/>
      <c r="AM268" s="45"/>
      <c r="AN268" s="45"/>
      <c r="AO268" s="45"/>
      <c r="AP268" s="45"/>
      <c r="AQ268" s="45"/>
      <c r="AR268" s="45"/>
      <c r="AS268" s="45">
        <v>150000</v>
      </c>
      <c r="AT268" s="3" t="s">
        <v>230</v>
      </c>
      <c r="AU268" s="272" t="s">
        <v>425</v>
      </c>
    </row>
    <row r="269" spans="1:47" ht="16.5" hidden="1" customHeight="1" x14ac:dyDescent="0.35">
      <c r="A269" s="15" t="s">
        <v>161</v>
      </c>
      <c r="B269" s="3" t="s">
        <v>220</v>
      </c>
      <c r="C269" s="15" t="s">
        <v>334</v>
      </c>
      <c r="D269" s="15">
        <v>847</v>
      </c>
      <c r="E269" s="15">
        <v>8470350</v>
      </c>
      <c r="F269" s="15" t="s">
        <v>843</v>
      </c>
      <c r="G269" s="15">
        <v>1</v>
      </c>
      <c r="H269" s="276">
        <v>492316</v>
      </c>
      <c r="I269" s="15" t="s">
        <v>221</v>
      </c>
      <c r="J269" s="15" t="s">
        <v>60</v>
      </c>
      <c r="K269" s="15" t="s">
        <v>50</v>
      </c>
      <c r="L269" s="7">
        <v>847001</v>
      </c>
      <c r="M269" s="15" t="s">
        <v>192</v>
      </c>
      <c r="N269" s="15">
        <v>300180</v>
      </c>
      <c r="O269" s="3" t="s">
        <v>899</v>
      </c>
      <c r="P269" s="15"/>
      <c r="Q269" s="15"/>
      <c r="R269" s="15"/>
      <c r="S269" s="15" t="s">
        <v>495</v>
      </c>
      <c r="T269" s="15" t="s">
        <v>157</v>
      </c>
      <c r="U269" s="15">
        <v>2</v>
      </c>
      <c r="V269" s="15">
        <v>85000</v>
      </c>
      <c r="W269" s="15" t="s">
        <v>918</v>
      </c>
      <c r="X269" s="16">
        <v>170000</v>
      </c>
      <c r="Y269" s="15" t="s">
        <v>55</v>
      </c>
      <c r="Z269" s="15" t="s">
        <v>197</v>
      </c>
      <c r="AA269" s="14">
        <f t="shared" si="12"/>
        <v>153000</v>
      </c>
      <c r="AB269" s="14">
        <f t="shared" si="13"/>
        <v>136000</v>
      </c>
      <c r="AC269" s="14">
        <f t="shared" si="14"/>
        <v>118999.99999999999</v>
      </c>
      <c r="AD269" s="15" t="s">
        <v>914</v>
      </c>
      <c r="AE269" s="15" t="s">
        <v>915</v>
      </c>
      <c r="AF269" s="3" t="s">
        <v>916</v>
      </c>
      <c r="AG269" s="45"/>
      <c r="AH269" s="45"/>
      <c r="AI269" s="45"/>
      <c r="AJ269" s="45"/>
      <c r="AK269" s="45">
        <v>170000</v>
      </c>
      <c r="AL269" s="45"/>
      <c r="AM269" s="45"/>
      <c r="AN269" s="45"/>
      <c r="AO269" s="45"/>
      <c r="AP269" s="45"/>
      <c r="AQ269" s="45"/>
      <c r="AR269" s="45"/>
      <c r="AS269" s="45">
        <v>170000</v>
      </c>
      <c r="AT269" s="3" t="s">
        <v>230</v>
      </c>
      <c r="AU269" s="272" t="s">
        <v>425</v>
      </c>
    </row>
    <row r="270" spans="1:47" ht="16.5" hidden="1" customHeight="1" x14ac:dyDescent="0.35">
      <c r="A270" s="15" t="s">
        <v>161</v>
      </c>
      <c r="B270" s="3" t="s">
        <v>220</v>
      </c>
      <c r="C270" s="15" t="s">
        <v>334</v>
      </c>
      <c r="D270" s="15">
        <v>847</v>
      </c>
      <c r="E270" s="15">
        <v>8470350</v>
      </c>
      <c r="F270" s="15" t="s">
        <v>843</v>
      </c>
      <c r="G270" s="15">
        <v>1</v>
      </c>
      <c r="H270" s="276">
        <v>492316</v>
      </c>
      <c r="I270" s="15" t="s">
        <v>221</v>
      </c>
      <c r="J270" s="15" t="s">
        <v>60</v>
      </c>
      <c r="K270" s="15" t="s">
        <v>50</v>
      </c>
      <c r="L270" s="7">
        <v>847001</v>
      </c>
      <c r="M270" s="15" t="s">
        <v>192</v>
      </c>
      <c r="N270" s="15">
        <v>300180</v>
      </c>
      <c r="O270" s="3" t="s">
        <v>899</v>
      </c>
      <c r="P270" s="15"/>
      <c r="Q270" s="15"/>
      <c r="R270" s="15"/>
      <c r="S270" s="15" t="s">
        <v>495</v>
      </c>
      <c r="T270" s="15" t="s">
        <v>157</v>
      </c>
      <c r="U270" s="15">
        <v>1</v>
      </c>
      <c r="V270" s="15">
        <v>220000</v>
      </c>
      <c r="W270" s="15" t="s">
        <v>919</v>
      </c>
      <c r="X270" s="16">
        <v>220000</v>
      </c>
      <c r="Y270" s="15" t="s">
        <v>55</v>
      </c>
      <c r="Z270" s="15" t="s">
        <v>197</v>
      </c>
      <c r="AA270" s="14">
        <f t="shared" si="12"/>
        <v>198000</v>
      </c>
      <c r="AB270" s="14">
        <f t="shared" si="13"/>
        <v>176000</v>
      </c>
      <c r="AC270" s="14">
        <f t="shared" si="14"/>
        <v>154000</v>
      </c>
      <c r="AD270" s="15" t="s">
        <v>914</v>
      </c>
      <c r="AE270" s="15" t="s">
        <v>915</v>
      </c>
      <c r="AF270" s="3" t="s">
        <v>916</v>
      </c>
      <c r="AG270" s="45"/>
      <c r="AH270" s="45"/>
      <c r="AI270" s="45"/>
      <c r="AJ270" s="45"/>
      <c r="AK270" s="45">
        <v>220000</v>
      </c>
      <c r="AL270" s="45"/>
      <c r="AM270" s="45"/>
      <c r="AN270" s="45"/>
      <c r="AO270" s="45"/>
      <c r="AP270" s="45"/>
      <c r="AQ270" s="45"/>
      <c r="AR270" s="45"/>
      <c r="AS270" s="45">
        <v>220000</v>
      </c>
      <c r="AT270" s="3" t="s">
        <v>230</v>
      </c>
      <c r="AU270" s="272" t="s">
        <v>425</v>
      </c>
    </row>
    <row r="271" spans="1:47" ht="16.5" hidden="1" customHeight="1" x14ac:dyDescent="0.35">
      <c r="A271" s="15" t="s">
        <v>46</v>
      </c>
      <c r="B271" s="3" t="s">
        <v>46</v>
      </c>
      <c r="C271" s="15" t="s">
        <v>334</v>
      </c>
      <c r="D271" s="15">
        <v>847</v>
      </c>
      <c r="E271" s="15">
        <v>8470350</v>
      </c>
      <c r="F271" s="15" t="s">
        <v>843</v>
      </c>
      <c r="G271" s="15">
        <v>1</v>
      </c>
      <c r="H271" s="276">
        <v>492316</v>
      </c>
      <c r="I271" s="15" t="s">
        <v>221</v>
      </c>
      <c r="J271" s="15" t="s">
        <v>60</v>
      </c>
      <c r="K271" s="15" t="s">
        <v>50</v>
      </c>
      <c r="L271" s="7">
        <v>847001</v>
      </c>
      <c r="M271" s="15" t="s">
        <v>192</v>
      </c>
      <c r="N271" s="15">
        <v>300180</v>
      </c>
      <c r="O271" s="3" t="s">
        <v>899</v>
      </c>
      <c r="P271" s="15"/>
      <c r="Q271" s="15"/>
      <c r="R271" s="15"/>
      <c r="S271" s="15" t="s">
        <v>495</v>
      </c>
      <c r="T271" s="15" t="s">
        <v>157</v>
      </c>
      <c r="U271" s="15">
        <v>1</v>
      </c>
      <c r="V271" s="15">
        <v>160000</v>
      </c>
      <c r="W271" s="15" t="s">
        <v>920</v>
      </c>
      <c r="X271" s="16">
        <v>160000</v>
      </c>
      <c r="Y271" s="15" t="s">
        <v>210</v>
      </c>
      <c r="Z271" s="15" t="s">
        <v>197</v>
      </c>
      <c r="AA271" s="14">
        <f t="shared" si="12"/>
        <v>144000</v>
      </c>
      <c r="AB271" s="14">
        <f t="shared" si="13"/>
        <v>128000</v>
      </c>
      <c r="AC271" s="14">
        <f t="shared" si="14"/>
        <v>112000</v>
      </c>
      <c r="AD271" s="15" t="s">
        <v>914</v>
      </c>
      <c r="AE271" s="15" t="s">
        <v>915</v>
      </c>
      <c r="AF271" s="3" t="s">
        <v>916</v>
      </c>
      <c r="AG271" s="45"/>
      <c r="AH271" s="45"/>
      <c r="AI271" s="45"/>
      <c r="AJ271" s="45">
        <v>80000</v>
      </c>
      <c r="AK271" s="45"/>
      <c r="AL271" s="45"/>
      <c r="AM271" s="45"/>
      <c r="AN271" s="45"/>
      <c r="AO271" s="45"/>
      <c r="AP271" s="45">
        <v>80000</v>
      </c>
      <c r="AQ271" s="45"/>
      <c r="AR271" s="45"/>
      <c r="AS271" s="45">
        <v>160000</v>
      </c>
      <c r="AT271" s="3" t="s">
        <v>880</v>
      </c>
      <c r="AU271" s="272" t="s">
        <v>425</v>
      </c>
    </row>
    <row r="272" spans="1:47" ht="16.5" hidden="1" customHeight="1" x14ac:dyDescent="0.35">
      <c r="A272" s="15" t="s">
        <v>161</v>
      </c>
      <c r="B272" s="3" t="s">
        <v>220</v>
      </c>
      <c r="C272" s="15" t="s">
        <v>334</v>
      </c>
      <c r="D272" s="15">
        <v>847</v>
      </c>
      <c r="E272" s="15">
        <v>8470350</v>
      </c>
      <c r="F272" s="15" t="s">
        <v>843</v>
      </c>
      <c r="G272" s="15">
        <v>1</v>
      </c>
      <c r="H272" s="276">
        <v>492316</v>
      </c>
      <c r="I272" s="15" t="s">
        <v>221</v>
      </c>
      <c r="J272" s="15" t="s">
        <v>60</v>
      </c>
      <c r="K272" s="15" t="s">
        <v>50</v>
      </c>
      <c r="L272" s="7">
        <v>847001</v>
      </c>
      <c r="M272" s="15" t="s">
        <v>192</v>
      </c>
      <c r="N272" s="15">
        <v>300180</v>
      </c>
      <c r="O272" s="3" t="s">
        <v>899</v>
      </c>
      <c r="P272" s="15"/>
      <c r="Q272" s="15"/>
      <c r="R272" s="15"/>
      <c r="S272" s="15" t="s">
        <v>495</v>
      </c>
      <c r="T272" s="15" t="s">
        <v>157</v>
      </c>
      <c r="U272" s="15">
        <v>8</v>
      </c>
      <c r="V272" s="15">
        <v>8000</v>
      </c>
      <c r="W272" s="15" t="s">
        <v>921</v>
      </c>
      <c r="X272" s="16">
        <v>64000</v>
      </c>
      <c r="Y272" s="15" t="s">
        <v>55</v>
      </c>
      <c r="Z272" s="15" t="s">
        <v>197</v>
      </c>
      <c r="AA272" s="14">
        <f t="shared" si="12"/>
        <v>57600</v>
      </c>
      <c r="AB272" s="14">
        <f t="shared" si="13"/>
        <v>51200</v>
      </c>
      <c r="AC272" s="14">
        <f t="shared" si="14"/>
        <v>44800</v>
      </c>
      <c r="AD272" s="15" t="s">
        <v>914</v>
      </c>
      <c r="AE272" s="15" t="s">
        <v>915</v>
      </c>
      <c r="AF272" s="3" t="s">
        <v>916</v>
      </c>
      <c r="AG272" s="45"/>
      <c r="AH272" s="45"/>
      <c r="AI272" s="45"/>
      <c r="AJ272" s="45">
        <v>64000</v>
      </c>
      <c r="AK272" s="45"/>
      <c r="AL272" s="45"/>
      <c r="AM272" s="45"/>
      <c r="AN272" s="45"/>
      <c r="AO272" s="45"/>
      <c r="AP272" s="45"/>
      <c r="AQ272" s="45"/>
      <c r="AR272" s="45"/>
      <c r="AS272" s="45">
        <v>64000</v>
      </c>
      <c r="AT272" s="3" t="s">
        <v>230</v>
      </c>
      <c r="AU272" s="272" t="s">
        <v>425</v>
      </c>
    </row>
    <row r="273" spans="1:47" ht="16.5" hidden="1" customHeight="1" x14ac:dyDescent="0.35">
      <c r="A273" s="15">
        <v>0</v>
      </c>
      <c r="B273" s="3" t="s">
        <v>58</v>
      </c>
      <c r="C273" s="15" t="s">
        <v>334</v>
      </c>
      <c r="D273" s="15">
        <v>847</v>
      </c>
      <c r="E273" s="15">
        <v>8470350</v>
      </c>
      <c r="F273" s="15" t="s">
        <v>843</v>
      </c>
      <c r="G273" s="15">
        <v>1</v>
      </c>
      <c r="H273" s="276">
        <v>495110</v>
      </c>
      <c r="I273" s="15" t="s">
        <v>213</v>
      </c>
      <c r="J273" s="15" t="s">
        <v>60</v>
      </c>
      <c r="K273" s="15" t="s">
        <v>50</v>
      </c>
      <c r="L273" s="7">
        <v>847001</v>
      </c>
      <c r="M273" s="15" t="s">
        <v>192</v>
      </c>
      <c r="N273" s="15">
        <v>300180</v>
      </c>
      <c r="O273" s="3" t="s">
        <v>906</v>
      </c>
      <c r="P273" s="15"/>
      <c r="Q273" s="15"/>
      <c r="R273" s="15"/>
      <c r="S273" s="15" t="s">
        <v>907</v>
      </c>
      <c r="T273" s="15" t="s">
        <v>201</v>
      </c>
      <c r="U273" s="15">
        <v>1</v>
      </c>
      <c r="V273" s="15">
        <v>14500</v>
      </c>
      <c r="W273" s="15" t="s">
        <v>922</v>
      </c>
      <c r="X273" s="16">
        <v>14500</v>
      </c>
      <c r="Y273" s="15" t="s">
        <v>55</v>
      </c>
      <c r="Z273" s="15" t="s">
        <v>197</v>
      </c>
      <c r="AA273" s="14">
        <f t="shared" si="12"/>
        <v>13050</v>
      </c>
      <c r="AB273" s="14">
        <f t="shared" si="13"/>
        <v>11600</v>
      </c>
      <c r="AC273" s="14">
        <f t="shared" si="14"/>
        <v>10150</v>
      </c>
      <c r="AD273" s="15" t="s">
        <v>909</v>
      </c>
      <c r="AE273" s="15" t="s">
        <v>909</v>
      </c>
      <c r="AF273" s="3" t="s">
        <v>909</v>
      </c>
      <c r="AG273" s="45"/>
      <c r="AH273" s="45">
        <v>14500</v>
      </c>
      <c r="AI273" s="45"/>
      <c r="AJ273" s="45"/>
      <c r="AK273" s="45"/>
      <c r="AL273" s="45"/>
      <c r="AM273" s="45"/>
      <c r="AN273" s="45"/>
      <c r="AO273" s="45"/>
      <c r="AP273" s="45"/>
      <c r="AQ273" s="45"/>
      <c r="AR273" s="45"/>
      <c r="AS273" s="45">
        <v>14500</v>
      </c>
      <c r="AT273" s="3" t="s">
        <v>230</v>
      </c>
      <c r="AU273" s="272"/>
    </row>
    <row r="274" spans="1:47" ht="16.5" hidden="1" customHeight="1" x14ac:dyDescent="0.35">
      <c r="A274" s="15" t="s">
        <v>161</v>
      </c>
      <c r="B274" s="3" t="s">
        <v>220</v>
      </c>
      <c r="C274" s="15" t="s">
        <v>334</v>
      </c>
      <c r="D274" s="15">
        <v>847</v>
      </c>
      <c r="E274" s="15">
        <v>8470350</v>
      </c>
      <c r="F274" s="15" t="s">
        <v>843</v>
      </c>
      <c r="G274" s="15">
        <v>1</v>
      </c>
      <c r="H274" s="276">
        <v>492316</v>
      </c>
      <c r="I274" s="15" t="s">
        <v>221</v>
      </c>
      <c r="J274" s="15" t="s">
        <v>60</v>
      </c>
      <c r="K274" s="15" t="s">
        <v>50</v>
      </c>
      <c r="L274" s="7">
        <v>847001</v>
      </c>
      <c r="M274" s="15" t="s">
        <v>192</v>
      </c>
      <c r="N274" s="15">
        <v>300180</v>
      </c>
      <c r="O274" s="3" t="s">
        <v>899</v>
      </c>
      <c r="P274" s="15"/>
      <c r="Q274" s="15"/>
      <c r="R274" s="15"/>
      <c r="S274" s="15" t="s">
        <v>495</v>
      </c>
      <c r="T274" s="15" t="s">
        <v>157</v>
      </c>
      <c r="U274" s="15">
        <v>1</v>
      </c>
      <c r="V274" s="15">
        <v>500000</v>
      </c>
      <c r="W274" s="15" t="s">
        <v>923</v>
      </c>
      <c r="X274" s="16">
        <v>500000</v>
      </c>
      <c r="Y274" s="15"/>
      <c r="Z274" s="15"/>
      <c r="AA274" s="14">
        <f t="shared" si="12"/>
        <v>450000</v>
      </c>
      <c r="AB274" s="14">
        <f t="shared" si="13"/>
        <v>400000</v>
      </c>
      <c r="AC274" s="14">
        <f t="shared" si="14"/>
        <v>350000</v>
      </c>
      <c r="AD274" s="15" t="s">
        <v>914</v>
      </c>
      <c r="AE274" s="15" t="s">
        <v>915</v>
      </c>
      <c r="AF274" s="3" t="s">
        <v>916</v>
      </c>
      <c r="AG274" s="45"/>
      <c r="AH274" s="45"/>
      <c r="AI274" s="45"/>
      <c r="AJ274" s="45"/>
      <c r="AK274" s="45"/>
      <c r="AL274" s="45"/>
      <c r="AM274" s="45"/>
      <c r="AN274" s="45"/>
      <c r="AO274" s="45">
        <v>500000</v>
      </c>
      <c r="AP274" s="45"/>
      <c r="AQ274" s="45"/>
      <c r="AR274" s="45"/>
      <c r="AS274" s="45">
        <v>500000</v>
      </c>
      <c r="AT274" s="3" t="s">
        <v>880</v>
      </c>
      <c r="AU274" s="272" t="s">
        <v>425</v>
      </c>
    </row>
    <row r="275" spans="1:47" ht="16.5" hidden="1" customHeight="1" x14ac:dyDescent="0.35">
      <c r="A275" s="25" t="s">
        <v>222</v>
      </c>
      <c r="B275" s="25" t="s">
        <v>58</v>
      </c>
      <c r="C275" s="25" t="s">
        <v>1000</v>
      </c>
      <c r="D275" s="25">
        <v>847</v>
      </c>
      <c r="E275" s="25">
        <v>8471305</v>
      </c>
      <c r="F275" s="25" t="s">
        <v>1001</v>
      </c>
      <c r="G275" s="25">
        <v>1</v>
      </c>
      <c r="H275" s="276">
        <v>420570</v>
      </c>
      <c r="I275" s="25" t="s">
        <v>231</v>
      </c>
      <c r="J275" s="25" t="s">
        <v>60</v>
      </c>
      <c r="K275" s="25" t="s">
        <v>50</v>
      </c>
      <c r="L275" s="83">
        <v>847001</v>
      </c>
      <c r="M275" s="25" t="s">
        <v>61</v>
      </c>
      <c r="N275" s="25">
        <v>200179</v>
      </c>
      <c r="O275" s="3" t="s">
        <v>1002</v>
      </c>
      <c r="P275" s="26">
        <v>16778285</v>
      </c>
      <c r="Q275" s="26">
        <v>21895944</v>
      </c>
      <c r="R275" s="26">
        <v>25770240</v>
      </c>
      <c r="S275" s="25" t="s">
        <v>233</v>
      </c>
      <c r="T275" s="25" t="s">
        <v>234</v>
      </c>
      <c r="U275" s="25">
        <v>1</v>
      </c>
      <c r="V275" s="26">
        <v>33130272</v>
      </c>
      <c r="W275" s="25" t="s">
        <v>1003</v>
      </c>
      <c r="X275" s="26">
        <v>33130272</v>
      </c>
      <c r="Y275" s="25" t="s">
        <v>55</v>
      </c>
      <c r="Z275" s="25" t="s">
        <v>56</v>
      </c>
      <c r="AA275" s="14">
        <f t="shared" si="12"/>
        <v>29817244.800000001</v>
      </c>
      <c r="AB275" s="14">
        <f t="shared" si="13"/>
        <v>26504217.600000001</v>
      </c>
      <c r="AC275" s="14">
        <f t="shared" si="14"/>
        <v>23191190.399999999</v>
      </c>
      <c r="AD275" s="26" t="s">
        <v>1005</v>
      </c>
      <c r="AE275" s="26" t="s">
        <v>1005</v>
      </c>
      <c r="AF275" s="26" t="s">
        <v>1005</v>
      </c>
      <c r="AG275" s="49"/>
      <c r="AH275" s="49"/>
      <c r="AI275" s="49">
        <v>8282560</v>
      </c>
      <c r="AJ275" s="49"/>
      <c r="AK275" s="49"/>
      <c r="AL275" s="49">
        <v>8282592</v>
      </c>
      <c r="AM275" s="49"/>
      <c r="AN275" s="49"/>
      <c r="AO275" s="49">
        <v>8282560</v>
      </c>
      <c r="AP275" s="49"/>
      <c r="AQ275" s="49"/>
      <c r="AR275" s="49">
        <v>8282560</v>
      </c>
      <c r="AS275" s="49">
        <f>SUM(AG275:AR275)</f>
        <v>33130272</v>
      </c>
      <c r="AT275" s="52" t="s">
        <v>384</v>
      </c>
      <c r="AU275" s="55" t="s">
        <v>1004</v>
      </c>
    </row>
    <row r="276" spans="1:47" ht="16.5" hidden="1" customHeight="1" x14ac:dyDescent="0.35">
      <c r="A276" s="25" t="s">
        <v>63</v>
      </c>
      <c r="B276" s="25" t="s">
        <v>64</v>
      </c>
      <c r="C276" s="25" t="s">
        <v>1000</v>
      </c>
      <c r="D276" s="25">
        <v>847</v>
      </c>
      <c r="E276" s="25">
        <v>8471305</v>
      </c>
      <c r="F276" s="25" t="s">
        <v>1001</v>
      </c>
      <c r="G276" s="25">
        <v>1</v>
      </c>
      <c r="H276" s="276">
        <v>420811</v>
      </c>
      <c r="I276" s="25" t="s">
        <v>65</v>
      </c>
      <c r="J276" s="25" t="s">
        <v>60</v>
      </c>
      <c r="K276" s="25" t="s">
        <v>50</v>
      </c>
      <c r="L276" s="83">
        <v>847001</v>
      </c>
      <c r="M276" s="25" t="s">
        <v>61</v>
      </c>
      <c r="N276" s="25">
        <v>200179</v>
      </c>
      <c r="O276" s="3" t="s">
        <v>1006</v>
      </c>
      <c r="P276" s="26" t="s">
        <v>46</v>
      </c>
      <c r="Q276" s="26">
        <v>0</v>
      </c>
      <c r="R276" s="26"/>
      <c r="S276" s="25" t="s">
        <v>1007</v>
      </c>
      <c r="T276" s="25" t="s">
        <v>157</v>
      </c>
      <c r="U276" s="25">
        <v>145</v>
      </c>
      <c r="V276" s="26">
        <v>2820</v>
      </c>
      <c r="W276" s="25" t="s">
        <v>1008</v>
      </c>
      <c r="X276" s="27">
        <f>U276*V276</f>
        <v>408900</v>
      </c>
      <c r="Y276" s="25" t="s">
        <v>55</v>
      </c>
      <c r="Z276" s="25" t="s">
        <v>56</v>
      </c>
      <c r="AA276" s="14">
        <f t="shared" si="12"/>
        <v>368010</v>
      </c>
      <c r="AB276" s="14">
        <f t="shared" si="13"/>
        <v>327120</v>
      </c>
      <c r="AC276" s="14">
        <f t="shared" si="14"/>
        <v>286230</v>
      </c>
      <c r="AD276" s="26" t="s">
        <v>1009</v>
      </c>
      <c r="AE276" s="26" t="s">
        <v>1009</v>
      </c>
      <c r="AF276" s="26" t="s">
        <v>1009</v>
      </c>
      <c r="AG276" s="49"/>
      <c r="AH276" s="49"/>
      <c r="AI276" s="49">
        <v>136303</v>
      </c>
      <c r="AJ276" s="49"/>
      <c r="AK276" s="49"/>
      <c r="AL276" s="49">
        <v>136303</v>
      </c>
      <c r="AM276" s="49"/>
      <c r="AN276" s="49"/>
      <c r="AO276" s="49">
        <v>136294</v>
      </c>
      <c r="AP276" s="49"/>
      <c r="AQ276" s="49"/>
      <c r="AR276" s="49"/>
      <c r="AS276" s="49">
        <f t="shared" ref="AS276:AS339" si="15">SUM(AG276:AR276)</f>
        <v>408900</v>
      </c>
      <c r="AT276" s="52" t="s">
        <v>384</v>
      </c>
      <c r="AU276" s="55"/>
    </row>
    <row r="277" spans="1:47" ht="16.5" hidden="1" customHeight="1" x14ac:dyDescent="0.35">
      <c r="A277" s="25" t="s">
        <v>71</v>
      </c>
      <c r="B277" s="25" t="s">
        <v>1010</v>
      </c>
      <c r="C277" s="25" t="s">
        <v>1000</v>
      </c>
      <c r="D277" s="25">
        <v>847</v>
      </c>
      <c r="E277" s="25">
        <v>8471305</v>
      </c>
      <c r="F277" s="25" t="s">
        <v>1001</v>
      </c>
      <c r="G277" s="25">
        <v>1</v>
      </c>
      <c r="H277" s="276">
        <v>421000</v>
      </c>
      <c r="I277" s="25" t="s">
        <v>1011</v>
      </c>
      <c r="J277" s="25" t="s">
        <v>60</v>
      </c>
      <c r="K277" s="25" t="s">
        <v>50</v>
      </c>
      <c r="L277" s="83">
        <v>847001</v>
      </c>
      <c r="M277" s="25" t="s">
        <v>61</v>
      </c>
      <c r="N277" s="25">
        <v>200179</v>
      </c>
      <c r="O277" s="3" t="s">
        <v>1012</v>
      </c>
      <c r="P277" s="26">
        <v>0</v>
      </c>
      <c r="Q277" s="26">
        <v>271000</v>
      </c>
      <c r="R277" s="26">
        <v>300000</v>
      </c>
      <c r="S277" s="25" t="s">
        <v>1013</v>
      </c>
      <c r="T277" s="25" t="s">
        <v>269</v>
      </c>
      <c r="U277" s="25">
        <v>10</v>
      </c>
      <c r="V277" s="26">
        <v>40000</v>
      </c>
      <c r="W277" s="25" t="s">
        <v>1014</v>
      </c>
      <c r="X277" s="26">
        <v>400000</v>
      </c>
      <c r="Y277" s="25" t="s">
        <v>55</v>
      </c>
      <c r="Z277" s="25" t="s">
        <v>56</v>
      </c>
      <c r="AA277" s="14">
        <f t="shared" si="12"/>
        <v>360000</v>
      </c>
      <c r="AB277" s="14">
        <f t="shared" si="13"/>
        <v>320000</v>
      </c>
      <c r="AC277" s="14">
        <f t="shared" si="14"/>
        <v>280000</v>
      </c>
      <c r="AD277" s="26" t="s">
        <v>1015</v>
      </c>
      <c r="AE277" s="26" t="s">
        <v>1015</v>
      </c>
      <c r="AF277" s="26" t="s">
        <v>1015</v>
      </c>
      <c r="AG277" s="49"/>
      <c r="AH277" s="49"/>
      <c r="AI277" s="49">
        <v>100000</v>
      </c>
      <c r="AJ277" s="49"/>
      <c r="AK277" s="49"/>
      <c r="AL277" s="49">
        <v>100000</v>
      </c>
      <c r="AM277" s="49"/>
      <c r="AN277" s="49"/>
      <c r="AO277" s="49">
        <v>100000</v>
      </c>
      <c r="AP277" s="49"/>
      <c r="AQ277" s="49"/>
      <c r="AR277" s="49">
        <v>100000</v>
      </c>
      <c r="AS277" s="49">
        <f t="shared" si="15"/>
        <v>400000</v>
      </c>
      <c r="AT277" s="52" t="s">
        <v>272</v>
      </c>
      <c r="AU277" s="55"/>
    </row>
    <row r="278" spans="1:47" ht="16.5" hidden="1" customHeight="1" x14ac:dyDescent="0.35">
      <c r="A278" s="25" t="s">
        <v>222</v>
      </c>
      <c r="B278" s="25" t="s">
        <v>238</v>
      </c>
      <c r="C278" s="25" t="s">
        <v>1000</v>
      </c>
      <c r="D278" s="25">
        <v>847</v>
      </c>
      <c r="E278" s="25">
        <v>8471305</v>
      </c>
      <c r="F278" s="25" t="s">
        <v>1001</v>
      </c>
      <c r="G278" s="25">
        <v>1</v>
      </c>
      <c r="H278" s="276">
        <v>421700</v>
      </c>
      <c r="I278" s="25" t="s">
        <v>239</v>
      </c>
      <c r="J278" s="25" t="s">
        <v>60</v>
      </c>
      <c r="K278" s="25" t="s">
        <v>50</v>
      </c>
      <c r="L278" s="83">
        <v>847001</v>
      </c>
      <c r="M278" s="25" t="s">
        <v>61</v>
      </c>
      <c r="N278" s="25">
        <v>200179</v>
      </c>
      <c r="O278" s="3" t="s">
        <v>1016</v>
      </c>
      <c r="P278" s="26">
        <v>85014.13</v>
      </c>
      <c r="Q278" s="26">
        <v>170000</v>
      </c>
      <c r="R278" s="26">
        <v>170000</v>
      </c>
      <c r="S278" s="25" t="s">
        <v>1017</v>
      </c>
      <c r="T278" s="25" t="s">
        <v>157</v>
      </c>
      <c r="U278" s="25">
        <v>6</v>
      </c>
      <c r="V278" s="26">
        <v>60000</v>
      </c>
      <c r="W278" s="25" t="s">
        <v>1018</v>
      </c>
      <c r="X278" s="26">
        <v>360000</v>
      </c>
      <c r="Y278" s="25" t="s">
        <v>55</v>
      </c>
      <c r="Z278" s="25" t="s">
        <v>56</v>
      </c>
      <c r="AA278" s="14">
        <f t="shared" si="12"/>
        <v>324000</v>
      </c>
      <c r="AB278" s="14">
        <f t="shared" si="13"/>
        <v>288000</v>
      </c>
      <c r="AC278" s="14">
        <f t="shared" si="14"/>
        <v>251999.99999999997</v>
      </c>
      <c r="AD278" s="26" t="s">
        <v>1018</v>
      </c>
      <c r="AE278" s="26" t="s">
        <v>1019</v>
      </c>
      <c r="AF278" s="26" t="s">
        <v>1019</v>
      </c>
      <c r="AG278" s="49"/>
      <c r="AH278" s="49"/>
      <c r="AI278" s="49">
        <v>120000</v>
      </c>
      <c r="AJ278" s="49"/>
      <c r="AK278" s="49"/>
      <c r="AL278" s="49">
        <v>120000</v>
      </c>
      <c r="AM278" s="49"/>
      <c r="AN278" s="49"/>
      <c r="AO278" s="49">
        <v>120000</v>
      </c>
      <c r="AP278" s="49"/>
      <c r="AQ278" s="49"/>
      <c r="AR278" s="49"/>
      <c r="AS278" s="49">
        <f t="shared" si="15"/>
        <v>360000</v>
      </c>
      <c r="AT278" s="52" t="s">
        <v>1020</v>
      </c>
      <c r="AU278" s="55"/>
    </row>
    <row r="279" spans="1:47" ht="16.5" hidden="1" customHeight="1" x14ac:dyDescent="0.35">
      <c r="A279" s="25" t="s">
        <v>161</v>
      </c>
      <c r="B279" s="25" t="s">
        <v>58</v>
      </c>
      <c r="C279" s="25" t="s">
        <v>1000</v>
      </c>
      <c r="D279" s="25">
        <v>847</v>
      </c>
      <c r="E279" s="25">
        <v>8471305</v>
      </c>
      <c r="F279" s="25" t="s">
        <v>1001</v>
      </c>
      <c r="G279" s="25">
        <v>1</v>
      </c>
      <c r="H279" s="276">
        <v>422100</v>
      </c>
      <c r="I279" s="25" t="s">
        <v>1021</v>
      </c>
      <c r="J279" s="25" t="s">
        <v>60</v>
      </c>
      <c r="K279" s="25" t="s">
        <v>50</v>
      </c>
      <c r="L279" s="83">
        <v>847001</v>
      </c>
      <c r="M279" s="25" t="s">
        <v>61</v>
      </c>
      <c r="N279" s="25">
        <v>200179</v>
      </c>
      <c r="O279" s="3" t="s">
        <v>1022</v>
      </c>
      <c r="P279" s="26">
        <v>31000</v>
      </c>
      <c r="Q279" s="26">
        <v>12000</v>
      </c>
      <c r="R279" s="26">
        <v>12000</v>
      </c>
      <c r="S279" s="25" t="s">
        <v>1023</v>
      </c>
      <c r="T279" s="25" t="s">
        <v>157</v>
      </c>
      <c r="U279" s="25">
        <v>3</v>
      </c>
      <c r="V279" s="26">
        <v>4000</v>
      </c>
      <c r="W279" s="25" t="s">
        <v>1024</v>
      </c>
      <c r="X279" s="26">
        <v>12000</v>
      </c>
      <c r="Y279" s="25" t="s">
        <v>55</v>
      </c>
      <c r="Z279" s="25" t="s">
        <v>56</v>
      </c>
      <c r="AA279" s="14">
        <f t="shared" si="12"/>
        <v>10800</v>
      </c>
      <c r="AB279" s="14">
        <f t="shared" si="13"/>
        <v>9600</v>
      </c>
      <c r="AC279" s="14">
        <f t="shared" si="14"/>
        <v>8400</v>
      </c>
      <c r="AD279" s="26" t="s">
        <v>1024</v>
      </c>
      <c r="AE279" s="26" t="s">
        <v>1024</v>
      </c>
      <c r="AF279" s="26" t="s">
        <v>1024</v>
      </c>
      <c r="AG279" s="49"/>
      <c r="AH279" s="49"/>
      <c r="AI279" s="49">
        <v>4000</v>
      </c>
      <c r="AJ279" s="49"/>
      <c r="AK279" s="49"/>
      <c r="AL279" s="49">
        <v>4000</v>
      </c>
      <c r="AM279" s="49"/>
      <c r="AN279" s="49"/>
      <c r="AO279" s="49"/>
      <c r="AP279" s="49"/>
      <c r="AQ279" s="49">
        <v>4000</v>
      </c>
      <c r="AR279" s="49"/>
      <c r="AS279" s="49">
        <f t="shared" si="15"/>
        <v>12000</v>
      </c>
      <c r="AT279" s="52" t="s">
        <v>1025</v>
      </c>
      <c r="AU279" s="55"/>
    </row>
    <row r="280" spans="1:47" ht="16.5" hidden="1" customHeight="1" x14ac:dyDescent="0.35">
      <c r="A280" s="25" t="s">
        <v>245</v>
      </c>
      <c r="B280" s="25" t="s">
        <v>246</v>
      </c>
      <c r="C280" s="25" t="s">
        <v>1000</v>
      </c>
      <c r="D280" s="25">
        <v>847</v>
      </c>
      <c r="E280" s="25">
        <v>8471305</v>
      </c>
      <c r="F280" s="25" t="s">
        <v>1001</v>
      </c>
      <c r="G280" s="25">
        <v>1</v>
      </c>
      <c r="H280" s="276">
        <v>425510</v>
      </c>
      <c r="I280" s="25" t="s">
        <v>247</v>
      </c>
      <c r="J280" s="25" t="s">
        <v>60</v>
      </c>
      <c r="K280" s="25" t="s">
        <v>50</v>
      </c>
      <c r="L280" s="83">
        <v>847001</v>
      </c>
      <c r="M280" s="25" t="s">
        <v>61</v>
      </c>
      <c r="N280" s="25">
        <v>200179</v>
      </c>
      <c r="O280" s="3" t="s">
        <v>1026</v>
      </c>
      <c r="P280" s="26">
        <v>83485.8</v>
      </c>
      <c r="Q280" s="26">
        <v>820000</v>
      </c>
      <c r="R280" s="26">
        <v>340000</v>
      </c>
      <c r="S280" s="25" t="s">
        <v>433</v>
      </c>
      <c r="T280" s="25" t="s">
        <v>434</v>
      </c>
      <c r="U280" s="25">
        <v>34</v>
      </c>
      <c r="V280" s="26">
        <v>30000</v>
      </c>
      <c r="W280" s="25" t="s">
        <v>1027</v>
      </c>
      <c r="X280" s="26">
        <v>1020000</v>
      </c>
      <c r="Y280" s="25" t="s">
        <v>55</v>
      </c>
      <c r="Z280" s="25" t="s">
        <v>56</v>
      </c>
      <c r="AA280" s="14">
        <f t="shared" si="12"/>
        <v>918000</v>
      </c>
      <c r="AB280" s="14">
        <f t="shared" si="13"/>
        <v>816000</v>
      </c>
      <c r="AC280" s="14">
        <f t="shared" si="14"/>
        <v>714000</v>
      </c>
      <c r="AD280" s="26" t="s">
        <v>1029</v>
      </c>
      <c r="AE280" s="26" t="s">
        <v>1029</v>
      </c>
      <c r="AF280" s="26" t="s">
        <v>1029</v>
      </c>
      <c r="AG280" s="49">
        <v>85000</v>
      </c>
      <c r="AH280" s="49">
        <v>85000</v>
      </c>
      <c r="AI280" s="49">
        <v>85000</v>
      </c>
      <c r="AJ280" s="49">
        <v>85000</v>
      </c>
      <c r="AK280" s="49">
        <v>85000</v>
      </c>
      <c r="AL280" s="49">
        <v>85000</v>
      </c>
      <c r="AM280" s="49">
        <v>85000</v>
      </c>
      <c r="AN280" s="49">
        <v>85000</v>
      </c>
      <c r="AO280" s="49">
        <v>85000</v>
      </c>
      <c r="AP280" s="49">
        <v>85000</v>
      </c>
      <c r="AQ280" s="49">
        <v>85000</v>
      </c>
      <c r="AR280" s="49">
        <v>85000</v>
      </c>
      <c r="AS280" s="49">
        <f t="shared" si="15"/>
        <v>1020000</v>
      </c>
      <c r="AT280" s="52" t="s">
        <v>689</v>
      </c>
      <c r="AU280" s="55" t="s">
        <v>1028</v>
      </c>
    </row>
    <row r="281" spans="1:47" ht="16.5" hidden="1" customHeight="1" x14ac:dyDescent="0.35">
      <c r="A281" s="25" t="s">
        <v>245</v>
      </c>
      <c r="B281" s="25" t="s">
        <v>58</v>
      </c>
      <c r="C281" s="25" t="s">
        <v>1000</v>
      </c>
      <c r="D281" s="25">
        <v>847</v>
      </c>
      <c r="E281" s="25">
        <v>8471305</v>
      </c>
      <c r="F281" s="25" t="s">
        <v>1001</v>
      </c>
      <c r="G281" s="25">
        <v>1</v>
      </c>
      <c r="H281" s="276">
        <v>425550</v>
      </c>
      <c r="I281" s="25" t="s">
        <v>253</v>
      </c>
      <c r="J281" s="25" t="s">
        <v>60</v>
      </c>
      <c r="K281" s="25" t="s">
        <v>50</v>
      </c>
      <c r="L281" s="83">
        <v>847001</v>
      </c>
      <c r="M281" s="25" t="s">
        <v>61</v>
      </c>
      <c r="N281" s="25">
        <v>200179</v>
      </c>
      <c r="O281" s="3" t="s">
        <v>1030</v>
      </c>
      <c r="P281" s="26">
        <v>47146.720000000001</v>
      </c>
      <c r="Q281" s="26">
        <v>780000</v>
      </c>
      <c r="R281" s="26">
        <v>720000</v>
      </c>
      <c r="S281" s="25" t="s">
        <v>255</v>
      </c>
      <c r="T281" s="25" t="s">
        <v>256</v>
      </c>
      <c r="U281" s="25">
        <v>38</v>
      </c>
      <c r="V281" s="26">
        <v>30000</v>
      </c>
      <c r="W281" s="25" t="s">
        <v>1031</v>
      </c>
      <c r="X281" s="26">
        <v>1140000</v>
      </c>
      <c r="Y281" s="25" t="s">
        <v>55</v>
      </c>
      <c r="Z281" s="25" t="s">
        <v>56</v>
      </c>
      <c r="AA281" s="14">
        <f t="shared" si="12"/>
        <v>1026000</v>
      </c>
      <c r="AB281" s="14">
        <f t="shared" si="13"/>
        <v>912000</v>
      </c>
      <c r="AC281" s="14">
        <f t="shared" si="14"/>
        <v>798000</v>
      </c>
      <c r="AD281" s="26" t="s">
        <v>1032</v>
      </c>
      <c r="AE281" s="26" t="s">
        <v>1032</v>
      </c>
      <c r="AF281" s="26" t="s">
        <v>1032</v>
      </c>
      <c r="AG281" s="49">
        <v>95000</v>
      </c>
      <c r="AH281" s="49">
        <v>95000</v>
      </c>
      <c r="AI281" s="49">
        <v>95000</v>
      </c>
      <c r="AJ281" s="49">
        <v>95000</v>
      </c>
      <c r="AK281" s="49">
        <v>95000</v>
      </c>
      <c r="AL281" s="49">
        <v>95000</v>
      </c>
      <c r="AM281" s="49">
        <v>95000</v>
      </c>
      <c r="AN281" s="49">
        <v>95000</v>
      </c>
      <c r="AO281" s="49">
        <v>95000</v>
      </c>
      <c r="AP281" s="49">
        <v>95000</v>
      </c>
      <c r="AQ281" s="49">
        <v>95000</v>
      </c>
      <c r="AR281" s="49">
        <v>95000</v>
      </c>
      <c r="AS281" s="49">
        <f t="shared" si="15"/>
        <v>1140000</v>
      </c>
      <c r="AT281" s="52" t="s">
        <v>237</v>
      </c>
      <c r="AU281" s="55" t="s">
        <v>1028</v>
      </c>
    </row>
    <row r="282" spans="1:47" ht="16.5" hidden="1" customHeight="1" x14ac:dyDescent="0.35">
      <c r="A282" s="25" t="s">
        <v>258</v>
      </c>
      <c r="B282" s="25" t="s">
        <v>58</v>
      </c>
      <c r="C282" s="25" t="s">
        <v>1000</v>
      </c>
      <c r="D282" s="25">
        <v>847</v>
      </c>
      <c r="E282" s="25">
        <v>8471305</v>
      </c>
      <c r="F282" s="25" t="s">
        <v>1001</v>
      </c>
      <c r="G282" s="25">
        <v>1</v>
      </c>
      <c r="H282" s="276">
        <v>425720</v>
      </c>
      <c r="I282" s="25" t="s">
        <v>620</v>
      </c>
      <c r="J282" s="25" t="s">
        <v>60</v>
      </c>
      <c r="K282" s="25" t="s">
        <v>50</v>
      </c>
      <c r="L282" s="83">
        <v>847001</v>
      </c>
      <c r="M282" s="25" t="s">
        <v>61</v>
      </c>
      <c r="N282" s="25">
        <v>200179</v>
      </c>
      <c r="O282" s="3" t="s">
        <v>1033</v>
      </c>
      <c r="P282" s="26">
        <v>1377538.15</v>
      </c>
      <c r="Q282" s="26">
        <v>2494345</v>
      </c>
      <c r="R282" s="26">
        <v>3000000</v>
      </c>
      <c r="S282" s="25" t="s">
        <v>622</v>
      </c>
      <c r="T282" s="25" t="s">
        <v>623</v>
      </c>
      <c r="U282" s="25">
        <v>10</v>
      </c>
      <c r="V282" s="26">
        <v>300000</v>
      </c>
      <c r="W282" s="25" t="s">
        <v>1034</v>
      </c>
      <c r="X282" s="26">
        <v>3000000</v>
      </c>
      <c r="Y282" s="25" t="s">
        <v>55</v>
      </c>
      <c r="Z282" s="25" t="s">
        <v>56</v>
      </c>
      <c r="AA282" s="14">
        <f t="shared" si="12"/>
        <v>2700000</v>
      </c>
      <c r="AB282" s="14">
        <f t="shared" si="13"/>
        <v>2400000</v>
      </c>
      <c r="AC282" s="14">
        <f t="shared" si="14"/>
        <v>2100000</v>
      </c>
      <c r="AD282" s="26" t="s">
        <v>1035</v>
      </c>
      <c r="AE282" s="26" t="s">
        <v>1035</v>
      </c>
      <c r="AF282" s="26" t="s">
        <v>1035</v>
      </c>
      <c r="AG282" s="49"/>
      <c r="AH282" s="49">
        <v>300000</v>
      </c>
      <c r="AI282" s="49">
        <v>300000</v>
      </c>
      <c r="AJ282" s="49">
        <v>300000</v>
      </c>
      <c r="AK282" s="49">
        <v>300000</v>
      </c>
      <c r="AL282" s="49">
        <v>300000</v>
      </c>
      <c r="AM282" s="49">
        <v>300000</v>
      </c>
      <c r="AN282" s="49">
        <v>300000</v>
      </c>
      <c r="AO282" s="49">
        <v>300000</v>
      </c>
      <c r="AP282" s="49">
        <v>300000</v>
      </c>
      <c r="AQ282" s="49">
        <v>300000</v>
      </c>
      <c r="AR282" s="49"/>
      <c r="AS282" s="49">
        <f t="shared" si="15"/>
        <v>3000000</v>
      </c>
      <c r="AT282" s="52" t="s">
        <v>384</v>
      </c>
      <c r="AU282" s="55"/>
    </row>
    <row r="283" spans="1:47" ht="16.5" hidden="1" customHeight="1" x14ac:dyDescent="0.35">
      <c r="A283" s="25" t="s">
        <v>222</v>
      </c>
      <c r="B283" s="25" t="s">
        <v>58</v>
      </c>
      <c r="C283" s="25" t="s">
        <v>1000</v>
      </c>
      <c r="D283" s="25">
        <v>847</v>
      </c>
      <c r="E283" s="25">
        <v>8471305</v>
      </c>
      <c r="F283" s="25" t="s">
        <v>1001</v>
      </c>
      <c r="G283" s="25">
        <v>1</v>
      </c>
      <c r="H283" s="276">
        <v>425742</v>
      </c>
      <c r="I283" s="25" t="s">
        <v>1036</v>
      </c>
      <c r="J283" s="25" t="s">
        <v>60</v>
      </c>
      <c r="K283" s="25" t="s">
        <v>50</v>
      </c>
      <c r="L283" s="83">
        <v>847001</v>
      </c>
      <c r="M283" s="25" t="s">
        <v>61</v>
      </c>
      <c r="N283" s="25">
        <v>200179</v>
      </c>
      <c r="O283" s="3" t="s">
        <v>1037</v>
      </c>
      <c r="P283" s="26">
        <v>74619.92</v>
      </c>
      <c r="Q283" s="26">
        <v>180000</v>
      </c>
      <c r="R283" s="26">
        <v>180000</v>
      </c>
      <c r="S283" s="25" t="s">
        <v>1038</v>
      </c>
      <c r="T283" s="25" t="s">
        <v>157</v>
      </c>
      <c r="U283" s="25">
        <v>145</v>
      </c>
      <c r="V283" s="26">
        <v>2055</v>
      </c>
      <c r="W283" s="25" t="s">
        <v>1039</v>
      </c>
      <c r="X283" s="26">
        <v>297975</v>
      </c>
      <c r="Y283" s="25" t="s">
        <v>55</v>
      </c>
      <c r="Z283" s="25" t="s">
        <v>56</v>
      </c>
      <c r="AA283" s="14">
        <f t="shared" si="12"/>
        <v>268177.5</v>
      </c>
      <c r="AB283" s="14">
        <f t="shared" si="13"/>
        <v>238380</v>
      </c>
      <c r="AC283" s="14">
        <f t="shared" si="14"/>
        <v>208582.5</v>
      </c>
      <c r="AD283" s="26" t="s">
        <v>1040</v>
      </c>
      <c r="AE283" s="26" t="s">
        <v>1040</v>
      </c>
      <c r="AF283" s="26" t="s">
        <v>1040</v>
      </c>
      <c r="AG283" s="49"/>
      <c r="AH283" s="49"/>
      <c r="AI283" s="49">
        <v>74493.75</v>
      </c>
      <c r="AJ283" s="49"/>
      <c r="AK283" s="49"/>
      <c r="AL283" s="49">
        <v>74493.75</v>
      </c>
      <c r="AM283" s="49"/>
      <c r="AN283" s="49"/>
      <c r="AO283" s="49">
        <v>74493.75</v>
      </c>
      <c r="AP283" s="49"/>
      <c r="AQ283" s="49"/>
      <c r="AR283" s="49">
        <v>74493.75</v>
      </c>
      <c r="AS283" s="49">
        <f t="shared" si="15"/>
        <v>297975</v>
      </c>
      <c r="AT283" s="52" t="s">
        <v>384</v>
      </c>
      <c r="AU283" s="55"/>
    </row>
    <row r="284" spans="1:47" ht="16.5" hidden="1" customHeight="1" x14ac:dyDescent="0.35">
      <c r="A284" s="25" t="s">
        <v>258</v>
      </c>
      <c r="B284" s="25" t="s">
        <v>58</v>
      </c>
      <c r="C284" s="25" t="s">
        <v>1000</v>
      </c>
      <c r="D284" s="25">
        <v>847</v>
      </c>
      <c r="E284" s="25">
        <v>8471305</v>
      </c>
      <c r="F284" s="25" t="s">
        <v>1001</v>
      </c>
      <c r="G284" s="25">
        <v>1</v>
      </c>
      <c r="H284" s="276">
        <v>425745</v>
      </c>
      <c r="I284" s="25" t="s">
        <v>1041</v>
      </c>
      <c r="J284" s="25" t="s">
        <v>60</v>
      </c>
      <c r="K284" s="25" t="s">
        <v>50</v>
      </c>
      <c r="L284" s="83">
        <v>847001</v>
      </c>
      <c r="M284" s="25" t="s">
        <v>61</v>
      </c>
      <c r="N284" s="25">
        <v>200179</v>
      </c>
      <c r="O284" s="3" t="s">
        <v>1042</v>
      </c>
      <c r="P284" s="26">
        <v>16828</v>
      </c>
      <c r="Q284" s="26">
        <v>20000</v>
      </c>
      <c r="R284" s="26">
        <v>20000</v>
      </c>
      <c r="S284" s="25" t="s">
        <v>1043</v>
      </c>
      <c r="T284" s="25" t="s">
        <v>68</v>
      </c>
      <c r="U284" s="25">
        <v>25</v>
      </c>
      <c r="V284" s="26">
        <v>33000</v>
      </c>
      <c r="W284" s="25" t="s">
        <v>1044</v>
      </c>
      <c r="X284" s="26">
        <v>825000</v>
      </c>
      <c r="Y284" s="25" t="s">
        <v>55</v>
      </c>
      <c r="Z284" s="25" t="s">
        <v>56</v>
      </c>
      <c r="AA284" s="14">
        <f t="shared" si="12"/>
        <v>742500</v>
      </c>
      <c r="AB284" s="14">
        <f t="shared" si="13"/>
        <v>660000</v>
      </c>
      <c r="AC284" s="14">
        <f t="shared" si="14"/>
        <v>577500</v>
      </c>
      <c r="AD284" s="26" t="s">
        <v>1046</v>
      </c>
      <c r="AE284" s="26" t="s">
        <v>1046</v>
      </c>
      <c r="AF284" s="26" t="s">
        <v>1046</v>
      </c>
      <c r="AG284" s="49"/>
      <c r="AH284" s="49"/>
      <c r="AI284" s="49"/>
      <c r="AJ284" s="49"/>
      <c r="AK284" s="49"/>
      <c r="AL284" s="49"/>
      <c r="AM284" s="49"/>
      <c r="AN284" s="49">
        <v>825000</v>
      </c>
      <c r="AO284" s="49"/>
      <c r="AP284" s="49"/>
      <c r="AQ284" s="49"/>
      <c r="AR284" s="49"/>
      <c r="AS284" s="49">
        <f t="shared" si="15"/>
        <v>825000</v>
      </c>
      <c r="AT284" s="52" t="s">
        <v>384</v>
      </c>
      <c r="AU284" s="55" t="s">
        <v>1045</v>
      </c>
    </row>
    <row r="285" spans="1:47" ht="16.5" hidden="1" customHeight="1" x14ac:dyDescent="0.35">
      <c r="A285" s="25" t="s">
        <v>258</v>
      </c>
      <c r="B285" s="25" t="s">
        <v>58</v>
      </c>
      <c r="C285" s="25" t="s">
        <v>1000</v>
      </c>
      <c r="D285" s="25">
        <v>847</v>
      </c>
      <c r="E285" s="25">
        <v>8471305</v>
      </c>
      <c r="F285" s="25" t="s">
        <v>1001</v>
      </c>
      <c r="G285" s="25">
        <v>1</v>
      </c>
      <c r="H285" s="276">
        <v>425746</v>
      </c>
      <c r="I285" s="25" t="s">
        <v>1047</v>
      </c>
      <c r="J285" s="25" t="s">
        <v>60</v>
      </c>
      <c r="K285" s="25" t="s">
        <v>50</v>
      </c>
      <c r="L285" s="83">
        <v>847001</v>
      </c>
      <c r="M285" s="25" t="s">
        <v>61</v>
      </c>
      <c r="N285" s="25">
        <v>200179</v>
      </c>
      <c r="O285" s="3" t="s">
        <v>1048</v>
      </c>
      <c r="P285" s="26">
        <v>0</v>
      </c>
      <c r="Q285" s="26">
        <v>292600</v>
      </c>
      <c r="R285" s="26">
        <v>292600</v>
      </c>
      <c r="S285" s="25" t="s">
        <v>1049</v>
      </c>
      <c r="T285" s="25" t="s">
        <v>1050</v>
      </c>
      <c r="U285" s="25">
        <v>90</v>
      </c>
      <c r="V285" s="26">
        <v>4180</v>
      </c>
      <c r="W285" s="25" t="s">
        <v>1051</v>
      </c>
      <c r="X285" s="26">
        <v>376200</v>
      </c>
      <c r="Y285" s="25" t="s">
        <v>55</v>
      </c>
      <c r="Z285" s="25" t="s">
        <v>56</v>
      </c>
      <c r="AA285" s="14">
        <f t="shared" si="12"/>
        <v>338580</v>
      </c>
      <c r="AB285" s="14">
        <f t="shared" si="13"/>
        <v>300960</v>
      </c>
      <c r="AC285" s="14">
        <f t="shared" si="14"/>
        <v>263340</v>
      </c>
      <c r="AD285" s="26" t="s">
        <v>1051</v>
      </c>
      <c r="AE285" s="26" t="s">
        <v>1051</v>
      </c>
      <c r="AF285" s="26" t="s">
        <v>1051</v>
      </c>
      <c r="AG285" s="49">
        <v>31350</v>
      </c>
      <c r="AH285" s="49">
        <v>31350</v>
      </c>
      <c r="AI285" s="49">
        <v>31350</v>
      </c>
      <c r="AJ285" s="49">
        <v>31350</v>
      </c>
      <c r="AK285" s="49">
        <v>31350</v>
      </c>
      <c r="AL285" s="49">
        <v>31350</v>
      </c>
      <c r="AM285" s="49">
        <v>31350</v>
      </c>
      <c r="AN285" s="49">
        <v>31350</v>
      </c>
      <c r="AO285" s="49">
        <v>31350</v>
      </c>
      <c r="AP285" s="49">
        <v>31350</v>
      </c>
      <c r="AQ285" s="49">
        <v>31350</v>
      </c>
      <c r="AR285" s="49">
        <v>31350</v>
      </c>
      <c r="AS285" s="49">
        <f t="shared" si="15"/>
        <v>376200</v>
      </c>
      <c r="AT285" s="52" t="s">
        <v>384</v>
      </c>
      <c r="AU285" s="55" t="s">
        <v>1045</v>
      </c>
    </row>
    <row r="286" spans="1:47" ht="16.5" hidden="1" customHeight="1" x14ac:dyDescent="0.35">
      <c r="A286" s="25" t="s">
        <v>258</v>
      </c>
      <c r="B286" s="25" t="s">
        <v>58</v>
      </c>
      <c r="C286" s="25" t="s">
        <v>1000</v>
      </c>
      <c r="D286" s="25">
        <v>847</v>
      </c>
      <c r="E286" s="25">
        <v>8471305</v>
      </c>
      <c r="F286" s="25" t="s">
        <v>1001</v>
      </c>
      <c r="G286" s="25">
        <v>1</v>
      </c>
      <c r="H286" s="276">
        <v>425749</v>
      </c>
      <c r="I286" s="25" t="s">
        <v>1052</v>
      </c>
      <c r="J286" s="25" t="s">
        <v>60</v>
      </c>
      <c r="K286" s="25" t="s">
        <v>50</v>
      </c>
      <c r="L286" s="83">
        <v>847001</v>
      </c>
      <c r="M286" s="25" t="s">
        <v>61</v>
      </c>
      <c r="N286" s="25">
        <v>200179</v>
      </c>
      <c r="O286" s="3" t="s">
        <v>1053</v>
      </c>
      <c r="P286" s="26">
        <v>14604066.380000001</v>
      </c>
      <c r="Q286" s="26">
        <v>24213178</v>
      </c>
      <c r="R286" s="26">
        <v>24213178</v>
      </c>
      <c r="S286" s="25" t="s">
        <v>1054</v>
      </c>
      <c r="T286" s="25" t="s">
        <v>1055</v>
      </c>
      <c r="U286" s="25">
        <v>1</v>
      </c>
      <c r="V286" s="26">
        <v>40876000</v>
      </c>
      <c r="W286" s="25" t="s">
        <v>1056</v>
      </c>
      <c r="X286" s="26">
        <v>40876000</v>
      </c>
      <c r="Y286" s="25" t="s">
        <v>55</v>
      </c>
      <c r="Z286" s="25" t="s">
        <v>56</v>
      </c>
      <c r="AA286" s="14">
        <f t="shared" si="12"/>
        <v>36788400</v>
      </c>
      <c r="AB286" s="14">
        <f t="shared" si="13"/>
        <v>32700800</v>
      </c>
      <c r="AC286" s="14">
        <f t="shared" si="14"/>
        <v>28613200</v>
      </c>
      <c r="AD286" s="26" t="s">
        <v>1056</v>
      </c>
      <c r="AE286" s="26" t="s">
        <v>1056</v>
      </c>
      <c r="AF286" s="26" t="s">
        <v>1056</v>
      </c>
      <c r="AG286" s="49">
        <v>3406333.33</v>
      </c>
      <c r="AH286" s="49">
        <v>3406333.33</v>
      </c>
      <c r="AI286" s="49">
        <v>3406333.33</v>
      </c>
      <c r="AJ286" s="49">
        <v>3406333.33</v>
      </c>
      <c r="AK286" s="49">
        <v>3406333.33</v>
      </c>
      <c r="AL286" s="49">
        <v>3406333.389</v>
      </c>
      <c r="AM286" s="49">
        <v>3406333.3130000001</v>
      </c>
      <c r="AN286" s="49">
        <v>3406333.3149999999</v>
      </c>
      <c r="AO286" s="49">
        <v>3406333.327</v>
      </c>
      <c r="AP286" s="49">
        <v>3406333.3229999999</v>
      </c>
      <c r="AQ286" s="49">
        <v>3406333.3139999998</v>
      </c>
      <c r="AR286" s="49">
        <v>3406333.37</v>
      </c>
      <c r="AS286" s="49">
        <f t="shared" si="15"/>
        <v>40876000.001000002</v>
      </c>
      <c r="AT286" s="52" t="s">
        <v>834</v>
      </c>
      <c r="AU286" s="55" t="s">
        <v>1045</v>
      </c>
    </row>
    <row r="287" spans="1:47" ht="16.5" hidden="1" customHeight="1" x14ac:dyDescent="0.35">
      <c r="A287" s="25" t="s">
        <v>258</v>
      </c>
      <c r="B287" s="25" t="s">
        <v>58</v>
      </c>
      <c r="C287" s="25" t="s">
        <v>1000</v>
      </c>
      <c r="D287" s="25">
        <v>847</v>
      </c>
      <c r="E287" s="25">
        <v>8471305</v>
      </c>
      <c r="F287" s="25" t="s">
        <v>1001</v>
      </c>
      <c r="G287" s="25">
        <v>1</v>
      </c>
      <c r="H287" s="276">
        <v>425750</v>
      </c>
      <c r="I287" s="25" t="s">
        <v>1057</v>
      </c>
      <c r="J287" s="25" t="s">
        <v>60</v>
      </c>
      <c r="K287" s="25" t="s">
        <v>50</v>
      </c>
      <c r="L287" s="83">
        <v>847001</v>
      </c>
      <c r="M287" s="25" t="s">
        <v>61</v>
      </c>
      <c r="N287" s="25">
        <v>200179</v>
      </c>
      <c r="O287" s="3" t="s">
        <v>1058</v>
      </c>
      <c r="P287" s="26">
        <v>0</v>
      </c>
      <c r="Q287" s="26">
        <v>864069</v>
      </c>
      <c r="R287" s="26">
        <v>864069</v>
      </c>
      <c r="S287" s="25" t="s">
        <v>1059</v>
      </c>
      <c r="T287" s="25" t="s">
        <v>441</v>
      </c>
      <c r="U287" s="25">
        <v>145</v>
      </c>
      <c r="V287" s="26">
        <v>18493</v>
      </c>
      <c r="W287" s="25" t="s">
        <v>1060</v>
      </c>
      <c r="X287" s="26">
        <v>2681485</v>
      </c>
      <c r="Y287" s="25" t="s">
        <v>55</v>
      </c>
      <c r="Z287" s="25" t="s">
        <v>56</v>
      </c>
      <c r="AA287" s="14">
        <f t="shared" si="12"/>
        <v>2413336.5</v>
      </c>
      <c r="AB287" s="14">
        <f t="shared" si="13"/>
        <v>2145188</v>
      </c>
      <c r="AC287" s="14">
        <f t="shared" si="14"/>
        <v>1877039.4999999998</v>
      </c>
      <c r="AD287" s="26" t="s">
        <v>1060</v>
      </c>
      <c r="AE287" s="26" t="s">
        <v>1060</v>
      </c>
      <c r="AF287" s="26" t="s">
        <v>1060</v>
      </c>
      <c r="AG287" s="49"/>
      <c r="AH287" s="49"/>
      <c r="AI287" s="49">
        <v>670371.25</v>
      </c>
      <c r="AJ287" s="49"/>
      <c r="AK287" s="49"/>
      <c r="AL287" s="49">
        <v>670371.25</v>
      </c>
      <c r="AM287" s="49"/>
      <c r="AN287" s="49"/>
      <c r="AO287" s="49">
        <v>670371.25</v>
      </c>
      <c r="AP287" s="49"/>
      <c r="AQ287" s="49"/>
      <c r="AR287" s="49">
        <v>670371.25</v>
      </c>
      <c r="AS287" s="49">
        <f t="shared" si="15"/>
        <v>2681485</v>
      </c>
      <c r="AT287" s="52" t="s">
        <v>384</v>
      </c>
      <c r="AU287" s="55" t="s">
        <v>1045</v>
      </c>
    </row>
    <row r="288" spans="1:47" ht="16.5" hidden="1" customHeight="1" x14ac:dyDescent="0.35">
      <c r="A288" s="25" t="s">
        <v>258</v>
      </c>
      <c r="B288" s="25" t="s">
        <v>58</v>
      </c>
      <c r="C288" s="25" t="s">
        <v>1000</v>
      </c>
      <c r="D288" s="25">
        <v>847</v>
      </c>
      <c r="E288" s="25">
        <v>8471305</v>
      </c>
      <c r="F288" s="25" t="s">
        <v>1001</v>
      </c>
      <c r="G288" s="25">
        <v>1</v>
      </c>
      <c r="H288" s="276">
        <v>425762</v>
      </c>
      <c r="I288" s="25" t="s">
        <v>573</v>
      </c>
      <c r="J288" s="25" t="s">
        <v>60</v>
      </c>
      <c r="K288" s="25" t="s">
        <v>50</v>
      </c>
      <c r="L288" s="83">
        <v>847001</v>
      </c>
      <c r="M288" s="25" t="s">
        <v>61</v>
      </c>
      <c r="N288" s="25">
        <v>200179</v>
      </c>
      <c r="O288" s="3" t="s">
        <v>1061</v>
      </c>
      <c r="P288" s="26">
        <v>0</v>
      </c>
      <c r="Q288" s="26">
        <v>2759974</v>
      </c>
      <c r="R288" s="26">
        <v>2759974</v>
      </c>
      <c r="S288" s="25" t="s">
        <v>1062</v>
      </c>
      <c r="T288" s="25" t="s">
        <v>68</v>
      </c>
      <c r="U288" s="25">
        <v>29</v>
      </c>
      <c r="V288" s="26">
        <v>114206</v>
      </c>
      <c r="W288" s="25" t="s">
        <v>1063</v>
      </c>
      <c r="X288" s="26">
        <v>3311974</v>
      </c>
      <c r="Y288" s="25" t="s">
        <v>55</v>
      </c>
      <c r="Z288" s="25" t="s">
        <v>56</v>
      </c>
      <c r="AA288" s="14">
        <f t="shared" si="12"/>
        <v>2980776.6</v>
      </c>
      <c r="AB288" s="14">
        <f t="shared" si="13"/>
        <v>2649579.2000000002</v>
      </c>
      <c r="AC288" s="14">
        <f t="shared" si="14"/>
        <v>2318381.7999999998</v>
      </c>
      <c r="AD288" s="26" t="s">
        <v>1064</v>
      </c>
      <c r="AE288" s="26" t="s">
        <v>1064</v>
      </c>
      <c r="AF288" s="26" t="s">
        <v>1064</v>
      </c>
      <c r="AG288" s="49">
        <v>275997</v>
      </c>
      <c r="AH288" s="49">
        <v>275997</v>
      </c>
      <c r="AI288" s="49">
        <v>275997</v>
      </c>
      <c r="AJ288" s="49">
        <v>275997</v>
      </c>
      <c r="AK288" s="49">
        <v>275997</v>
      </c>
      <c r="AL288" s="49">
        <v>275999</v>
      </c>
      <c r="AM288" s="49">
        <v>275999</v>
      </c>
      <c r="AN288" s="49">
        <v>275999</v>
      </c>
      <c r="AO288" s="49">
        <v>275998</v>
      </c>
      <c r="AP288" s="49">
        <v>275998</v>
      </c>
      <c r="AQ288" s="49">
        <v>275998</v>
      </c>
      <c r="AR288" s="49">
        <v>275998</v>
      </c>
      <c r="AS288" s="49">
        <f t="shared" si="15"/>
        <v>3311974</v>
      </c>
      <c r="AT288" s="52" t="s">
        <v>384</v>
      </c>
      <c r="AU288" s="55" t="s">
        <v>1045</v>
      </c>
    </row>
    <row r="289" spans="1:47" ht="16.5" hidden="1" customHeight="1" x14ac:dyDescent="0.35">
      <c r="A289" s="25" t="s">
        <v>258</v>
      </c>
      <c r="B289" s="25" t="s">
        <v>58</v>
      </c>
      <c r="C289" s="25" t="s">
        <v>1000</v>
      </c>
      <c r="D289" s="25">
        <v>847</v>
      </c>
      <c r="E289" s="25">
        <v>8471305</v>
      </c>
      <c r="F289" s="25" t="s">
        <v>1001</v>
      </c>
      <c r="G289" s="25">
        <v>1</v>
      </c>
      <c r="H289" s="276">
        <v>425763</v>
      </c>
      <c r="I289" s="25" t="s">
        <v>359</v>
      </c>
      <c r="J289" s="25" t="s">
        <v>60</v>
      </c>
      <c r="K289" s="25" t="s">
        <v>50</v>
      </c>
      <c r="L289" s="83">
        <v>847001</v>
      </c>
      <c r="M289" s="25" t="s">
        <v>61</v>
      </c>
      <c r="N289" s="25">
        <v>200179</v>
      </c>
      <c r="O289" s="3" t="s">
        <v>1065</v>
      </c>
      <c r="P289" s="26">
        <v>32580</v>
      </c>
      <c r="Q289" s="26">
        <v>200000</v>
      </c>
      <c r="R289" s="26">
        <v>200000</v>
      </c>
      <c r="S289" s="25" t="s">
        <v>361</v>
      </c>
      <c r="T289" s="25" t="s">
        <v>68</v>
      </c>
      <c r="U289" s="25">
        <v>11</v>
      </c>
      <c r="V289" s="26">
        <v>23345</v>
      </c>
      <c r="W289" s="25" t="s">
        <v>1066</v>
      </c>
      <c r="X289" s="26">
        <v>256795</v>
      </c>
      <c r="Y289" s="25" t="s">
        <v>55</v>
      </c>
      <c r="Z289" s="25" t="s">
        <v>56</v>
      </c>
      <c r="AA289" s="14">
        <f t="shared" si="12"/>
        <v>231115.5</v>
      </c>
      <c r="AB289" s="14">
        <f t="shared" si="13"/>
        <v>205436</v>
      </c>
      <c r="AC289" s="14">
        <f t="shared" si="14"/>
        <v>179756.5</v>
      </c>
      <c r="AD289" s="26" t="s">
        <v>1067</v>
      </c>
      <c r="AE289" s="26" t="s">
        <v>1067</v>
      </c>
      <c r="AF289" s="26" t="s">
        <v>1067</v>
      </c>
      <c r="AG289" s="49"/>
      <c r="AH289" s="49">
        <v>23345</v>
      </c>
      <c r="AI289" s="49">
        <v>23345</v>
      </c>
      <c r="AJ289" s="49">
        <v>23345</v>
      </c>
      <c r="AK289" s="49">
        <v>23345</v>
      </c>
      <c r="AL289" s="49">
        <v>23345</v>
      </c>
      <c r="AM289" s="49">
        <v>23345</v>
      </c>
      <c r="AN289" s="49">
        <v>23345</v>
      </c>
      <c r="AO289" s="49">
        <v>23345</v>
      </c>
      <c r="AP289" s="49">
        <v>23345</v>
      </c>
      <c r="AQ289" s="49">
        <v>23345</v>
      </c>
      <c r="AR289" s="49">
        <v>23345</v>
      </c>
      <c r="AS289" s="49">
        <f t="shared" si="15"/>
        <v>256795</v>
      </c>
      <c r="AT289" s="52" t="s">
        <v>384</v>
      </c>
      <c r="AU289" s="55" t="s">
        <v>1045</v>
      </c>
    </row>
    <row r="290" spans="1:47" ht="16.5" hidden="1" customHeight="1" x14ac:dyDescent="0.35">
      <c r="A290" s="25" t="s">
        <v>189</v>
      </c>
      <c r="B290" s="25" t="s">
        <v>265</v>
      </c>
      <c r="C290" s="25" t="s">
        <v>1000</v>
      </c>
      <c r="D290" s="25">
        <v>847</v>
      </c>
      <c r="E290" s="25">
        <v>8471305</v>
      </c>
      <c r="F290" s="25" t="s">
        <v>1001</v>
      </c>
      <c r="G290" s="25">
        <v>1</v>
      </c>
      <c r="H290" s="276">
        <v>425900</v>
      </c>
      <c r="I290" s="25" t="s">
        <v>266</v>
      </c>
      <c r="J290" s="25" t="s">
        <v>60</v>
      </c>
      <c r="K290" s="25" t="s">
        <v>50</v>
      </c>
      <c r="L290" s="83">
        <v>847001</v>
      </c>
      <c r="M290" s="25" t="s">
        <v>61</v>
      </c>
      <c r="N290" s="25">
        <v>200179</v>
      </c>
      <c r="O290" s="3" t="s">
        <v>1068</v>
      </c>
      <c r="P290" s="26">
        <v>20410.759999999998</v>
      </c>
      <c r="Q290" s="26">
        <v>185000</v>
      </c>
      <c r="R290" s="26">
        <v>185000</v>
      </c>
      <c r="S290" s="25" t="s">
        <v>268</v>
      </c>
      <c r="T290" s="25" t="s">
        <v>269</v>
      </c>
      <c r="U290" s="25">
        <v>25</v>
      </c>
      <c r="V290" s="26">
        <v>14746</v>
      </c>
      <c r="W290" s="25" t="s">
        <v>1069</v>
      </c>
      <c r="X290" s="26">
        <v>368650</v>
      </c>
      <c r="Y290" s="25" t="s">
        <v>55</v>
      </c>
      <c r="Z290" s="25" t="s">
        <v>56</v>
      </c>
      <c r="AA290" s="14">
        <f t="shared" si="12"/>
        <v>331785</v>
      </c>
      <c r="AB290" s="14">
        <f t="shared" si="13"/>
        <v>294920</v>
      </c>
      <c r="AC290" s="14">
        <f t="shared" si="14"/>
        <v>258054.99999999997</v>
      </c>
      <c r="AD290" s="26" t="s">
        <v>1070</v>
      </c>
      <c r="AE290" s="26" t="s">
        <v>1070</v>
      </c>
      <c r="AF290" s="26" t="s">
        <v>1070</v>
      </c>
      <c r="AG290" s="49">
        <v>30720</v>
      </c>
      <c r="AH290" s="49">
        <v>30720</v>
      </c>
      <c r="AI290" s="49">
        <v>30720</v>
      </c>
      <c r="AJ290" s="49">
        <v>30720</v>
      </c>
      <c r="AK290" s="49">
        <v>30720</v>
      </c>
      <c r="AL290" s="49">
        <v>30720</v>
      </c>
      <c r="AM290" s="49">
        <v>30720</v>
      </c>
      <c r="AN290" s="49">
        <v>30720</v>
      </c>
      <c r="AO290" s="49">
        <v>30720</v>
      </c>
      <c r="AP290" s="49">
        <v>30720</v>
      </c>
      <c r="AQ290" s="49">
        <v>30730</v>
      </c>
      <c r="AR290" s="49">
        <v>30720</v>
      </c>
      <c r="AS290" s="49">
        <f t="shared" si="15"/>
        <v>368650</v>
      </c>
      <c r="AT290" s="52" t="s">
        <v>1020</v>
      </c>
      <c r="AU290" s="55"/>
    </row>
    <row r="291" spans="1:47" ht="16.5" hidden="1" customHeight="1" x14ac:dyDescent="0.35">
      <c r="A291" s="25" t="s">
        <v>161</v>
      </c>
      <c r="B291" s="25" t="s">
        <v>58</v>
      </c>
      <c r="C291" s="25" t="s">
        <v>1000</v>
      </c>
      <c r="D291" s="25">
        <v>847</v>
      </c>
      <c r="E291" s="25">
        <v>8471305</v>
      </c>
      <c r="F291" s="25" t="s">
        <v>1001</v>
      </c>
      <c r="G291" s="25">
        <v>1</v>
      </c>
      <c r="H291" s="276">
        <v>426100</v>
      </c>
      <c r="I291" s="25" t="s">
        <v>1071</v>
      </c>
      <c r="J291" s="25" t="s">
        <v>60</v>
      </c>
      <c r="K291" s="25" t="s">
        <v>50</v>
      </c>
      <c r="L291" s="83">
        <v>847001</v>
      </c>
      <c r="M291" s="25" t="s">
        <v>61</v>
      </c>
      <c r="N291" s="25">
        <v>200179</v>
      </c>
      <c r="O291" s="3" t="s">
        <v>1072</v>
      </c>
      <c r="P291" s="26">
        <v>0</v>
      </c>
      <c r="Q291" s="26">
        <v>90000</v>
      </c>
      <c r="R291" s="26">
        <v>90000</v>
      </c>
      <c r="S291" s="25" t="s">
        <v>1073</v>
      </c>
      <c r="T291" s="25" t="s">
        <v>157</v>
      </c>
      <c r="U291" s="25">
        <v>12</v>
      </c>
      <c r="V291" s="26">
        <v>8500</v>
      </c>
      <c r="W291" s="25" t="s">
        <v>1074</v>
      </c>
      <c r="X291" s="26">
        <v>102000</v>
      </c>
      <c r="Y291" s="25" t="s">
        <v>55</v>
      </c>
      <c r="Z291" s="25" t="s">
        <v>56</v>
      </c>
      <c r="AA291" s="14">
        <f t="shared" si="12"/>
        <v>91800</v>
      </c>
      <c r="AB291" s="14">
        <f t="shared" si="13"/>
        <v>81600</v>
      </c>
      <c r="AC291" s="14">
        <f t="shared" si="14"/>
        <v>71400</v>
      </c>
      <c r="AD291" s="26" t="s">
        <v>1075</v>
      </c>
      <c r="AE291" s="26" t="s">
        <v>1076</v>
      </c>
      <c r="AF291" s="26" t="s">
        <v>1076</v>
      </c>
      <c r="AG291" s="49">
        <v>8500</v>
      </c>
      <c r="AH291" s="49">
        <v>8500</v>
      </c>
      <c r="AI291" s="49">
        <v>8500</v>
      </c>
      <c r="AJ291" s="49">
        <v>8500</v>
      </c>
      <c r="AK291" s="49">
        <v>8500</v>
      </c>
      <c r="AL291" s="49">
        <v>8500</v>
      </c>
      <c r="AM291" s="49">
        <v>8500</v>
      </c>
      <c r="AN291" s="49">
        <v>8500</v>
      </c>
      <c r="AO291" s="49">
        <v>8500</v>
      </c>
      <c r="AP291" s="49">
        <v>8500</v>
      </c>
      <c r="AQ291" s="49">
        <v>8500</v>
      </c>
      <c r="AR291" s="49">
        <v>8500</v>
      </c>
      <c r="AS291" s="49">
        <f t="shared" si="15"/>
        <v>102000</v>
      </c>
      <c r="AT291" s="52" t="s">
        <v>618</v>
      </c>
      <c r="AU291" s="55"/>
    </row>
    <row r="292" spans="1:47" ht="16.5" hidden="1" customHeight="1" x14ac:dyDescent="0.35">
      <c r="A292" s="25" t="s">
        <v>63</v>
      </c>
      <c r="B292" s="25" t="s">
        <v>64</v>
      </c>
      <c r="C292" s="25" t="s">
        <v>1000</v>
      </c>
      <c r="D292" s="25">
        <v>847</v>
      </c>
      <c r="E292" s="25">
        <v>8471305</v>
      </c>
      <c r="F292" s="25" t="s">
        <v>1001</v>
      </c>
      <c r="G292" s="25">
        <v>1</v>
      </c>
      <c r="H292" s="276">
        <v>426610</v>
      </c>
      <c r="I292" s="25" t="s">
        <v>74</v>
      </c>
      <c r="J292" s="25" t="s">
        <v>60</v>
      </c>
      <c r="K292" s="25" t="s">
        <v>50</v>
      </c>
      <c r="L292" s="83">
        <v>847001</v>
      </c>
      <c r="M292" s="25" t="s">
        <v>61</v>
      </c>
      <c r="N292" s="25">
        <v>200179</v>
      </c>
      <c r="O292" s="3" t="s">
        <v>1077</v>
      </c>
      <c r="P292" s="26">
        <v>1212147.98</v>
      </c>
      <c r="Q292" s="26">
        <v>977363</v>
      </c>
      <c r="R292" s="26">
        <v>977363</v>
      </c>
      <c r="S292" s="25" t="s">
        <v>274</v>
      </c>
      <c r="T292" s="25" t="s">
        <v>157</v>
      </c>
      <c r="U292" s="25">
        <v>1</v>
      </c>
      <c r="V292" s="26">
        <v>977363</v>
      </c>
      <c r="W292" s="25" t="s">
        <v>1078</v>
      </c>
      <c r="X292" s="26">
        <v>977363</v>
      </c>
      <c r="Y292" s="25" t="s">
        <v>55</v>
      </c>
      <c r="Z292" s="25" t="s">
        <v>56</v>
      </c>
      <c r="AA292" s="14">
        <f t="shared" si="12"/>
        <v>879626.70000000007</v>
      </c>
      <c r="AB292" s="14">
        <f t="shared" si="13"/>
        <v>781890.4</v>
      </c>
      <c r="AC292" s="14">
        <f t="shared" si="14"/>
        <v>684154.1</v>
      </c>
      <c r="AD292" s="26" t="s">
        <v>1079</v>
      </c>
      <c r="AE292" s="26" t="s">
        <v>1079</v>
      </c>
      <c r="AF292" s="26" t="s">
        <v>1079</v>
      </c>
      <c r="AG292" s="49"/>
      <c r="AH292" s="49"/>
      <c r="AI292" s="49">
        <v>325787.65999999997</v>
      </c>
      <c r="AJ292" s="49"/>
      <c r="AK292" s="49">
        <v>325787.65999999997</v>
      </c>
      <c r="AL292" s="49"/>
      <c r="AM292" s="49">
        <v>325787.68</v>
      </c>
      <c r="AN292" s="49"/>
      <c r="AO292" s="49"/>
      <c r="AP292" s="49"/>
      <c r="AQ292" s="49"/>
      <c r="AR292" s="49"/>
      <c r="AS292" s="49">
        <f t="shared" si="15"/>
        <v>977363</v>
      </c>
      <c r="AT292" s="52"/>
      <c r="AU292" s="55"/>
    </row>
    <row r="293" spans="1:47" ht="16.5" hidden="1" customHeight="1" x14ac:dyDescent="0.35">
      <c r="A293" s="25" t="s">
        <v>71</v>
      </c>
      <c r="B293" s="25" t="s">
        <v>58</v>
      </c>
      <c r="C293" s="25" t="s">
        <v>1000</v>
      </c>
      <c r="D293" s="25">
        <v>847</v>
      </c>
      <c r="E293" s="25">
        <v>8471305</v>
      </c>
      <c r="F293" s="25" t="s">
        <v>1001</v>
      </c>
      <c r="G293" s="25">
        <v>1</v>
      </c>
      <c r="H293" s="276">
        <v>426900</v>
      </c>
      <c r="I293" s="25" t="s">
        <v>1080</v>
      </c>
      <c r="J293" s="25" t="s">
        <v>60</v>
      </c>
      <c r="K293" s="25" t="s">
        <v>50</v>
      </c>
      <c r="L293" s="83">
        <v>847001</v>
      </c>
      <c r="M293" s="25" t="s">
        <v>61</v>
      </c>
      <c r="N293" s="25">
        <v>200179</v>
      </c>
      <c r="O293" s="3" t="s">
        <v>1081</v>
      </c>
      <c r="P293" s="26">
        <v>290</v>
      </c>
      <c r="Q293" s="26">
        <v>21000</v>
      </c>
      <c r="R293" s="26">
        <v>21000</v>
      </c>
      <c r="S293" s="25" t="s">
        <v>1082</v>
      </c>
      <c r="T293" s="25" t="s">
        <v>157</v>
      </c>
      <c r="U293" s="25">
        <v>12</v>
      </c>
      <c r="V293" s="26">
        <v>1750</v>
      </c>
      <c r="W293" s="25" t="s">
        <v>1083</v>
      </c>
      <c r="X293" s="26">
        <v>21000</v>
      </c>
      <c r="Y293" s="25" t="s">
        <v>55</v>
      </c>
      <c r="Z293" s="25" t="s">
        <v>56</v>
      </c>
      <c r="AA293" s="14">
        <f t="shared" si="12"/>
        <v>18900</v>
      </c>
      <c r="AB293" s="14">
        <f t="shared" si="13"/>
        <v>16800</v>
      </c>
      <c r="AC293" s="14">
        <f t="shared" si="14"/>
        <v>14699.999999999998</v>
      </c>
      <c r="AD293" s="26" t="s">
        <v>1084</v>
      </c>
      <c r="AE293" s="26" t="s">
        <v>1084</v>
      </c>
      <c r="AF293" s="26" t="s">
        <v>1084</v>
      </c>
      <c r="AG293" s="49">
        <v>1750</v>
      </c>
      <c r="AH293" s="49">
        <v>1750</v>
      </c>
      <c r="AI293" s="49">
        <v>1750</v>
      </c>
      <c r="AJ293" s="49">
        <v>1750</v>
      </c>
      <c r="AK293" s="49">
        <v>1750</v>
      </c>
      <c r="AL293" s="49">
        <v>1750</v>
      </c>
      <c r="AM293" s="49">
        <v>1750</v>
      </c>
      <c r="AN293" s="49">
        <v>1750</v>
      </c>
      <c r="AO293" s="49">
        <v>1750</v>
      </c>
      <c r="AP293" s="49">
        <v>1750</v>
      </c>
      <c r="AQ293" s="49">
        <v>1750</v>
      </c>
      <c r="AR293" s="49">
        <v>1750</v>
      </c>
      <c r="AS293" s="49">
        <f t="shared" si="15"/>
        <v>21000</v>
      </c>
      <c r="AT293" s="52" t="s">
        <v>295</v>
      </c>
      <c r="AU293" s="55"/>
    </row>
    <row r="294" spans="1:47" ht="16.5" hidden="1" customHeight="1" x14ac:dyDescent="0.35">
      <c r="A294" s="25" t="s">
        <v>245</v>
      </c>
      <c r="B294" s="25" t="s">
        <v>58</v>
      </c>
      <c r="C294" s="25" t="s">
        <v>1000</v>
      </c>
      <c r="D294" s="25">
        <v>847</v>
      </c>
      <c r="E294" s="25">
        <v>8471305</v>
      </c>
      <c r="F294" s="25" t="s">
        <v>1001</v>
      </c>
      <c r="G294" s="25">
        <v>1</v>
      </c>
      <c r="H294" s="276">
        <v>427200</v>
      </c>
      <c r="I294" s="25" t="s">
        <v>1085</v>
      </c>
      <c r="J294" s="25" t="s">
        <v>60</v>
      </c>
      <c r="K294" s="25" t="s">
        <v>50</v>
      </c>
      <c r="L294" s="83">
        <v>847001</v>
      </c>
      <c r="M294" s="25" t="s">
        <v>61</v>
      </c>
      <c r="N294" s="25">
        <v>200179</v>
      </c>
      <c r="O294" s="3" t="s">
        <v>1086</v>
      </c>
      <c r="P294" s="26">
        <v>158351.81</v>
      </c>
      <c r="Q294" s="26">
        <v>627674</v>
      </c>
      <c r="R294" s="26">
        <v>627674</v>
      </c>
      <c r="S294" s="25" t="s">
        <v>1087</v>
      </c>
      <c r="T294" s="25" t="s">
        <v>269</v>
      </c>
      <c r="U294" s="25">
        <v>45</v>
      </c>
      <c r="V294" s="26">
        <v>15000</v>
      </c>
      <c r="W294" s="25" t="s">
        <v>1088</v>
      </c>
      <c r="X294" s="26">
        <v>675000</v>
      </c>
      <c r="Y294" s="25" t="s">
        <v>55</v>
      </c>
      <c r="Z294" s="25" t="s">
        <v>56</v>
      </c>
      <c r="AA294" s="14">
        <f t="shared" si="12"/>
        <v>607500</v>
      </c>
      <c r="AB294" s="14">
        <f t="shared" si="13"/>
        <v>540000</v>
      </c>
      <c r="AC294" s="14">
        <f t="shared" si="14"/>
        <v>472499.99999999994</v>
      </c>
      <c r="AD294" s="26" t="s">
        <v>1089</v>
      </c>
      <c r="AE294" s="26" t="s">
        <v>1089</v>
      </c>
      <c r="AF294" s="26" t="s">
        <v>1089</v>
      </c>
      <c r="AG294" s="49"/>
      <c r="AH294" s="49">
        <v>67500</v>
      </c>
      <c r="AI294" s="49">
        <v>67500</v>
      </c>
      <c r="AJ294" s="49">
        <v>67500</v>
      </c>
      <c r="AK294" s="49">
        <v>67500</v>
      </c>
      <c r="AL294" s="49">
        <v>67500</v>
      </c>
      <c r="AM294" s="49">
        <v>67500</v>
      </c>
      <c r="AN294" s="49">
        <v>67500</v>
      </c>
      <c r="AO294" s="49">
        <v>67500</v>
      </c>
      <c r="AP294" s="49">
        <v>67500</v>
      </c>
      <c r="AQ294" s="49">
        <v>67500</v>
      </c>
      <c r="AR294" s="49"/>
      <c r="AS294" s="49">
        <f t="shared" si="15"/>
        <v>675000</v>
      </c>
      <c r="AT294" s="52" t="s">
        <v>480</v>
      </c>
      <c r="AU294" s="55"/>
    </row>
    <row r="295" spans="1:47" ht="16.5" hidden="1" customHeight="1" x14ac:dyDescent="0.35">
      <c r="A295" s="25" t="s">
        <v>222</v>
      </c>
      <c r="B295" s="25" t="s">
        <v>58</v>
      </c>
      <c r="C295" s="25" t="s">
        <v>1000</v>
      </c>
      <c r="D295" s="25">
        <v>847</v>
      </c>
      <c r="E295" s="25">
        <v>8471305</v>
      </c>
      <c r="F295" s="25" t="s">
        <v>1001</v>
      </c>
      <c r="G295" s="25">
        <v>1</v>
      </c>
      <c r="H295" s="276">
        <v>427710</v>
      </c>
      <c r="I295" s="25" t="s">
        <v>1090</v>
      </c>
      <c r="J295" s="25" t="s">
        <v>60</v>
      </c>
      <c r="K295" s="25" t="s">
        <v>50</v>
      </c>
      <c r="L295" s="83">
        <v>847001</v>
      </c>
      <c r="M295" s="25" t="s">
        <v>61</v>
      </c>
      <c r="N295" s="25">
        <v>200179</v>
      </c>
      <c r="O295" s="3" t="s">
        <v>1091</v>
      </c>
      <c r="P295" s="26">
        <v>14706.73</v>
      </c>
      <c r="Q295" s="26">
        <v>153178</v>
      </c>
      <c r="R295" s="26">
        <v>153178</v>
      </c>
      <c r="S295" s="25" t="s">
        <v>1092</v>
      </c>
      <c r="T295" s="25" t="s">
        <v>157</v>
      </c>
      <c r="U295" s="25">
        <v>43</v>
      </c>
      <c r="V295" s="26">
        <v>5520</v>
      </c>
      <c r="W295" s="25" t="s">
        <v>1093</v>
      </c>
      <c r="X295" s="26">
        <v>237360</v>
      </c>
      <c r="Y295" s="25" t="s">
        <v>55</v>
      </c>
      <c r="Z295" s="25" t="s">
        <v>56</v>
      </c>
      <c r="AA295" s="14">
        <f t="shared" si="12"/>
        <v>213624</v>
      </c>
      <c r="AB295" s="14">
        <f t="shared" si="13"/>
        <v>189888</v>
      </c>
      <c r="AC295" s="14">
        <f t="shared" si="14"/>
        <v>166152</v>
      </c>
      <c r="AD295" s="26" t="s">
        <v>1094</v>
      </c>
      <c r="AE295" s="26" t="s">
        <v>1094</v>
      </c>
      <c r="AF295" s="26" t="s">
        <v>1094</v>
      </c>
      <c r="AG295" s="49"/>
      <c r="AH295" s="49">
        <v>29670</v>
      </c>
      <c r="AI295" s="49">
        <v>29670</v>
      </c>
      <c r="AJ295" s="49">
        <v>29670</v>
      </c>
      <c r="AK295" s="49">
        <v>29670</v>
      </c>
      <c r="AL295" s="49">
        <v>29670</v>
      </c>
      <c r="AM295" s="49">
        <v>29670</v>
      </c>
      <c r="AN295" s="49">
        <v>29670</v>
      </c>
      <c r="AO295" s="49">
        <v>29670</v>
      </c>
      <c r="AP295" s="49"/>
      <c r="AQ295" s="49"/>
      <c r="AR295" s="49"/>
      <c r="AS295" s="49">
        <f t="shared" si="15"/>
        <v>237360</v>
      </c>
      <c r="AT295" s="52" t="s">
        <v>480</v>
      </c>
      <c r="AU295" s="55"/>
    </row>
    <row r="296" spans="1:47" ht="16.5" hidden="1" customHeight="1" x14ac:dyDescent="0.35">
      <c r="A296" s="25" t="s">
        <v>153</v>
      </c>
      <c r="B296" s="25" t="s">
        <v>58</v>
      </c>
      <c r="C296" s="25" t="s">
        <v>1000</v>
      </c>
      <c r="D296" s="25">
        <v>847</v>
      </c>
      <c r="E296" s="25">
        <v>8471305</v>
      </c>
      <c r="F296" s="25" t="s">
        <v>1001</v>
      </c>
      <c r="G296" s="25">
        <v>1</v>
      </c>
      <c r="H296" s="276">
        <v>428090</v>
      </c>
      <c r="I296" s="25" t="s">
        <v>154</v>
      </c>
      <c r="J296" s="25" t="s">
        <v>60</v>
      </c>
      <c r="K296" s="25" t="s">
        <v>50</v>
      </c>
      <c r="L296" s="83">
        <v>847001</v>
      </c>
      <c r="M296" s="25" t="s">
        <v>61</v>
      </c>
      <c r="N296" s="25">
        <v>200179</v>
      </c>
      <c r="O296" s="3" t="s">
        <v>1095</v>
      </c>
      <c r="P296" s="26">
        <v>0</v>
      </c>
      <c r="Q296" s="26">
        <v>419000</v>
      </c>
      <c r="R296" s="26">
        <v>419000</v>
      </c>
      <c r="S296" s="25" t="s">
        <v>156</v>
      </c>
      <c r="T296" s="25" t="s">
        <v>157</v>
      </c>
      <c r="U296" s="25">
        <v>30</v>
      </c>
      <c r="V296" s="26">
        <v>15000</v>
      </c>
      <c r="W296" s="25" t="s">
        <v>1096</v>
      </c>
      <c r="X296" s="26">
        <v>450000</v>
      </c>
      <c r="Y296" s="25" t="s">
        <v>55</v>
      </c>
      <c r="Z296" s="25" t="s">
        <v>56</v>
      </c>
      <c r="AA296" s="14">
        <f t="shared" si="12"/>
        <v>405000</v>
      </c>
      <c r="AB296" s="14">
        <f t="shared" si="13"/>
        <v>360000</v>
      </c>
      <c r="AC296" s="14">
        <f t="shared" si="14"/>
        <v>315000</v>
      </c>
      <c r="AD296" s="26" t="s">
        <v>1096</v>
      </c>
      <c r="AE296" s="26" t="s">
        <v>1096</v>
      </c>
      <c r="AF296" s="26" t="s">
        <v>1096</v>
      </c>
      <c r="AG296" s="49">
        <v>37500</v>
      </c>
      <c r="AH296" s="49">
        <v>37500</v>
      </c>
      <c r="AI296" s="49">
        <v>37500</v>
      </c>
      <c r="AJ296" s="49">
        <v>37500</v>
      </c>
      <c r="AK296" s="49">
        <v>37500</v>
      </c>
      <c r="AL296" s="49">
        <v>37500</v>
      </c>
      <c r="AM296" s="49">
        <v>37500</v>
      </c>
      <c r="AN296" s="49">
        <v>37500</v>
      </c>
      <c r="AO296" s="49">
        <v>37500</v>
      </c>
      <c r="AP296" s="49">
        <v>37500</v>
      </c>
      <c r="AQ296" s="49">
        <v>37500</v>
      </c>
      <c r="AR296" s="49">
        <v>37500</v>
      </c>
      <c r="AS296" s="49">
        <f t="shared" si="15"/>
        <v>450000</v>
      </c>
      <c r="AT296" s="52" t="s">
        <v>237</v>
      </c>
      <c r="AU296" s="55"/>
    </row>
    <row r="297" spans="1:47" ht="16.5" hidden="1" customHeight="1" x14ac:dyDescent="0.35">
      <c r="A297" s="25" t="s">
        <v>245</v>
      </c>
      <c r="B297" s="25" t="s">
        <v>246</v>
      </c>
      <c r="C297" s="25" t="s">
        <v>1000</v>
      </c>
      <c r="D297" s="25">
        <v>847</v>
      </c>
      <c r="E297" s="25">
        <v>8471305</v>
      </c>
      <c r="F297" s="25" t="s">
        <v>1001</v>
      </c>
      <c r="G297" s="25">
        <v>1</v>
      </c>
      <c r="H297" s="276">
        <v>428640</v>
      </c>
      <c r="I297" s="25" t="s">
        <v>279</v>
      </c>
      <c r="J297" s="25" t="s">
        <v>60</v>
      </c>
      <c r="K297" s="25" t="s">
        <v>50</v>
      </c>
      <c r="L297" s="83">
        <v>847001</v>
      </c>
      <c r="M297" s="25" t="s">
        <v>61</v>
      </c>
      <c r="N297" s="25">
        <v>200179</v>
      </c>
      <c r="O297" s="3" t="s">
        <v>1097</v>
      </c>
      <c r="P297" s="26">
        <v>1200</v>
      </c>
      <c r="Q297" s="26">
        <v>5000</v>
      </c>
      <c r="R297" s="26">
        <v>5000</v>
      </c>
      <c r="S297" s="25" t="s">
        <v>281</v>
      </c>
      <c r="T297" s="25" t="s">
        <v>269</v>
      </c>
      <c r="U297" s="25">
        <v>4</v>
      </c>
      <c r="V297" s="26">
        <v>25000</v>
      </c>
      <c r="W297" s="25" t="s">
        <v>1098</v>
      </c>
      <c r="X297" s="26">
        <v>100000</v>
      </c>
      <c r="Y297" s="25" t="s">
        <v>55</v>
      </c>
      <c r="Z297" s="25" t="s">
        <v>56</v>
      </c>
      <c r="AA297" s="14">
        <f t="shared" si="12"/>
        <v>90000</v>
      </c>
      <c r="AB297" s="14">
        <f t="shared" si="13"/>
        <v>80000</v>
      </c>
      <c r="AC297" s="14">
        <f t="shared" si="14"/>
        <v>70000</v>
      </c>
      <c r="AD297" s="26" t="s">
        <v>1099</v>
      </c>
      <c r="AE297" s="26" t="s">
        <v>1099</v>
      </c>
      <c r="AF297" s="26" t="s">
        <v>1099</v>
      </c>
      <c r="AG297" s="49"/>
      <c r="AH297" s="49"/>
      <c r="AI297" s="49">
        <v>25000</v>
      </c>
      <c r="AJ297" s="49"/>
      <c r="AK297" s="49"/>
      <c r="AL297" s="49">
        <v>25000</v>
      </c>
      <c r="AM297" s="49"/>
      <c r="AN297" s="49"/>
      <c r="AO297" s="49">
        <v>25000</v>
      </c>
      <c r="AP297" s="49"/>
      <c r="AQ297" s="49"/>
      <c r="AR297" s="49">
        <v>25000</v>
      </c>
      <c r="AS297" s="49">
        <f t="shared" si="15"/>
        <v>100000</v>
      </c>
      <c r="AT297" s="52" t="s">
        <v>384</v>
      </c>
      <c r="AU297" s="55"/>
    </row>
    <row r="298" spans="1:47" ht="16.5" hidden="1" customHeight="1" x14ac:dyDescent="0.35">
      <c r="A298" s="25" t="s">
        <v>63</v>
      </c>
      <c r="B298" s="25" t="s">
        <v>64</v>
      </c>
      <c r="C298" s="25" t="s">
        <v>1000</v>
      </c>
      <c r="D298" s="25">
        <v>847</v>
      </c>
      <c r="E298" s="25">
        <v>8471305</v>
      </c>
      <c r="F298" s="25" t="s">
        <v>1001</v>
      </c>
      <c r="G298" s="25">
        <v>1</v>
      </c>
      <c r="H298" s="276">
        <v>432205</v>
      </c>
      <c r="I298" s="25" t="s">
        <v>167</v>
      </c>
      <c r="J298" s="25" t="s">
        <v>60</v>
      </c>
      <c r="K298" s="25" t="s">
        <v>50</v>
      </c>
      <c r="L298" s="83">
        <v>847001</v>
      </c>
      <c r="M298" s="25" t="s">
        <v>61</v>
      </c>
      <c r="N298" s="25">
        <v>200179</v>
      </c>
      <c r="O298" s="3" t="s">
        <v>1100</v>
      </c>
      <c r="P298" s="26">
        <v>99532.62</v>
      </c>
      <c r="Q298" s="26">
        <v>565385</v>
      </c>
      <c r="R298" s="26">
        <v>289385</v>
      </c>
      <c r="S298" s="25" t="s">
        <v>169</v>
      </c>
      <c r="T298" s="25" t="s">
        <v>68</v>
      </c>
      <c r="U298" s="25">
        <v>1</v>
      </c>
      <c r="V298" s="26">
        <v>1949500</v>
      </c>
      <c r="W298" s="25" t="s">
        <v>1101</v>
      </c>
      <c r="X298" s="27">
        <v>1949500</v>
      </c>
      <c r="Y298" s="25" t="s">
        <v>55</v>
      </c>
      <c r="Z298" s="25" t="s">
        <v>56</v>
      </c>
      <c r="AA298" s="14">
        <f t="shared" si="12"/>
        <v>1754550</v>
      </c>
      <c r="AB298" s="14">
        <f t="shared" si="13"/>
        <v>1559600</v>
      </c>
      <c r="AC298" s="14">
        <f t="shared" si="14"/>
        <v>1364650</v>
      </c>
      <c r="AD298" s="26" t="s">
        <v>1102</v>
      </c>
      <c r="AE298" s="26" t="s">
        <v>1103</v>
      </c>
      <c r="AF298" s="26" t="s">
        <v>1103</v>
      </c>
      <c r="AG298" s="49"/>
      <c r="AH298" s="49"/>
      <c r="AI298" s="49">
        <v>1949500</v>
      </c>
      <c r="AJ298" s="49"/>
      <c r="AK298" s="49"/>
      <c r="AL298" s="49"/>
      <c r="AM298" s="49"/>
      <c r="AN298" s="49"/>
      <c r="AO298" s="49"/>
      <c r="AP298" s="49"/>
      <c r="AQ298" s="49"/>
      <c r="AR298" s="49"/>
      <c r="AS298" s="49">
        <f t="shared" si="15"/>
        <v>1949500</v>
      </c>
      <c r="AT298" s="52" t="s">
        <v>384</v>
      </c>
      <c r="AU298" s="55"/>
    </row>
    <row r="299" spans="1:47" ht="16.5" hidden="1" customHeight="1" x14ac:dyDescent="0.35">
      <c r="A299" s="25" t="s">
        <v>222</v>
      </c>
      <c r="B299" s="25" t="s">
        <v>58</v>
      </c>
      <c r="C299" s="25" t="s">
        <v>1000</v>
      </c>
      <c r="D299" s="25">
        <v>847</v>
      </c>
      <c r="E299" s="25">
        <v>8471305</v>
      </c>
      <c r="F299" s="25" t="s">
        <v>1001</v>
      </c>
      <c r="G299" s="25">
        <v>1</v>
      </c>
      <c r="H299" s="276">
        <v>432209</v>
      </c>
      <c r="I299" s="25" t="s">
        <v>393</v>
      </c>
      <c r="J299" s="25" t="s">
        <v>60</v>
      </c>
      <c r="K299" s="25" t="s">
        <v>50</v>
      </c>
      <c r="L299" s="83">
        <v>847001</v>
      </c>
      <c r="M299" s="25" t="s">
        <v>61</v>
      </c>
      <c r="N299" s="25">
        <v>200179</v>
      </c>
      <c r="O299" s="3" t="s">
        <v>1104</v>
      </c>
      <c r="P299" s="26">
        <v>55631.5</v>
      </c>
      <c r="Q299" s="26">
        <v>516900</v>
      </c>
      <c r="R299" s="26">
        <v>516900</v>
      </c>
      <c r="S299" s="25" t="s">
        <v>470</v>
      </c>
      <c r="T299" s="25" t="s">
        <v>157</v>
      </c>
      <c r="U299" s="25">
        <v>1</v>
      </c>
      <c r="V299" s="26">
        <v>600000</v>
      </c>
      <c r="W299" s="25" t="s">
        <v>1105</v>
      </c>
      <c r="X299" s="26">
        <v>600000</v>
      </c>
      <c r="Y299" s="25" t="s">
        <v>55</v>
      </c>
      <c r="Z299" s="25" t="s">
        <v>56</v>
      </c>
      <c r="AA299" s="14">
        <f t="shared" si="12"/>
        <v>540000</v>
      </c>
      <c r="AB299" s="14">
        <f t="shared" si="13"/>
        <v>480000</v>
      </c>
      <c r="AC299" s="14">
        <f t="shared" si="14"/>
        <v>420000</v>
      </c>
      <c r="AD299" s="26" t="s">
        <v>1106</v>
      </c>
      <c r="AE299" s="26" t="s">
        <v>1106</v>
      </c>
      <c r="AF299" s="26" t="s">
        <v>1106</v>
      </c>
      <c r="AG299" s="49"/>
      <c r="AH299" s="49"/>
      <c r="AI299" s="49">
        <v>150000</v>
      </c>
      <c r="AJ299" s="49"/>
      <c r="AK299" s="49"/>
      <c r="AL299" s="49">
        <v>150000</v>
      </c>
      <c r="AM299" s="49"/>
      <c r="AN299" s="49"/>
      <c r="AO299" s="49">
        <v>150000</v>
      </c>
      <c r="AP299" s="49"/>
      <c r="AQ299" s="49">
        <v>150000</v>
      </c>
      <c r="AR299" s="49"/>
      <c r="AS299" s="49">
        <f t="shared" si="15"/>
        <v>600000</v>
      </c>
      <c r="AT299" s="52" t="s">
        <v>880</v>
      </c>
      <c r="AU299" s="55"/>
    </row>
    <row r="300" spans="1:47" ht="16.5" hidden="1" customHeight="1" x14ac:dyDescent="0.35">
      <c r="A300" s="25" t="s">
        <v>222</v>
      </c>
      <c r="B300" s="25" t="s">
        <v>58</v>
      </c>
      <c r="C300" s="25" t="s">
        <v>1000</v>
      </c>
      <c r="D300" s="25">
        <v>847</v>
      </c>
      <c r="E300" s="25">
        <v>8471305</v>
      </c>
      <c r="F300" s="25" t="s">
        <v>1001</v>
      </c>
      <c r="G300" s="25">
        <v>1</v>
      </c>
      <c r="H300" s="276">
        <v>432210</v>
      </c>
      <c r="I300" s="25" t="s">
        <v>1107</v>
      </c>
      <c r="J300" s="25" t="s">
        <v>60</v>
      </c>
      <c r="K300" s="25" t="s">
        <v>50</v>
      </c>
      <c r="L300" s="83">
        <v>847001</v>
      </c>
      <c r="M300" s="25" t="s">
        <v>61</v>
      </c>
      <c r="N300" s="25">
        <v>200179</v>
      </c>
      <c r="O300" s="3" t="s">
        <v>1108</v>
      </c>
      <c r="P300" s="26"/>
      <c r="Q300" s="26">
        <v>35000</v>
      </c>
      <c r="R300" s="26">
        <v>35000</v>
      </c>
      <c r="S300" s="25" t="s">
        <v>1107</v>
      </c>
      <c r="T300" s="25" t="s">
        <v>1109</v>
      </c>
      <c r="U300" s="25">
        <v>4</v>
      </c>
      <c r="V300" s="26">
        <v>50000</v>
      </c>
      <c r="W300" s="25" t="s">
        <v>1110</v>
      </c>
      <c r="X300" s="26">
        <v>200000</v>
      </c>
      <c r="Y300" s="25" t="s">
        <v>55</v>
      </c>
      <c r="Z300" s="25" t="s">
        <v>56</v>
      </c>
      <c r="AA300" s="14">
        <f t="shared" si="12"/>
        <v>180000</v>
      </c>
      <c r="AB300" s="14">
        <f t="shared" si="13"/>
        <v>160000</v>
      </c>
      <c r="AC300" s="14">
        <f t="shared" si="14"/>
        <v>140000</v>
      </c>
      <c r="AD300" s="26" t="s">
        <v>1110</v>
      </c>
      <c r="AE300" s="26" t="s">
        <v>1110</v>
      </c>
      <c r="AF300" s="26" t="s">
        <v>1110</v>
      </c>
      <c r="AG300" s="49"/>
      <c r="AH300" s="49">
        <v>20000</v>
      </c>
      <c r="AI300" s="49">
        <v>20000</v>
      </c>
      <c r="AJ300" s="49">
        <v>20000</v>
      </c>
      <c r="AK300" s="49">
        <v>20000</v>
      </c>
      <c r="AL300" s="49">
        <v>20000</v>
      </c>
      <c r="AM300" s="49">
        <v>20000</v>
      </c>
      <c r="AN300" s="49">
        <v>20000</v>
      </c>
      <c r="AO300" s="49">
        <v>20000</v>
      </c>
      <c r="AP300" s="49">
        <v>20000</v>
      </c>
      <c r="AQ300" s="49">
        <v>20000</v>
      </c>
      <c r="AR300" s="49"/>
      <c r="AS300" s="49">
        <f t="shared" si="15"/>
        <v>200000</v>
      </c>
      <c r="AT300" s="52"/>
      <c r="AU300" s="55"/>
    </row>
    <row r="301" spans="1:47" ht="16.5" hidden="1" customHeight="1" x14ac:dyDescent="0.35">
      <c r="A301" s="25" t="s">
        <v>222</v>
      </c>
      <c r="B301" s="25" t="s">
        <v>58</v>
      </c>
      <c r="C301" s="25" t="s">
        <v>1000</v>
      </c>
      <c r="D301" s="25">
        <v>847</v>
      </c>
      <c r="E301" s="25">
        <v>8471305</v>
      </c>
      <c r="F301" s="25" t="s">
        <v>1001</v>
      </c>
      <c r="G301" s="25">
        <v>1</v>
      </c>
      <c r="H301" s="276">
        <v>435330</v>
      </c>
      <c r="I301" s="25" t="s">
        <v>1111</v>
      </c>
      <c r="J301" s="25" t="s">
        <v>60</v>
      </c>
      <c r="K301" s="25" t="s">
        <v>50</v>
      </c>
      <c r="L301" s="83">
        <v>847001</v>
      </c>
      <c r="M301" s="25" t="s">
        <v>61</v>
      </c>
      <c r="N301" s="25">
        <v>200179</v>
      </c>
      <c r="O301" s="3" t="s">
        <v>1112</v>
      </c>
      <c r="P301" s="26">
        <v>-22387</v>
      </c>
      <c r="Q301" s="26">
        <v>72000</v>
      </c>
      <c r="R301" s="26">
        <v>591905</v>
      </c>
      <c r="S301" s="25" t="s">
        <v>1113</v>
      </c>
      <c r="T301" s="25" t="s">
        <v>157</v>
      </c>
      <c r="U301" s="25">
        <v>12</v>
      </c>
      <c r="V301" s="26">
        <v>53492</v>
      </c>
      <c r="W301" s="25" t="s">
        <v>1114</v>
      </c>
      <c r="X301" s="26">
        <v>641904</v>
      </c>
      <c r="Y301" s="25" t="s">
        <v>55</v>
      </c>
      <c r="Z301" s="25" t="s">
        <v>56</v>
      </c>
      <c r="AA301" s="14">
        <f t="shared" si="12"/>
        <v>577713.6</v>
      </c>
      <c r="AB301" s="14">
        <f t="shared" si="13"/>
        <v>513523.20000000001</v>
      </c>
      <c r="AC301" s="14">
        <f t="shared" si="14"/>
        <v>449332.8</v>
      </c>
      <c r="AD301" s="26" t="s">
        <v>1114</v>
      </c>
      <c r="AE301" s="26" t="s">
        <v>1114</v>
      </c>
      <c r="AF301" s="26" t="s">
        <v>1114</v>
      </c>
      <c r="AG301" s="49"/>
      <c r="AH301" s="49"/>
      <c r="AI301" s="49">
        <v>160476</v>
      </c>
      <c r="AJ301" s="49"/>
      <c r="AK301" s="49"/>
      <c r="AL301" s="49">
        <v>160476</v>
      </c>
      <c r="AM301" s="49"/>
      <c r="AN301" s="49"/>
      <c r="AO301" s="49">
        <v>160476</v>
      </c>
      <c r="AP301" s="49"/>
      <c r="AQ301" s="49"/>
      <c r="AR301" s="49">
        <v>160476</v>
      </c>
      <c r="AS301" s="49">
        <f t="shared" si="15"/>
        <v>641904</v>
      </c>
      <c r="AT301" s="52" t="s">
        <v>384</v>
      </c>
      <c r="AU301" s="55"/>
    </row>
    <row r="302" spans="1:47" ht="16.5" hidden="1" customHeight="1" x14ac:dyDescent="0.35">
      <c r="A302" s="25" t="s">
        <v>222</v>
      </c>
      <c r="B302" s="25" t="s">
        <v>58</v>
      </c>
      <c r="C302" s="25" t="s">
        <v>1000</v>
      </c>
      <c r="D302" s="25">
        <v>847</v>
      </c>
      <c r="E302" s="25">
        <v>8471305</v>
      </c>
      <c r="F302" s="25" t="s">
        <v>1001</v>
      </c>
      <c r="G302" s="25">
        <v>1</v>
      </c>
      <c r="H302" s="276">
        <v>435340</v>
      </c>
      <c r="I302" s="25" t="s">
        <v>655</v>
      </c>
      <c r="J302" s="25" t="s">
        <v>60</v>
      </c>
      <c r="K302" s="25" t="s">
        <v>50</v>
      </c>
      <c r="L302" s="83">
        <v>847001</v>
      </c>
      <c r="M302" s="25" t="s">
        <v>61</v>
      </c>
      <c r="N302" s="25">
        <v>200179</v>
      </c>
      <c r="O302" s="3" t="s">
        <v>1115</v>
      </c>
      <c r="P302" s="26">
        <v>-22387</v>
      </c>
      <c r="Q302" s="26">
        <v>72000</v>
      </c>
      <c r="R302" s="26">
        <v>300000</v>
      </c>
      <c r="S302" s="25" t="s">
        <v>1116</v>
      </c>
      <c r="T302" s="25" t="s">
        <v>1117</v>
      </c>
      <c r="U302" s="25">
        <v>1</v>
      </c>
      <c r="V302" s="26">
        <v>300000</v>
      </c>
      <c r="W302" s="25" t="s">
        <v>1118</v>
      </c>
      <c r="X302" s="26">
        <v>300000</v>
      </c>
      <c r="Y302" s="25" t="s">
        <v>55</v>
      </c>
      <c r="Z302" s="25" t="s">
        <v>56</v>
      </c>
      <c r="AA302" s="14">
        <f t="shared" si="12"/>
        <v>270000</v>
      </c>
      <c r="AB302" s="14">
        <f t="shared" si="13"/>
        <v>240000</v>
      </c>
      <c r="AC302" s="14">
        <f t="shared" si="14"/>
        <v>210000</v>
      </c>
      <c r="AD302" s="26" t="s">
        <v>1119</v>
      </c>
      <c r="AE302" s="26" t="s">
        <v>1120</v>
      </c>
      <c r="AF302" s="26" t="s">
        <v>1120</v>
      </c>
      <c r="AG302" s="49"/>
      <c r="AH302" s="49"/>
      <c r="AI302" s="49"/>
      <c r="AJ302" s="49">
        <v>100000</v>
      </c>
      <c r="AK302" s="49" t="s">
        <v>332</v>
      </c>
      <c r="AL302" s="49">
        <v>100000</v>
      </c>
      <c r="AM302" s="49">
        <v>100000</v>
      </c>
      <c r="AN302" s="49"/>
      <c r="AO302" s="49"/>
      <c r="AP302" s="49"/>
      <c r="AQ302" s="49"/>
      <c r="AR302" s="49"/>
      <c r="AS302" s="49">
        <f t="shared" si="15"/>
        <v>300000</v>
      </c>
      <c r="AT302" s="52" t="s">
        <v>384</v>
      </c>
      <c r="AU302" s="55"/>
    </row>
    <row r="303" spans="1:47" ht="16.5" hidden="1" customHeight="1" x14ac:dyDescent="0.35">
      <c r="A303" s="25" t="s">
        <v>222</v>
      </c>
      <c r="B303" s="25" t="s">
        <v>58</v>
      </c>
      <c r="C303" s="25" t="s">
        <v>1000</v>
      </c>
      <c r="D303" s="25">
        <v>847</v>
      </c>
      <c r="E303" s="25">
        <v>8471305</v>
      </c>
      <c r="F303" s="25" t="s">
        <v>1001</v>
      </c>
      <c r="G303" s="25">
        <v>1</v>
      </c>
      <c r="H303" s="276">
        <v>435350</v>
      </c>
      <c r="I303" s="25" t="s">
        <v>399</v>
      </c>
      <c r="J303" s="25" t="s">
        <v>60</v>
      </c>
      <c r="K303" s="25" t="s">
        <v>50</v>
      </c>
      <c r="L303" s="83">
        <v>847001</v>
      </c>
      <c r="M303" s="25" t="s">
        <v>61</v>
      </c>
      <c r="N303" s="25">
        <v>200179</v>
      </c>
      <c r="O303" s="3" t="s">
        <v>1121</v>
      </c>
      <c r="P303" s="26">
        <v>74471.19</v>
      </c>
      <c r="Q303" s="26">
        <v>120000</v>
      </c>
      <c r="R303" s="26">
        <v>500000</v>
      </c>
      <c r="S303" s="25" t="s">
        <v>401</v>
      </c>
      <c r="T303" s="25" t="s">
        <v>157</v>
      </c>
      <c r="U303" s="25">
        <v>84</v>
      </c>
      <c r="V303" s="26">
        <v>15000</v>
      </c>
      <c r="W303" s="25" t="s">
        <v>1122</v>
      </c>
      <c r="X303" s="26">
        <v>1260000</v>
      </c>
      <c r="Y303" s="25" t="s">
        <v>55</v>
      </c>
      <c r="Z303" s="25" t="s">
        <v>56</v>
      </c>
      <c r="AA303" s="14">
        <f t="shared" si="12"/>
        <v>1134000</v>
      </c>
      <c r="AB303" s="14">
        <f t="shared" si="13"/>
        <v>1008000</v>
      </c>
      <c r="AC303" s="14">
        <f t="shared" si="14"/>
        <v>882000</v>
      </c>
      <c r="AD303" s="26" t="s">
        <v>1123</v>
      </c>
      <c r="AE303" s="26" t="s">
        <v>1124</v>
      </c>
      <c r="AF303" s="26" t="s">
        <v>1124</v>
      </c>
      <c r="AG303" s="49">
        <v>105000</v>
      </c>
      <c r="AH303" s="49">
        <v>105000</v>
      </c>
      <c r="AI303" s="49">
        <v>105000</v>
      </c>
      <c r="AJ303" s="49">
        <v>105000</v>
      </c>
      <c r="AK303" s="49">
        <v>105000</v>
      </c>
      <c r="AL303" s="49">
        <v>105000</v>
      </c>
      <c r="AM303" s="49">
        <v>105000</v>
      </c>
      <c r="AN303" s="49">
        <v>105000</v>
      </c>
      <c r="AO303" s="49">
        <v>105000</v>
      </c>
      <c r="AP303" s="49">
        <v>105000</v>
      </c>
      <c r="AQ303" s="49">
        <v>105000</v>
      </c>
      <c r="AR303" s="49">
        <v>105000</v>
      </c>
      <c r="AS303" s="49">
        <f t="shared" si="15"/>
        <v>1260000</v>
      </c>
      <c r="AT303" s="52" t="s">
        <v>480</v>
      </c>
      <c r="AU303" s="55"/>
    </row>
    <row r="304" spans="1:47" ht="16.5" hidden="1" customHeight="1" x14ac:dyDescent="0.35">
      <c r="A304" s="25" t="s">
        <v>222</v>
      </c>
      <c r="B304" s="25" t="s">
        <v>220</v>
      </c>
      <c r="C304" s="25" t="s">
        <v>1000</v>
      </c>
      <c r="D304" s="25">
        <v>847</v>
      </c>
      <c r="E304" s="25">
        <v>8471305</v>
      </c>
      <c r="F304" s="25" t="s">
        <v>1001</v>
      </c>
      <c r="G304" s="25">
        <v>1</v>
      </c>
      <c r="H304" s="276">
        <v>435508</v>
      </c>
      <c r="I304" s="25" t="s">
        <v>405</v>
      </c>
      <c r="J304" s="25" t="s">
        <v>60</v>
      </c>
      <c r="K304" s="25" t="s">
        <v>50</v>
      </c>
      <c r="L304" s="83">
        <v>847001</v>
      </c>
      <c r="M304" s="25" t="s">
        <v>61</v>
      </c>
      <c r="N304" s="25">
        <v>200179</v>
      </c>
      <c r="O304" s="3" t="s">
        <v>1125</v>
      </c>
      <c r="P304" s="26">
        <v>241814.92</v>
      </c>
      <c r="Q304" s="27">
        <v>1592072</v>
      </c>
      <c r="R304" s="27">
        <v>14077987</v>
      </c>
      <c r="S304" s="25" t="s">
        <v>407</v>
      </c>
      <c r="T304" s="25" t="s">
        <v>157</v>
      </c>
      <c r="U304" s="25">
        <v>1</v>
      </c>
      <c r="V304" s="26">
        <v>14077987</v>
      </c>
      <c r="W304" s="25" t="s">
        <v>1126</v>
      </c>
      <c r="X304" s="26">
        <v>14077987</v>
      </c>
      <c r="Y304" s="25" t="s">
        <v>55</v>
      </c>
      <c r="Z304" s="25" t="s">
        <v>56</v>
      </c>
      <c r="AA304" s="14">
        <f t="shared" si="12"/>
        <v>12670188.300000001</v>
      </c>
      <c r="AB304" s="14">
        <f t="shared" si="13"/>
        <v>11262389.600000001</v>
      </c>
      <c r="AC304" s="14">
        <f t="shared" si="14"/>
        <v>9854590.8999999985</v>
      </c>
      <c r="AD304" s="26" t="s">
        <v>1110</v>
      </c>
      <c r="AE304" s="26" t="s">
        <v>1110</v>
      </c>
      <c r="AF304" s="26" t="s">
        <v>1110</v>
      </c>
      <c r="AG304" s="49"/>
      <c r="AH304" s="49">
        <v>1279817</v>
      </c>
      <c r="AI304" s="49">
        <v>1279817</v>
      </c>
      <c r="AJ304" s="49">
        <v>1279817</v>
      </c>
      <c r="AK304" s="49">
        <v>2559634</v>
      </c>
      <c r="AL304" s="49">
        <v>1279817</v>
      </c>
      <c r="AM304" s="49">
        <v>1279817</v>
      </c>
      <c r="AN304" s="49">
        <v>1279817</v>
      </c>
      <c r="AO304" s="49">
        <v>1279817</v>
      </c>
      <c r="AP304" s="49">
        <v>1279817</v>
      </c>
      <c r="AQ304" s="49">
        <v>1279817</v>
      </c>
      <c r="AR304" s="49"/>
      <c r="AS304" s="49">
        <f t="shared" si="15"/>
        <v>14077987</v>
      </c>
      <c r="AT304" s="52" t="s">
        <v>689</v>
      </c>
      <c r="AU304" s="55"/>
    </row>
    <row r="305" spans="1:47" ht="16.5" hidden="1" customHeight="1" x14ac:dyDescent="0.35">
      <c r="A305" s="25" t="s">
        <v>222</v>
      </c>
      <c r="B305" s="25" t="s">
        <v>58</v>
      </c>
      <c r="C305" s="25" t="s">
        <v>1000</v>
      </c>
      <c r="D305" s="25">
        <v>847</v>
      </c>
      <c r="E305" s="25">
        <v>8471305</v>
      </c>
      <c r="F305" s="25" t="s">
        <v>1001</v>
      </c>
      <c r="G305" s="25">
        <v>1</v>
      </c>
      <c r="H305" s="276">
        <v>435530</v>
      </c>
      <c r="I305" s="25" t="s">
        <v>1127</v>
      </c>
      <c r="J305" s="25" t="s">
        <v>60</v>
      </c>
      <c r="K305" s="25" t="s">
        <v>50</v>
      </c>
      <c r="L305" s="83">
        <v>847001</v>
      </c>
      <c r="M305" s="25" t="s">
        <v>61</v>
      </c>
      <c r="N305" s="25">
        <v>200179</v>
      </c>
      <c r="O305" s="3" t="s">
        <v>1128</v>
      </c>
      <c r="P305" s="26">
        <v>924.33</v>
      </c>
      <c r="Q305" s="26">
        <v>10000</v>
      </c>
      <c r="R305" s="26">
        <v>75000</v>
      </c>
      <c r="S305" s="25" t="s">
        <v>1129</v>
      </c>
      <c r="T305" s="25" t="s">
        <v>157</v>
      </c>
      <c r="U305" s="25">
        <v>1</v>
      </c>
      <c r="V305" s="26">
        <v>225000</v>
      </c>
      <c r="W305" s="25" t="s">
        <v>1130</v>
      </c>
      <c r="X305" s="26">
        <v>225000</v>
      </c>
      <c r="Y305" s="25" t="s">
        <v>55</v>
      </c>
      <c r="Z305" s="25" t="s">
        <v>56</v>
      </c>
      <c r="AA305" s="14">
        <f t="shared" si="12"/>
        <v>202500</v>
      </c>
      <c r="AB305" s="14">
        <f t="shared" si="13"/>
        <v>180000</v>
      </c>
      <c r="AC305" s="14">
        <f t="shared" si="14"/>
        <v>157500</v>
      </c>
      <c r="AD305" s="26" t="s">
        <v>1130</v>
      </c>
      <c r="AE305" s="26" t="s">
        <v>1130</v>
      </c>
      <c r="AF305" s="26" t="s">
        <v>1130</v>
      </c>
      <c r="AG305" s="49">
        <v>18750</v>
      </c>
      <c r="AH305" s="49">
        <v>18750</v>
      </c>
      <c r="AI305" s="49">
        <v>18750</v>
      </c>
      <c r="AJ305" s="49">
        <v>18750</v>
      </c>
      <c r="AK305" s="49">
        <v>18750</v>
      </c>
      <c r="AL305" s="49">
        <v>18750</v>
      </c>
      <c r="AM305" s="49">
        <v>18750</v>
      </c>
      <c r="AN305" s="49">
        <v>18750</v>
      </c>
      <c r="AO305" s="49">
        <v>18750</v>
      </c>
      <c r="AP305" s="49">
        <v>18750</v>
      </c>
      <c r="AQ305" s="49">
        <v>18750</v>
      </c>
      <c r="AR305" s="49">
        <v>18750</v>
      </c>
      <c r="AS305" s="49">
        <f t="shared" si="15"/>
        <v>225000</v>
      </c>
      <c r="AT305" s="52" t="s">
        <v>384</v>
      </c>
      <c r="AU305" s="55"/>
    </row>
    <row r="306" spans="1:47" ht="16.5" hidden="1" customHeight="1" x14ac:dyDescent="0.35">
      <c r="A306" s="25" t="s">
        <v>189</v>
      </c>
      <c r="B306" s="25" t="s">
        <v>58</v>
      </c>
      <c r="C306" s="25" t="s">
        <v>1000</v>
      </c>
      <c r="D306" s="25">
        <v>847</v>
      </c>
      <c r="E306" s="25">
        <v>8471305</v>
      </c>
      <c r="F306" s="25" t="s">
        <v>1001</v>
      </c>
      <c r="G306" s="25">
        <v>1</v>
      </c>
      <c r="H306" s="276">
        <v>436120</v>
      </c>
      <c r="I306" s="25" t="s">
        <v>291</v>
      </c>
      <c r="J306" s="25" t="s">
        <v>60</v>
      </c>
      <c r="K306" s="25" t="s">
        <v>50</v>
      </c>
      <c r="L306" s="83">
        <v>847001</v>
      </c>
      <c r="M306" s="25" t="s">
        <v>61</v>
      </c>
      <c r="N306" s="25">
        <v>200179</v>
      </c>
      <c r="O306" s="3" t="s">
        <v>1131</v>
      </c>
      <c r="P306" s="26">
        <v>7188.06</v>
      </c>
      <c r="Q306" s="26">
        <v>112000</v>
      </c>
      <c r="R306" s="26">
        <v>200000</v>
      </c>
      <c r="S306" s="25" t="s">
        <v>1132</v>
      </c>
      <c r="T306" s="25" t="s">
        <v>157</v>
      </c>
      <c r="U306" s="25">
        <v>64</v>
      </c>
      <c r="V306" s="26">
        <v>5000</v>
      </c>
      <c r="W306" s="25" t="s">
        <v>1133</v>
      </c>
      <c r="X306" s="26">
        <v>320000</v>
      </c>
      <c r="Y306" s="25" t="s">
        <v>55</v>
      </c>
      <c r="Z306" s="25" t="s">
        <v>56</v>
      </c>
      <c r="AA306" s="14">
        <f t="shared" si="12"/>
        <v>288000</v>
      </c>
      <c r="AB306" s="14">
        <f t="shared" si="13"/>
        <v>256000</v>
      </c>
      <c r="AC306" s="14">
        <f t="shared" si="14"/>
        <v>224000</v>
      </c>
      <c r="AD306" s="26" t="s">
        <v>1134</v>
      </c>
      <c r="AE306" s="26" t="s">
        <v>1134</v>
      </c>
      <c r="AF306" s="26" t="s">
        <v>1134</v>
      </c>
      <c r="AG306" s="49"/>
      <c r="AH306" s="49">
        <v>32000</v>
      </c>
      <c r="AI306" s="49">
        <v>32000</v>
      </c>
      <c r="AJ306" s="49">
        <v>32000</v>
      </c>
      <c r="AK306" s="49">
        <v>32000</v>
      </c>
      <c r="AL306" s="49">
        <v>32000</v>
      </c>
      <c r="AM306" s="49">
        <v>32000</v>
      </c>
      <c r="AN306" s="49">
        <v>32000</v>
      </c>
      <c r="AO306" s="49">
        <v>32000</v>
      </c>
      <c r="AP306" s="49">
        <v>32000</v>
      </c>
      <c r="AQ306" s="49">
        <v>32000</v>
      </c>
      <c r="AR306" s="49"/>
      <c r="AS306" s="49">
        <f t="shared" si="15"/>
        <v>320000</v>
      </c>
      <c r="AT306" s="52" t="s">
        <v>237</v>
      </c>
      <c r="AU306" s="55"/>
    </row>
    <row r="307" spans="1:47" ht="16.5" hidden="1" customHeight="1" x14ac:dyDescent="0.35">
      <c r="A307" s="25" t="s">
        <v>63</v>
      </c>
      <c r="B307" s="25" t="s">
        <v>64</v>
      </c>
      <c r="C307" s="25" t="s">
        <v>1000</v>
      </c>
      <c r="D307" s="25">
        <v>847</v>
      </c>
      <c r="E307" s="25">
        <v>8471305</v>
      </c>
      <c r="F307" s="25" t="s">
        <v>1001</v>
      </c>
      <c r="G307" s="25">
        <v>1</v>
      </c>
      <c r="H307" s="276">
        <v>495113</v>
      </c>
      <c r="I307" s="25" t="s">
        <v>214</v>
      </c>
      <c r="J307" s="25" t="s">
        <v>60</v>
      </c>
      <c r="K307" s="25" t="s">
        <v>50</v>
      </c>
      <c r="L307" s="83">
        <v>847001</v>
      </c>
      <c r="M307" s="25" t="s">
        <v>192</v>
      </c>
      <c r="N307" s="25">
        <v>300180</v>
      </c>
      <c r="O307" s="3" t="s">
        <v>2820</v>
      </c>
      <c r="P307" s="26"/>
      <c r="Q307" s="26"/>
      <c r="R307" s="26">
        <v>250000</v>
      </c>
      <c r="S307" s="25" t="s">
        <v>215</v>
      </c>
      <c r="T307" s="25" t="s">
        <v>68</v>
      </c>
      <c r="U307" s="25">
        <v>2</v>
      </c>
      <c r="V307" s="26">
        <v>125000</v>
      </c>
      <c r="W307" s="25" t="s">
        <v>1135</v>
      </c>
      <c r="X307" s="26">
        <v>250000</v>
      </c>
      <c r="Y307" s="25" t="s">
        <v>55</v>
      </c>
      <c r="Z307" s="25" t="s">
        <v>56</v>
      </c>
      <c r="AA307" s="14">
        <f t="shared" si="12"/>
        <v>225000</v>
      </c>
      <c r="AB307" s="14">
        <f t="shared" si="13"/>
        <v>200000</v>
      </c>
      <c r="AC307" s="14">
        <f t="shared" si="14"/>
        <v>175000</v>
      </c>
      <c r="AD307" s="26" t="s">
        <v>1135</v>
      </c>
      <c r="AE307" s="26" t="s">
        <v>1135</v>
      </c>
      <c r="AF307" s="26" t="s">
        <v>1135</v>
      </c>
      <c r="AG307" s="49"/>
      <c r="AH307" s="49"/>
      <c r="AI307" s="49">
        <v>125000</v>
      </c>
      <c r="AJ307" s="49"/>
      <c r="AK307" s="49"/>
      <c r="AL307" s="49"/>
      <c r="AM307" s="49">
        <v>125000</v>
      </c>
      <c r="AN307" s="49"/>
      <c r="AO307" s="49"/>
      <c r="AP307" s="49"/>
      <c r="AQ307" s="49"/>
      <c r="AR307" s="49"/>
      <c r="AS307" s="49">
        <f t="shared" si="15"/>
        <v>250000</v>
      </c>
      <c r="AT307" s="52" t="s">
        <v>384</v>
      </c>
      <c r="AU307" s="55"/>
    </row>
    <row r="308" spans="1:47" ht="16.5" hidden="1" customHeight="1" x14ac:dyDescent="0.35">
      <c r="A308" s="25" t="s">
        <v>63</v>
      </c>
      <c r="B308" s="25" t="s">
        <v>64</v>
      </c>
      <c r="C308" s="25" t="s">
        <v>1000</v>
      </c>
      <c r="D308" s="25">
        <v>847</v>
      </c>
      <c r="E308" s="25">
        <v>8471305</v>
      </c>
      <c r="F308" s="25" t="s">
        <v>1001</v>
      </c>
      <c r="G308" s="25">
        <v>1</v>
      </c>
      <c r="H308" s="276">
        <v>492354</v>
      </c>
      <c r="I308" s="25" t="s">
        <v>204</v>
      </c>
      <c r="J308" s="25" t="s">
        <v>60</v>
      </c>
      <c r="K308" s="25" t="s">
        <v>50</v>
      </c>
      <c r="L308" s="83">
        <v>847001</v>
      </c>
      <c r="M308" s="25" t="s">
        <v>192</v>
      </c>
      <c r="N308" s="25">
        <v>300180</v>
      </c>
      <c r="O308" s="3" t="s">
        <v>2819</v>
      </c>
      <c r="P308" s="26">
        <v>4058968.47</v>
      </c>
      <c r="Q308" s="26">
        <v>638656</v>
      </c>
      <c r="R308" s="26">
        <v>638656</v>
      </c>
      <c r="S308" s="25" t="s">
        <v>205</v>
      </c>
      <c r="T308" s="25" t="s">
        <v>201</v>
      </c>
      <c r="U308" s="25">
        <v>1</v>
      </c>
      <c r="V308" s="26">
        <v>1098800</v>
      </c>
      <c r="W308" s="25" t="s">
        <v>1136</v>
      </c>
      <c r="X308" s="26">
        <v>1098800</v>
      </c>
      <c r="Y308" s="25" t="s">
        <v>55</v>
      </c>
      <c r="Z308" s="25" t="s">
        <v>56</v>
      </c>
      <c r="AA308" s="14">
        <f t="shared" si="12"/>
        <v>988920</v>
      </c>
      <c r="AB308" s="14">
        <f t="shared" si="13"/>
        <v>879040</v>
      </c>
      <c r="AC308" s="14">
        <f t="shared" si="14"/>
        <v>769160</v>
      </c>
      <c r="AD308" s="26" t="s">
        <v>1136</v>
      </c>
      <c r="AE308" s="26" t="s">
        <v>1136</v>
      </c>
      <c r="AF308" s="26" t="s">
        <v>1136</v>
      </c>
      <c r="AG308" s="49"/>
      <c r="AH308" s="49">
        <v>219760</v>
      </c>
      <c r="AI308" s="49"/>
      <c r="AJ308" s="49">
        <v>219760</v>
      </c>
      <c r="AK308" s="49">
        <v>219760</v>
      </c>
      <c r="AL308" s="49">
        <v>219760</v>
      </c>
      <c r="AM308" s="49">
        <v>219760</v>
      </c>
      <c r="AN308" s="49"/>
      <c r="AO308" s="49"/>
      <c r="AP308" s="49"/>
      <c r="AQ308" s="49"/>
      <c r="AR308" s="49"/>
      <c r="AS308" s="49">
        <f t="shared" si="15"/>
        <v>1098800</v>
      </c>
      <c r="AT308" s="52" t="s">
        <v>384</v>
      </c>
      <c r="AU308" s="55"/>
    </row>
    <row r="309" spans="1:47" ht="16.5" hidden="1" customHeight="1" x14ac:dyDescent="0.35">
      <c r="A309" s="25" t="s">
        <v>161</v>
      </c>
      <c r="B309" s="25" t="s">
        <v>220</v>
      </c>
      <c r="C309" s="25" t="s">
        <v>1000</v>
      </c>
      <c r="D309" s="25">
        <v>847</v>
      </c>
      <c r="E309" s="25">
        <v>8471305</v>
      </c>
      <c r="F309" s="25" t="s">
        <v>1001</v>
      </c>
      <c r="G309" s="25">
        <v>1</v>
      </c>
      <c r="H309" s="276">
        <v>492316</v>
      </c>
      <c r="I309" s="25" t="s">
        <v>221</v>
      </c>
      <c r="J309" s="25" t="s">
        <v>60</v>
      </c>
      <c r="K309" s="25" t="s">
        <v>50</v>
      </c>
      <c r="L309" s="83">
        <v>847001</v>
      </c>
      <c r="M309" s="25" t="s">
        <v>192</v>
      </c>
      <c r="N309" s="25">
        <v>300180</v>
      </c>
      <c r="O309" s="3" t="s">
        <v>1137</v>
      </c>
      <c r="P309" s="26">
        <v>11810091.060000001</v>
      </c>
      <c r="Q309" s="26">
        <v>17788291</v>
      </c>
      <c r="R309" s="26">
        <v>17788291</v>
      </c>
      <c r="S309" s="25" t="s">
        <v>495</v>
      </c>
      <c r="T309" s="25" t="s">
        <v>157</v>
      </c>
      <c r="U309" s="25">
        <v>1</v>
      </c>
      <c r="V309" s="26">
        <v>1800000</v>
      </c>
      <c r="W309" s="25" t="s">
        <v>1138</v>
      </c>
      <c r="X309" s="26">
        <v>1800000</v>
      </c>
      <c r="Y309" s="25" t="s">
        <v>55</v>
      </c>
      <c r="Z309" s="25" t="s">
        <v>56</v>
      </c>
      <c r="AA309" s="14">
        <f t="shared" si="12"/>
        <v>1620000</v>
      </c>
      <c r="AB309" s="14">
        <f t="shared" si="13"/>
        <v>1440000</v>
      </c>
      <c r="AC309" s="14">
        <f t="shared" si="14"/>
        <v>1260000</v>
      </c>
      <c r="AD309" s="26" t="s">
        <v>1138</v>
      </c>
      <c r="AE309" s="26" t="s">
        <v>1138</v>
      </c>
      <c r="AF309" s="26" t="s">
        <v>1138</v>
      </c>
      <c r="AG309" s="49"/>
      <c r="AH309" s="49">
        <v>600000</v>
      </c>
      <c r="AI309" s="49"/>
      <c r="AJ309" s="49">
        <v>600000</v>
      </c>
      <c r="AK309" s="49">
        <v>600000</v>
      </c>
      <c r="AL309" s="49"/>
      <c r="AM309" s="49"/>
      <c r="AN309" s="49"/>
      <c r="AO309" s="49"/>
      <c r="AP309" s="49"/>
      <c r="AQ309" s="49"/>
      <c r="AR309" s="49"/>
      <c r="AS309" s="49">
        <f t="shared" si="15"/>
        <v>1800000</v>
      </c>
      <c r="AT309" s="52" t="s">
        <v>384</v>
      </c>
      <c r="AU309" s="55"/>
    </row>
    <row r="310" spans="1:47" ht="16.5" hidden="1" customHeight="1" x14ac:dyDescent="0.35">
      <c r="A310" s="25" t="s">
        <v>161</v>
      </c>
      <c r="B310" s="25" t="s">
        <v>220</v>
      </c>
      <c r="C310" s="25" t="s">
        <v>1000</v>
      </c>
      <c r="D310" s="25">
        <v>847</v>
      </c>
      <c r="E310" s="25">
        <v>8471305</v>
      </c>
      <c r="F310" s="25" t="s">
        <v>1001</v>
      </c>
      <c r="G310" s="25">
        <v>1</v>
      </c>
      <c r="H310" s="276">
        <v>492316</v>
      </c>
      <c r="I310" s="25" t="s">
        <v>221</v>
      </c>
      <c r="J310" s="25" t="s">
        <v>60</v>
      </c>
      <c r="K310" s="25" t="s">
        <v>50</v>
      </c>
      <c r="L310" s="83">
        <v>847001</v>
      </c>
      <c r="M310" s="25" t="s">
        <v>192</v>
      </c>
      <c r="N310" s="25">
        <v>300180</v>
      </c>
      <c r="O310" s="3" t="s">
        <v>1137</v>
      </c>
      <c r="P310" s="26"/>
      <c r="Q310" s="26"/>
      <c r="R310" s="26"/>
      <c r="S310" s="25" t="s">
        <v>969</v>
      </c>
      <c r="T310" s="25" t="s">
        <v>157</v>
      </c>
      <c r="U310" s="25">
        <v>1</v>
      </c>
      <c r="V310" s="26">
        <v>21822096</v>
      </c>
      <c r="W310" s="25" t="s">
        <v>1110</v>
      </c>
      <c r="X310" s="26">
        <v>21822096</v>
      </c>
      <c r="Y310" s="25" t="s">
        <v>55</v>
      </c>
      <c r="Z310" s="25" t="s">
        <v>56</v>
      </c>
      <c r="AA310" s="14">
        <f t="shared" si="12"/>
        <v>19639886.400000002</v>
      </c>
      <c r="AB310" s="14">
        <f t="shared" si="13"/>
        <v>17457676.800000001</v>
      </c>
      <c r="AC310" s="14">
        <f t="shared" si="14"/>
        <v>15275467.199999999</v>
      </c>
      <c r="AD310" s="26" t="s">
        <v>1110</v>
      </c>
      <c r="AE310" s="26" t="s">
        <v>1110</v>
      </c>
      <c r="AF310" s="26" t="s">
        <v>1110</v>
      </c>
      <c r="AG310" s="49"/>
      <c r="AH310" s="49">
        <v>5455524</v>
      </c>
      <c r="AI310" s="49">
        <v>5455524</v>
      </c>
      <c r="AJ310" s="49">
        <v>5455524</v>
      </c>
      <c r="AK310" s="49">
        <v>5455524</v>
      </c>
      <c r="AL310" s="49"/>
      <c r="AM310" s="49"/>
      <c r="AN310" s="49"/>
      <c r="AO310" s="49"/>
      <c r="AP310" s="49"/>
      <c r="AQ310" s="49"/>
      <c r="AR310" s="49"/>
      <c r="AS310" s="49">
        <f t="shared" si="15"/>
        <v>21822096</v>
      </c>
      <c r="AT310" s="52" t="s">
        <v>384</v>
      </c>
      <c r="AU310" s="55"/>
    </row>
    <row r="311" spans="1:47" ht="16.5" hidden="1" customHeight="1" x14ac:dyDescent="0.35">
      <c r="A311" s="25" t="s">
        <v>189</v>
      </c>
      <c r="B311" s="25" t="s">
        <v>58</v>
      </c>
      <c r="C311" s="25" t="s">
        <v>1000</v>
      </c>
      <c r="D311" s="25">
        <v>847</v>
      </c>
      <c r="E311" s="25">
        <v>8471305</v>
      </c>
      <c r="F311" s="25" t="s">
        <v>1001</v>
      </c>
      <c r="G311" s="25">
        <v>1</v>
      </c>
      <c r="H311" s="276">
        <v>422900</v>
      </c>
      <c r="I311" s="25" t="s">
        <v>1139</v>
      </c>
      <c r="J311" s="25" t="s">
        <v>60</v>
      </c>
      <c r="K311" s="25" t="s">
        <v>50</v>
      </c>
      <c r="L311" s="83">
        <v>847001</v>
      </c>
      <c r="M311" s="25" t="s">
        <v>61</v>
      </c>
      <c r="N311" s="25">
        <v>200179</v>
      </c>
      <c r="O311" s="3" t="s">
        <v>1140</v>
      </c>
      <c r="P311" s="26">
        <v>53742.06</v>
      </c>
      <c r="Q311" s="26">
        <v>53742.06</v>
      </c>
      <c r="R311" s="26">
        <v>53742.06</v>
      </c>
      <c r="S311" s="25" t="s">
        <v>1141</v>
      </c>
      <c r="T311" s="25" t="s">
        <v>1142</v>
      </c>
      <c r="U311" s="25">
        <v>10</v>
      </c>
      <c r="V311" s="26">
        <v>22500</v>
      </c>
      <c r="W311" s="25" t="s">
        <v>1143</v>
      </c>
      <c r="X311" s="26">
        <v>225000</v>
      </c>
      <c r="Y311" s="25" t="s">
        <v>55</v>
      </c>
      <c r="Z311" s="25" t="s">
        <v>56</v>
      </c>
      <c r="AA311" s="14">
        <f t="shared" si="12"/>
        <v>202500</v>
      </c>
      <c r="AB311" s="14">
        <f t="shared" si="13"/>
        <v>180000</v>
      </c>
      <c r="AC311" s="14">
        <f t="shared" si="14"/>
        <v>157500</v>
      </c>
      <c r="AD311" s="26" t="s">
        <v>1143</v>
      </c>
      <c r="AE311" s="26" t="s">
        <v>1143</v>
      </c>
      <c r="AF311" s="26" t="s">
        <v>1143</v>
      </c>
      <c r="AG311" s="49"/>
      <c r="AH311" s="49">
        <v>22500</v>
      </c>
      <c r="AI311" s="49">
        <v>22500</v>
      </c>
      <c r="AJ311" s="49">
        <v>22500</v>
      </c>
      <c r="AK311" s="49">
        <v>22500</v>
      </c>
      <c r="AL311" s="49">
        <v>22500</v>
      </c>
      <c r="AM311" s="49">
        <v>22500</v>
      </c>
      <c r="AN311" s="49">
        <v>22500</v>
      </c>
      <c r="AO311" s="49">
        <v>22500</v>
      </c>
      <c r="AP311" s="49">
        <v>22500</v>
      </c>
      <c r="AQ311" s="49">
        <v>22500</v>
      </c>
      <c r="AR311" s="49"/>
      <c r="AS311" s="49">
        <f t="shared" si="15"/>
        <v>225000</v>
      </c>
      <c r="AT311" s="52" t="s">
        <v>384</v>
      </c>
      <c r="AU311" s="55"/>
    </row>
    <row r="312" spans="1:47" ht="16.5" hidden="1" customHeight="1" x14ac:dyDescent="0.35">
      <c r="A312" s="25" t="s">
        <v>189</v>
      </c>
      <c r="B312" s="25" t="s">
        <v>58</v>
      </c>
      <c r="C312" s="25" t="s">
        <v>1000</v>
      </c>
      <c r="D312" s="25">
        <v>847</v>
      </c>
      <c r="E312" s="25">
        <v>8471305</v>
      </c>
      <c r="F312" s="25" t="s">
        <v>1001</v>
      </c>
      <c r="G312" s="25">
        <v>1</v>
      </c>
      <c r="H312" s="276">
        <v>436110</v>
      </c>
      <c r="I312" s="25" t="s">
        <v>190</v>
      </c>
      <c r="J312" s="25" t="s">
        <v>60</v>
      </c>
      <c r="K312" s="25" t="s">
        <v>50</v>
      </c>
      <c r="L312" s="83">
        <v>847001</v>
      </c>
      <c r="M312" s="25" t="s">
        <v>61</v>
      </c>
      <c r="N312" s="25">
        <v>200179</v>
      </c>
      <c r="O312" s="3" t="s">
        <v>1144</v>
      </c>
      <c r="P312" s="26" t="s">
        <v>46</v>
      </c>
      <c r="Q312" s="26" t="s">
        <v>46</v>
      </c>
      <c r="R312" s="26">
        <v>200000</v>
      </c>
      <c r="S312" s="25" t="s">
        <v>488</v>
      </c>
      <c r="T312" s="25" t="s">
        <v>157</v>
      </c>
      <c r="U312" s="25">
        <v>1</v>
      </c>
      <c r="V312" s="26">
        <v>300000</v>
      </c>
      <c r="W312" s="25" t="s">
        <v>1145</v>
      </c>
      <c r="X312" s="26">
        <v>300000</v>
      </c>
      <c r="Y312" s="25" t="s">
        <v>55</v>
      </c>
      <c r="Z312" s="25" t="s">
        <v>56</v>
      </c>
      <c r="AA312" s="14">
        <f t="shared" si="12"/>
        <v>270000</v>
      </c>
      <c r="AB312" s="14">
        <f t="shared" si="13"/>
        <v>240000</v>
      </c>
      <c r="AC312" s="14">
        <f t="shared" si="14"/>
        <v>210000</v>
      </c>
      <c r="AD312" s="26" t="s">
        <v>1145</v>
      </c>
      <c r="AE312" s="26" t="s">
        <v>1145</v>
      </c>
      <c r="AF312" s="26" t="s">
        <v>1145</v>
      </c>
      <c r="AG312" s="49"/>
      <c r="AH312" s="49">
        <v>30000</v>
      </c>
      <c r="AI312" s="49">
        <v>30000</v>
      </c>
      <c r="AJ312" s="49">
        <v>30000</v>
      </c>
      <c r="AK312" s="49">
        <v>30000</v>
      </c>
      <c r="AL312" s="49">
        <v>30000</v>
      </c>
      <c r="AM312" s="49">
        <v>30000</v>
      </c>
      <c r="AN312" s="49">
        <v>30000</v>
      </c>
      <c r="AO312" s="49">
        <v>30000</v>
      </c>
      <c r="AP312" s="49">
        <v>30000</v>
      </c>
      <c r="AQ312" s="49">
        <v>30000</v>
      </c>
      <c r="AR312" s="49"/>
      <c r="AS312" s="49">
        <f t="shared" si="15"/>
        <v>300000</v>
      </c>
      <c r="AT312" s="52" t="s">
        <v>379</v>
      </c>
      <c r="AU312" s="55"/>
    </row>
    <row r="313" spans="1:47" ht="16.5" hidden="1" customHeight="1" x14ac:dyDescent="0.35">
      <c r="A313" s="25" t="s">
        <v>189</v>
      </c>
      <c r="B313" s="25" t="s">
        <v>58</v>
      </c>
      <c r="C313" s="25" t="s">
        <v>1000</v>
      </c>
      <c r="D313" s="25">
        <v>847</v>
      </c>
      <c r="E313" s="25">
        <v>8471305</v>
      </c>
      <c r="F313" s="25" t="s">
        <v>1001</v>
      </c>
      <c r="G313" s="25">
        <v>1</v>
      </c>
      <c r="H313" s="276">
        <v>425100</v>
      </c>
      <c r="I313" s="25" t="s">
        <v>1146</v>
      </c>
      <c r="J313" s="25" t="s">
        <v>60</v>
      </c>
      <c r="K313" s="25" t="s">
        <v>50</v>
      </c>
      <c r="L313" s="83">
        <v>847001</v>
      </c>
      <c r="M313" s="25" t="s">
        <v>61</v>
      </c>
      <c r="N313" s="25">
        <v>200179</v>
      </c>
      <c r="O313" s="3" t="s">
        <v>1147</v>
      </c>
      <c r="P313" s="26" t="s">
        <v>46</v>
      </c>
      <c r="Q313" s="26" t="s">
        <v>46</v>
      </c>
      <c r="R313" s="26"/>
      <c r="S313" s="25" t="s">
        <v>1148</v>
      </c>
      <c r="T313" s="25"/>
      <c r="U313" s="25">
        <v>1</v>
      </c>
      <c r="V313" s="26">
        <v>250000</v>
      </c>
      <c r="W313" s="25" t="s">
        <v>1149</v>
      </c>
      <c r="X313" s="27">
        <v>250000</v>
      </c>
      <c r="Y313" s="25" t="s">
        <v>55</v>
      </c>
      <c r="Z313" s="25" t="s">
        <v>56</v>
      </c>
      <c r="AA313" s="14">
        <f t="shared" si="12"/>
        <v>225000</v>
      </c>
      <c r="AB313" s="14">
        <f t="shared" si="13"/>
        <v>200000</v>
      </c>
      <c r="AC313" s="14">
        <f t="shared" si="14"/>
        <v>175000</v>
      </c>
      <c r="AD313" s="26" t="s">
        <v>1149</v>
      </c>
      <c r="AE313" s="26" t="s">
        <v>1149</v>
      </c>
      <c r="AF313" s="26" t="s">
        <v>1149</v>
      </c>
      <c r="AG313" s="49"/>
      <c r="AH313" s="49">
        <v>25000</v>
      </c>
      <c r="AI313" s="49">
        <v>25000</v>
      </c>
      <c r="AJ313" s="49">
        <v>25000</v>
      </c>
      <c r="AK313" s="49">
        <v>25000</v>
      </c>
      <c r="AL313" s="49">
        <v>25000</v>
      </c>
      <c r="AM313" s="49">
        <v>25000</v>
      </c>
      <c r="AN313" s="49">
        <v>25000</v>
      </c>
      <c r="AO313" s="49">
        <v>25000</v>
      </c>
      <c r="AP313" s="49">
        <v>25000</v>
      </c>
      <c r="AQ313" s="49">
        <v>25000</v>
      </c>
      <c r="AR313" s="49"/>
      <c r="AS313" s="49">
        <f t="shared" si="15"/>
        <v>250000</v>
      </c>
      <c r="AT313" s="52" t="s">
        <v>237</v>
      </c>
      <c r="AU313" s="55"/>
    </row>
    <row r="314" spans="1:47" ht="16.5" hidden="1" customHeight="1" x14ac:dyDescent="0.35">
      <c r="A314" s="25" t="s">
        <v>189</v>
      </c>
      <c r="B314" s="25" t="s">
        <v>58</v>
      </c>
      <c r="C314" s="25" t="s">
        <v>47</v>
      </c>
      <c r="D314" s="25">
        <v>847</v>
      </c>
      <c r="E314" s="25">
        <v>8470620</v>
      </c>
      <c r="F314" s="25" t="s">
        <v>1150</v>
      </c>
      <c r="G314" s="25">
        <v>1</v>
      </c>
      <c r="H314" s="276">
        <v>420130</v>
      </c>
      <c r="I314" s="25" t="s">
        <v>1151</v>
      </c>
      <c r="J314" s="25" t="s">
        <v>60</v>
      </c>
      <c r="K314" s="25" t="s">
        <v>50</v>
      </c>
      <c r="L314" s="83">
        <v>847001</v>
      </c>
      <c r="M314" s="25" t="s">
        <v>61</v>
      </c>
      <c r="N314" s="25">
        <v>200179</v>
      </c>
      <c r="O314" s="3" t="s">
        <v>1152</v>
      </c>
      <c r="P314" s="26">
        <v>203515</v>
      </c>
      <c r="Q314" s="26">
        <v>295000</v>
      </c>
      <c r="R314" s="26">
        <v>283000</v>
      </c>
      <c r="S314" s="25" t="s">
        <v>1153</v>
      </c>
      <c r="T314" s="25" t="s">
        <v>1154</v>
      </c>
      <c r="U314" s="25">
        <v>1</v>
      </c>
      <c r="V314" s="26">
        <v>236850</v>
      </c>
      <c r="W314" s="25" t="s">
        <v>1155</v>
      </c>
      <c r="X314" s="26">
        <v>236850</v>
      </c>
      <c r="Y314" s="25" t="s">
        <v>55</v>
      </c>
      <c r="Z314" s="25" t="s">
        <v>56</v>
      </c>
      <c r="AA314" s="14">
        <f t="shared" si="12"/>
        <v>213165</v>
      </c>
      <c r="AB314" s="14">
        <f t="shared" si="13"/>
        <v>189480</v>
      </c>
      <c r="AC314" s="14">
        <f t="shared" si="14"/>
        <v>165795</v>
      </c>
      <c r="AD314" s="26" t="s">
        <v>1156</v>
      </c>
      <c r="AE314" s="26" t="s">
        <v>1156</v>
      </c>
      <c r="AF314" s="26" t="s">
        <v>1156</v>
      </c>
      <c r="AG314" s="49"/>
      <c r="AH314" s="49"/>
      <c r="AI314" s="49"/>
      <c r="AJ314" s="49">
        <v>201500</v>
      </c>
      <c r="AK314" s="49"/>
      <c r="AL314" s="49"/>
      <c r="AM314" s="49"/>
      <c r="AN314" s="49">
        <v>35350</v>
      </c>
      <c r="AO314" s="49"/>
      <c r="AP314" s="49"/>
      <c r="AQ314" s="49"/>
      <c r="AR314" s="49"/>
      <c r="AS314" s="49">
        <f t="shared" si="15"/>
        <v>236850</v>
      </c>
      <c r="AT314" s="52" t="s">
        <v>272</v>
      </c>
      <c r="AU314" s="55"/>
    </row>
    <row r="315" spans="1:47" ht="16.5" hidden="1" customHeight="1" x14ac:dyDescent="0.35">
      <c r="A315" s="25" t="s">
        <v>189</v>
      </c>
      <c r="B315" s="25" t="s">
        <v>58</v>
      </c>
      <c r="C315" s="25" t="s">
        <v>47</v>
      </c>
      <c r="D315" s="25">
        <v>847</v>
      </c>
      <c r="E315" s="25">
        <v>8470620</v>
      </c>
      <c r="F315" s="25" t="s">
        <v>1150</v>
      </c>
      <c r="G315" s="25">
        <v>1</v>
      </c>
      <c r="H315" s="276">
        <v>422900</v>
      </c>
      <c r="I315" s="25" t="s">
        <v>1157</v>
      </c>
      <c r="J315" s="25" t="s">
        <v>60</v>
      </c>
      <c r="K315" s="25" t="s">
        <v>50</v>
      </c>
      <c r="L315" s="83">
        <v>847001</v>
      </c>
      <c r="M315" s="25" t="s">
        <v>61</v>
      </c>
      <c r="N315" s="25">
        <v>200179</v>
      </c>
      <c r="O315" s="3" t="s">
        <v>1158</v>
      </c>
      <c r="P315" s="26" t="s">
        <v>46</v>
      </c>
      <c r="Q315" s="26">
        <v>416100</v>
      </c>
      <c r="R315" s="26">
        <v>416100</v>
      </c>
      <c r="S315" s="25" t="s">
        <v>1159</v>
      </c>
      <c r="T315" s="25" t="s">
        <v>157</v>
      </c>
      <c r="U315" s="25">
        <v>1</v>
      </c>
      <c r="V315" s="26">
        <v>210000</v>
      </c>
      <c r="W315" s="25" t="s">
        <v>1160</v>
      </c>
      <c r="X315" s="26">
        <v>210000</v>
      </c>
      <c r="Y315" s="25" t="s">
        <v>210</v>
      </c>
      <c r="Z315" s="25" t="s">
        <v>197</v>
      </c>
      <c r="AA315" s="14">
        <f t="shared" si="12"/>
        <v>189000</v>
      </c>
      <c r="AB315" s="14">
        <f t="shared" si="13"/>
        <v>168000</v>
      </c>
      <c r="AC315" s="14">
        <f t="shared" si="14"/>
        <v>147000</v>
      </c>
      <c r="AD315" s="26" t="s">
        <v>1161</v>
      </c>
      <c r="AE315" s="26" t="s">
        <v>1161</v>
      </c>
      <c r="AF315" s="26" t="s">
        <v>1161</v>
      </c>
      <c r="AG315" s="49">
        <v>210000</v>
      </c>
      <c r="AH315" s="49"/>
      <c r="AI315" s="49"/>
      <c r="AJ315" s="49"/>
      <c r="AK315" s="49"/>
      <c r="AL315" s="49"/>
      <c r="AM315" s="49"/>
      <c r="AN315" s="49"/>
      <c r="AO315" s="49"/>
      <c r="AP315" s="49"/>
      <c r="AQ315" s="49"/>
      <c r="AR315" s="49"/>
      <c r="AS315" s="49">
        <f t="shared" si="15"/>
        <v>210000</v>
      </c>
      <c r="AT315" s="52" t="s">
        <v>295</v>
      </c>
      <c r="AU315" s="55"/>
    </row>
    <row r="316" spans="1:47" ht="16.5" hidden="1" customHeight="1" x14ac:dyDescent="0.35">
      <c r="A316" s="25" t="s">
        <v>189</v>
      </c>
      <c r="B316" s="25" t="s">
        <v>58</v>
      </c>
      <c r="C316" s="25" t="s">
        <v>47</v>
      </c>
      <c r="D316" s="25">
        <v>847</v>
      </c>
      <c r="E316" s="25">
        <v>8470620</v>
      </c>
      <c r="F316" s="25" t="s">
        <v>1150</v>
      </c>
      <c r="G316" s="25">
        <v>1</v>
      </c>
      <c r="H316" s="276">
        <v>422900</v>
      </c>
      <c r="I316" s="25" t="s">
        <v>1157</v>
      </c>
      <c r="J316" s="25" t="s">
        <v>60</v>
      </c>
      <c r="K316" s="25" t="s">
        <v>50</v>
      </c>
      <c r="L316" s="83" t="s">
        <v>51</v>
      </c>
      <c r="M316" s="25" t="s">
        <v>61</v>
      </c>
      <c r="N316" s="25">
        <v>200179</v>
      </c>
      <c r="O316" s="3" t="s">
        <v>1158</v>
      </c>
      <c r="P316" s="26">
        <v>0</v>
      </c>
      <c r="Q316" s="26">
        <v>0</v>
      </c>
      <c r="R316" s="26">
        <v>0</v>
      </c>
      <c r="S316" s="25" t="s">
        <v>1159</v>
      </c>
      <c r="T316" s="25" t="s">
        <v>157</v>
      </c>
      <c r="U316" s="25">
        <v>1</v>
      </c>
      <c r="V316" s="26">
        <v>375000</v>
      </c>
      <c r="W316" s="25" t="s">
        <v>1162</v>
      </c>
      <c r="X316" s="26">
        <v>375000</v>
      </c>
      <c r="Y316" s="25" t="s">
        <v>210</v>
      </c>
      <c r="Z316" s="25" t="s">
        <v>197</v>
      </c>
      <c r="AA316" s="14">
        <f t="shared" si="12"/>
        <v>337500</v>
      </c>
      <c r="AB316" s="14">
        <f t="shared" si="13"/>
        <v>300000</v>
      </c>
      <c r="AC316" s="14">
        <f t="shared" si="14"/>
        <v>262500</v>
      </c>
      <c r="AD316" s="26" t="s">
        <v>1161</v>
      </c>
      <c r="AE316" s="26" t="s">
        <v>1161</v>
      </c>
      <c r="AF316" s="26" t="s">
        <v>1161</v>
      </c>
      <c r="AG316" s="49">
        <v>375000</v>
      </c>
      <c r="AH316" s="49"/>
      <c r="AI316" s="49"/>
      <c r="AJ316" s="49"/>
      <c r="AK316" s="49"/>
      <c r="AL316" s="49"/>
      <c r="AM316" s="49"/>
      <c r="AN316" s="49"/>
      <c r="AO316" s="49"/>
      <c r="AP316" s="49"/>
      <c r="AQ316" s="49"/>
      <c r="AR316" s="49"/>
      <c r="AS316" s="49">
        <f t="shared" si="15"/>
        <v>375000</v>
      </c>
      <c r="AT316" s="52" t="s">
        <v>295</v>
      </c>
      <c r="AU316" s="55"/>
    </row>
    <row r="317" spans="1:47" ht="16.5" hidden="1" customHeight="1" x14ac:dyDescent="0.35">
      <c r="A317" s="25" t="s">
        <v>1163</v>
      </c>
      <c r="B317" s="25" t="s">
        <v>58</v>
      </c>
      <c r="C317" s="25" t="s">
        <v>47</v>
      </c>
      <c r="D317" s="25">
        <v>847</v>
      </c>
      <c r="E317" s="25">
        <v>8470620</v>
      </c>
      <c r="F317" s="25" t="s">
        <v>1150</v>
      </c>
      <c r="G317" s="25">
        <v>1</v>
      </c>
      <c r="H317" s="276">
        <v>425300</v>
      </c>
      <c r="I317" s="25" t="s">
        <v>1164</v>
      </c>
      <c r="J317" s="25" t="s">
        <v>60</v>
      </c>
      <c r="K317" s="25" t="s">
        <v>50</v>
      </c>
      <c r="L317" s="83">
        <v>847001</v>
      </c>
      <c r="M317" s="25" t="s">
        <v>61</v>
      </c>
      <c r="N317" s="25">
        <v>200179</v>
      </c>
      <c r="O317" s="3" t="s">
        <v>1165</v>
      </c>
      <c r="P317" s="26">
        <v>1157.08</v>
      </c>
      <c r="Q317" s="26">
        <v>3600</v>
      </c>
      <c r="R317" s="26">
        <v>1800</v>
      </c>
      <c r="S317" s="25" t="s">
        <v>1166</v>
      </c>
      <c r="T317" s="25" t="s">
        <v>157</v>
      </c>
      <c r="U317" s="25">
        <v>1</v>
      </c>
      <c r="V317" s="26">
        <v>2400</v>
      </c>
      <c r="W317" s="25" t="s">
        <v>1167</v>
      </c>
      <c r="X317" s="26">
        <v>2400</v>
      </c>
      <c r="Y317" s="25" t="s">
        <v>55</v>
      </c>
      <c r="Z317" s="25" t="s">
        <v>56</v>
      </c>
      <c r="AA317" s="14">
        <f t="shared" si="12"/>
        <v>2160</v>
      </c>
      <c r="AB317" s="14">
        <f t="shared" si="13"/>
        <v>1920</v>
      </c>
      <c r="AC317" s="14">
        <f t="shared" si="14"/>
        <v>1680</v>
      </c>
      <c r="AD317" s="26" t="s">
        <v>1168</v>
      </c>
      <c r="AE317" s="26" t="s">
        <v>1168</v>
      </c>
      <c r="AF317" s="26" t="s">
        <v>1168</v>
      </c>
      <c r="AG317" s="49">
        <v>200</v>
      </c>
      <c r="AH317" s="49">
        <v>200</v>
      </c>
      <c r="AI317" s="49">
        <v>200</v>
      </c>
      <c r="AJ317" s="49">
        <v>200</v>
      </c>
      <c r="AK317" s="49">
        <v>200</v>
      </c>
      <c r="AL317" s="49">
        <v>200</v>
      </c>
      <c r="AM317" s="49">
        <v>200</v>
      </c>
      <c r="AN317" s="49">
        <v>200</v>
      </c>
      <c r="AO317" s="49">
        <v>200</v>
      </c>
      <c r="AP317" s="49">
        <v>200</v>
      </c>
      <c r="AQ317" s="49">
        <v>200</v>
      </c>
      <c r="AR317" s="49">
        <v>200</v>
      </c>
      <c r="AS317" s="49">
        <f t="shared" si="15"/>
        <v>2400</v>
      </c>
      <c r="AT317" s="52" t="s">
        <v>295</v>
      </c>
      <c r="AU317" s="55"/>
    </row>
    <row r="318" spans="1:47" ht="16.5" hidden="1" customHeight="1" x14ac:dyDescent="0.35">
      <c r="A318" s="25" t="s">
        <v>1163</v>
      </c>
      <c r="B318" s="25" t="s">
        <v>58</v>
      </c>
      <c r="C318" s="25" t="s">
        <v>47</v>
      </c>
      <c r="D318" s="25">
        <v>847</v>
      </c>
      <c r="E318" s="25">
        <v>8470620</v>
      </c>
      <c r="F318" s="25" t="s">
        <v>1150</v>
      </c>
      <c r="G318" s="25">
        <v>1</v>
      </c>
      <c r="H318" s="276">
        <v>425350</v>
      </c>
      <c r="I318" s="25" t="s">
        <v>1169</v>
      </c>
      <c r="J318" s="25" t="s">
        <v>60</v>
      </c>
      <c r="K318" s="25" t="s">
        <v>50</v>
      </c>
      <c r="L318" s="83">
        <v>847001</v>
      </c>
      <c r="M318" s="25" t="s">
        <v>61</v>
      </c>
      <c r="N318" s="25">
        <v>200179</v>
      </c>
      <c r="O318" s="3" t="s">
        <v>1170</v>
      </c>
      <c r="P318" s="26">
        <v>57762.92</v>
      </c>
      <c r="Q318" s="26">
        <v>90000</v>
      </c>
      <c r="R318" s="26">
        <v>90000</v>
      </c>
      <c r="S318" s="25" t="s">
        <v>1171</v>
      </c>
      <c r="T318" s="25" t="s">
        <v>157</v>
      </c>
      <c r="U318" s="25">
        <v>1</v>
      </c>
      <c r="V318" s="26">
        <v>117000</v>
      </c>
      <c r="W318" s="25" t="s">
        <v>1172</v>
      </c>
      <c r="X318" s="26">
        <v>117000</v>
      </c>
      <c r="Y318" s="25" t="s">
        <v>55</v>
      </c>
      <c r="Z318" s="25" t="s">
        <v>56</v>
      </c>
      <c r="AA318" s="14">
        <f t="shared" si="12"/>
        <v>105300</v>
      </c>
      <c r="AB318" s="14">
        <f t="shared" si="13"/>
        <v>93600</v>
      </c>
      <c r="AC318" s="14">
        <f t="shared" si="14"/>
        <v>81900</v>
      </c>
      <c r="AD318" s="26" t="s">
        <v>1173</v>
      </c>
      <c r="AE318" s="26" t="s">
        <v>1173</v>
      </c>
      <c r="AF318" s="26" t="s">
        <v>1173</v>
      </c>
      <c r="AG318" s="49">
        <v>9750</v>
      </c>
      <c r="AH318" s="49">
        <v>9750</v>
      </c>
      <c r="AI318" s="49">
        <v>9750</v>
      </c>
      <c r="AJ318" s="49">
        <v>9750</v>
      </c>
      <c r="AK318" s="49">
        <v>9750</v>
      </c>
      <c r="AL318" s="49">
        <v>9750</v>
      </c>
      <c r="AM318" s="49">
        <v>9750</v>
      </c>
      <c r="AN318" s="49">
        <v>9750</v>
      </c>
      <c r="AO318" s="49">
        <v>9750</v>
      </c>
      <c r="AP318" s="49">
        <v>9750</v>
      </c>
      <c r="AQ318" s="49">
        <v>9750</v>
      </c>
      <c r="AR318" s="49">
        <v>9750</v>
      </c>
      <c r="AS318" s="49">
        <f t="shared" si="15"/>
        <v>117000</v>
      </c>
      <c r="AT318" s="52" t="s">
        <v>295</v>
      </c>
      <c r="AU318" s="55"/>
    </row>
    <row r="319" spans="1:47" ht="16.5" hidden="1" customHeight="1" x14ac:dyDescent="0.35">
      <c r="A319" s="25" t="s">
        <v>63</v>
      </c>
      <c r="B319" s="25" t="s">
        <v>64</v>
      </c>
      <c r="C319" s="25" t="s">
        <v>47</v>
      </c>
      <c r="D319" s="25">
        <v>847</v>
      </c>
      <c r="E319" s="25">
        <v>8470620</v>
      </c>
      <c r="F319" s="25" t="s">
        <v>1150</v>
      </c>
      <c r="G319" s="25">
        <v>1</v>
      </c>
      <c r="H319" s="276">
        <v>426610</v>
      </c>
      <c r="I319" s="25" t="s">
        <v>74</v>
      </c>
      <c r="J319" s="25" t="s">
        <v>60</v>
      </c>
      <c r="K319" s="25" t="s">
        <v>50</v>
      </c>
      <c r="L319" s="83">
        <v>847001</v>
      </c>
      <c r="M319" s="25" t="s">
        <v>61</v>
      </c>
      <c r="N319" s="25">
        <v>200179</v>
      </c>
      <c r="O319" s="3" t="s">
        <v>1174</v>
      </c>
      <c r="P319" s="26">
        <v>31680</v>
      </c>
      <c r="Q319" s="26">
        <v>31680</v>
      </c>
      <c r="R319" s="26">
        <v>31680</v>
      </c>
      <c r="S319" s="25" t="s">
        <v>274</v>
      </c>
      <c r="T319" s="25" t="s">
        <v>157</v>
      </c>
      <c r="U319" s="25">
        <v>11</v>
      </c>
      <c r="V319" s="26">
        <v>2880</v>
      </c>
      <c r="W319" s="25" t="s">
        <v>1175</v>
      </c>
      <c r="X319" s="26">
        <v>31680</v>
      </c>
      <c r="Y319" s="25" t="s">
        <v>55</v>
      </c>
      <c r="Z319" s="25" t="s">
        <v>56</v>
      </c>
      <c r="AA319" s="14">
        <f t="shared" si="12"/>
        <v>28512</v>
      </c>
      <c r="AB319" s="14">
        <f t="shared" si="13"/>
        <v>25344</v>
      </c>
      <c r="AC319" s="14">
        <f t="shared" si="14"/>
        <v>22176</v>
      </c>
      <c r="AD319" s="26" t="s">
        <v>1176</v>
      </c>
      <c r="AE319" s="26" t="s">
        <v>1176</v>
      </c>
      <c r="AF319" s="26" t="s">
        <v>1176</v>
      </c>
      <c r="AG319" s="49"/>
      <c r="AH319" s="49"/>
      <c r="AI319" s="49"/>
      <c r="AJ319" s="49">
        <v>31680</v>
      </c>
      <c r="AK319" s="49"/>
      <c r="AL319" s="49"/>
      <c r="AM319" s="49"/>
      <c r="AN319" s="49"/>
      <c r="AO319" s="49"/>
      <c r="AP319" s="49"/>
      <c r="AQ319" s="49"/>
      <c r="AR319" s="49"/>
      <c r="AS319" s="49">
        <f t="shared" si="15"/>
        <v>31680</v>
      </c>
      <c r="AT319" s="52" t="s">
        <v>272</v>
      </c>
      <c r="AU319" s="55"/>
    </row>
    <row r="320" spans="1:47" ht="16.5" hidden="1" customHeight="1" x14ac:dyDescent="0.35">
      <c r="A320" s="25" t="s">
        <v>189</v>
      </c>
      <c r="B320" s="25" t="s">
        <v>58</v>
      </c>
      <c r="C320" s="25" t="s">
        <v>47</v>
      </c>
      <c r="D320" s="25">
        <v>847</v>
      </c>
      <c r="E320" s="25">
        <v>8470620</v>
      </c>
      <c r="F320" s="25" t="s">
        <v>1150</v>
      </c>
      <c r="G320" s="25">
        <v>1</v>
      </c>
      <c r="H320" s="276">
        <v>436110</v>
      </c>
      <c r="I320" s="25" t="s">
        <v>190</v>
      </c>
      <c r="J320" s="25" t="s">
        <v>60</v>
      </c>
      <c r="K320" s="25" t="s">
        <v>50</v>
      </c>
      <c r="L320" s="83">
        <v>847001</v>
      </c>
      <c r="M320" s="25" t="s">
        <v>61</v>
      </c>
      <c r="N320" s="25">
        <v>200179</v>
      </c>
      <c r="O320" s="3" t="s">
        <v>1177</v>
      </c>
      <c r="P320" s="26">
        <v>4566.87</v>
      </c>
      <c r="Q320" s="26">
        <v>0</v>
      </c>
      <c r="R320" s="26">
        <v>0</v>
      </c>
      <c r="S320" s="25" t="s">
        <v>488</v>
      </c>
      <c r="T320" s="25" t="s">
        <v>157</v>
      </c>
      <c r="U320" s="25">
        <v>4000</v>
      </c>
      <c r="V320" s="26">
        <v>1</v>
      </c>
      <c r="W320" s="25" t="s">
        <v>1178</v>
      </c>
      <c r="X320" s="26">
        <v>4000</v>
      </c>
      <c r="Y320" s="25" t="s">
        <v>55</v>
      </c>
      <c r="Z320" s="25" t="s">
        <v>56</v>
      </c>
      <c r="AA320" s="14">
        <f t="shared" si="12"/>
        <v>3600</v>
      </c>
      <c r="AB320" s="14">
        <f t="shared" si="13"/>
        <v>3200</v>
      </c>
      <c r="AC320" s="14">
        <f t="shared" si="14"/>
        <v>2800</v>
      </c>
      <c r="AD320" s="26" t="s">
        <v>1179</v>
      </c>
      <c r="AE320" s="26" t="s">
        <v>1179</v>
      </c>
      <c r="AF320" s="26" t="s">
        <v>1179</v>
      </c>
      <c r="AG320" s="49">
        <v>4000</v>
      </c>
      <c r="AH320" s="49"/>
      <c r="AI320" s="49"/>
      <c r="AJ320" s="49"/>
      <c r="AK320" s="49"/>
      <c r="AL320" s="49"/>
      <c r="AM320" s="49"/>
      <c r="AN320" s="49"/>
      <c r="AO320" s="49"/>
      <c r="AP320" s="49"/>
      <c r="AQ320" s="49"/>
      <c r="AR320" s="49"/>
      <c r="AS320" s="49">
        <f t="shared" si="15"/>
        <v>4000</v>
      </c>
      <c r="AT320" s="52" t="s">
        <v>295</v>
      </c>
      <c r="AU320" s="55"/>
    </row>
    <row r="321" spans="1:47" ht="16.5" hidden="1" customHeight="1" x14ac:dyDescent="0.35">
      <c r="A321" s="25" t="s">
        <v>189</v>
      </c>
      <c r="B321" s="25" t="s">
        <v>265</v>
      </c>
      <c r="C321" s="25" t="s">
        <v>47</v>
      </c>
      <c r="D321" s="25">
        <v>847</v>
      </c>
      <c r="E321" s="25">
        <v>8470620</v>
      </c>
      <c r="F321" s="25" t="s">
        <v>1150</v>
      </c>
      <c r="G321" s="25">
        <v>1</v>
      </c>
      <c r="H321" s="276">
        <v>425900</v>
      </c>
      <c r="I321" s="25" t="s">
        <v>266</v>
      </c>
      <c r="J321" s="25" t="s">
        <v>60</v>
      </c>
      <c r="K321" s="25" t="s">
        <v>50</v>
      </c>
      <c r="L321" s="83">
        <v>847001</v>
      </c>
      <c r="M321" s="25" t="s">
        <v>61</v>
      </c>
      <c r="N321" s="25">
        <v>200179</v>
      </c>
      <c r="O321" s="3" t="s">
        <v>1180</v>
      </c>
      <c r="P321" s="26">
        <v>2000</v>
      </c>
      <c r="Q321" s="26" t="s">
        <v>46</v>
      </c>
      <c r="R321" s="26" t="s">
        <v>46</v>
      </c>
      <c r="S321" s="25" t="s">
        <v>268</v>
      </c>
      <c r="T321" s="25" t="s">
        <v>269</v>
      </c>
      <c r="U321" s="25">
        <v>1</v>
      </c>
      <c r="V321" s="26">
        <v>6800</v>
      </c>
      <c r="W321" s="25" t="s">
        <v>1181</v>
      </c>
      <c r="X321" s="26">
        <v>6800</v>
      </c>
      <c r="Y321" s="25" t="s">
        <v>55</v>
      </c>
      <c r="Z321" s="25" t="s">
        <v>56</v>
      </c>
      <c r="AA321" s="14">
        <f t="shared" si="12"/>
        <v>6120</v>
      </c>
      <c r="AB321" s="14">
        <f t="shared" si="13"/>
        <v>5440</v>
      </c>
      <c r="AC321" s="14">
        <f t="shared" si="14"/>
        <v>4760</v>
      </c>
      <c r="AD321" s="26" t="s">
        <v>1182</v>
      </c>
      <c r="AE321" s="26" t="s">
        <v>1182</v>
      </c>
      <c r="AF321" s="26" t="s">
        <v>1182</v>
      </c>
      <c r="AG321" s="49">
        <v>6800</v>
      </c>
      <c r="AH321" s="49"/>
      <c r="AI321" s="49"/>
      <c r="AJ321" s="49"/>
      <c r="AK321" s="49"/>
      <c r="AL321" s="49"/>
      <c r="AM321" s="49"/>
      <c r="AN321" s="49"/>
      <c r="AO321" s="49"/>
      <c r="AP321" s="49"/>
      <c r="AQ321" s="49"/>
      <c r="AR321" s="49"/>
      <c r="AS321" s="49">
        <f t="shared" si="15"/>
        <v>6800</v>
      </c>
      <c r="AT321" s="52" t="s">
        <v>272</v>
      </c>
      <c r="AU321" s="55"/>
    </row>
    <row r="322" spans="1:47" ht="16.5" hidden="1" customHeight="1" x14ac:dyDescent="0.35">
      <c r="A322" s="25" t="s">
        <v>189</v>
      </c>
      <c r="B322" s="25" t="s">
        <v>58</v>
      </c>
      <c r="C322" s="25" t="s">
        <v>47</v>
      </c>
      <c r="D322" s="25">
        <v>847</v>
      </c>
      <c r="E322" s="25">
        <v>8470630</v>
      </c>
      <c r="F322" s="25" t="s">
        <v>2785</v>
      </c>
      <c r="G322" s="25">
        <v>1</v>
      </c>
      <c r="H322" s="276">
        <v>425100</v>
      </c>
      <c r="I322" s="25" t="s">
        <v>1184</v>
      </c>
      <c r="J322" s="25" t="s">
        <v>60</v>
      </c>
      <c r="K322" s="25" t="s">
        <v>50</v>
      </c>
      <c r="L322" s="83">
        <v>847001</v>
      </c>
      <c r="M322" s="25" t="s">
        <v>61</v>
      </c>
      <c r="N322" s="25">
        <v>200179</v>
      </c>
      <c r="O322" s="3" t="s">
        <v>1322</v>
      </c>
      <c r="P322" s="26"/>
      <c r="Q322" s="26"/>
      <c r="R322" s="26"/>
      <c r="S322" s="25" t="s">
        <v>1185</v>
      </c>
      <c r="T322" s="25" t="s">
        <v>269</v>
      </c>
      <c r="U322" s="25">
        <v>4</v>
      </c>
      <c r="V322" s="26">
        <v>25000</v>
      </c>
      <c r="W322" s="25" t="s">
        <v>1186</v>
      </c>
      <c r="X322" s="26">
        <v>100000</v>
      </c>
      <c r="Y322" s="25" t="s">
        <v>55</v>
      </c>
      <c r="Z322" s="25" t="s">
        <v>56</v>
      </c>
      <c r="AA322" s="14">
        <f t="shared" si="12"/>
        <v>90000</v>
      </c>
      <c r="AB322" s="14">
        <f t="shared" si="13"/>
        <v>80000</v>
      </c>
      <c r="AC322" s="14">
        <f t="shared" si="14"/>
        <v>70000</v>
      </c>
      <c r="AD322" s="26" t="s">
        <v>1187</v>
      </c>
      <c r="AE322" s="26" t="s">
        <v>1187</v>
      </c>
      <c r="AF322" s="26" t="s">
        <v>1187</v>
      </c>
      <c r="AG322" s="49"/>
      <c r="AH322" s="49"/>
      <c r="AI322" s="49"/>
      <c r="AJ322" s="49">
        <v>50000</v>
      </c>
      <c r="AK322" s="49"/>
      <c r="AL322" s="49"/>
      <c r="AM322" s="49"/>
      <c r="AN322" s="49">
        <v>50000</v>
      </c>
      <c r="AO322" s="49"/>
      <c r="AP322" s="49"/>
      <c r="AQ322" s="49"/>
      <c r="AR322" s="49"/>
      <c r="AS322" s="49">
        <f t="shared" si="15"/>
        <v>100000</v>
      </c>
      <c r="AT322" s="52" t="s">
        <v>816</v>
      </c>
      <c r="AU322" s="55"/>
    </row>
    <row r="323" spans="1:47" ht="16.5" hidden="1" customHeight="1" x14ac:dyDescent="0.35">
      <c r="A323" s="25" t="s">
        <v>71</v>
      </c>
      <c r="B323" s="25" t="s">
        <v>58</v>
      </c>
      <c r="C323" s="25" t="s">
        <v>47</v>
      </c>
      <c r="D323" s="25">
        <v>847</v>
      </c>
      <c r="E323" s="25">
        <v>8470630</v>
      </c>
      <c r="F323" s="25" t="s">
        <v>2785</v>
      </c>
      <c r="G323" s="25">
        <v>1</v>
      </c>
      <c r="H323" s="276">
        <v>425550</v>
      </c>
      <c r="I323" s="25" t="s">
        <v>253</v>
      </c>
      <c r="J323" s="25" t="s">
        <v>60</v>
      </c>
      <c r="K323" s="25" t="s">
        <v>50</v>
      </c>
      <c r="L323" s="83">
        <v>847001</v>
      </c>
      <c r="M323" s="25" t="s">
        <v>61</v>
      </c>
      <c r="N323" s="25">
        <v>200179</v>
      </c>
      <c r="O323" s="3" t="s">
        <v>1323</v>
      </c>
      <c r="P323" s="26"/>
      <c r="Q323" s="26"/>
      <c r="R323" s="26"/>
      <c r="S323" s="25" t="s">
        <v>615</v>
      </c>
      <c r="T323" s="25" t="s">
        <v>616</v>
      </c>
      <c r="U323" s="25">
        <v>4</v>
      </c>
      <c r="V323" s="26">
        <v>50000</v>
      </c>
      <c r="W323" s="25" t="s">
        <v>1188</v>
      </c>
      <c r="X323" s="26">
        <v>200000</v>
      </c>
      <c r="Y323" s="25" t="s">
        <v>55</v>
      </c>
      <c r="Z323" s="25" t="s">
        <v>56</v>
      </c>
      <c r="AA323" s="14">
        <f t="shared" ref="AA323:AA386" si="16">X323*0.9</f>
        <v>180000</v>
      </c>
      <c r="AB323" s="14">
        <f t="shared" ref="AB323:AB386" si="17">X323*0.8</f>
        <v>160000</v>
      </c>
      <c r="AC323" s="14">
        <f t="shared" ref="AC323:AC386" si="18">X323*0.7</f>
        <v>140000</v>
      </c>
      <c r="AD323" s="26" t="s">
        <v>1187</v>
      </c>
      <c r="AE323" s="26" t="s">
        <v>1187</v>
      </c>
      <c r="AF323" s="26" t="s">
        <v>1187</v>
      </c>
      <c r="AG323" s="49">
        <v>50000</v>
      </c>
      <c r="AH323" s="49"/>
      <c r="AI323" s="49"/>
      <c r="AJ323" s="49">
        <v>50000</v>
      </c>
      <c r="AK323" s="49"/>
      <c r="AL323" s="49"/>
      <c r="AM323" s="49">
        <v>50000</v>
      </c>
      <c r="AN323" s="49"/>
      <c r="AO323" s="49"/>
      <c r="AP323" s="49">
        <v>50000</v>
      </c>
      <c r="AQ323" s="49"/>
      <c r="AR323" s="49"/>
      <c r="AS323" s="49">
        <f t="shared" si="15"/>
        <v>200000</v>
      </c>
      <c r="AT323" s="52" t="s">
        <v>816</v>
      </c>
      <c r="AU323" s="55"/>
    </row>
    <row r="324" spans="1:47" ht="16.5" hidden="1" customHeight="1" x14ac:dyDescent="0.35">
      <c r="A324" s="25" t="s">
        <v>189</v>
      </c>
      <c r="B324" s="25" t="s">
        <v>58</v>
      </c>
      <c r="C324" s="25" t="s">
        <v>47</v>
      </c>
      <c r="D324" s="25">
        <v>847</v>
      </c>
      <c r="E324" s="25">
        <v>8470630</v>
      </c>
      <c r="F324" s="25" t="s">
        <v>2785</v>
      </c>
      <c r="G324" s="25">
        <v>1</v>
      </c>
      <c r="H324" s="276">
        <v>427200</v>
      </c>
      <c r="I324" s="25" t="s">
        <v>1085</v>
      </c>
      <c r="J324" s="25" t="s">
        <v>60</v>
      </c>
      <c r="K324" s="25" t="s">
        <v>50</v>
      </c>
      <c r="L324" s="83">
        <v>847001</v>
      </c>
      <c r="M324" s="25" t="s">
        <v>61</v>
      </c>
      <c r="N324" s="25">
        <v>200179</v>
      </c>
      <c r="O324" s="3" t="s">
        <v>1324</v>
      </c>
      <c r="P324" s="26"/>
      <c r="Q324" s="26"/>
      <c r="R324" s="26"/>
      <c r="S324" s="25" t="s">
        <v>1087</v>
      </c>
      <c r="T324" s="25" t="s">
        <v>269</v>
      </c>
      <c r="U324" s="25">
        <v>10</v>
      </c>
      <c r="V324" s="26">
        <v>1000</v>
      </c>
      <c r="W324" s="25" t="s">
        <v>1189</v>
      </c>
      <c r="X324" s="26">
        <v>10000</v>
      </c>
      <c r="Y324" s="25" t="s">
        <v>55</v>
      </c>
      <c r="Z324" s="25" t="s">
        <v>56</v>
      </c>
      <c r="AA324" s="14">
        <f t="shared" si="16"/>
        <v>9000</v>
      </c>
      <c r="AB324" s="14">
        <f t="shared" si="17"/>
        <v>8000</v>
      </c>
      <c r="AC324" s="14">
        <f t="shared" si="18"/>
        <v>7000</v>
      </c>
      <c r="AD324" s="26" t="s">
        <v>1161</v>
      </c>
      <c r="AE324" s="26" t="s">
        <v>1161</v>
      </c>
      <c r="AF324" s="26" t="s">
        <v>1161</v>
      </c>
      <c r="AG324" s="49">
        <v>10000</v>
      </c>
      <c r="AH324" s="49"/>
      <c r="AI324" s="49"/>
      <c r="AJ324" s="49"/>
      <c r="AK324" s="49"/>
      <c r="AL324" s="49"/>
      <c r="AM324" s="49"/>
      <c r="AN324" s="49"/>
      <c r="AO324" s="49"/>
      <c r="AP324" s="49"/>
      <c r="AQ324" s="49"/>
      <c r="AR324" s="49"/>
      <c r="AS324" s="49">
        <f t="shared" si="15"/>
        <v>10000</v>
      </c>
      <c r="AT324" s="52" t="s">
        <v>816</v>
      </c>
      <c r="AU324" s="55"/>
    </row>
    <row r="325" spans="1:47" ht="16.5" hidden="1" customHeight="1" x14ac:dyDescent="0.35">
      <c r="A325" s="25" t="s">
        <v>189</v>
      </c>
      <c r="B325" s="25" t="s">
        <v>58</v>
      </c>
      <c r="C325" s="25" t="s">
        <v>47</v>
      </c>
      <c r="D325" s="25">
        <v>847</v>
      </c>
      <c r="E325" s="25">
        <v>8470630</v>
      </c>
      <c r="F325" s="25" t="s">
        <v>2785</v>
      </c>
      <c r="G325" s="25">
        <v>1</v>
      </c>
      <c r="H325" s="276">
        <v>436600</v>
      </c>
      <c r="I325" s="25" t="s">
        <v>416</v>
      </c>
      <c r="J325" s="25" t="s">
        <v>60</v>
      </c>
      <c r="K325" s="25" t="s">
        <v>50</v>
      </c>
      <c r="L325" s="83" t="s">
        <v>51</v>
      </c>
      <c r="M325" s="25" t="s">
        <v>61</v>
      </c>
      <c r="N325" s="25">
        <v>200179</v>
      </c>
      <c r="O325" s="3" t="s">
        <v>1325</v>
      </c>
      <c r="P325" s="26"/>
      <c r="Q325" s="26"/>
      <c r="R325" s="26"/>
      <c r="S325" s="25" t="s">
        <v>418</v>
      </c>
      <c r="T325" s="25" t="s">
        <v>157</v>
      </c>
      <c r="U325" s="25">
        <v>4</v>
      </c>
      <c r="V325" s="26">
        <v>3000</v>
      </c>
      <c r="W325" s="25"/>
      <c r="X325" s="26">
        <v>12000</v>
      </c>
      <c r="Y325" s="25" t="s">
        <v>210</v>
      </c>
      <c r="Z325" s="25" t="s">
        <v>197</v>
      </c>
      <c r="AA325" s="14">
        <f t="shared" si="16"/>
        <v>10800</v>
      </c>
      <c r="AB325" s="14">
        <f t="shared" si="17"/>
        <v>9600</v>
      </c>
      <c r="AC325" s="14">
        <f t="shared" si="18"/>
        <v>8400</v>
      </c>
      <c r="AD325" s="26" t="s">
        <v>1161</v>
      </c>
      <c r="AE325" s="26" t="s">
        <v>1161</v>
      </c>
      <c r="AF325" s="26" t="s">
        <v>1161</v>
      </c>
      <c r="AG325" s="49">
        <v>6000</v>
      </c>
      <c r="AH325" s="49"/>
      <c r="AI325" s="49"/>
      <c r="AJ325" s="49"/>
      <c r="AK325" s="49"/>
      <c r="AL325" s="49">
        <v>6000</v>
      </c>
      <c r="AM325" s="49"/>
      <c r="AN325" s="49"/>
      <c r="AO325" s="49"/>
      <c r="AP325" s="49"/>
      <c r="AQ325" s="49"/>
      <c r="AR325" s="49"/>
      <c r="AS325" s="49">
        <f t="shared" si="15"/>
        <v>12000</v>
      </c>
      <c r="AT325" s="52" t="s">
        <v>816</v>
      </c>
      <c r="AU325" s="55"/>
    </row>
    <row r="326" spans="1:47" ht="16.5" hidden="1" customHeight="1" x14ac:dyDescent="0.35">
      <c r="A326" s="25" t="s">
        <v>71</v>
      </c>
      <c r="B326" s="25" t="s">
        <v>1010</v>
      </c>
      <c r="C326" s="25" t="s">
        <v>47</v>
      </c>
      <c r="D326" s="25">
        <v>847</v>
      </c>
      <c r="E326" s="28">
        <v>8470730</v>
      </c>
      <c r="F326" s="25" t="s">
        <v>1190</v>
      </c>
      <c r="G326" s="25">
        <v>1</v>
      </c>
      <c r="H326" s="276">
        <v>495113</v>
      </c>
      <c r="I326" s="28" t="s">
        <v>214</v>
      </c>
      <c r="J326" s="25" t="s">
        <v>60</v>
      </c>
      <c r="K326" s="25" t="s">
        <v>50</v>
      </c>
      <c r="L326" s="83">
        <v>847001</v>
      </c>
      <c r="M326" s="28" t="s">
        <v>192</v>
      </c>
      <c r="N326" s="28">
        <v>300180</v>
      </c>
      <c r="O326" s="3" t="s">
        <v>2818</v>
      </c>
      <c r="P326" s="26">
        <v>7345</v>
      </c>
      <c r="Q326" s="26">
        <v>600000</v>
      </c>
      <c r="R326" s="26">
        <v>600000</v>
      </c>
      <c r="S326" s="25" t="s">
        <v>1013</v>
      </c>
      <c r="T326" s="25" t="s">
        <v>1191</v>
      </c>
      <c r="U326" s="25">
        <v>1</v>
      </c>
      <c r="V326" s="26">
        <v>200000</v>
      </c>
      <c r="W326" s="28" t="s">
        <v>1192</v>
      </c>
      <c r="X326" s="26">
        <v>200000</v>
      </c>
      <c r="Y326" s="25" t="s">
        <v>210</v>
      </c>
      <c r="Z326" s="25" t="s">
        <v>197</v>
      </c>
      <c r="AA326" s="14">
        <f t="shared" si="16"/>
        <v>180000</v>
      </c>
      <c r="AB326" s="14">
        <f t="shared" si="17"/>
        <v>160000</v>
      </c>
      <c r="AC326" s="14">
        <f t="shared" si="18"/>
        <v>140000</v>
      </c>
      <c r="AD326" s="26" t="s">
        <v>1161</v>
      </c>
      <c r="AE326" s="26" t="s">
        <v>1161</v>
      </c>
      <c r="AF326" s="26" t="s">
        <v>1161</v>
      </c>
      <c r="AG326" s="49"/>
      <c r="AH326" s="49"/>
      <c r="AI326" s="49"/>
      <c r="AJ326" s="49"/>
      <c r="AK326" s="49">
        <v>200000</v>
      </c>
      <c r="AL326" s="49"/>
      <c r="AM326" s="49"/>
      <c r="AN326" s="49"/>
      <c r="AO326" s="49"/>
      <c r="AP326" s="49"/>
      <c r="AQ326" s="49"/>
      <c r="AR326" s="49"/>
      <c r="AS326" s="49">
        <f t="shared" si="15"/>
        <v>200000</v>
      </c>
      <c r="AT326" s="52" t="s">
        <v>816</v>
      </c>
      <c r="AU326" s="55" t="s">
        <v>1193</v>
      </c>
    </row>
    <row r="327" spans="1:47" ht="16.5" hidden="1" customHeight="1" x14ac:dyDescent="0.35">
      <c r="A327" s="25" t="s">
        <v>63</v>
      </c>
      <c r="B327" s="25" t="s">
        <v>64</v>
      </c>
      <c r="C327" s="25" t="s">
        <v>47</v>
      </c>
      <c r="D327" s="25">
        <v>847</v>
      </c>
      <c r="E327" s="28">
        <v>8470730</v>
      </c>
      <c r="F327" s="25" t="s">
        <v>1190</v>
      </c>
      <c r="G327" s="25">
        <v>1</v>
      </c>
      <c r="H327" s="276">
        <v>426610</v>
      </c>
      <c r="I327" s="25" t="s">
        <v>74</v>
      </c>
      <c r="J327" s="25" t="s">
        <v>60</v>
      </c>
      <c r="K327" s="25" t="s">
        <v>50</v>
      </c>
      <c r="L327" s="83">
        <v>847001</v>
      </c>
      <c r="M327" s="25" t="s">
        <v>61</v>
      </c>
      <c r="N327" s="28">
        <v>200179</v>
      </c>
      <c r="O327" s="3" t="s">
        <v>1194</v>
      </c>
      <c r="P327" s="26"/>
      <c r="Q327" s="26">
        <v>300000</v>
      </c>
      <c r="R327" s="26">
        <v>300000</v>
      </c>
      <c r="S327" s="25" t="s">
        <v>274</v>
      </c>
      <c r="T327" s="25" t="s">
        <v>1195</v>
      </c>
      <c r="U327" s="25">
        <v>1</v>
      </c>
      <c r="V327" s="26">
        <v>175000</v>
      </c>
      <c r="W327" s="28" t="s">
        <v>1196</v>
      </c>
      <c r="X327" s="26">
        <v>175000</v>
      </c>
      <c r="Y327" s="25" t="s">
        <v>55</v>
      </c>
      <c r="Z327" s="25" t="s">
        <v>56</v>
      </c>
      <c r="AA327" s="14">
        <f t="shared" si="16"/>
        <v>157500</v>
      </c>
      <c r="AB327" s="14">
        <f t="shared" si="17"/>
        <v>140000</v>
      </c>
      <c r="AC327" s="14">
        <f t="shared" si="18"/>
        <v>122499.99999999999</v>
      </c>
      <c r="AD327" s="26" t="s">
        <v>1161</v>
      </c>
      <c r="AE327" s="26" t="s">
        <v>1161</v>
      </c>
      <c r="AF327" s="26" t="s">
        <v>1161</v>
      </c>
      <c r="AG327" s="49"/>
      <c r="AH327" s="49"/>
      <c r="AI327" s="49"/>
      <c r="AJ327" s="49"/>
      <c r="AK327" s="49">
        <v>175000</v>
      </c>
      <c r="AL327" s="49"/>
      <c r="AM327" s="49"/>
      <c r="AN327" s="49"/>
      <c r="AO327" s="49"/>
      <c r="AP327" s="49"/>
      <c r="AQ327" s="49"/>
      <c r="AR327" s="49"/>
      <c r="AS327" s="49">
        <f t="shared" si="15"/>
        <v>175000</v>
      </c>
      <c r="AT327" s="52" t="s">
        <v>816</v>
      </c>
      <c r="AU327" s="55"/>
    </row>
    <row r="328" spans="1:47" ht="16.5" hidden="1" customHeight="1" x14ac:dyDescent="0.35">
      <c r="A328" s="25" t="s">
        <v>63</v>
      </c>
      <c r="B328" s="25" t="s">
        <v>64</v>
      </c>
      <c r="C328" s="25" t="s">
        <v>47</v>
      </c>
      <c r="D328" s="25">
        <v>847</v>
      </c>
      <c r="E328" s="28">
        <v>8470730</v>
      </c>
      <c r="F328" s="25" t="s">
        <v>1190</v>
      </c>
      <c r="G328" s="25">
        <v>1</v>
      </c>
      <c r="H328" s="276">
        <v>495113</v>
      </c>
      <c r="I328" s="28" t="s">
        <v>214</v>
      </c>
      <c r="J328" s="25" t="s">
        <v>60</v>
      </c>
      <c r="K328" s="25" t="s">
        <v>50</v>
      </c>
      <c r="L328" s="83">
        <v>847001</v>
      </c>
      <c r="M328" s="28" t="s">
        <v>192</v>
      </c>
      <c r="N328" s="28">
        <v>300180</v>
      </c>
      <c r="O328" s="3" t="s">
        <v>2818</v>
      </c>
      <c r="P328" s="26"/>
      <c r="Q328" s="26"/>
      <c r="R328" s="26"/>
      <c r="S328" s="25" t="s">
        <v>274</v>
      </c>
      <c r="T328" s="25" t="s">
        <v>1191</v>
      </c>
      <c r="U328" s="25">
        <v>1</v>
      </c>
      <c r="V328" s="26">
        <v>3000000</v>
      </c>
      <c r="W328" s="28" t="s">
        <v>1197</v>
      </c>
      <c r="X328" s="26">
        <v>3000000</v>
      </c>
      <c r="Y328" s="25" t="s">
        <v>210</v>
      </c>
      <c r="Z328" s="25" t="s">
        <v>197</v>
      </c>
      <c r="AA328" s="14">
        <f t="shared" si="16"/>
        <v>2700000</v>
      </c>
      <c r="AB328" s="14">
        <f t="shared" si="17"/>
        <v>2400000</v>
      </c>
      <c r="AC328" s="14">
        <f t="shared" si="18"/>
        <v>2100000</v>
      </c>
      <c r="AD328" s="26" t="s">
        <v>1161</v>
      </c>
      <c r="AE328" s="26" t="s">
        <v>1161</v>
      </c>
      <c r="AF328" s="26" t="s">
        <v>1161</v>
      </c>
      <c r="AG328" s="49"/>
      <c r="AH328" s="49"/>
      <c r="AI328" s="49"/>
      <c r="AJ328" s="49"/>
      <c r="AK328" s="49">
        <v>3000000</v>
      </c>
      <c r="AL328" s="49"/>
      <c r="AM328" s="49"/>
      <c r="AN328" s="49"/>
      <c r="AO328" s="49"/>
      <c r="AP328" s="49"/>
      <c r="AQ328" s="49"/>
      <c r="AR328" s="49"/>
      <c r="AS328" s="49">
        <f t="shared" si="15"/>
        <v>3000000</v>
      </c>
      <c r="AT328" s="52" t="s">
        <v>816</v>
      </c>
      <c r="AU328" s="55" t="s">
        <v>1193</v>
      </c>
    </row>
    <row r="329" spans="1:47" ht="16.5" hidden="1" customHeight="1" x14ac:dyDescent="0.35">
      <c r="A329" s="25" t="s">
        <v>63</v>
      </c>
      <c r="B329" s="25" t="s">
        <v>64</v>
      </c>
      <c r="C329" s="25" t="s">
        <v>47</v>
      </c>
      <c r="D329" s="25">
        <v>847</v>
      </c>
      <c r="E329" s="28">
        <v>8470730</v>
      </c>
      <c r="F329" s="25" t="s">
        <v>1190</v>
      </c>
      <c r="G329" s="25">
        <v>1</v>
      </c>
      <c r="H329" s="276">
        <v>495113</v>
      </c>
      <c r="I329" s="28" t="s">
        <v>214</v>
      </c>
      <c r="J329" s="25" t="s">
        <v>60</v>
      </c>
      <c r="K329" s="25" t="s">
        <v>50</v>
      </c>
      <c r="L329" s="83">
        <v>847001</v>
      </c>
      <c r="M329" s="28" t="s">
        <v>192</v>
      </c>
      <c r="N329" s="28">
        <v>300180</v>
      </c>
      <c r="O329" s="3" t="s">
        <v>2818</v>
      </c>
      <c r="P329" s="26"/>
      <c r="Q329" s="26"/>
      <c r="R329" s="26"/>
      <c r="S329" s="25" t="s">
        <v>274</v>
      </c>
      <c r="T329" s="25" t="s">
        <v>1191</v>
      </c>
      <c r="U329" s="25">
        <v>1</v>
      </c>
      <c r="V329" s="26">
        <v>200000</v>
      </c>
      <c r="W329" s="28" t="s">
        <v>1198</v>
      </c>
      <c r="X329" s="26">
        <v>200000</v>
      </c>
      <c r="Y329" s="25" t="s">
        <v>210</v>
      </c>
      <c r="Z329" s="25" t="s">
        <v>197</v>
      </c>
      <c r="AA329" s="14">
        <f t="shared" si="16"/>
        <v>180000</v>
      </c>
      <c r="AB329" s="14">
        <f t="shared" si="17"/>
        <v>160000</v>
      </c>
      <c r="AC329" s="14">
        <f t="shared" si="18"/>
        <v>140000</v>
      </c>
      <c r="AD329" s="26" t="s">
        <v>1161</v>
      </c>
      <c r="AE329" s="26" t="s">
        <v>1161</v>
      </c>
      <c r="AF329" s="26" t="s">
        <v>1161</v>
      </c>
      <c r="AG329" s="49"/>
      <c r="AH329" s="49"/>
      <c r="AI329" s="49"/>
      <c r="AJ329" s="49"/>
      <c r="AK329" s="49">
        <v>200000</v>
      </c>
      <c r="AL329" s="49"/>
      <c r="AM329" s="49"/>
      <c r="AN329" s="49"/>
      <c r="AO329" s="49"/>
      <c r="AP329" s="49"/>
      <c r="AQ329" s="49"/>
      <c r="AR329" s="49"/>
      <c r="AS329" s="49">
        <f t="shared" si="15"/>
        <v>200000</v>
      </c>
      <c r="AT329" s="52" t="s">
        <v>816</v>
      </c>
      <c r="AU329" s="55" t="s">
        <v>1193</v>
      </c>
    </row>
    <row r="330" spans="1:47" ht="16.5" hidden="1" customHeight="1" x14ac:dyDescent="0.35">
      <c r="A330" s="25" t="s">
        <v>63</v>
      </c>
      <c r="B330" s="25" t="s">
        <v>64</v>
      </c>
      <c r="C330" s="25" t="s">
        <v>47</v>
      </c>
      <c r="D330" s="25">
        <v>847</v>
      </c>
      <c r="E330" s="28">
        <v>8470730</v>
      </c>
      <c r="F330" s="25" t="s">
        <v>1190</v>
      </c>
      <c r="G330" s="25">
        <v>1</v>
      </c>
      <c r="H330" s="276">
        <v>495113</v>
      </c>
      <c r="I330" s="28" t="s">
        <v>214</v>
      </c>
      <c r="J330" s="25" t="s">
        <v>60</v>
      </c>
      <c r="K330" s="25" t="s">
        <v>50</v>
      </c>
      <c r="L330" s="83">
        <v>847001</v>
      </c>
      <c r="M330" s="28" t="s">
        <v>192</v>
      </c>
      <c r="N330" s="28">
        <v>300180</v>
      </c>
      <c r="O330" s="3" t="s">
        <v>2818</v>
      </c>
      <c r="P330" s="26"/>
      <c r="Q330" s="26"/>
      <c r="R330" s="26"/>
      <c r="S330" s="25" t="s">
        <v>274</v>
      </c>
      <c r="T330" s="25" t="s">
        <v>1191</v>
      </c>
      <c r="U330" s="25">
        <v>1</v>
      </c>
      <c r="V330" s="26">
        <v>1000000</v>
      </c>
      <c r="W330" s="28" t="s">
        <v>1199</v>
      </c>
      <c r="X330" s="26">
        <v>1000000</v>
      </c>
      <c r="Y330" s="25" t="s">
        <v>210</v>
      </c>
      <c r="Z330" s="25" t="s">
        <v>197</v>
      </c>
      <c r="AA330" s="14">
        <f t="shared" si="16"/>
        <v>900000</v>
      </c>
      <c r="AB330" s="14">
        <f t="shared" si="17"/>
        <v>800000</v>
      </c>
      <c r="AC330" s="14">
        <f t="shared" si="18"/>
        <v>700000</v>
      </c>
      <c r="AD330" s="26" t="s">
        <v>1161</v>
      </c>
      <c r="AE330" s="26" t="s">
        <v>1161</v>
      </c>
      <c r="AF330" s="26" t="s">
        <v>1161</v>
      </c>
      <c r="AG330" s="49"/>
      <c r="AH330" s="49">
        <v>500000</v>
      </c>
      <c r="AI330" s="49"/>
      <c r="AJ330" s="49"/>
      <c r="AK330" s="49"/>
      <c r="AL330" s="49"/>
      <c r="AM330" s="49">
        <v>500000</v>
      </c>
      <c r="AN330" s="49"/>
      <c r="AO330" s="49"/>
      <c r="AP330" s="49"/>
      <c r="AQ330" s="49"/>
      <c r="AR330" s="49"/>
      <c r="AS330" s="49">
        <f t="shared" si="15"/>
        <v>1000000</v>
      </c>
      <c r="AT330" s="52" t="s">
        <v>816</v>
      </c>
      <c r="AU330" s="55" t="s">
        <v>1193</v>
      </c>
    </row>
    <row r="331" spans="1:47" ht="16.5" hidden="1" customHeight="1" x14ac:dyDescent="0.35">
      <c r="A331" s="25" t="s">
        <v>63</v>
      </c>
      <c r="B331" s="25" t="s">
        <v>64</v>
      </c>
      <c r="C331" s="25" t="s">
        <v>47</v>
      </c>
      <c r="D331" s="25">
        <v>847</v>
      </c>
      <c r="E331" s="28">
        <v>8470730</v>
      </c>
      <c r="F331" s="25" t="s">
        <v>1190</v>
      </c>
      <c r="G331" s="25">
        <v>1</v>
      </c>
      <c r="H331" s="276">
        <v>426610</v>
      </c>
      <c r="I331" s="25" t="s">
        <v>74</v>
      </c>
      <c r="J331" s="25" t="s">
        <v>60</v>
      </c>
      <c r="K331" s="25" t="s">
        <v>50</v>
      </c>
      <c r="L331" s="83">
        <v>847001</v>
      </c>
      <c r="M331" s="25" t="s">
        <v>61</v>
      </c>
      <c r="N331" s="28">
        <v>200179</v>
      </c>
      <c r="O331" s="3" t="s">
        <v>1194</v>
      </c>
      <c r="P331" s="26"/>
      <c r="Q331" s="26"/>
      <c r="R331" s="26"/>
      <c r="S331" s="25" t="s">
        <v>274</v>
      </c>
      <c r="T331" s="25" t="s">
        <v>1191</v>
      </c>
      <c r="U331" s="25">
        <v>1</v>
      </c>
      <c r="V331" s="26">
        <v>300000</v>
      </c>
      <c r="W331" s="28" t="s">
        <v>1200</v>
      </c>
      <c r="X331" s="26">
        <v>300000</v>
      </c>
      <c r="Y331" s="25" t="s">
        <v>210</v>
      </c>
      <c r="Z331" s="25" t="s">
        <v>197</v>
      </c>
      <c r="AA331" s="14">
        <f t="shared" si="16"/>
        <v>270000</v>
      </c>
      <c r="AB331" s="14">
        <f t="shared" si="17"/>
        <v>240000</v>
      </c>
      <c r="AC331" s="14">
        <f t="shared" si="18"/>
        <v>210000</v>
      </c>
      <c r="AD331" s="26" t="s">
        <v>1161</v>
      </c>
      <c r="AE331" s="26" t="s">
        <v>1161</v>
      </c>
      <c r="AF331" s="26" t="s">
        <v>1161</v>
      </c>
      <c r="AG331" s="49"/>
      <c r="AH331" s="49"/>
      <c r="AI331" s="49">
        <v>100000</v>
      </c>
      <c r="AJ331" s="49"/>
      <c r="AK331" s="49">
        <v>100000</v>
      </c>
      <c r="AL331" s="49"/>
      <c r="AM331" s="49"/>
      <c r="AN331" s="49">
        <v>100000</v>
      </c>
      <c r="AO331" s="49"/>
      <c r="AP331" s="49"/>
      <c r="AQ331" s="49"/>
      <c r="AR331" s="49"/>
      <c r="AS331" s="49">
        <f t="shared" si="15"/>
        <v>300000</v>
      </c>
      <c r="AT331" s="52" t="s">
        <v>816</v>
      </c>
      <c r="AU331" s="55"/>
    </row>
    <row r="332" spans="1:47" ht="16.5" hidden="1" customHeight="1" x14ac:dyDescent="0.35">
      <c r="A332" s="25" t="s">
        <v>245</v>
      </c>
      <c r="B332" s="25" t="s">
        <v>246</v>
      </c>
      <c r="C332" s="25" t="s">
        <v>47</v>
      </c>
      <c r="D332" s="25">
        <v>847</v>
      </c>
      <c r="E332" s="28">
        <v>8470730</v>
      </c>
      <c r="F332" s="25" t="s">
        <v>1190</v>
      </c>
      <c r="G332" s="25">
        <v>1</v>
      </c>
      <c r="H332" s="276">
        <v>428640</v>
      </c>
      <c r="I332" s="29" t="s">
        <v>279</v>
      </c>
      <c r="J332" s="25" t="s">
        <v>60</v>
      </c>
      <c r="K332" s="25" t="s">
        <v>50</v>
      </c>
      <c r="L332" s="83">
        <v>847001</v>
      </c>
      <c r="M332" s="25" t="s">
        <v>61</v>
      </c>
      <c r="N332" s="28">
        <v>200179</v>
      </c>
      <c r="O332" s="3" t="s">
        <v>1201</v>
      </c>
      <c r="P332" s="26">
        <v>0</v>
      </c>
      <c r="Q332" s="26">
        <v>250000</v>
      </c>
      <c r="R332" s="26">
        <v>250000</v>
      </c>
      <c r="S332" s="25" t="s">
        <v>281</v>
      </c>
      <c r="T332" s="25" t="s">
        <v>1202</v>
      </c>
      <c r="U332" s="25">
        <v>1</v>
      </c>
      <c r="V332" s="26">
        <v>1000000</v>
      </c>
      <c r="W332" s="28" t="s">
        <v>1202</v>
      </c>
      <c r="X332" s="26">
        <v>1000000</v>
      </c>
      <c r="Y332" s="25" t="s">
        <v>210</v>
      </c>
      <c r="Z332" s="25" t="s">
        <v>56</v>
      </c>
      <c r="AA332" s="14">
        <f t="shared" si="16"/>
        <v>900000</v>
      </c>
      <c r="AB332" s="14">
        <f t="shared" si="17"/>
        <v>800000</v>
      </c>
      <c r="AC332" s="14">
        <f t="shared" si="18"/>
        <v>700000</v>
      </c>
      <c r="AD332" s="26" t="s">
        <v>1161</v>
      </c>
      <c r="AE332" s="26" t="s">
        <v>1161</v>
      </c>
      <c r="AF332" s="26" t="s">
        <v>1161</v>
      </c>
      <c r="AG332" s="49"/>
      <c r="AH332" s="49"/>
      <c r="AI332" s="49">
        <v>250000</v>
      </c>
      <c r="AJ332" s="49"/>
      <c r="AK332" s="49"/>
      <c r="AL332" s="49">
        <v>250000</v>
      </c>
      <c r="AM332" s="49"/>
      <c r="AN332" s="49"/>
      <c r="AO332" s="49">
        <v>250000</v>
      </c>
      <c r="AP332" s="49"/>
      <c r="AQ332" s="49"/>
      <c r="AR332" s="49">
        <v>250000</v>
      </c>
      <c r="AS332" s="49">
        <f t="shared" si="15"/>
        <v>1000000</v>
      </c>
      <c r="AT332" s="52" t="s">
        <v>816</v>
      </c>
      <c r="AU332" s="55"/>
    </row>
    <row r="333" spans="1:47" ht="16.5" hidden="1" customHeight="1" x14ac:dyDescent="0.35">
      <c r="A333" s="25" t="s">
        <v>189</v>
      </c>
      <c r="B333" s="25" t="s">
        <v>58</v>
      </c>
      <c r="C333" s="25" t="s">
        <v>47</v>
      </c>
      <c r="D333" s="25">
        <v>847</v>
      </c>
      <c r="E333" s="25">
        <v>8470730</v>
      </c>
      <c r="F333" s="25" t="s">
        <v>1190</v>
      </c>
      <c r="G333" s="25">
        <v>1</v>
      </c>
      <c r="H333" s="276">
        <v>436110</v>
      </c>
      <c r="I333" s="25" t="s">
        <v>190</v>
      </c>
      <c r="J333" s="25" t="s">
        <v>60</v>
      </c>
      <c r="K333" s="25" t="s">
        <v>50</v>
      </c>
      <c r="L333" s="83">
        <v>847001</v>
      </c>
      <c r="M333" s="25" t="s">
        <v>61</v>
      </c>
      <c r="N333" s="25">
        <v>200179</v>
      </c>
      <c r="O333" s="3" t="s">
        <v>1203</v>
      </c>
      <c r="P333" s="26">
        <v>40440</v>
      </c>
      <c r="Q333" s="26">
        <v>50000</v>
      </c>
      <c r="R333" s="26">
        <v>50000</v>
      </c>
      <c r="S333" s="25" t="s">
        <v>488</v>
      </c>
      <c r="T333" s="25" t="s">
        <v>1204</v>
      </c>
      <c r="U333" s="25">
        <v>500</v>
      </c>
      <c r="V333" s="26">
        <v>100</v>
      </c>
      <c r="W333" s="28" t="s">
        <v>1204</v>
      </c>
      <c r="X333" s="26">
        <v>50000</v>
      </c>
      <c r="Y333" s="25" t="s">
        <v>55</v>
      </c>
      <c r="Z333" s="25" t="s">
        <v>56</v>
      </c>
      <c r="AA333" s="14">
        <f t="shared" si="16"/>
        <v>45000</v>
      </c>
      <c r="AB333" s="14">
        <f t="shared" si="17"/>
        <v>40000</v>
      </c>
      <c r="AC333" s="14">
        <f t="shared" si="18"/>
        <v>35000</v>
      </c>
      <c r="AD333" s="26" t="s">
        <v>1161</v>
      </c>
      <c r="AE333" s="26" t="s">
        <v>1161</v>
      </c>
      <c r="AF333" s="26" t="s">
        <v>1161</v>
      </c>
      <c r="AG333" s="49">
        <v>10000</v>
      </c>
      <c r="AH333" s="49"/>
      <c r="AI333" s="49">
        <v>10000</v>
      </c>
      <c r="AJ333" s="49"/>
      <c r="AK333" s="49">
        <v>10000</v>
      </c>
      <c r="AL333" s="49"/>
      <c r="AM333" s="49">
        <v>10000</v>
      </c>
      <c r="AN333" s="49"/>
      <c r="AO333" s="49">
        <v>10000</v>
      </c>
      <c r="AP333" s="49"/>
      <c r="AQ333" s="49"/>
      <c r="AR333" s="49"/>
      <c r="AS333" s="49">
        <f t="shared" si="15"/>
        <v>50000</v>
      </c>
      <c r="AT333" s="52" t="s">
        <v>816</v>
      </c>
      <c r="AU333" s="55"/>
    </row>
    <row r="334" spans="1:47" ht="16.5" hidden="1" customHeight="1" x14ac:dyDescent="0.35">
      <c r="A334" s="25" t="s">
        <v>189</v>
      </c>
      <c r="B334" s="25" t="s">
        <v>58</v>
      </c>
      <c r="C334" s="25" t="s">
        <v>47</v>
      </c>
      <c r="D334" s="25">
        <v>847</v>
      </c>
      <c r="E334" s="25">
        <v>8470730</v>
      </c>
      <c r="F334" s="25" t="s">
        <v>1190</v>
      </c>
      <c r="G334" s="25">
        <v>1</v>
      </c>
      <c r="H334" s="276">
        <v>427900</v>
      </c>
      <c r="I334" s="25" t="s">
        <v>1205</v>
      </c>
      <c r="J334" s="25" t="s">
        <v>60</v>
      </c>
      <c r="K334" s="25" t="s">
        <v>50</v>
      </c>
      <c r="L334" s="83">
        <v>847001</v>
      </c>
      <c r="M334" s="25" t="s">
        <v>61</v>
      </c>
      <c r="N334" s="25">
        <v>200179</v>
      </c>
      <c r="O334" s="3" t="s">
        <v>1206</v>
      </c>
      <c r="P334" s="26">
        <v>0</v>
      </c>
      <c r="Q334" s="26">
        <v>10000</v>
      </c>
      <c r="R334" s="26">
        <v>10000</v>
      </c>
      <c r="S334" s="25" t="s">
        <v>1207</v>
      </c>
      <c r="T334" s="25" t="s">
        <v>1208</v>
      </c>
      <c r="U334" s="25">
        <v>100</v>
      </c>
      <c r="V334" s="26">
        <v>100</v>
      </c>
      <c r="W334" s="28" t="s">
        <v>1208</v>
      </c>
      <c r="X334" s="26">
        <v>10000</v>
      </c>
      <c r="Y334" s="25" t="s">
        <v>55</v>
      </c>
      <c r="Z334" s="25" t="s">
        <v>56</v>
      </c>
      <c r="AA334" s="14">
        <f t="shared" si="16"/>
        <v>9000</v>
      </c>
      <c r="AB334" s="14">
        <f t="shared" si="17"/>
        <v>8000</v>
      </c>
      <c r="AC334" s="14">
        <f t="shared" si="18"/>
        <v>7000</v>
      </c>
      <c r="AD334" s="26" t="s">
        <v>1161</v>
      </c>
      <c r="AE334" s="26" t="s">
        <v>1161</v>
      </c>
      <c r="AF334" s="26" t="s">
        <v>1161</v>
      </c>
      <c r="AG334" s="49">
        <v>2000</v>
      </c>
      <c r="AH334" s="49"/>
      <c r="AI334" s="49">
        <v>2000</v>
      </c>
      <c r="AJ334" s="49"/>
      <c r="AK334" s="49">
        <v>2000</v>
      </c>
      <c r="AL334" s="49"/>
      <c r="AM334" s="49">
        <v>2000</v>
      </c>
      <c r="AN334" s="49"/>
      <c r="AO334" s="49">
        <v>2000</v>
      </c>
      <c r="AP334" s="49"/>
      <c r="AQ334" s="49"/>
      <c r="AR334" s="49"/>
      <c r="AS334" s="49">
        <f t="shared" si="15"/>
        <v>10000</v>
      </c>
      <c r="AT334" s="52" t="s">
        <v>816</v>
      </c>
      <c r="AU334" s="55"/>
    </row>
    <row r="335" spans="1:47" ht="16.5" hidden="1" customHeight="1" x14ac:dyDescent="0.35">
      <c r="A335" s="25" t="s">
        <v>189</v>
      </c>
      <c r="B335" s="25" t="s">
        <v>265</v>
      </c>
      <c r="C335" s="25" t="s">
        <v>1209</v>
      </c>
      <c r="D335" s="25">
        <v>847</v>
      </c>
      <c r="E335" s="25">
        <v>8471110</v>
      </c>
      <c r="F335" s="25" t="s">
        <v>1210</v>
      </c>
      <c r="G335" s="25">
        <v>1</v>
      </c>
      <c r="H335" s="276">
        <v>425900</v>
      </c>
      <c r="I335" s="25" t="s">
        <v>266</v>
      </c>
      <c r="J335" s="25" t="s">
        <v>60</v>
      </c>
      <c r="K335" s="25" t="s">
        <v>50</v>
      </c>
      <c r="L335" s="83">
        <v>847001</v>
      </c>
      <c r="M335" s="25" t="s">
        <v>61</v>
      </c>
      <c r="N335" s="25">
        <v>200179</v>
      </c>
      <c r="O335" s="3" t="s">
        <v>1211</v>
      </c>
      <c r="P335" s="26"/>
      <c r="Q335" s="26">
        <v>30000</v>
      </c>
      <c r="R335" s="26">
        <v>30000</v>
      </c>
      <c r="S335" s="25" t="s">
        <v>268</v>
      </c>
      <c r="T335" s="25" t="s">
        <v>269</v>
      </c>
      <c r="U335" s="25">
        <v>10</v>
      </c>
      <c r="V335" s="26">
        <v>3000</v>
      </c>
      <c r="W335" s="25" t="s">
        <v>1212</v>
      </c>
      <c r="X335" s="26">
        <v>30000</v>
      </c>
      <c r="Y335" s="25" t="s">
        <v>55</v>
      </c>
      <c r="Z335" s="25" t="s">
        <v>56</v>
      </c>
      <c r="AA335" s="14">
        <f t="shared" si="16"/>
        <v>27000</v>
      </c>
      <c r="AB335" s="14">
        <f t="shared" si="17"/>
        <v>24000</v>
      </c>
      <c r="AC335" s="14">
        <f t="shared" si="18"/>
        <v>21000</v>
      </c>
      <c r="AD335" s="26" t="s">
        <v>1213</v>
      </c>
      <c r="AE335" s="26" t="s">
        <v>1213</v>
      </c>
      <c r="AF335" s="26" t="s">
        <v>1214</v>
      </c>
      <c r="AG335" s="49">
        <v>3000</v>
      </c>
      <c r="AH335" s="49">
        <v>3000</v>
      </c>
      <c r="AI335" s="49">
        <v>3000</v>
      </c>
      <c r="AJ335" s="49">
        <v>2000</v>
      </c>
      <c r="AK335" s="49">
        <v>2000</v>
      </c>
      <c r="AL335" s="49">
        <v>3000</v>
      </c>
      <c r="AM335" s="49">
        <v>3000</v>
      </c>
      <c r="AN335" s="49">
        <v>3000</v>
      </c>
      <c r="AO335" s="49">
        <v>2000</v>
      </c>
      <c r="AP335" s="49">
        <v>2000</v>
      </c>
      <c r="AQ335" s="49">
        <v>2000</v>
      </c>
      <c r="AR335" s="49">
        <v>2000</v>
      </c>
      <c r="AS335" s="49">
        <f t="shared" si="15"/>
        <v>30000</v>
      </c>
      <c r="AT335" s="52" t="s">
        <v>618</v>
      </c>
      <c r="AU335" s="55"/>
    </row>
    <row r="336" spans="1:47" ht="16.5" hidden="1" customHeight="1" x14ac:dyDescent="0.35">
      <c r="A336" s="25" t="s">
        <v>222</v>
      </c>
      <c r="B336" s="25" t="s">
        <v>58</v>
      </c>
      <c r="C336" s="25" t="s">
        <v>1209</v>
      </c>
      <c r="D336" s="25">
        <v>847</v>
      </c>
      <c r="E336" s="25">
        <v>8471110</v>
      </c>
      <c r="F336" s="25" t="s">
        <v>1210</v>
      </c>
      <c r="G336" s="25">
        <v>1</v>
      </c>
      <c r="H336" s="276">
        <v>427710</v>
      </c>
      <c r="I336" s="25" t="s">
        <v>1090</v>
      </c>
      <c r="J336" s="25" t="s">
        <v>60</v>
      </c>
      <c r="K336" s="25" t="s">
        <v>50</v>
      </c>
      <c r="L336" s="83">
        <v>847001</v>
      </c>
      <c r="M336" s="25" t="s">
        <v>61</v>
      </c>
      <c r="N336" s="25">
        <v>200179</v>
      </c>
      <c r="O336" s="3" t="s">
        <v>1215</v>
      </c>
      <c r="P336" s="26" t="s">
        <v>46</v>
      </c>
      <c r="Q336" s="26">
        <v>428951</v>
      </c>
      <c r="R336" s="26">
        <v>428951</v>
      </c>
      <c r="S336" s="25" t="s">
        <v>1092</v>
      </c>
      <c r="T336" s="25" t="s">
        <v>157</v>
      </c>
      <c r="U336" s="25">
        <v>5</v>
      </c>
      <c r="V336" s="26">
        <v>89767</v>
      </c>
      <c r="W336" s="25" t="s">
        <v>1216</v>
      </c>
      <c r="X336" s="26">
        <v>448835</v>
      </c>
      <c r="Y336" s="25" t="s">
        <v>55</v>
      </c>
      <c r="Z336" s="25" t="s">
        <v>56</v>
      </c>
      <c r="AA336" s="14">
        <f t="shared" si="16"/>
        <v>403951.5</v>
      </c>
      <c r="AB336" s="14">
        <f t="shared" si="17"/>
        <v>359068</v>
      </c>
      <c r="AC336" s="14">
        <f t="shared" si="18"/>
        <v>314184.5</v>
      </c>
      <c r="AD336" s="26" t="s">
        <v>1217</v>
      </c>
      <c r="AE336" s="26" t="s">
        <v>1218</v>
      </c>
      <c r="AF336" s="26" t="s">
        <v>1219</v>
      </c>
      <c r="AG336" s="49"/>
      <c r="AH336" s="49"/>
      <c r="AI336" s="49"/>
      <c r="AJ336" s="49"/>
      <c r="AK336" s="49">
        <v>9660</v>
      </c>
      <c r="AL336" s="49">
        <v>15426.6</v>
      </c>
      <c r="AM336" s="49">
        <v>339456</v>
      </c>
      <c r="AN336" s="49">
        <v>73273.399999999994</v>
      </c>
      <c r="AO336" s="49"/>
      <c r="AP336" s="49"/>
      <c r="AQ336" s="49">
        <v>11019</v>
      </c>
      <c r="AR336" s="49"/>
      <c r="AS336" s="49">
        <f t="shared" si="15"/>
        <v>448835</v>
      </c>
      <c r="AT336" s="52" t="s">
        <v>391</v>
      </c>
      <c r="AU336" s="55"/>
    </row>
    <row r="337" spans="1:47" ht="16.5" hidden="1" customHeight="1" x14ac:dyDescent="0.35">
      <c r="A337" s="25" t="s">
        <v>153</v>
      </c>
      <c r="B337" s="25" t="s">
        <v>58</v>
      </c>
      <c r="C337" s="25" t="s">
        <v>1209</v>
      </c>
      <c r="D337" s="25">
        <v>847</v>
      </c>
      <c r="E337" s="25">
        <v>8471110</v>
      </c>
      <c r="F337" s="25" t="s">
        <v>1210</v>
      </c>
      <c r="G337" s="25">
        <v>1</v>
      </c>
      <c r="H337" s="276">
        <v>428090</v>
      </c>
      <c r="I337" s="25" t="s">
        <v>154</v>
      </c>
      <c r="J337" s="25" t="s">
        <v>60</v>
      </c>
      <c r="K337" s="25" t="s">
        <v>50</v>
      </c>
      <c r="L337" s="83">
        <v>847001</v>
      </c>
      <c r="M337" s="25" t="s">
        <v>61</v>
      </c>
      <c r="N337" s="25">
        <v>200179</v>
      </c>
      <c r="O337" s="3" t="s">
        <v>1220</v>
      </c>
      <c r="P337" s="26" t="s">
        <v>46</v>
      </c>
      <c r="Q337" s="26">
        <v>100000</v>
      </c>
      <c r="R337" s="26">
        <v>100000</v>
      </c>
      <c r="S337" s="25" t="s">
        <v>156</v>
      </c>
      <c r="T337" s="25" t="s">
        <v>157</v>
      </c>
      <c r="U337" s="25">
        <v>5</v>
      </c>
      <c r="V337" s="26">
        <v>30000</v>
      </c>
      <c r="W337" s="25" t="s">
        <v>1221</v>
      </c>
      <c r="X337" s="26">
        <v>150000</v>
      </c>
      <c r="Y337" s="25" t="s">
        <v>55</v>
      </c>
      <c r="Z337" s="25" t="s">
        <v>56</v>
      </c>
      <c r="AA337" s="14">
        <f t="shared" si="16"/>
        <v>135000</v>
      </c>
      <c r="AB337" s="14">
        <f t="shared" si="17"/>
        <v>120000</v>
      </c>
      <c r="AC337" s="14">
        <f t="shared" si="18"/>
        <v>105000</v>
      </c>
      <c r="AD337" s="26" t="s">
        <v>1222</v>
      </c>
      <c r="AE337" s="26" t="s">
        <v>1223</v>
      </c>
      <c r="AF337" s="26" t="s">
        <v>1224</v>
      </c>
      <c r="AG337" s="49"/>
      <c r="AH337" s="49"/>
      <c r="AI337" s="49"/>
      <c r="AJ337" s="49">
        <v>30000</v>
      </c>
      <c r="AK337" s="49"/>
      <c r="AL337" s="49"/>
      <c r="AM337" s="49">
        <v>30000</v>
      </c>
      <c r="AN337" s="49"/>
      <c r="AO337" s="49">
        <v>30000</v>
      </c>
      <c r="AP337" s="49"/>
      <c r="AQ337" s="49">
        <v>30000</v>
      </c>
      <c r="AR337" s="49">
        <v>30000</v>
      </c>
      <c r="AS337" s="49">
        <f t="shared" si="15"/>
        <v>150000</v>
      </c>
      <c r="AT337" s="52" t="s">
        <v>237</v>
      </c>
      <c r="AU337" s="55"/>
    </row>
    <row r="338" spans="1:47" ht="16.5" hidden="1" customHeight="1" x14ac:dyDescent="0.35">
      <c r="A338" s="25" t="s">
        <v>63</v>
      </c>
      <c r="B338" s="25" t="s">
        <v>64</v>
      </c>
      <c r="C338" s="25" t="s">
        <v>1209</v>
      </c>
      <c r="D338" s="25">
        <v>847</v>
      </c>
      <c r="E338" s="25">
        <v>8471130</v>
      </c>
      <c r="F338" s="25" t="s">
        <v>1225</v>
      </c>
      <c r="G338" s="25">
        <v>1</v>
      </c>
      <c r="H338" s="276">
        <v>420811</v>
      </c>
      <c r="I338" s="25" t="s">
        <v>65</v>
      </c>
      <c r="J338" s="25" t="s">
        <v>60</v>
      </c>
      <c r="K338" s="25" t="s">
        <v>50</v>
      </c>
      <c r="L338" s="83">
        <v>847001</v>
      </c>
      <c r="M338" s="25" t="s">
        <v>61</v>
      </c>
      <c r="N338" s="25">
        <v>200179</v>
      </c>
      <c r="O338" s="3" t="s">
        <v>1226</v>
      </c>
      <c r="P338" s="26" t="s">
        <v>46</v>
      </c>
      <c r="Q338" s="26">
        <v>300000</v>
      </c>
      <c r="R338" s="26">
        <v>300000</v>
      </c>
      <c r="S338" s="25" t="s">
        <v>67</v>
      </c>
      <c r="T338" s="25" t="s">
        <v>68</v>
      </c>
      <c r="U338" s="25">
        <v>12</v>
      </c>
      <c r="V338" s="26">
        <v>14167</v>
      </c>
      <c r="W338" s="25" t="s">
        <v>1227</v>
      </c>
      <c r="X338" s="26">
        <v>170004</v>
      </c>
      <c r="Y338" s="25" t="s">
        <v>55</v>
      </c>
      <c r="Z338" s="25" t="s">
        <v>197</v>
      </c>
      <c r="AA338" s="14">
        <f t="shared" si="16"/>
        <v>153003.6</v>
      </c>
      <c r="AB338" s="14">
        <f t="shared" si="17"/>
        <v>136003.20000000001</v>
      </c>
      <c r="AC338" s="14">
        <f t="shared" si="18"/>
        <v>119002.79999999999</v>
      </c>
      <c r="AD338" s="26" t="s">
        <v>1228</v>
      </c>
      <c r="AE338" s="26" t="s">
        <v>1228</v>
      </c>
      <c r="AF338" s="26" t="s">
        <v>1229</v>
      </c>
      <c r="AG338" s="49"/>
      <c r="AH338" s="49"/>
      <c r="AI338" s="49"/>
      <c r="AJ338" s="49"/>
      <c r="AK338" s="49">
        <v>85000</v>
      </c>
      <c r="AL338" s="49"/>
      <c r="AM338" s="49"/>
      <c r="AN338" s="49"/>
      <c r="AO338" s="49">
        <v>85004</v>
      </c>
      <c r="AP338" s="49"/>
      <c r="AQ338" s="49"/>
      <c r="AR338" s="49"/>
      <c r="AS338" s="49">
        <f t="shared" si="15"/>
        <v>170004</v>
      </c>
      <c r="AT338" s="52" t="s">
        <v>689</v>
      </c>
      <c r="AU338" s="55"/>
    </row>
    <row r="339" spans="1:47" ht="16.5" hidden="1" customHeight="1" x14ac:dyDescent="0.35">
      <c r="A339" s="25" t="s">
        <v>153</v>
      </c>
      <c r="B339" s="25" t="s">
        <v>58</v>
      </c>
      <c r="C339" s="25" t="s">
        <v>1209</v>
      </c>
      <c r="D339" s="25">
        <v>847</v>
      </c>
      <c r="E339" s="25">
        <v>8471130</v>
      </c>
      <c r="F339" s="25" t="s">
        <v>1225</v>
      </c>
      <c r="G339" s="25">
        <v>1</v>
      </c>
      <c r="H339" s="276">
        <v>428090</v>
      </c>
      <c r="I339" s="25" t="s">
        <v>154</v>
      </c>
      <c r="J339" s="25" t="s">
        <v>60</v>
      </c>
      <c r="K339" s="25" t="s">
        <v>50</v>
      </c>
      <c r="L339" s="83">
        <v>847001</v>
      </c>
      <c r="M339" s="25" t="s">
        <v>61</v>
      </c>
      <c r="N339" s="25">
        <v>200179</v>
      </c>
      <c r="O339" s="3" t="s">
        <v>1230</v>
      </c>
      <c r="P339" s="26" t="s">
        <v>46</v>
      </c>
      <c r="Q339" s="26">
        <v>70000</v>
      </c>
      <c r="R339" s="26">
        <v>70000</v>
      </c>
      <c r="S339" s="25" t="s">
        <v>615</v>
      </c>
      <c r="T339" s="25" t="s">
        <v>616</v>
      </c>
      <c r="U339" s="25">
        <v>6</v>
      </c>
      <c r="V339" s="26">
        <v>20000</v>
      </c>
      <c r="W339" s="25" t="s">
        <v>1231</v>
      </c>
      <c r="X339" s="26">
        <v>120000</v>
      </c>
      <c r="Y339" s="25" t="s">
        <v>55</v>
      </c>
      <c r="Z339" s="25" t="s">
        <v>56</v>
      </c>
      <c r="AA339" s="14">
        <f t="shared" si="16"/>
        <v>108000</v>
      </c>
      <c r="AB339" s="14">
        <f t="shared" si="17"/>
        <v>96000</v>
      </c>
      <c r="AC339" s="14">
        <f t="shared" si="18"/>
        <v>84000</v>
      </c>
      <c r="AD339" s="26" t="s">
        <v>1232</v>
      </c>
      <c r="AE339" s="26" t="s">
        <v>1233</v>
      </c>
      <c r="AF339" s="26" t="s">
        <v>1233</v>
      </c>
      <c r="AG339" s="49"/>
      <c r="AH339" s="49"/>
      <c r="AI339" s="49"/>
      <c r="AJ339" s="49"/>
      <c r="AK339" s="49"/>
      <c r="AL339" s="49"/>
      <c r="AM339" s="49"/>
      <c r="AN339" s="49">
        <v>60000</v>
      </c>
      <c r="AO339" s="49"/>
      <c r="AP339" s="49">
        <v>60000</v>
      </c>
      <c r="AQ339" s="49"/>
      <c r="AR339" s="49"/>
      <c r="AS339" s="49">
        <f t="shared" si="15"/>
        <v>120000</v>
      </c>
      <c r="AT339" s="52" t="s">
        <v>391</v>
      </c>
      <c r="AU339" s="55"/>
    </row>
    <row r="340" spans="1:47" ht="16.5" hidden="1" customHeight="1" x14ac:dyDescent="0.35">
      <c r="A340" s="25" t="s">
        <v>63</v>
      </c>
      <c r="B340" s="25" t="s">
        <v>64</v>
      </c>
      <c r="C340" s="25" t="s">
        <v>1209</v>
      </c>
      <c r="D340" s="25">
        <v>847</v>
      </c>
      <c r="E340" s="25">
        <v>8471130</v>
      </c>
      <c r="F340" s="25" t="s">
        <v>1225</v>
      </c>
      <c r="G340" s="25">
        <v>1</v>
      </c>
      <c r="H340" s="276">
        <v>426610</v>
      </c>
      <c r="I340" s="25" t="s">
        <v>74</v>
      </c>
      <c r="J340" s="25" t="s">
        <v>60</v>
      </c>
      <c r="K340" s="25" t="s">
        <v>50</v>
      </c>
      <c r="L340" s="83">
        <v>847001</v>
      </c>
      <c r="M340" s="25" t="s">
        <v>61</v>
      </c>
      <c r="N340" s="25">
        <v>200179</v>
      </c>
      <c r="O340" s="3" t="s">
        <v>1234</v>
      </c>
      <c r="P340" s="26">
        <v>214870.5</v>
      </c>
      <c r="Q340" s="26">
        <v>171900</v>
      </c>
      <c r="R340" s="26">
        <v>171900</v>
      </c>
      <c r="S340" s="25" t="s">
        <v>1235</v>
      </c>
      <c r="T340" s="25" t="s">
        <v>157</v>
      </c>
      <c r="U340" s="25">
        <v>1</v>
      </c>
      <c r="V340" s="26">
        <v>187323</v>
      </c>
      <c r="W340" s="25" t="s">
        <v>1236</v>
      </c>
      <c r="X340" s="26">
        <v>187323</v>
      </c>
      <c r="Y340" s="25" t="s">
        <v>55</v>
      </c>
      <c r="Z340" s="25" t="s">
        <v>56</v>
      </c>
      <c r="AA340" s="14">
        <f t="shared" si="16"/>
        <v>168590.7</v>
      </c>
      <c r="AB340" s="14">
        <f t="shared" si="17"/>
        <v>149858.4</v>
      </c>
      <c r="AC340" s="14">
        <f t="shared" si="18"/>
        <v>131126.1</v>
      </c>
      <c r="AD340" s="26" t="s">
        <v>1237</v>
      </c>
      <c r="AE340" s="26" t="s">
        <v>1237</v>
      </c>
      <c r="AF340" s="26" t="s">
        <v>1237</v>
      </c>
      <c r="AG340" s="49"/>
      <c r="AH340" s="49"/>
      <c r="AI340" s="49"/>
      <c r="AJ340" s="49"/>
      <c r="AK340" s="49"/>
      <c r="AL340" s="49">
        <v>187323</v>
      </c>
      <c r="AM340" s="49"/>
      <c r="AN340" s="49"/>
      <c r="AO340" s="49"/>
      <c r="AP340" s="49"/>
      <c r="AQ340" s="49"/>
      <c r="AR340" s="49"/>
      <c r="AS340" s="49">
        <f t="shared" ref="AS340:AS359" si="19">SUM(AG340:AR340)</f>
        <v>187323</v>
      </c>
      <c r="AT340" s="52" t="s">
        <v>1238</v>
      </c>
      <c r="AU340" s="55"/>
    </row>
    <row r="341" spans="1:47" ht="16.5" hidden="1" customHeight="1" x14ac:dyDescent="0.35">
      <c r="A341" s="25" t="s">
        <v>189</v>
      </c>
      <c r="B341" s="25" t="s">
        <v>58</v>
      </c>
      <c r="C341" s="25" t="s">
        <v>1209</v>
      </c>
      <c r="D341" s="25">
        <v>847</v>
      </c>
      <c r="E341" s="25">
        <v>8471130</v>
      </c>
      <c r="F341" s="25" t="s">
        <v>1225</v>
      </c>
      <c r="G341" s="25">
        <v>1</v>
      </c>
      <c r="H341" s="276">
        <v>427900</v>
      </c>
      <c r="I341" s="25" t="s">
        <v>1205</v>
      </c>
      <c r="J341" s="25" t="s">
        <v>60</v>
      </c>
      <c r="K341" s="25" t="s">
        <v>50</v>
      </c>
      <c r="L341" s="83">
        <v>847001</v>
      </c>
      <c r="M341" s="25" t="s">
        <v>61</v>
      </c>
      <c r="N341" s="25">
        <v>200179</v>
      </c>
      <c r="O341" s="3" t="s">
        <v>1239</v>
      </c>
      <c r="P341" s="26">
        <v>0</v>
      </c>
      <c r="Q341" s="26">
        <v>5000</v>
      </c>
      <c r="R341" s="26">
        <v>5000</v>
      </c>
      <c r="S341" s="25" t="s">
        <v>1207</v>
      </c>
      <c r="T341" s="25" t="s">
        <v>157</v>
      </c>
      <c r="U341" s="25">
        <v>10</v>
      </c>
      <c r="V341" s="26">
        <v>500</v>
      </c>
      <c r="W341" s="25" t="s">
        <v>1240</v>
      </c>
      <c r="X341" s="26">
        <v>5000</v>
      </c>
      <c r="Y341" s="25" t="s">
        <v>55</v>
      </c>
      <c r="Z341" s="25" t="s">
        <v>56</v>
      </c>
      <c r="AA341" s="14">
        <f t="shared" si="16"/>
        <v>4500</v>
      </c>
      <c r="AB341" s="14">
        <f t="shared" si="17"/>
        <v>4000</v>
      </c>
      <c r="AC341" s="14">
        <f t="shared" si="18"/>
        <v>3500</v>
      </c>
      <c r="AD341" s="26" t="s">
        <v>1241</v>
      </c>
      <c r="AE341" s="26" t="s">
        <v>1241</v>
      </c>
      <c r="AF341" s="26" t="s">
        <v>1241</v>
      </c>
      <c r="AG341" s="49"/>
      <c r="AH341" s="49"/>
      <c r="AI341" s="49">
        <v>1250</v>
      </c>
      <c r="AJ341" s="49"/>
      <c r="AK341" s="49"/>
      <c r="AL341" s="49">
        <v>1250</v>
      </c>
      <c r="AM341" s="49"/>
      <c r="AN341" s="49"/>
      <c r="AO341" s="49">
        <v>1250</v>
      </c>
      <c r="AP341" s="49"/>
      <c r="AQ341" s="49"/>
      <c r="AR341" s="49">
        <v>1250</v>
      </c>
      <c r="AS341" s="49">
        <f t="shared" si="19"/>
        <v>5000</v>
      </c>
      <c r="AT341" s="52" t="s">
        <v>391</v>
      </c>
      <c r="AU341" s="55"/>
    </row>
    <row r="342" spans="1:47" ht="16.5" hidden="1" customHeight="1" x14ac:dyDescent="0.35">
      <c r="A342" s="25" t="s">
        <v>1242</v>
      </c>
      <c r="B342" s="25" t="s">
        <v>58</v>
      </c>
      <c r="C342" s="25" t="s">
        <v>1209</v>
      </c>
      <c r="D342" s="25">
        <v>847</v>
      </c>
      <c r="E342" s="25">
        <v>8471130</v>
      </c>
      <c r="F342" s="25" t="s">
        <v>1225</v>
      </c>
      <c r="G342" s="25">
        <v>1</v>
      </c>
      <c r="H342" s="276">
        <v>435523</v>
      </c>
      <c r="I342" s="25" t="s">
        <v>1243</v>
      </c>
      <c r="J342" s="25" t="s">
        <v>60</v>
      </c>
      <c r="K342" s="25" t="s">
        <v>50</v>
      </c>
      <c r="L342" s="83">
        <v>847001</v>
      </c>
      <c r="M342" s="25" t="s">
        <v>61</v>
      </c>
      <c r="N342" s="25">
        <v>200179</v>
      </c>
      <c r="O342" s="3" t="s">
        <v>1244</v>
      </c>
      <c r="P342" s="26">
        <v>198468.28</v>
      </c>
      <c r="Q342" s="26">
        <v>205962</v>
      </c>
      <c r="R342" s="26">
        <v>200000</v>
      </c>
      <c r="S342" s="25" t="s">
        <v>1245</v>
      </c>
      <c r="T342" s="25" t="s">
        <v>157</v>
      </c>
      <c r="U342" s="25">
        <v>1</v>
      </c>
      <c r="V342" s="26">
        <v>200000</v>
      </c>
      <c r="W342" s="25" t="s">
        <v>1246</v>
      </c>
      <c r="X342" s="26">
        <v>200000</v>
      </c>
      <c r="Y342" s="25" t="s">
        <v>55</v>
      </c>
      <c r="Z342" s="25" t="s">
        <v>56</v>
      </c>
      <c r="AA342" s="14">
        <f t="shared" si="16"/>
        <v>180000</v>
      </c>
      <c r="AB342" s="14">
        <f t="shared" si="17"/>
        <v>160000</v>
      </c>
      <c r="AC342" s="14">
        <f t="shared" si="18"/>
        <v>140000</v>
      </c>
      <c r="AD342" s="26" t="s">
        <v>1247</v>
      </c>
      <c r="AE342" s="26" t="s">
        <v>1248</v>
      </c>
      <c r="AF342" s="26" t="s">
        <v>1248</v>
      </c>
      <c r="AG342" s="49"/>
      <c r="AH342" s="49"/>
      <c r="AI342" s="49">
        <v>50000</v>
      </c>
      <c r="AJ342" s="49"/>
      <c r="AK342" s="49"/>
      <c r="AL342" s="49"/>
      <c r="AM342" s="49">
        <v>50000</v>
      </c>
      <c r="AN342" s="49"/>
      <c r="AO342" s="49">
        <v>50000</v>
      </c>
      <c r="AP342" s="49"/>
      <c r="AQ342" s="49"/>
      <c r="AR342" s="49">
        <v>50000</v>
      </c>
      <c r="AS342" s="49">
        <f t="shared" si="19"/>
        <v>200000</v>
      </c>
      <c r="AT342" s="52" t="s">
        <v>1238</v>
      </c>
      <c r="AU342" s="55"/>
    </row>
    <row r="343" spans="1:47" ht="16.5" hidden="1" customHeight="1" x14ac:dyDescent="0.35">
      <c r="A343" s="25" t="s">
        <v>222</v>
      </c>
      <c r="B343" s="25" t="s">
        <v>58</v>
      </c>
      <c r="C343" s="25" t="s">
        <v>1209</v>
      </c>
      <c r="D343" s="25">
        <v>847</v>
      </c>
      <c r="E343" s="25">
        <v>8471140</v>
      </c>
      <c r="F343" s="25" t="s">
        <v>1249</v>
      </c>
      <c r="G343" s="25">
        <v>1</v>
      </c>
      <c r="H343" s="276">
        <v>420570</v>
      </c>
      <c r="I343" s="25" t="s">
        <v>231</v>
      </c>
      <c r="J343" s="25" t="s">
        <v>60</v>
      </c>
      <c r="K343" s="25" t="s">
        <v>50</v>
      </c>
      <c r="L343" s="83">
        <v>847001</v>
      </c>
      <c r="M343" s="25" t="s">
        <v>61</v>
      </c>
      <c r="N343" s="25">
        <v>200179</v>
      </c>
      <c r="O343" s="3" t="s">
        <v>1250</v>
      </c>
      <c r="P343" s="26">
        <v>11867277.859999999</v>
      </c>
      <c r="Q343" s="26">
        <v>231840</v>
      </c>
      <c r="R343" s="26"/>
      <c r="S343" s="25" t="s">
        <v>606</v>
      </c>
      <c r="T343" s="25" t="s">
        <v>607</v>
      </c>
      <c r="U343" s="25">
        <v>1</v>
      </c>
      <c r="V343" s="26">
        <v>305025</v>
      </c>
      <c r="W343" s="25" t="s">
        <v>1251</v>
      </c>
      <c r="X343" s="26">
        <v>305025</v>
      </c>
      <c r="Y343" s="25" t="s">
        <v>55</v>
      </c>
      <c r="Z343" s="25" t="s">
        <v>56</v>
      </c>
      <c r="AA343" s="14">
        <f t="shared" si="16"/>
        <v>274522.5</v>
      </c>
      <c r="AB343" s="14">
        <f t="shared" si="17"/>
        <v>244020</v>
      </c>
      <c r="AC343" s="14">
        <f t="shared" si="18"/>
        <v>213517.5</v>
      </c>
      <c r="AD343" s="26" t="s">
        <v>1252</v>
      </c>
      <c r="AE343" s="26" t="s">
        <v>1253</v>
      </c>
      <c r="AF343" s="26" t="s">
        <v>1254</v>
      </c>
      <c r="AG343" s="49">
        <v>0</v>
      </c>
      <c r="AH343" s="49">
        <v>0</v>
      </c>
      <c r="AI343" s="49">
        <v>0</v>
      </c>
      <c r="AJ343" s="49">
        <v>0</v>
      </c>
      <c r="AK343" s="49">
        <v>0</v>
      </c>
      <c r="AL343" s="49">
        <v>0</v>
      </c>
      <c r="AM343" s="49">
        <v>0</v>
      </c>
      <c r="AN343" s="49">
        <v>0</v>
      </c>
      <c r="AO343" s="49">
        <v>0</v>
      </c>
      <c r="AP343" s="49">
        <v>101675</v>
      </c>
      <c r="AQ343" s="49">
        <v>101675</v>
      </c>
      <c r="AR343" s="49">
        <v>101675</v>
      </c>
      <c r="AS343" s="49">
        <f t="shared" si="19"/>
        <v>305025</v>
      </c>
      <c r="AT343" s="52" t="s">
        <v>1255</v>
      </c>
      <c r="AU343" s="55"/>
    </row>
    <row r="344" spans="1:47" ht="16.5" hidden="1" customHeight="1" x14ac:dyDescent="0.35">
      <c r="A344" s="25" t="s">
        <v>46</v>
      </c>
      <c r="B344" s="25" t="s">
        <v>46</v>
      </c>
      <c r="C344" s="25" t="s">
        <v>1209</v>
      </c>
      <c r="D344" s="25">
        <v>847</v>
      </c>
      <c r="E344" s="25">
        <v>8471140</v>
      </c>
      <c r="F344" s="25" t="s">
        <v>1249</v>
      </c>
      <c r="G344" s="25">
        <v>1</v>
      </c>
      <c r="H344" s="276">
        <v>428090</v>
      </c>
      <c r="I344" s="25" t="s">
        <v>154</v>
      </c>
      <c r="J344" s="25" t="s">
        <v>60</v>
      </c>
      <c r="K344" s="25" t="s">
        <v>50</v>
      </c>
      <c r="L344" s="83">
        <v>847001</v>
      </c>
      <c r="M344" s="25" t="s">
        <v>61</v>
      </c>
      <c r="N344" s="25">
        <v>200179</v>
      </c>
      <c r="O344" s="3" t="s">
        <v>1329</v>
      </c>
      <c r="P344" s="26" t="s">
        <v>46</v>
      </c>
      <c r="Q344" s="26">
        <v>80000</v>
      </c>
      <c r="R344" s="26">
        <v>80000</v>
      </c>
      <c r="S344" s="25" t="s">
        <v>156</v>
      </c>
      <c r="T344" s="25" t="s">
        <v>157</v>
      </c>
      <c r="U344" s="25">
        <v>5</v>
      </c>
      <c r="V344" s="26">
        <v>20000</v>
      </c>
      <c r="W344" s="25" t="s">
        <v>1256</v>
      </c>
      <c r="X344" s="26">
        <v>100000</v>
      </c>
      <c r="Y344" s="25" t="s">
        <v>55</v>
      </c>
      <c r="Z344" s="25" t="s">
        <v>56</v>
      </c>
      <c r="AA344" s="14">
        <f t="shared" si="16"/>
        <v>90000</v>
      </c>
      <c r="AB344" s="14">
        <f t="shared" si="17"/>
        <v>80000</v>
      </c>
      <c r="AC344" s="14">
        <f t="shared" si="18"/>
        <v>70000</v>
      </c>
      <c r="AD344" s="26" t="s">
        <v>1257</v>
      </c>
      <c r="AE344" s="26" t="s">
        <v>1257</v>
      </c>
      <c r="AF344" s="26" t="s">
        <v>1257</v>
      </c>
      <c r="AG344" s="49">
        <v>0</v>
      </c>
      <c r="AH344" s="49">
        <v>0</v>
      </c>
      <c r="AI344" s="49">
        <v>0</v>
      </c>
      <c r="AJ344" s="49">
        <v>0</v>
      </c>
      <c r="AK344" s="49">
        <v>0</v>
      </c>
      <c r="AL344" s="49">
        <v>0</v>
      </c>
      <c r="AM344" s="49">
        <v>0</v>
      </c>
      <c r="AN344" s="49">
        <v>20000</v>
      </c>
      <c r="AO344" s="49">
        <v>40000</v>
      </c>
      <c r="AP344" s="49">
        <v>40000</v>
      </c>
      <c r="AQ344" s="49">
        <v>0</v>
      </c>
      <c r="AR344" s="49">
        <v>0</v>
      </c>
      <c r="AS344" s="49">
        <f t="shared" si="19"/>
        <v>100000</v>
      </c>
      <c r="AT344" s="52" t="s">
        <v>1255</v>
      </c>
      <c r="AU344" s="55"/>
    </row>
    <row r="345" spans="1:47" ht="16.5" hidden="1" customHeight="1" x14ac:dyDescent="0.35">
      <c r="A345" s="25" t="s">
        <v>1242</v>
      </c>
      <c r="B345" s="25" t="s">
        <v>58</v>
      </c>
      <c r="C345" s="25" t="s">
        <v>1209</v>
      </c>
      <c r="D345" s="25">
        <v>847</v>
      </c>
      <c r="E345" s="25">
        <v>8471140</v>
      </c>
      <c r="F345" s="25" t="s">
        <v>1249</v>
      </c>
      <c r="G345" s="25">
        <v>1</v>
      </c>
      <c r="H345" s="276">
        <v>435523</v>
      </c>
      <c r="I345" s="25" t="s">
        <v>1243</v>
      </c>
      <c r="J345" s="25" t="s">
        <v>60</v>
      </c>
      <c r="K345" s="25" t="s">
        <v>50</v>
      </c>
      <c r="L345" s="83">
        <v>847001</v>
      </c>
      <c r="M345" s="25" t="s">
        <v>61</v>
      </c>
      <c r="N345" s="25">
        <v>200179</v>
      </c>
      <c r="O345" s="3" t="s">
        <v>1258</v>
      </c>
      <c r="P345" s="26">
        <v>83770903.290000096</v>
      </c>
      <c r="Q345" s="26">
        <v>99885358</v>
      </c>
      <c r="R345" s="26">
        <v>99885358</v>
      </c>
      <c r="S345" s="25" t="s">
        <v>1245</v>
      </c>
      <c r="T345" s="25" t="s">
        <v>157</v>
      </c>
      <c r="U345" s="25">
        <v>1</v>
      </c>
      <c r="V345" s="26">
        <v>81714797.610000014</v>
      </c>
      <c r="W345" s="25" t="s">
        <v>1259</v>
      </c>
      <c r="X345" s="26">
        <v>81714797.610000014</v>
      </c>
      <c r="Y345" s="25" t="s">
        <v>55</v>
      </c>
      <c r="Z345" s="25" t="s">
        <v>56</v>
      </c>
      <c r="AA345" s="14">
        <f t="shared" si="16"/>
        <v>73543317.849000022</v>
      </c>
      <c r="AB345" s="14">
        <f t="shared" si="17"/>
        <v>65371838.088000014</v>
      </c>
      <c r="AC345" s="14">
        <f t="shared" si="18"/>
        <v>57200358.327000007</v>
      </c>
      <c r="AD345" s="26" t="s">
        <v>1261</v>
      </c>
      <c r="AE345" s="26" t="s">
        <v>1261</v>
      </c>
      <c r="AF345" s="26" t="s">
        <v>1261</v>
      </c>
      <c r="AG345" s="49">
        <v>5107174.8506250009</v>
      </c>
      <c r="AH345" s="49">
        <v>5107174.8506250009</v>
      </c>
      <c r="AI345" s="49">
        <v>7660762.2759375013</v>
      </c>
      <c r="AJ345" s="49">
        <v>7660762.2759375013</v>
      </c>
      <c r="AK345" s="49">
        <v>7660762.2759375013</v>
      </c>
      <c r="AL345" s="49">
        <v>7660762.2759375013</v>
      </c>
      <c r="AM345" s="49">
        <v>7660762.2759375013</v>
      </c>
      <c r="AN345" s="49">
        <v>7660762.2759375013</v>
      </c>
      <c r="AO345" s="49">
        <v>6383968.5632812502</v>
      </c>
      <c r="AP345" s="49">
        <v>6383968.5632812502</v>
      </c>
      <c r="AQ345" s="49">
        <v>6383968.5632812502</v>
      </c>
      <c r="AR345" s="49">
        <v>6383968.5632812502</v>
      </c>
      <c r="AS345" s="49">
        <f t="shared" si="19"/>
        <v>81714797.610000014</v>
      </c>
      <c r="AT345" s="52" t="s">
        <v>1255</v>
      </c>
      <c r="AU345" s="55" t="s">
        <v>1260</v>
      </c>
    </row>
    <row r="346" spans="1:47" ht="16.5" hidden="1" customHeight="1" x14ac:dyDescent="0.35">
      <c r="A346" s="25" t="s">
        <v>1242</v>
      </c>
      <c r="B346" s="25" t="s">
        <v>58</v>
      </c>
      <c r="C346" s="25" t="s">
        <v>1209</v>
      </c>
      <c r="D346" s="25">
        <v>847</v>
      </c>
      <c r="E346" s="25">
        <v>8471140</v>
      </c>
      <c r="F346" s="25" t="s">
        <v>1249</v>
      </c>
      <c r="G346" s="25">
        <v>1</v>
      </c>
      <c r="H346" s="276">
        <v>435523</v>
      </c>
      <c r="I346" s="25" t="s">
        <v>1243</v>
      </c>
      <c r="J346" s="25" t="s">
        <v>60</v>
      </c>
      <c r="K346" s="25" t="s">
        <v>50</v>
      </c>
      <c r="L346" s="83">
        <v>847001</v>
      </c>
      <c r="M346" s="25" t="s">
        <v>61</v>
      </c>
      <c r="N346" s="25">
        <v>200179</v>
      </c>
      <c r="O346" s="3" t="s">
        <v>1258</v>
      </c>
      <c r="P346" s="26"/>
      <c r="Q346" s="26"/>
      <c r="R346" s="26"/>
      <c r="S346" s="25" t="s">
        <v>1245</v>
      </c>
      <c r="T346" s="25" t="s">
        <v>157</v>
      </c>
      <c r="U346" s="25">
        <v>1</v>
      </c>
      <c r="V346" s="26">
        <v>31734062.5</v>
      </c>
      <c r="W346" s="25" t="s">
        <v>1262</v>
      </c>
      <c r="X346" s="26">
        <v>31734062.5</v>
      </c>
      <c r="Y346" s="25" t="s">
        <v>55</v>
      </c>
      <c r="Z346" s="25" t="s">
        <v>56</v>
      </c>
      <c r="AA346" s="14">
        <f t="shared" si="16"/>
        <v>28560656.25</v>
      </c>
      <c r="AB346" s="14">
        <f t="shared" si="17"/>
        <v>25387250</v>
      </c>
      <c r="AC346" s="14">
        <f t="shared" si="18"/>
        <v>22213843.75</v>
      </c>
      <c r="AD346" s="26" t="s">
        <v>1263</v>
      </c>
      <c r="AE346" s="26" t="s">
        <v>1263</v>
      </c>
      <c r="AF346" s="26" t="s">
        <v>1263</v>
      </c>
      <c r="AG346" s="49">
        <v>1983378.90625</v>
      </c>
      <c r="AH346" s="49">
        <v>1983378.90625</v>
      </c>
      <c r="AI346" s="49">
        <v>1983378.90625</v>
      </c>
      <c r="AJ346" s="49">
        <v>2975068.359375</v>
      </c>
      <c r="AK346" s="49">
        <v>2975068.359375</v>
      </c>
      <c r="AL346" s="49">
        <v>2975068.359375</v>
      </c>
      <c r="AM346" s="49">
        <v>2975068.359375</v>
      </c>
      <c r="AN346" s="49">
        <v>2975068.359375</v>
      </c>
      <c r="AO346" s="49">
        <v>2975068.359375</v>
      </c>
      <c r="AP346" s="49">
        <v>2975068.359375</v>
      </c>
      <c r="AQ346" s="49">
        <v>2975068.359375</v>
      </c>
      <c r="AR346" s="49">
        <v>1983378.9062500009</v>
      </c>
      <c r="AS346" s="49">
        <f t="shared" si="19"/>
        <v>31734062.5</v>
      </c>
      <c r="AT346" s="52" t="s">
        <v>1255</v>
      </c>
      <c r="AU346" s="55" t="s">
        <v>1260</v>
      </c>
    </row>
    <row r="347" spans="1:47" ht="16.5" hidden="1" customHeight="1" x14ac:dyDescent="0.35">
      <c r="A347" s="25" t="s">
        <v>189</v>
      </c>
      <c r="B347" s="25" t="s">
        <v>1264</v>
      </c>
      <c r="C347" s="25" t="s">
        <v>1209</v>
      </c>
      <c r="D347" s="25">
        <v>847</v>
      </c>
      <c r="E347" s="25">
        <v>8471150</v>
      </c>
      <c r="F347" s="25" t="s">
        <v>1265</v>
      </c>
      <c r="G347" s="25">
        <v>1</v>
      </c>
      <c r="H347" s="276">
        <v>420900</v>
      </c>
      <c r="I347" s="25" t="s">
        <v>1266</v>
      </c>
      <c r="J347" s="25" t="s">
        <v>60</v>
      </c>
      <c r="K347" s="25" t="s">
        <v>50</v>
      </c>
      <c r="L347" s="83">
        <v>847001</v>
      </c>
      <c r="M347" s="25" t="s">
        <v>61</v>
      </c>
      <c r="N347" s="25">
        <v>200179</v>
      </c>
      <c r="O347" s="3" t="s">
        <v>1267</v>
      </c>
      <c r="P347" s="26">
        <v>2639907.12</v>
      </c>
      <c r="Q347" s="26">
        <v>3332844</v>
      </c>
      <c r="R347" s="26">
        <v>3500000</v>
      </c>
      <c r="S347" s="25" t="s">
        <v>1268</v>
      </c>
      <c r="T347" s="25" t="s">
        <v>157</v>
      </c>
      <c r="U347" s="25">
        <v>4978500</v>
      </c>
      <c r="V347" s="26">
        <v>1</v>
      </c>
      <c r="W347" s="25" t="s">
        <v>1269</v>
      </c>
      <c r="X347" s="27">
        <v>4978500</v>
      </c>
      <c r="Y347" s="25" t="s">
        <v>55</v>
      </c>
      <c r="Z347" s="25" t="s">
        <v>56</v>
      </c>
      <c r="AA347" s="14">
        <f t="shared" si="16"/>
        <v>4480650</v>
      </c>
      <c r="AB347" s="14">
        <f t="shared" si="17"/>
        <v>3982800</v>
      </c>
      <c r="AC347" s="14">
        <f t="shared" si="18"/>
        <v>3484950</v>
      </c>
      <c r="AD347" s="26" t="s">
        <v>1270</v>
      </c>
      <c r="AE347" s="26" t="s">
        <v>1271</v>
      </c>
      <c r="AF347" s="26" t="s">
        <v>1272</v>
      </c>
      <c r="AG347" s="49">
        <v>414875</v>
      </c>
      <c r="AH347" s="49">
        <v>414875</v>
      </c>
      <c r="AI347" s="49">
        <v>414875</v>
      </c>
      <c r="AJ347" s="49">
        <v>414875</v>
      </c>
      <c r="AK347" s="49">
        <v>414875</v>
      </c>
      <c r="AL347" s="49">
        <v>414875</v>
      </c>
      <c r="AM347" s="49">
        <v>414875</v>
      </c>
      <c r="AN347" s="49">
        <v>414875</v>
      </c>
      <c r="AO347" s="49">
        <v>414875</v>
      </c>
      <c r="AP347" s="49">
        <v>414875</v>
      </c>
      <c r="AQ347" s="49">
        <v>414875</v>
      </c>
      <c r="AR347" s="49">
        <v>414875</v>
      </c>
      <c r="AS347" s="49">
        <f t="shared" si="19"/>
        <v>4978500</v>
      </c>
      <c r="AT347" s="52" t="s">
        <v>365</v>
      </c>
      <c r="AU347" s="55" t="s">
        <v>1260</v>
      </c>
    </row>
    <row r="348" spans="1:47" ht="16.5" hidden="1" customHeight="1" x14ac:dyDescent="0.35">
      <c r="A348" s="25" t="s">
        <v>245</v>
      </c>
      <c r="B348" s="25" t="s">
        <v>246</v>
      </c>
      <c r="C348" s="25" t="s">
        <v>1209</v>
      </c>
      <c r="D348" s="25">
        <v>847</v>
      </c>
      <c r="E348" s="25">
        <v>8471150</v>
      </c>
      <c r="F348" s="25" t="s">
        <v>1265</v>
      </c>
      <c r="G348" s="25">
        <v>1</v>
      </c>
      <c r="H348" s="276">
        <v>425510</v>
      </c>
      <c r="I348" s="25" t="s">
        <v>247</v>
      </c>
      <c r="J348" s="25" t="s">
        <v>60</v>
      </c>
      <c r="K348" s="25" t="s">
        <v>50</v>
      </c>
      <c r="L348" s="83">
        <v>847001</v>
      </c>
      <c r="M348" s="25" t="s">
        <v>61</v>
      </c>
      <c r="N348" s="25">
        <v>200179</v>
      </c>
      <c r="O348" s="3" t="s">
        <v>1273</v>
      </c>
      <c r="P348" s="26">
        <v>10137.75</v>
      </c>
      <c r="Q348" s="26">
        <v>100002</v>
      </c>
      <c r="R348" s="26">
        <v>10000</v>
      </c>
      <c r="S348" s="25" t="s">
        <v>514</v>
      </c>
      <c r="T348" s="25" t="s">
        <v>157</v>
      </c>
      <c r="U348" s="25">
        <v>36000</v>
      </c>
      <c r="V348" s="26">
        <v>2</v>
      </c>
      <c r="W348" s="25" t="s">
        <v>1274</v>
      </c>
      <c r="X348" s="27">
        <v>72000</v>
      </c>
      <c r="Y348" s="25" t="s">
        <v>55</v>
      </c>
      <c r="Z348" s="25" t="s">
        <v>56</v>
      </c>
      <c r="AA348" s="14">
        <f t="shared" si="16"/>
        <v>64800</v>
      </c>
      <c r="AB348" s="14">
        <f t="shared" si="17"/>
        <v>57600</v>
      </c>
      <c r="AC348" s="14">
        <f t="shared" si="18"/>
        <v>50400</v>
      </c>
      <c r="AD348" s="26"/>
      <c r="AE348" s="26"/>
      <c r="AF348" s="26"/>
      <c r="AG348" s="49">
        <v>6000</v>
      </c>
      <c r="AH348" s="49">
        <v>6000</v>
      </c>
      <c r="AI348" s="49">
        <v>6000</v>
      </c>
      <c r="AJ348" s="49">
        <v>6000</v>
      </c>
      <c r="AK348" s="49">
        <v>6000</v>
      </c>
      <c r="AL348" s="49">
        <v>6000</v>
      </c>
      <c r="AM348" s="49">
        <v>6000</v>
      </c>
      <c r="AN348" s="49">
        <v>6000</v>
      </c>
      <c r="AO348" s="49">
        <v>6000</v>
      </c>
      <c r="AP348" s="49">
        <v>6000</v>
      </c>
      <c r="AQ348" s="49">
        <v>6000</v>
      </c>
      <c r="AR348" s="49">
        <v>6000</v>
      </c>
      <c r="AS348" s="49">
        <f t="shared" si="19"/>
        <v>72000</v>
      </c>
      <c r="AT348" s="52" t="s">
        <v>365</v>
      </c>
      <c r="AU348" s="55" t="s">
        <v>1260</v>
      </c>
    </row>
    <row r="349" spans="1:47" ht="16.5" hidden="1" customHeight="1" x14ac:dyDescent="0.35">
      <c r="A349" s="25" t="s">
        <v>245</v>
      </c>
      <c r="B349" s="25" t="s">
        <v>58</v>
      </c>
      <c r="C349" s="25" t="s">
        <v>1209</v>
      </c>
      <c r="D349" s="25">
        <v>847</v>
      </c>
      <c r="E349" s="25">
        <v>8471150</v>
      </c>
      <c r="F349" s="25" t="s">
        <v>1265</v>
      </c>
      <c r="G349" s="25">
        <v>1</v>
      </c>
      <c r="H349" s="276">
        <v>425550</v>
      </c>
      <c r="I349" s="25" t="s">
        <v>253</v>
      </c>
      <c r="J349" s="25" t="s">
        <v>60</v>
      </c>
      <c r="K349" s="25" t="s">
        <v>50</v>
      </c>
      <c r="L349" s="83">
        <v>847001</v>
      </c>
      <c r="M349" s="25" t="s">
        <v>61</v>
      </c>
      <c r="N349" s="25">
        <v>200179</v>
      </c>
      <c r="O349" s="3" t="s">
        <v>1275</v>
      </c>
      <c r="P349" s="26">
        <v>0</v>
      </c>
      <c r="Q349" s="26">
        <v>100002</v>
      </c>
      <c r="R349" s="26">
        <v>45000</v>
      </c>
      <c r="S349" s="25" t="s">
        <v>615</v>
      </c>
      <c r="T349" s="25" t="s">
        <v>616</v>
      </c>
      <c r="U349" s="25">
        <v>50001</v>
      </c>
      <c r="V349" s="26">
        <v>2</v>
      </c>
      <c r="W349" s="25" t="s">
        <v>1276</v>
      </c>
      <c r="X349" s="27">
        <v>100002</v>
      </c>
      <c r="Y349" s="25" t="s">
        <v>55</v>
      </c>
      <c r="Z349" s="25" t="s">
        <v>56</v>
      </c>
      <c r="AA349" s="14">
        <f t="shared" si="16"/>
        <v>90001.8</v>
      </c>
      <c r="AB349" s="14">
        <f t="shared" si="17"/>
        <v>80001.600000000006</v>
      </c>
      <c r="AC349" s="14">
        <f t="shared" si="18"/>
        <v>70001.399999999994</v>
      </c>
      <c r="AD349" s="26"/>
      <c r="AE349" s="26"/>
      <c r="AF349" s="26"/>
      <c r="AG349" s="49">
        <v>8333.5</v>
      </c>
      <c r="AH349" s="49">
        <v>8333.5</v>
      </c>
      <c r="AI349" s="49">
        <v>8333.5</v>
      </c>
      <c r="AJ349" s="49">
        <v>8333.5</v>
      </c>
      <c r="AK349" s="49">
        <v>8333.5</v>
      </c>
      <c r="AL349" s="49">
        <v>8333.5</v>
      </c>
      <c r="AM349" s="49">
        <v>8333.5</v>
      </c>
      <c r="AN349" s="49">
        <v>8333.5</v>
      </c>
      <c r="AO349" s="49">
        <v>8333.5</v>
      </c>
      <c r="AP349" s="49">
        <v>8333.5</v>
      </c>
      <c r="AQ349" s="49">
        <v>8333.5</v>
      </c>
      <c r="AR349" s="49">
        <v>8333.5</v>
      </c>
      <c r="AS349" s="49">
        <f t="shared" si="19"/>
        <v>100002</v>
      </c>
      <c r="AT349" s="52" t="s">
        <v>365</v>
      </c>
      <c r="AU349" s="55" t="s">
        <v>1260</v>
      </c>
    </row>
    <row r="350" spans="1:47" ht="16.5" hidden="1" customHeight="1" x14ac:dyDescent="0.35">
      <c r="A350" s="25" t="s">
        <v>63</v>
      </c>
      <c r="B350" s="25" t="s">
        <v>64</v>
      </c>
      <c r="C350" s="25" t="s">
        <v>1209</v>
      </c>
      <c r="D350" s="25">
        <v>847</v>
      </c>
      <c r="E350" s="25">
        <v>8471150</v>
      </c>
      <c r="F350" s="25" t="s">
        <v>1265</v>
      </c>
      <c r="G350" s="25">
        <v>1</v>
      </c>
      <c r="H350" s="276">
        <v>426610</v>
      </c>
      <c r="I350" s="25" t="s">
        <v>74</v>
      </c>
      <c r="J350" s="25" t="s">
        <v>60</v>
      </c>
      <c r="K350" s="25" t="s">
        <v>50</v>
      </c>
      <c r="L350" s="83">
        <v>847001</v>
      </c>
      <c r="M350" s="25" t="s">
        <v>61</v>
      </c>
      <c r="N350" s="25">
        <v>200179</v>
      </c>
      <c r="O350" s="3" t="s">
        <v>1277</v>
      </c>
      <c r="P350" s="26">
        <v>76378.73</v>
      </c>
      <c r="Q350" s="26">
        <v>120000</v>
      </c>
      <c r="R350" s="26">
        <v>165000</v>
      </c>
      <c r="S350" s="25" t="s">
        <v>75</v>
      </c>
      <c r="T350" s="25" t="s">
        <v>76</v>
      </c>
      <c r="U350" s="25">
        <v>165000</v>
      </c>
      <c r="V350" s="26">
        <v>1</v>
      </c>
      <c r="W350" s="25" t="s">
        <v>1278</v>
      </c>
      <c r="X350" s="27">
        <v>165000</v>
      </c>
      <c r="Y350" s="25" t="s">
        <v>55</v>
      </c>
      <c r="Z350" s="25" t="s">
        <v>56</v>
      </c>
      <c r="AA350" s="14">
        <f t="shared" si="16"/>
        <v>148500</v>
      </c>
      <c r="AB350" s="14">
        <f t="shared" si="17"/>
        <v>132000</v>
      </c>
      <c r="AC350" s="14">
        <f t="shared" si="18"/>
        <v>115499.99999999999</v>
      </c>
      <c r="AD350" s="26" t="s">
        <v>1279</v>
      </c>
      <c r="AE350" s="26" t="s">
        <v>1280</v>
      </c>
      <c r="AF350" s="26" t="s">
        <v>1281</v>
      </c>
      <c r="AG350" s="49">
        <v>13750</v>
      </c>
      <c r="AH350" s="49">
        <v>13750</v>
      </c>
      <c r="AI350" s="49">
        <v>13750</v>
      </c>
      <c r="AJ350" s="49">
        <v>13750</v>
      </c>
      <c r="AK350" s="49">
        <v>13750</v>
      </c>
      <c r="AL350" s="49">
        <v>13750</v>
      </c>
      <c r="AM350" s="49">
        <v>13750</v>
      </c>
      <c r="AN350" s="49">
        <v>13750</v>
      </c>
      <c r="AO350" s="49">
        <v>13750</v>
      </c>
      <c r="AP350" s="49">
        <v>13750</v>
      </c>
      <c r="AQ350" s="49">
        <v>13750</v>
      </c>
      <c r="AR350" s="49">
        <v>13750</v>
      </c>
      <c r="AS350" s="49">
        <f t="shared" si="19"/>
        <v>165000</v>
      </c>
      <c r="AT350" s="52" t="s">
        <v>70</v>
      </c>
      <c r="AU350" s="55" t="s">
        <v>1260</v>
      </c>
    </row>
    <row r="351" spans="1:47" ht="16.5" hidden="1" customHeight="1" x14ac:dyDescent="0.35">
      <c r="A351" s="25" t="s">
        <v>153</v>
      </c>
      <c r="B351" s="25" t="s">
        <v>58</v>
      </c>
      <c r="C351" s="25" t="s">
        <v>1209</v>
      </c>
      <c r="D351" s="25">
        <v>847</v>
      </c>
      <c r="E351" s="25">
        <v>8471150</v>
      </c>
      <c r="F351" s="25" t="s">
        <v>1265</v>
      </c>
      <c r="G351" s="25">
        <v>1</v>
      </c>
      <c r="H351" s="276">
        <v>428090</v>
      </c>
      <c r="I351" s="25" t="s">
        <v>154</v>
      </c>
      <c r="J351" s="25" t="s">
        <v>60</v>
      </c>
      <c r="K351" s="25" t="s">
        <v>50</v>
      </c>
      <c r="L351" s="83">
        <v>847001</v>
      </c>
      <c r="M351" s="25" t="s">
        <v>61</v>
      </c>
      <c r="N351" s="25">
        <v>200179</v>
      </c>
      <c r="O351" s="3" t="s">
        <v>1282</v>
      </c>
      <c r="P351" s="26" t="s">
        <v>46</v>
      </c>
      <c r="Q351" s="26">
        <v>50001</v>
      </c>
      <c r="R351" s="26">
        <v>25000</v>
      </c>
      <c r="S351" s="25" t="s">
        <v>156</v>
      </c>
      <c r="T351" s="25" t="s">
        <v>157</v>
      </c>
      <c r="U351" s="25">
        <v>50400</v>
      </c>
      <c r="V351" s="26">
        <v>1</v>
      </c>
      <c r="W351" s="25" t="s">
        <v>1276</v>
      </c>
      <c r="X351" s="27">
        <v>50400</v>
      </c>
      <c r="Y351" s="25" t="s">
        <v>55</v>
      </c>
      <c r="Z351" s="25" t="s">
        <v>56</v>
      </c>
      <c r="AA351" s="14">
        <f t="shared" si="16"/>
        <v>45360</v>
      </c>
      <c r="AB351" s="14">
        <f t="shared" si="17"/>
        <v>40320</v>
      </c>
      <c r="AC351" s="14">
        <f t="shared" si="18"/>
        <v>35280</v>
      </c>
      <c r="AD351" s="26"/>
      <c r="AE351" s="26"/>
      <c r="AF351" s="26"/>
      <c r="AG351" s="49">
        <v>4200</v>
      </c>
      <c r="AH351" s="49">
        <v>4200</v>
      </c>
      <c r="AI351" s="49">
        <v>4200</v>
      </c>
      <c r="AJ351" s="49">
        <v>4200</v>
      </c>
      <c r="AK351" s="49">
        <v>4200</v>
      </c>
      <c r="AL351" s="49">
        <v>4200</v>
      </c>
      <c r="AM351" s="49">
        <v>4200</v>
      </c>
      <c r="AN351" s="49">
        <v>4200</v>
      </c>
      <c r="AO351" s="49">
        <v>4200</v>
      </c>
      <c r="AP351" s="49">
        <v>4200</v>
      </c>
      <c r="AQ351" s="49">
        <v>4200</v>
      </c>
      <c r="AR351" s="49">
        <v>4200</v>
      </c>
      <c r="AS351" s="49">
        <f t="shared" si="19"/>
        <v>50400</v>
      </c>
      <c r="AT351" s="52" t="s">
        <v>365</v>
      </c>
      <c r="AU351" s="55" t="s">
        <v>1260</v>
      </c>
    </row>
    <row r="352" spans="1:47" ht="16.5" hidden="1" customHeight="1" x14ac:dyDescent="0.35">
      <c r="A352" s="25" t="s">
        <v>46</v>
      </c>
      <c r="B352" s="25" t="s">
        <v>46</v>
      </c>
      <c r="C352" s="25" t="s">
        <v>1209</v>
      </c>
      <c r="D352" s="25">
        <v>847</v>
      </c>
      <c r="E352" s="25">
        <v>8471150</v>
      </c>
      <c r="F352" s="25" t="s">
        <v>1265</v>
      </c>
      <c r="G352" s="25">
        <v>1</v>
      </c>
      <c r="H352" s="276">
        <v>435310</v>
      </c>
      <c r="I352" s="25" t="s">
        <v>1283</v>
      </c>
      <c r="J352" s="25" t="s">
        <v>60</v>
      </c>
      <c r="K352" s="25" t="s">
        <v>50</v>
      </c>
      <c r="L352" s="83">
        <v>847001</v>
      </c>
      <c r="M352" s="25" t="s">
        <v>61</v>
      </c>
      <c r="N352" s="25">
        <v>200179</v>
      </c>
      <c r="O352" s="3" t="s">
        <v>2812</v>
      </c>
      <c r="P352" s="26"/>
      <c r="Q352" s="26"/>
      <c r="R352" s="26">
        <v>12000</v>
      </c>
      <c r="S352" s="25" t="s">
        <v>1284</v>
      </c>
      <c r="T352" s="25" t="s">
        <v>157</v>
      </c>
      <c r="U352" s="25">
        <v>12000</v>
      </c>
      <c r="V352" s="26">
        <v>1</v>
      </c>
      <c r="W352" s="25" t="s">
        <v>1285</v>
      </c>
      <c r="X352" s="27">
        <v>12000</v>
      </c>
      <c r="Y352" s="25" t="s">
        <v>55</v>
      </c>
      <c r="Z352" s="25" t="s">
        <v>56</v>
      </c>
      <c r="AA352" s="14">
        <f t="shared" si="16"/>
        <v>10800</v>
      </c>
      <c r="AB352" s="14">
        <f t="shared" si="17"/>
        <v>9600</v>
      </c>
      <c r="AC352" s="14">
        <f t="shared" si="18"/>
        <v>8400</v>
      </c>
      <c r="AD352" s="26"/>
      <c r="AE352" s="26"/>
      <c r="AF352" s="26"/>
      <c r="AG352" s="49">
        <v>1000</v>
      </c>
      <c r="AH352" s="49">
        <v>1000</v>
      </c>
      <c r="AI352" s="49">
        <v>1000</v>
      </c>
      <c r="AJ352" s="49">
        <v>1000</v>
      </c>
      <c r="AK352" s="49">
        <v>1000</v>
      </c>
      <c r="AL352" s="49">
        <v>1000</v>
      </c>
      <c r="AM352" s="49">
        <v>1000</v>
      </c>
      <c r="AN352" s="49">
        <v>1000</v>
      </c>
      <c r="AO352" s="49">
        <v>1000</v>
      </c>
      <c r="AP352" s="49">
        <v>1000</v>
      </c>
      <c r="AQ352" s="49">
        <v>1000</v>
      </c>
      <c r="AR352" s="49">
        <v>1000</v>
      </c>
      <c r="AS352" s="49">
        <f t="shared" si="19"/>
        <v>12000</v>
      </c>
      <c r="AT352" s="52" t="s">
        <v>365</v>
      </c>
      <c r="AU352" s="55" t="s">
        <v>1260</v>
      </c>
    </row>
    <row r="353" spans="1:47" ht="16.5" hidden="1" customHeight="1" x14ac:dyDescent="0.35">
      <c r="A353" s="25" t="s">
        <v>63</v>
      </c>
      <c r="B353" s="25" t="s">
        <v>64</v>
      </c>
      <c r="C353" s="25" t="s">
        <v>1209</v>
      </c>
      <c r="D353" s="25">
        <v>847</v>
      </c>
      <c r="E353" s="25">
        <v>8471170</v>
      </c>
      <c r="F353" s="25" t="s">
        <v>1286</v>
      </c>
      <c r="G353" s="25">
        <v>1</v>
      </c>
      <c r="H353" s="276">
        <v>420811</v>
      </c>
      <c r="I353" s="25" t="s">
        <v>65</v>
      </c>
      <c r="J353" s="25" t="s">
        <v>60</v>
      </c>
      <c r="K353" s="25" t="s">
        <v>50</v>
      </c>
      <c r="L353" s="83">
        <v>847001</v>
      </c>
      <c r="M353" s="25" t="s">
        <v>61</v>
      </c>
      <c r="N353" s="25">
        <v>200179</v>
      </c>
      <c r="O353" s="3" t="s">
        <v>1287</v>
      </c>
      <c r="P353" s="26" t="s">
        <v>46</v>
      </c>
      <c r="Q353" s="26">
        <v>1709607</v>
      </c>
      <c r="R353" s="26">
        <v>1709607</v>
      </c>
      <c r="S353" s="25" t="s">
        <v>67</v>
      </c>
      <c r="T353" s="25" t="s">
        <v>157</v>
      </c>
      <c r="U353" s="25">
        <v>12</v>
      </c>
      <c r="V353" s="26">
        <v>411431.26499999996</v>
      </c>
      <c r="W353" s="25" t="s">
        <v>1288</v>
      </c>
      <c r="X353" s="26">
        <v>4937175.18</v>
      </c>
      <c r="Y353" s="25" t="s">
        <v>55</v>
      </c>
      <c r="Z353" s="25" t="s">
        <v>56</v>
      </c>
      <c r="AA353" s="14">
        <f t="shared" si="16"/>
        <v>4443457.6619999995</v>
      </c>
      <c r="AB353" s="14">
        <f t="shared" si="17"/>
        <v>3949740.1439999999</v>
      </c>
      <c r="AC353" s="14">
        <f t="shared" si="18"/>
        <v>3456022.6259999997</v>
      </c>
      <c r="AD353" s="26" t="s">
        <v>1289</v>
      </c>
      <c r="AE353" s="26" t="s">
        <v>1289</v>
      </c>
      <c r="AF353" s="26" t="s">
        <v>1289</v>
      </c>
      <c r="AG353" s="49"/>
      <c r="AH353" s="49"/>
      <c r="AI353" s="49"/>
      <c r="AJ353" s="49">
        <v>4937175.18</v>
      </c>
      <c r="AK353" s="49"/>
      <c r="AL353" s="49"/>
      <c r="AM353" s="49"/>
      <c r="AN353" s="49"/>
      <c r="AO353" s="49"/>
      <c r="AP353" s="49"/>
      <c r="AQ353" s="49"/>
      <c r="AR353" s="49"/>
      <c r="AS353" s="49">
        <f t="shared" si="19"/>
        <v>4937175.18</v>
      </c>
      <c r="AT353" s="52" t="s">
        <v>70</v>
      </c>
      <c r="AU353" s="55" t="s">
        <v>1260</v>
      </c>
    </row>
    <row r="354" spans="1:47" ht="16.5" hidden="1" customHeight="1" x14ac:dyDescent="0.35">
      <c r="A354" s="25" t="s">
        <v>46</v>
      </c>
      <c r="B354" s="25" t="s">
        <v>46</v>
      </c>
      <c r="C354" s="25" t="s">
        <v>1209</v>
      </c>
      <c r="D354" s="25">
        <v>847</v>
      </c>
      <c r="E354" s="25">
        <v>8471170</v>
      </c>
      <c r="F354" s="25" t="s">
        <v>1286</v>
      </c>
      <c r="G354" s="25">
        <v>1</v>
      </c>
      <c r="H354" s="276">
        <v>420811</v>
      </c>
      <c r="I354" s="25" t="s">
        <v>65</v>
      </c>
      <c r="J354" s="25" t="s">
        <v>60</v>
      </c>
      <c r="K354" s="25" t="s">
        <v>50</v>
      </c>
      <c r="L354" s="83">
        <v>847001</v>
      </c>
      <c r="M354" s="25" t="s">
        <v>61</v>
      </c>
      <c r="N354" s="25">
        <v>200179</v>
      </c>
      <c r="O354" s="3" t="s">
        <v>1287</v>
      </c>
      <c r="P354" s="26"/>
      <c r="Q354" s="26"/>
      <c r="R354" s="26"/>
      <c r="S354" s="25" t="s">
        <v>67</v>
      </c>
      <c r="T354" s="25" t="s">
        <v>68</v>
      </c>
      <c r="U354" s="25">
        <v>12</v>
      </c>
      <c r="V354" s="26">
        <v>41667</v>
      </c>
      <c r="W354" s="25" t="s">
        <v>1290</v>
      </c>
      <c r="X354" s="26">
        <v>500004</v>
      </c>
      <c r="Y354" s="25" t="s">
        <v>55</v>
      </c>
      <c r="Z354" s="25" t="s">
        <v>56</v>
      </c>
      <c r="AA354" s="14">
        <f t="shared" si="16"/>
        <v>450003.60000000003</v>
      </c>
      <c r="AB354" s="14">
        <f t="shared" si="17"/>
        <v>400003.2</v>
      </c>
      <c r="AC354" s="14">
        <f t="shared" si="18"/>
        <v>350002.8</v>
      </c>
      <c r="AD354" s="26" t="s">
        <v>1291</v>
      </c>
      <c r="AE354" s="26" t="s">
        <v>1291</v>
      </c>
      <c r="AF354" s="26" t="s">
        <v>1291</v>
      </c>
      <c r="AG354" s="49"/>
      <c r="AH354" s="49"/>
      <c r="AI354" s="49"/>
      <c r="AJ354" s="49"/>
      <c r="AK354" s="49"/>
      <c r="AL354" s="49">
        <v>500004</v>
      </c>
      <c r="AM354" s="49"/>
      <c r="AN354" s="49"/>
      <c r="AO354" s="49"/>
      <c r="AP354" s="49"/>
      <c r="AQ354" s="49"/>
      <c r="AR354" s="49"/>
      <c r="AS354" s="49">
        <f t="shared" si="19"/>
        <v>500004</v>
      </c>
      <c r="AT354" s="52" t="s">
        <v>70</v>
      </c>
      <c r="AU354" s="55" t="s">
        <v>1260</v>
      </c>
    </row>
    <row r="355" spans="1:47" ht="16.5" hidden="1" customHeight="1" x14ac:dyDescent="0.35">
      <c r="A355" s="25" t="s">
        <v>189</v>
      </c>
      <c r="B355" s="25" t="s">
        <v>265</v>
      </c>
      <c r="C355" s="25" t="s">
        <v>1209</v>
      </c>
      <c r="D355" s="25">
        <v>847</v>
      </c>
      <c r="E355" s="25">
        <v>8471170</v>
      </c>
      <c r="F355" s="25" t="s">
        <v>1286</v>
      </c>
      <c r="G355" s="25">
        <v>1</v>
      </c>
      <c r="H355" s="276">
        <v>425900</v>
      </c>
      <c r="I355" s="25" t="s">
        <v>266</v>
      </c>
      <c r="J355" s="25" t="s">
        <v>60</v>
      </c>
      <c r="K355" s="25" t="s">
        <v>50</v>
      </c>
      <c r="L355" s="83">
        <v>847001</v>
      </c>
      <c r="M355" s="25" t="s">
        <v>61</v>
      </c>
      <c r="N355" s="25">
        <v>200179</v>
      </c>
      <c r="O355" s="3" t="s">
        <v>1292</v>
      </c>
      <c r="P355" s="26" t="s">
        <v>46</v>
      </c>
      <c r="Q355" s="26">
        <v>10000</v>
      </c>
      <c r="R355" s="26">
        <v>10000</v>
      </c>
      <c r="S355" s="25" t="s">
        <v>268</v>
      </c>
      <c r="T355" s="25" t="s">
        <v>269</v>
      </c>
      <c r="U355" s="25">
        <v>2</v>
      </c>
      <c r="V355" s="26">
        <v>5000</v>
      </c>
      <c r="W355" s="25" t="s">
        <v>1293</v>
      </c>
      <c r="X355" s="26">
        <v>10000</v>
      </c>
      <c r="Y355" s="25" t="s">
        <v>55</v>
      </c>
      <c r="Z355" s="25" t="s">
        <v>56</v>
      </c>
      <c r="AA355" s="14">
        <f t="shared" si="16"/>
        <v>9000</v>
      </c>
      <c r="AB355" s="14">
        <f t="shared" si="17"/>
        <v>8000</v>
      </c>
      <c r="AC355" s="14">
        <f t="shared" si="18"/>
        <v>7000</v>
      </c>
      <c r="AD355" s="26" t="s">
        <v>1294</v>
      </c>
      <c r="AE355" s="26" t="s">
        <v>1294</v>
      </c>
      <c r="AF355" s="26" t="s">
        <v>1295</v>
      </c>
      <c r="AG355" s="49"/>
      <c r="AH355" s="49"/>
      <c r="AI355" s="49"/>
      <c r="AJ355" s="49"/>
      <c r="AK355" s="49"/>
      <c r="AL355" s="49">
        <v>5000</v>
      </c>
      <c r="AM355" s="49"/>
      <c r="AN355" s="49"/>
      <c r="AO355" s="49"/>
      <c r="AP355" s="49"/>
      <c r="AQ355" s="49">
        <v>5000</v>
      </c>
      <c r="AR355" s="49"/>
      <c r="AS355" s="49">
        <f t="shared" si="19"/>
        <v>10000</v>
      </c>
      <c r="AT355" s="52" t="s">
        <v>70</v>
      </c>
      <c r="AU355" s="55"/>
    </row>
    <row r="356" spans="1:47" ht="16.5" hidden="1" customHeight="1" x14ac:dyDescent="0.35">
      <c r="A356" s="25" t="s">
        <v>63</v>
      </c>
      <c r="B356" s="25" t="s">
        <v>64</v>
      </c>
      <c r="C356" s="25" t="s">
        <v>1209</v>
      </c>
      <c r="D356" s="25">
        <v>847</v>
      </c>
      <c r="E356" s="25">
        <v>8471170</v>
      </c>
      <c r="F356" s="25" t="s">
        <v>1286</v>
      </c>
      <c r="G356" s="25">
        <v>1</v>
      </c>
      <c r="H356" s="276">
        <v>426610</v>
      </c>
      <c r="I356" s="25" t="s">
        <v>74</v>
      </c>
      <c r="J356" s="25" t="s">
        <v>60</v>
      </c>
      <c r="K356" s="25" t="s">
        <v>50</v>
      </c>
      <c r="L356" s="83">
        <v>847001</v>
      </c>
      <c r="M356" s="25" t="s">
        <v>61</v>
      </c>
      <c r="N356" s="25">
        <v>200179</v>
      </c>
      <c r="O356" s="3" t="s">
        <v>1296</v>
      </c>
      <c r="P356" s="26">
        <v>1268350.46</v>
      </c>
      <c r="Q356" s="26">
        <v>2618576</v>
      </c>
      <c r="R356" s="26">
        <v>2618576</v>
      </c>
      <c r="S356" s="25" t="s">
        <v>274</v>
      </c>
      <c r="T356" s="25" t="s">
        <v>157</v>
      </c>
      <c r="U356" s="25">
        <v>124</v>
      </c>
      <c r="V356" s="26">
        <v>43599.40208870967</v>
      </c>
      <c r="W356" s="25" t="s">
        <v>1297</v>
      </c>
      <c r="X356" s="26">
        <v>5406325.8589999992</v>
      </c>
      <c r="Y356" s="25" t="s">
        <v>55</v>
      </c>
      <c r="Z356" s="25" t="s">
        <v>56</v>
      </c>
      <c r="AA356" s="14">
        <f t="shared" si="16"/>
        <v>4865693.2730999999</v>
      </c>
      <c r="AB356" s="14">
        <f t="shared" si="17"/>
        <v>4325060.6871999996</v>
      </c>
      <c r="AC356" s="14">
        <f t="shared" si="18"/>
        <v>3784428.1012999993</v>
      </c>
      <c r="AD356" s="26" t="s">
        <v>1298</v>
      </c>
      <c r="AE356" s="26" t="s">
        <v>1298</v>
      </c>
      <c r="AF356" s="26" t="s">
        <v>1298</v>
      </c>
      <c r="AG356" s="49"/>
      <c r="AH356" s="49"/>
      <c r="AI356" s="49">
        <v>675790.73237499991</v>
      </c>
      <c r="AJ356" s="49">
        <v>675790.73237499991</v>
      </c>
      <c r="AK356" s="49">
        <v>675790.73237499991</v>
      </c>
      <c r="AL356" s="49">
        <v>675790.73237499991</v>
      </c>
      <c r="AM356" s="49">
        <v>675790.73237499991</v>
      </c>
      <c r="AN356" s="49">
        <v>675790.73237499991</v>
      </c>
      <c r="AO356" s="49">
        <v>675790.73237499991</v>
      </c>
      <c r="AP356" s="49">
        <v>675790.73237499991</v>
      </c>
      <c r="AQ356" s="49"/>
      <c r="AR356" s="49"/>
      <c r="AS356" s="49">
        <f t="shared" si="19"/>
        <v>5406325.8589999983</v>
      </c>
      <c r="AT356" s="52" t="s">
        <v>70</v>
      </c>
      <c r="AU356" s="55" t="s">
        <v>1260</v>
      </c>
    </row>
    <row r="357" spans="1:47" ht="16.5" hidden="1" customHeight="1" x14ac:dyDescent="0.35">
      <c r="A357" s="25" t="s">
        <v>153</v>
      </c>
      <c r="B357" s="25" t="s">
        <v>58</v>
      </c>
      <c r="C357" s="25" t="s">
        <v>1209</v>
      </c>
      <c r="D357" s="25">
        <v>847</v>
      </c>
      <c r="E357" s="25">
        <v>8471170</v>
      </c>
      <c r="F357" s="25" t="s">
        <v>1286</v>
      </c>
      <c r="G357" s="25">
        <v>1</v>
      </c>
      <c r="H357" s="276">
        <v>428090</v>
      </c>
      <c r="I357" s="25" t="s">
        <v>154</v>
      </c>
      <c r="J357" s="25" t="s">
        <v>60</v>
      </c>
      <c r="K357" s="25" t="s">
        <v>50</v>
      </c>
      <c r="L357" s="83">
        <v>847001</v>
      </c>
      <c r="M357" s="25" t="s">
        <v>61</v>
      </c>
      <c r="N357" s="25">
        <v>200179</v>
      </c>
      <c r="O357" s="3" t="s">
        <v>1299</v>
      </c>
      <c r="P357" s="26" t="s">
        <v>46</v>
      </c>
      <c r="Q357" s="26">
        <v>45000</v>
      </c>
      <c r="R357" s="26">
        <v>45000</v>
      </c>
      <c r="S357" s="25" t="s">
        <v>156</v>
      </c>
      <c r="T357" s="25" t="s">
        <v>157</v>
      </c>
      <c r="U357" s="25">
        <v>3</v>
      </c>
      <c r="V357" s="26">
        <v>15000</v>
      </c>
      <c r="W357" s="25" t="s">
        <v>1300</v>
      </c>
      <c r="X357" s="26">
        <v>45000</v>
      </c>
      <c r="Y357" s="25" t="s">
        <v>55</v>
      </c>
      <c r="Z357" s="25" t="s">
        <v>56</v>
      </c>
      <c r="AA357" s="14">
        <f t="shared" si="16"/>
        <v>40500</v>
      </c>
      <c r="AB357" s="14">
        <f t="shared" si="17"/>
        <v>36000</v>
      </c>
      <c r="AC357" s="14">
        <f t="shared" si="18"/>
        <v>31499.999999999996</v>
      </c>
      <c r="AD357" s="26" t="s">
        <v>1301</v>
      </c>
      <c r="AE357" s="26" t="s">
        <v>1301</v>
      </c>
      <c r="AF357" s="26" t="s">
        <v>1302</v>
      </c>
      <c r="AG357" s="49"/>
      <c r="AH357" s="49"/>
      <c r="AI357" s="49"/>
      <c r="AJ357" s="49">
        <v>15000</v>
      </c>
      <c r="AK357" s="49">
        <v>15000</v>
      </c>
      <c r="AL357" s="49"/>
      <c r="AM357" s="49"/>
      <c r="AN357" s="49"/>
      <c r="AO357" s="49">
        <v>15000</v>
      </c>
      <c r="AP357" s="49"/>
      <c r="AQ357" s="49"/>
      <c r="AR357" s="49"/>
      <c r="AS357" s="49">
        <f t="shared" si="19"/>
        <v>45000</v>
      </c>
      <c r="AT357" s="52" t="s">
        <v>70</v>
      </c>
      <c r="AU357" s="55"/>
    </row>
    <row r="358" spans="1:47" ht="16.5" hidden="1" customHeight="1" x14ac:dyDescent="0.35">
      <c r="A358" s="25" t="s">
        <v>161</v>
      </c>
      <c r="B358" s="25" t="s">
        <v>220</v>
      </c>
      <c r="C358" s="25" t="s">
        <v>1209</v>
      </c>
      <c r="D358" s="25">
        <v>847</v>
      </c>
      <c r="E358" s="25">
        <v>8471170</v>
      </c>
      <c r="F358" s="25" t="s">
        <v>1286</v>
      </c>
      <c r="G358" s="25">
        <v>1</v>
      </c>
      <c r="H358" s="276">
        <v>492316</v>
      </c>
      <c r="I358" s="25" t="s">
        <v>221</v>
      </c>
      <c r="J358" s="25" t="s">
        <v>60</v>
      </c>
      <c r="K358" s="25" t="s">
        <v>50</v>
      </c>
      <c r="L358" s="83">
        <v>847001</v>
      </c>
      <c r="M358" s="25" t="s">
        <v>192</v>
      </c>
      <c r="N358" s="25">
        <v>300180</v>
      </c>
      <c r="O358" s="3" t="s">
        <v>1303</v>
      </c>
      <c r="P358" s="26">
        <v>6593486</v>
      </c>
      <c r="Q358" s="26">
        <v>3308433</v>
      </c>
      <c r="R358" s="26">
        <v>3308433</v>
      </c>
      <c r="S358" s="25" t="s">
        <v>1304</v>
      </c>
      <c r="T358" s="25" t="s">
        <v>157</v>
      </c>
      <c r="U358" s="25">
        <v>4</v>
      </c>
      <c r="V358" s="26">
        <v>5545455</v>
      </c>
      <c r="W358" s="25" t="s">
        <v>1305</v>
      </c>
      <c r="X358" s="26">
        <v>22181820</v>
      </c>
      <c r="Y358" s="25" t="s">
        <v>210</v>
      </c>
      <c r="Z358" s="25" t="s">
        <v>197</v>
      </c>
      <c r="AA358" s="14">
        <f t="shared" si="16"/>
        <v>19963638</v>
      </c>
      <c r="AB358" s="14">
        <f t="shared" si="17"/>
        <v>17745456</v>
      </c>
      <c r="AC358" s="14">
        <f t="shared" si="18"/>
        <v>15527273.999999998</v>
      </c>
      <c r="AD358" s="26" t="s">
        <v>1306</v>
      </c>
      <c r="AE358" s="26" t="s">
        <v>1306</v>
      </c>
      <c r="AF358" s="26" t="s">
        <v>1306</v>
      </c>
      <c r="AG358" s="49"/>
      <c r="AH358" s="49"/>
      <c r="AI358" s="49"/>
      <c r="AJ358" s="49"/>
      <c r="AK358" s="49"/>
      <c r="AL358" s="49"/>
      <c r="AM358" s="49"/>
      <c r="AN358" s="49"/>
      <c r="AO358" s="49"/>
      <c r="AP358" s="49">
        <v>22181820</v>
      </c>
      <c r="AQ358" s="49"/>
      <c r="AR358" s="49"/>
      <c r="AS358" s="49">
        <f t="shared" si="19"/>
        <v>22181820</v>
      </c>
      <c r="AT358" s="52" t="s">
        <v>70</v>
      </c>
      <c r="AU358" s="55" t="s">
        <v>1260</v>
      </c>
    </row>
    <row r="359" spans="1:47" ht="16.5" hidden="1" customHeight="1" x14ac:dyDescent="0.35">
      <c r="A359" s="25" t="s">
        <v>63</v>
      </c>
      <c r="B359" s="25" t="s">
        <v>64</v>
      </c>
      <c r="C359" s="25" t="s">
        <v>1209</v>
      </c>
      <c r="D359" s="25">
        <v>847</v>
      </c>
      <c r="E359" s="25">
        <v>8471170</v>
      </c>
      <c r="F359" s="25" t="s">
        <v>1286</v>
      </c>
      <c r="G359" s="25">
        <v>1</v>
      </c>
      <c r="H359" s="276">
        <v>495113</v>
      </c>
      <c r="I359" s="25" t="s">
        <v>214</v>
      </c>
      <c r="J359" s="25" t="s">
        <v>60</v>
      </c>
      <c r="K359" s="25" t="s">
        <v>50</v>
      </c>
      <c r="L359" s="83">
        <v>847001</v>
      </c>
      <c r="M359" s="25" t="s">
        <v>192</v>
      </c>
      <c r="N359" s="25">
        <v>300180</v>
      </c>
      <c r="O359" s="3" t="s">
        <v>1307</v>
      </c>
      <c r="P359" s="26" t="s">
        <v>46</v>
      </c>
      <c r="Q359" s="26">
        <v>277018</v>
      </c>
      <c r="R359" s="26">
        <v>277018</v>
      </c>
      <c r="S359" s="25" t="s">
        <v>215</v>
      </c>
      <c r="T359" s="25" t="s">
        <v>157</v>
      </c>
      <c r="U359" s="25">
        <v>3</v>
      </c>
      <c r="V359" s="26">
        <v>100000</v>
      </c>
      <c r="W359" s="25" t="s">
        <v>1308</v>
      </c>
      <c r="X359" s="26">
        <v>300000</v>
      </c>
      <c r="Y359" s="25" t="s">
        <v>55</v>
      </c>
      <c r="Z359" s="25" t="s">
        <v>197</v>
      </c>
      <c r="AA359" s="14">
        <f t="shared" si="16"/>
        <v>270000</v>
      </c>
      <c r="AB359" s="14">
        <f t="shared" si="17"/>
        <v>240000</v>
      </c>
      <c r="AC359" s="14">
        <f t="shared" si="18"/>
        <v>210000</v>
      </c>
      <c r="AD359" s="26" t="s">
        <v>1309</v>
      </c>
      <c r="AE359" s="26" t="s">
        <v>1310</v>
      </c>
      <c r="AF359" s="26" t="s">
        <v>1310</v>
      </c>
      <c r="AG359" s="49"/>
      <c r="AH359" s="49"/>
      <c r="AI359" s="49">
        <v>37500</v>
      </c>
      <c r="AJ359" s="49">
        <v>37500</v>
      </c>
      <c r="AK359" s="49">
        <v>37500</v>
      </c>
      <c r="AL359" s="49">
        <v>37500</v>
      </c>
      <c r="AM359" s="49">
        <v>37500</v>
      </c>
      <c r="AN359" s="49">
        <v>37500</v>
      </c>
      <c r="AO359" s="49">
        <v>37500</v>
      </c>
      <c r="AP359" s="49">
        <v>37500</v>
      </c>
      <c r="AQ359" s="49"/>
      <c r="AR359" s="49"/>
      <c r="AS359" s="49">
        <f t="shared" si="19"/>
        <v>300000</v>
      </c>
      <c r="AT359" s="52" t="s">
        <v>70</v>
      </c>
      <c r="AU359" s="55"/>
    </row>
    <row r="360" spans="1:47" ht="16.5" hidden="1" customHeight="1" x14ac:dyDescent="0.35">
      <c r="A360" s="2" t="s">
        <v>189</v>
      </c>
      <c r="B360" s="2" t="s">
        <v>265</v>
      </c>
      <c r="C360" s="2" t="s">
        <v>1350</v>
      </c>
      <c r="D360" s="2">
        <v>847</v>
      </c>
      <c r="E360" s="2">
        <v>8471210</v>
      </c>
      <c r="F360" s="2" t="s">
        <v>1351</v>
      </c>
      <c r="G360" s="2">
        <v>1</v>
      </c>
      <c r="H360" s="276">
        <v>425900</v>
      </c>
      <c r="I360" s="2" t="s">
        <v>266</v>
      </c>
      <c r="J360" s="2" t="s">
        <v>60</v>
      </c>
      <c r="K360" s="2" t="s">
        <v>50</v>
      </c>
      <c r="L360" s="7">
        <v>847001</v>
      </c>
      <c r="M360" s="2" t="s">
        <v>61</v>
      </c>
      <c r="N360" s="2">
        <v>200179</v>
      </c>
      <c r="O360" s="3" t="s">
        <v>1645</v>
      </c>
      <c r="P360" s="2" t="s">
        <v>46</v>
      </c>
      <c r="Q360" s="35">
        <v>15000</v>
      </c>
      <c r="R360" s="2"/>
      <c r="S360" s="3" t="s">
        <v>268</v>
      </c>
      <c r="T360" s="2" t="s">
        <v>1109</v>
      </c>
      <c r="U360" s="2">
        <v>5</v>
      </c>
      <c r="V360" s="2">
        <v>3000</v>
      </c>
      <c r="W360" s="3" t="s">
        <v>1352</v>
      </c>
      <c r="X360" s="36">
        <v>15000</v>
      </c>
      <c r="Y360" s="2" t="s">
        <v>55</v>
      </c>
      <c r="Z360" s="2" t="s">
        <v>56</v>
      </c>
      <c r="AA360" s="14">
        <f t="shared" si="16"/>
        <v>13500</v>
      </c>
      <c r="AB360" s="14">
        <f t="shared" si="17"/>
        <v>12000</v>
      </c>
      <c r="AC360" s="14">
        <f t="shared" si="18"/>
        <v>10500</v>
      </c>
      <c r="AD360" s="3" t="s">
        <v>1353</v>
      </c>
      <c r="AE360" s="3" t="s">
        <v>1353</v>
      </c>
      <c r="AF360" s="3" t="s">
        <v>1353</v>
      </c>
      <c r="AG360" s="43">
        <v>1000</v>
      </c>
      <c r="AH360" s="43">
        <v>2000</v>
      </c>
      <c r="AI360" s="43">
        <v>2000</v>
      </c>
      <c r="AJ360" s="43">
        <v>2000</v>
      </c>
      <c r="AK360" s="43">
        <v>0</v>
      </c>
      <c r="AL360" s="43"/>
      <c r="AM360" s="43"/>
      <c r="AN360" s="43"/>
      <c r="AO360" s="43">
        <v>2000</v>
      </c>
      <c r="AP360" s="43">
        <v>2000</v>
      </c>
      <c r="AQ360" s="43">
        <v>2000</v>
      </c>
      <c r="AR360" s="43">
        <v>2000</v>
      </c>
      <c r="AS360" s="43">
        <v>15000</v>
      </c>
      <c r="AT360" s="3" t="s">
        <v>384</v>
      </c>
      <c r="AU360" s="272"/>
    </row>
    <row r="361" spans="1:47" ht="16.5" hidden="1" customHeight="1" x14ac:dyDescent="0.35">
      <c r="A361" s="2" t="s">
        <v>153</v>
      </c>
      <c r="B361" s="2" t="s">
        <v>58</v>
      </c>
      <c r="C361" s="2" t="s">
        <v>1350</v>
      </c>
      <c r="D361" s="2">
        <v>847</v>
      </c>
      <c r="E361" s="2">
        <v>8471210</v>
      </c>
      <c r="F361" s="2" t="s">
        <v>1351</v>
      </c>
      <c r="G361" s="2">
        <v>1</v>
      </c>
      <c r="H361" s="276">
        <v>428090</v>
      </c>
      <c r="I361" s="2" t="s">
        <v>154</v>
      </c>
      <c r="J361" s="2" t="s">
        <v>60</v>
      </c>
      <c r="K361" s="2" t="s">
        <v>50</v>
      </c>
      <c r="L361" s="7">
        <v>847001</v>
      </c>
      <c r="M361" s="2" t="s">
        <v>61</v>
      </c>
      <c r="N361" s="2">
        <v>200179</v>
      </c>
      <c r="O361" s="3" t="s">
        <v>1646</v>
      </c>
      <c r="P361" s="2" t="s">
        <v>46</v>
      </c>
      <c r="Q361" s="35">
        <v>100000</v>
      </c>
      <c r="R361" s="2"/>
      <c r="S361" s="3" t="s">
        <v>156</v>
      </c>
      <c r="T361" s="2" t="s">
        <v>1109</v>
      </c>
      <c r="U361" s="2">
        <v>4</v>
      </c>
      <c r="V361" s="2">
        <v>40000</v>
      </c>
      <c r="W361" s="3" t="s">
        <v>1354</v>
      </c>
      <c r="X361" s="36">
        <v>160000</v>
      </c>
      <c r="Y361" s="2" t="s">
        <v>55</v>
      </c>
      <c r="Z361" s="2" t="s">
        <v>56</v>
      </c>
      <c r="AA361" s="14">
        <f t="shared" si="16"/>
        <v>144000</v>
      </c>
      <c r="AB361" s="14">
        <f t="shared" si="17"/>
        <v>128000</v>
      </c>
      <c r="AC361" s="14">
        <f t="shared" si="18"/>
        <v>112000</v>
      </c>
      <c r="AD361" s="3" t="s">
        <v>1355</v>
      </c>
      <c r="AE361" s="3" t="s">
        <v>1356</v>
      </c>
      <c r="AF361" s="3" t="s">
        <v>1357</v>
      </c>
      <c r="AG361" s="43">
        <v>40000</v>
      </c>
      <c r="AH361" s="43">
        <v>0</v>
      </c>
      <c r="AI361" s="43">
        <v>0</v>
      </c>
      <c r="AJ361" s="43">
        <v>0</v>
      </c>
      <c r="AK361" s="43">
        <v>0</v>
      </c>
      <c r="AL361" s="43">
        <v>0</v>
      </c>
      <c r="AM361" s="43">
        <v>40000</v>
      </c>
      <c r="AN361" s="43"/>
      <c r="AO361" s="43"/>
      <c r="AP361" s="43">
        <v>40000</v>
      </c>
      <c r="AQ361" s="43"/>
      <c r="AR361" s="43">
        <v>40000</v>
      </c>
      <c r="AS361" s="43">
        <v>160000</v>
      </c>
      <c r="AT361" s="3" t="s">
        <v>244</v>
      </c>
      <c r="AU361" s="272"/>
    </row>
    <row r="362" spans="1:47" ht="16.5" hidden="1" customHeight="1" x14ac:dyDescent="0.35">
      <c r="A362" s="2" t="s">
        <v>245</v>
      </c>
      <c r="B362" s="2" t="s">
        <v>246</v>
      </c>
      <c r="C362" s="2" t="s">
        <v>1350</v>
      </c>
      <c r="D362" s="2">
        <v>847</v>
      </c>
      <c r="E362" s="2">
        <v>8471210</v>
      </c>
      <c r="F362" s="2" t="s">
        <v>1351</v>
      </c>
      <c r="G362" s="2">
        <v>1</v>
      </c>
      <c r="H362" s="276">
        <v>428640</v>
      </c>
      <c r="I362" s="2" t="s">
        <v>279</v>
      </c>
      <c r="J362" s="2" t="s">
        <v>60</v>
      </c>
      <c r="K362" s="2" t="s">
        <v>50</v>
      </c>
      <c r="L362" s="7">
        <v>847001</v>
      </c>
      <c r="M362" s="2" t="s">
        <v>61</v>
      </c>
      <c r="N362" s="2">
        <v>200179</v>
      </c>
      <c r="O362" s="3" t="s">
        <v>1647</v>
      </c>
      <c r="P362" s="2" t="s">
        <v>46</v>
      </c>
      <c r="Q362" s="35">
        <v>20000</v>
      </c>
      <c r="R362" s="2"/>
      <c r="S362" s="3" t="s">
        <v>281</v>
      </c>
      <c r="T362" s="2" t="s">
        <v>1109</v>
      </c>
      <c r="U362" s="2">
        <v>4</v>
      </c>
      <c r="V362" s="10">
        <v>5000</v>
      </c>
      <c r="W362" s="3" t="s">
        <v>1358</v>
      </c>
      <c r="X362" s="36">
        <v>20000</v>
      </c>
      <c r="Y362" s="2" t="s">
        <v>55</v>
      </c>
      <c r="Z362" s="2" t="s">
        <v>56</v>
      </c>
      <c r="AA362" s="14">
        <f t="shared" si="16"/>
        <v>18000</v>
      </c>
      <c r="AB362" s="14">
        <f t="shared" si="17"/>
        <v>16000</v>
      </c>
      <c r="AC362" s="14">
        <f t="shared" si="18"/>
        <v>14000</v>
      </c>
      <c r="AD362" s="3" t="s">
        <v>1359</v>
      </c>
      <c r="AE362" s="3" t="s">
        <v>1360</v>
      </c>
      <c r="AF362" s="3" t="s">
        <v>1361</v>
      </c>
      <c r="AG362" s="43">
        <v>5000</v>
      </c>
      <c r="AH362" s="43">
        <v>0</v>
      </c>
      <c r="AI362" s="43">
        <v>0</v>
      </c>
      <c r="AJ362" s="43">
        <v>0</v>
      </c>
      <c r="AK362" s="43">
        <v>0</v>
      </c>
      <c r="AL362" s="43">
        <v>0</v>
      </c>
      <c r="AM362" s="43">
        <v>5000</v>
      </c>
      <c r="AN362" s="43">
        <v>0</v>
      </c>
      <c r="AO362" s="43"/>
      <c r="AP362" s="43">
        <v>5000</v>
      </c>
      <c r="AQ362" s="43"/>
      <c r="AR362" s="43">
        <v>5000</v>
      </c>
      <c r="AS362" s="43">
        <v>20000</v>
      </c>
      <c r="AT362" s="3" t="s">
        <v>414</v>
      </c>
      <c r="AU362" s="272"/>
    </row>
    <row r="363" spans="1:47" ht="16.5" hidden="1" customHeight="1" x14ac:dyDescent="0.35">
      <c r="A363" s="2" t="s">
        <v>222</v>
      </c>
      <c r="B363" s="2" t="s">
        <v>58</v>
      </c>
      <c r="C363" s="2" t="s">
        <v>1350</v>
      </c>
      <c r="D363" s="2">
        <v>847</v>
      </c>
      <c r="E363" s="2">
        <v>8471210</v>
      </c>
      <c r="F363" s="2" t="s">
        <v>1351</v>
      </c>
      <c r="G363" s="2">
        <v>1</v>
      </c>
      <c r="H363" s="276">
        <v>435530</v>
      </c>
      <c r="I363" s="2" t="s">
        <v>1127</v>
      </c>
      <c r="J363" s="2" t="s">
        <v>60</v>
      </c>
      <c r="K363" s="2" t="s">
        <v>50</v>
      </c>
      <c r="L363" s="7">
        <v>847001</v>
      </c>
      <c r="M363" s="2" t="s">
        <v>61</v>
      </c>
      <c r="N363" s="2">
        <v>200179</v>
      </c>
      <c r="O363" s="3" t="s">
        <v>1648</v>
      </c>
      <c r="P363" s="2" t="s">
        <v>46</v>
      </c>
      <c r="Q363" s="35">
        <v>20000</v>
      </c>
      <c r="R363" s="2"/>
      <c r="S363" s="3" t="s">
        <v>1129</v>
      </c>
      <c r="T363" s="2" t="s">
        <v>1109</v>
      </c>
      <c r="U363" s="2">
        <v>5</v>
      </c>
      <c r="V363" s="2">
        <v>4000</v>
      </c>
      <c r="W363" s="3" t="s">
        <v>1362</v>
      </c>
      <c r="X363" s="36">
        <v>20000</v>
      </c>
      <c r="Y363" s="2" t="s">
        <v>55</v>
      </c>
      <c r="Z363" s="2" t="s">
        <v>56</v>
      </c>
      <c r="AA363" s="14">
        <f t="shared" si="16"/>
        <v>18000</v>
      </c>
      <c r="AB363" s="14">
        <f t="shared" si="17"/>
        <v>16000</v>
      </c>
      <c r="AC363" s="14">
        <f t="shared" si="18"/>
        <v>14000</v>
      </c>
      <c r="AD363" s="3" t="s">
        <v>1363</v>
      </c>
      <c r="AE363" s="3" t="s">
        <v>1363</v>
      </c>
      <c r="AF363" s="3" t="s">
        <v>1363</v>
      </c>
      <c r="AG363" s="43">
        <v>5000</v>
      </c>
      <c r="AH363" s="43"/>
      <c r="AI363" s="43"/>
      <c r="AJ363" s="43">
        <v>5000</v>
      </c>
      <c r="AK363" s="43"/>
      <c r="AL363" s="43"/>
      <c r="AM363" s="43">
        <v>5000</v>
      </c>
      <c r="AN363" s="43"/>
      <c r="AO363" s="43"/>
      <c r="AP363" s="43">
        <v>5000</v>
      </c>
      <c r="AQ363" s="43"/>
      <c r="AR363" s="43"/>
      <c r="AS363" s="43">
        <v>20000</v>
      </c>
      <c r="AT363" s="3" t="s">
        <v>414</v>
      </c>
      <c r="AU363" s="272"/>
    </row>
    <row r="364" spans="1:47" ht="16.5" hidden="1" customHeight="1" x14ac:dyDescent="0.35">
      <c r="A364" s="2" t="s">
        <v>245</v>
      </c>
      <c r="B364" s="2" t="s">
        <v>246</v>
      </c>
      <c r="C364" s="2" t="s">
        <v>1350</v>
      </c>
      <c r="D364" s="2">
        <v>847</v>
      </c>
      <c r="E364" s="2">
        <v>8471240</v>
      </c>
      <c r="F364" s="2" t="s">
        <v>1364</v>
      </c>
      <c r="G364" s="2">
        <v>1</v>
      </c>
      <c r="H364" s="276">
        <v>425510</v>
      </c>
      <c r="I364" s="2" t="s">
        <v>247</v>
      </c>
      <c r="J364" s="2" t="s">
        <v>60</v>
      </c>
      <c r="K364" s="2" t="s">
        <v>50</v>
      </c>
      <c r="L364" s="7">
        <v>847001</v>
      </c>
      <c r="M364" s="2" t="s">
        <v>61</v>
      </c>
      <c r="N364" s="2">
        <v>200179</v>
      </c>
      <c r="O364" s="3" t="s">
        <v>1649</v>
      </c>
      <c r="P364" s="2">
        <v>2887.5</v>
      </c>
      <c r="Q364" s="35">
        <v>220000</v>
      </c>
      <c r="R364" s="2"/>
      <c r="S364" s="3" t="s">
        <v>433</v>
      </c>
      <c r="T364" s="2" t="s">
        <v>434</v>
      </c>
      <c r="U364" s="2">
        <v>1</v>
      </c>
      <c r="V364" s="2">
        <v>45000</v>
      </c>
      <c r="W364" s="3" t="s">
        <v>1365</v>
      </c>
      <c r="X364" s="36">
        <v>45000</v>
      </c>
      <c r="Y364" s="2" t="s">
        <v>55</v>
      </c>
      <c r="Z364" s="2" t="s">
        <v>197</v>
      </c>
      <c r="AA364" s="14">
        <f t="shared" si="16"/>
        <v>40500</v>
      </c>
      <c r="AB364" s="14">
        <f t="shared" si="17"/>
        <v>36000</v>
      </c>
      <c r="AC364" s="14">
        <f t="shared" si="18"/>
        <v>31499.999999999996</v>
      </c>
      <c r="AD364" s="3" t="s">
        <v>1366</v>
      </c>
      <c r="AE364" s="3" t="s">
        <v>1366</v>
      </c>
      <c r="AF364" s="3" t="s">
        <v>1366</v>
      </c>
      <c r="AG364" s="43"/>
      <c r="AH364" s="43"/>
      <c r="AI364" s="43"/>
      <c r="AJ364" s="43">
        <v>45000</v>
      </c>
      <c r="AK364" s="43"/>
      <c r="AL364" s="43"/>
      <c r="AM364" s="43"/>
      <c r="AN364" s="43"/>
      <c r="AO364" s="43"/>
      <c r="AP364" s="43"/>
      <c r="AQ364" s="43"/>
      <c r="AR364" s="43"/>
      <c r="AS364" s="43">
        <v>45000</v>
      </c>
      <c r="AT364" s="3" t="s">
        <v>1367</v>
      </c>
      <c r="AU364" s="272"/>
    </row>
    <row r="365" spans="1:47" ht="16.5" hidden="1" customHeight="1" x14ac:dyDescent="0.35">
      <c r="A365" s="2" t="s">
        <v>245</v>
      </c>
      <c r="B365" s="2" t="s">
        <v>246</v>
      </c>
      <c r="C365" s="2" t="s">
        <v>1350</v>
      </c>
      <c r="D365" s="2">
        <v>847</v>
      </c>
      <c r="E365" s="2">
        <v>8471240</v>
      </c>
      <c r="F365" s="2" t="s">
        <v>1364</v>
      </c>
      <c r="G365" s="2">
        <v>1</v>
      </c>
      <c r="H365" s="276">
        <v>425510</v>
      </c>
      <c r="I365" s="2" t="s">
        <v>247</v>
      </c>
      <c r="J365" s="2" t="s">
        <v>60</v>
      </c>
      <c r="K365" s="2" t="s">
        <v>50</v>
      </c>
      <c r="L365" s="7">
        <v>847001</v>
      </c>
      <c r="M365" s="2" t="s">
        <v>61</v>
      </c>
      <c r="N365" s="2">
        <v>200179</v>
      </c>
      <c r="O365" s="3" t="s">
        <v>1649</v>
      </c>
      <c r="P365" s="2"/>
      <c r="Q365" s="35"/>
      <c r="R365" s="2"/>
      <c r="S365" s="3" t="s">
        <v>433</v>
      </c>
      <c r="T365" s="2" t="s">
        <v>434</v>
      </c>
      <c r="U365" s="2">
        <v>1</v>
      </c>
      <c r="V365" s="2">
        <v>20000</v>
      </c>
      <c r="W365" s="3" t="s">
        <v>1368</v>
      </c>
      <c r="X365" s="36">
        <v>20000</v>
      </c>
      <c r="Y365" s="2" t="s">
        <v>55</v>
      </c>
      <c r="Z365" s="2" t="s">
        <v>197</v>
      </c>
      <c r="AA365" s="14">
        <f t="shared" si="16"/>
        <v>18000</v>
      </c>
      <c r="AB365" s="14">
        <f t="shared" si="17"/>
        <v>16000</v>
      </c>
      <c r="AC365" s="14">
        <f t="shared" si="18"/>
        <v>14000</v>
      </c>
      <c r="AD365" s="3" t="s">
        <v>1366</v>
      </c>
      <c r="AE365" s="3" t="s">
        <v>1366</v>
      </c>
      <c r="AF365" s="3" t="s">
        <v>1366</v>
      </c>
      <c r="AG365" s="43"/>
      <c r="AH365" s="43"/>
      <c r="AI365" s="43"/>
      <c r="AJ365" s="43"/>
      <c r="AK365" s="43"/>
      <c r="AL365" s="43"/>
      <c r="AM365" s="43"/>
      <c r="AN365" s="43"/>
      <c r="AO365" s="43"/>
      <c r="AP365" s="43">
        <v>20000</v>
      </c>
      <c r="AQ365" s="43"/>
      <c r="AR365" s="43"/>
      <c r="AS365" s="43">
        <v>20000</v>
      </c>
      <c r="AT365" s="3" t="s">
        <v>414</v>
      </c>
      <c r="AU365" s="272" t="s">
        <v>1369</v>
      </c>
    </row>
    <row r="366" spans="1:47" ht="16.5" hidden="1" customHeight="1" x14ac:dyDescent="0.35">
      <c r="A366" s="2" t="s">
        <v>245</v>
      </c>
      <c r="B366" s="2" t="s">
        <v>246</v>
      </c>
      <c r="C366" s="2" t="s">
        <v>1350</v>
      </c>
      <c r="D366" s="2">
        <v>847</v>
      </c>
      <c r="E366" s="2">
        <v>8471240</v>
      </c>
      <c r="F366" s="2" t="s">
        <v>1364</v>
      </c>
      <c r="G366" s="2">
        <v>1</v>
      </c>
      <c r="H366" s="276">
        <v>425510</v>
      </c>
      <c r="I366" s="2" t="s">
        <v>247</v>
      </c>
      <c r="J366" s="2" t="s">
        <v>60</v>
      </c>
      <c r="K366" s="2" t="s">
        <v>50</v>
      </c>
      <c r="L366" s="7">
        <v>847001</v>
      </c>
      <c r="M366" s="2" t="s">
        <v>61</v>
      </c>
      <c r="N366" s="2">
        <v>200179</v>
      </c>
      <c r="O366" s="3" t="s">
        <v>1649</v>
      </c>
      <c r="P366" s="2"/>
      <c r="Q366" s="35"/>
      <c r="R366" s="2"/>
      <c r="S366" s="3" t="s">
        <v>433</v>
      </c>
      <c r="T366" s="2" t="s">
        <v>434</v>
      </c>
      <c r="U366" s="2">
        <v>1</v>
      </c>
      <c r="V366" s="2">
        <v>5000</v>
      </c>
      <c r="W366" s="3" t="s">
        <v>1370</v>
      </c>
      <c r="X366" s="36">
        <v>5000</v>
      </c>
      <c r="Y366" s="2" t="s">
        <v>55</v>
      </c>
      <c r="Z366" s="2" t="s">
        <v>197</v>
      </c>
      <c r="AA366" s="14">
        <f t="shared" si="16"/>
        <v>4500</v>
      </c>
      <c r="AB366" s="14">
        <f t="shared" si="17"/>
        <v>4000</v>
      </c>
      <c r="AC366" s="14">
        <f t="shared" si="18"/>
        <v>3500</v>
      </c>
      <c r="AD366" s="3" t="s">
        <v>1366</v>
      </c>
      <c r="AE366" s="3" t="s">
        <v>1366</v>
      </c>
      <c r="AF366" s="3" t="s">
        <v>1366</v>
      </c>
      <c r="AG366" s="43"/>
      <c r="AH366" s="43"/>
      <c r="AI366" s="43"/>
      <c r="AJ366" s="43"/>
      <c r="AK366" s="43"/>
      <c r="AL366" s="43"/>
      <c r="AM366" s="43"/>
      <c r="AN366" s="43"/>
      <c r="AO366" s="43">
        <v>5000</v>
      </c>
      <c r="AP366" s="43"/>
      <c r="AQ366" s="43"/>
      <c r="AR366" s="43"/>
      <c r="AS366" s="43">
        <v>5000</v>
      </c>
      <c r="AT366" s="3" t="s">
        <v>244</v>
      </c>
      <c r="AU366" s="272" t="s">
        <v>1369</v>
      </c>
    </row>
    <row r="367" spans="1:47" ht="16.5" hidden="1" customHeight="1" x14ac:dyDescent="0.35">
      <c r="A367" s="2" t="s">
        <v>245</v>
      </c>
      <c r="B367" s="2" t="s">
        <v>246</v>
      </c>
      <c r="C367" s="2" t="s">
        <v>1350</v>
      </c>
      <c r="D367" s="2">
        <v>847</v>
      </c>
      <c r="E367" s="2">
        <v>8471240</v>
      </c>
      <c r="F367" s="2" t="s">
        <v>1364</v>
      </c>
      <c r="G367" s="2">
        <v>1</v>
      </c>
      <c r="H367" s="276">
        <v>425510</v>
      </c>
      <c r="I367" s="2" t="s">
        <v>247</v>
      </c>
      <c r="J367" s="2" t="s">
        <v>60</v>
      </c>
      <c r="K367" s="2" t="s">
        <v>50</v>
      </c>
      <c r="L367" s="7">
        <v>847001</v>
      </c>
      <c r="M367" s="2" t="s">
        <v>61</v>
      </c>
      <c r="N367" s="2">
        <v>200179</v>
      </c>
      <c r="O367" s="3" t="s">
        <v>1649</v>
      </c>
      <c r="P367" s="2"/>
      <c r="Q367" s="35"/>
      <c r="R367" s="2"/>
      <c r="S367" s="3" t="s">
        <v>433</v>
      </c>
      <c r="T367" s="2" t="s">
        <v>434</v>
      </c>
      <c r="U367" s="2">
        <v>1</v>
      </c>
      <c r="V367" s="2">
        <v>80000</v>
      </c>
      <c r="W367" s="3" t="s">
        <v>1371</v>
      </c>
      <c r="X367" s="36">
        <v>80000</v>
      </c>
      <c r="Y367" s="2" t="s">
        <v>55</v>
      </c>
      <c r="Z367" s="2" t="s">
        <v>197</v>
      </c>
      <c r="AA367" s="14">
        <f t="shared" si="16"/>
        <v>72000</v>
      </c>
      <c r="AB367" s="14">
        <f t="shared" si="17"/>
        <v>64000</v>
      </c>
      <c r="AC367" s="14">
        <f t="shared" si="18"/>
        <v>56000</v>
      </c>
      <c r="AD367" s="3" t="s">
        <v>1366</v>
      </c>
      <c r="AE367" s="3" t="s">
        <v>1366</v>
      </c>
      <c r="AF367" s="3" t="s">
        <v>1366</v>
      </c>
      <c r="AG367" s="43"/>
      <c r="AH367" s="43"/>
      <c r="AI367" s="43"/>
      <c r="AJ367" s="43"/>
      <c r="AK367" s="43"/>
      <c r="AL367" s="43"/>
      <c r="AM367" s="43"/>
      <c r="AN367" s="43"/>
      <c r="AO367" s="43"/>
      <c r="AP367" s="43"/>
      <c r="AQ367" s="43"/>
      <c r="AR367" s="43">
        <v>80000</v>
      </c>
      <c r="AS367" s="43">
        <v>80000</v>
      </c>
      <c r="AT367" s="3" t="s">
        <v>384</v>
      </c>
      <c r="AU367" s="272" t="s">
        <v>1369</v>
      </c>
    </row>
    <row r="368" spans="1:47" ht="16.5" hidden="1" customHeight="1" x14ac:dyDescent="0.35">
      <c r="A368" s="2" t="s">
        <v>245</v>
      </c>
      <c r="B368" s="2" t="s">
        <v>246</v>
      </c>
      <c r="C368" s="2" t="s">
        <v>1350</v>
      </c>
      <c r="D368" s="2">
        <v>847</v>
      </c>
      <c r="E368" s="2">
        <v>8471240</v>
      </c>
      <c r="F368" s="2" t="s">
        <v>1364</v>
      </c>
      <c r="G368" s="2">
        <v>1</v>
      </c>
      <c r="H368" s="276">
        <v>425510</v>
      </c>
      <c r="I368" s="2" t="s">
        <v>247</v>
      </c>
      <c r="J368" s="2" t="s">
        <v>60</v>
      </c>
      <c r="K368" s="2" t="s">
        <v>50</v>
      </c>
      <c r="L368" s="7">
        <v>847001</v>
      </c>
      <c r="M368" s="2" t="s">
        <v>61</v>
      </c>
      <c r="N368" s="2">
        <v>200179</v>
      </c>
      <c r="O368" s="3" t="s">
        <v>1649</v>
      </c>
      <c r="P368" s="2"/>
      <c r="Q368" s="35"/>
      <c r="R368" s="2"/>
      <c r="S368" s="3" t="s">
        <v>433</v>
      </c>
      <c r="T368" s="2" t="s">
        <v>434</v>
      </c>
      <c r="U368" s="2">
        <v>1</v>
      </c>
      <c r="V368" s="2">
        <v>40000</v>
      </c>
      <c r="W368" s="3" t="s">
        <v>1372</v>
      </c>
      <c r="X368" s="36">
        <v>40000</v>
      </c>
      <c r="Y368" s="2" t="s">
        <v>55</v>
      </c>
      <c r="Z368" s="2" t="s">
        <v>197</v>
      </c>
      <c r="AA368" s="14">
        <f t="shared" si="16"/>
        <v>36000</v>
      </c>
      <c r="AB368" s="14">
        <f t="shared" si="17"/>
        <v>32000</v>
      </c>
      <c r="AC368" s="14">
        <f t="shared" si="18"/>
        <v>28000</v>
      </c>
      <c r="AD368" s="3" t="s">
        <v>1366</v>
      </c>
      <c r="AE368" s="3" t="s">
        <v>1366</v>
      </c>
      <c r="AF368" s="3" t="s">
        <v>1366</v>
      </c>
      <c r="AG368" s="43"/>
      <c r="AH368" s="43"/>
      <c r="AI368" s="43">
        <v>40000</v>
      </c>
      <c r="AJ368" s="43"/>
      <c r="AK368" s="43"/>
      <c r="AL368" s="43"/>
      <c r="AM368" s="43"/>
      <c r="AN368" s="43"/>
      <c r="AO368" s="43"/>
      <c r="AP368" s="43"/>
      <c r="AQ368" s="43"/>
      <c r="AR368" s="43"/>
      <c r="AS368" s="43">
        <v>40000</v>
      </c>
      <c r="AT368" s="3" t="s">
        <v>414</v>
      </c>
      <c r="AU368" s="272" t="s">
        <v>1369</v>
      </c>
    </row>
    <row r="369" spans="1:47" ht="16.5" hidden="1" customHeight="1" x14ac:dyDescent="0.35">
      <c r="A369" s="2" t="s">
        <v>245</v>
      </c>
      <c r="B369" s="2" t="s">
        <v>246</v>
      </c>
      <c r="C369" s="2" t="s">
        <v>1350</v>
      </c>
      <c r="D369" s="2">
        <v>847</v>
      </c>
      <c r="E369" s="2">
        <v>8471240</v>
      </c>
      <c r="F369" s="2" t="s">
        <v>1364</v>
      </c>
      <c r="G369" s="2">
        <v>1</v>
      </c>
      <c r="H369" s="276">
        <v>425510</v>
      </c>
      <c r="I369" s="2" t="s">
        <v>247</v>
      </c>
      <c r="J369" s="2" t="s">
        <v>60</v>
      </c>
      <c r="K369" s="2" t="s">
        <v>50</v>
      </c>
      <c r="L369" s="7">
        <v>847001</v>
      </c>
      <c r="M369" s="2" t="s">
        <v>61</v>
      </c>
      <c r="N369" s="2">
        <v>200179</v>
      </c>
      <c r="O369" s="3" t="s">
        <v>1649</v>
      </c>
      <c r="P369" s="2"/>
      <c r="Q369" s="35"/>
      <c r="R369" s="2"/>
      <c r="S369" s="3" t="s">
        <v>433</v>
      </c>
      <c r="T369" s="2" t="s">
        <v>434</v>
      </c>
      <c r="U369" s="2">
        <v>1</v>
      </c>
      <c r="V369" s="2">
        <v>30000</v>
      </c>
      <c r="W369" s="3" t="s">
        <v>1373</v>
      </c>
      <c r="X369" s="36">
        <v>30000</v>
      </c>
      <c r="Y369" s="2" t="s">
        <v>55</v>
      </c>
      <c r="Z369" s="2" t="s">
        <v>197</v>
      </c>
      <c r="AA369" s="14">
        <f t="shared" si="16"/>
        <v>27000</v>
      </c>
      <c r="AB369" s="14">
        <f t="shared" si="17"/>
        <v>24000</v>
      </c>
      <c r="AC369" s="14">
        <f t="shared" si="18"/>
        <v>21000</v>
      </c>
      <c r="AD369" s="3" t="s">
        <v>1366</v>
      </c>
      <c r="AE369" s="3" t="s">
        <v>1366</v>
      </c>
      <c r="AF369" s="3" t="s">
        <v>1366</v>
      </c>
      <c r="AG369" s="43"/>
      <c r="AH369" s="43"/>
      <c r="AI369" s="43"/>
      <c r="AJ369" s="43"/>
      <c r="AK369" s="43">
        <v>30000</v>
      </c>
      <c r="AL369" s="43"/>
      <c r="AM369" s="43"/>
      <c r="AN369" s="43"/>
      <c r="AO369" s="43"/>
      <c r="AP369" s="43"/>
      <c r="AQ369" s="43"/>
      <c r="AR369" s="43"/>
      <c r="AS369" s="43">
        <v>30000</v>
      </c>
      <c r="AT369" s="3" t="s">
        <v>244</v>
      </c>
      <c r="AU369" s="272" t="s">
        <v>1369</v>
      </c>
    </row>
    <row r="370" spans="1:47" ht="16.5" hidden="1" customHeight="1" x14ac:dyDescent="0.35">
      <c r="A370" s="2" t="s">
        <v>258</v>
      </c>
      <c r="B370" s="2" t="s">
        <v>58</v>
      </c>
      <c r="C370" s="2" t="s">
        <v>1350</v>
      </c>
      <c r="D370" s="2">
        <v>847</v>
      </c>
      <c r="E370" s="2">
        <v>8471240</v>
      </c>
      <c r="F370" s="2" t="s">
        <v>1364</v>
      </c>
      <c r="G370" s="2">
        <v>1</v>
      </c>
      <c r="H370" s="276">
        <v>425720</v>
      </c>
      <c r="I370" s="2" t="s">
        <v>620</v>
      </c>
      <c r="J370" s="2" t="s">
        <v>60</v>
      </c>
      <c r="K370" s="2" t="s">
        <v>50</v>
      </c>
      <c r="L370" s="7">
        <v>847001</v>
      </c>
      <c r="M370" s="2" t="s">
        <v>61</v>
      </c>
      <c r="N370" s="2">
        <v>200179</v>
      </c>
      <c r="O370" s="3" t="s">
        <v>1650</v>
      </c>
      <c r="P370" s="2">
        <v>-94.58</v>
      </c>
      <c r="Q370" s="35">
        <v>128000</v>
      </c>
      <c r="R370" s="2"/>
      <c r="S370" s="3" t="s">
        <v>622</v>
      </c>
      <c r="T370" s="2" t="s">
        <v>623</v>
      </c>
      <c r="U370" s="2">
        <v>1</v>
      </c>
      <c r="V370" s="2">
        <v>75000</v>
      </c>
      <c r="W370" s="3" t="s">
        <v>1374</v>
      </c>
      <c r="X370" s="36">
        <v>75000</v>
      </c>
      <c r="Y370" s="2" t="s">
        <v>55</v>
      </c>
      <c r="Z370" s="2" t="s">
        <v>197</v>
      </c>
      <c r="AA370" s="14">
        <f t="shared" si="16"/>
        <v>67500</v>
      </c>
      <c r="AB370" s="14">
        <f t="shared" si="17"/>
        <v>60000</v>
      </c>
      <c r="AC370" s="14">
        <f t="shared" si="18"/>
        <v>52500</v>
      </c>
      <c r="AD370" s="3" t="s">
        <v>1366</v>
      </c>
      <c r="AE370" s="3" t="s">
        <v>1366</v>
      </c>
      <c r="AF370" s="3" t="s">
        <v>1366</v>
      </c>
      <c r="AG370" s="43"/>
      <c r="AH370" s="43"/>
      <c r="AI370" s="43"/>
      <c r="AJ370" s="43"/>
      <c r="AK370" s="43"/>
      <c r="AL370" s="43"/>
      <c r="AM370" s="43"/>
      <c r="AN370" s="43"/>
      <c r="AO370" s="43"/>
      <c r="AP370" s="43"/>
      <c r="AQ370" s="43">
        <v>75000</v>
      </c>
      <c r="AR370" s="43"/>
      <c r="AS370" s="43">
        <v>75000</v>
      </c>
      <c r="AT370" s="3" t="s">
        <v>244</v>
      </c>
      <c r="AU370" s="272"/>
    </row>
    <row r="371" spans="1:47" ht="16.5" hidden="1" customHeight="1" x14ac:dyDescent="0.35">
      <c r="A371" s="2" t="s">
        <v>258</v>
      </c>
      <c r="B371" s="2" t="s">
        <v>58</v>
      </c>
      <c r="C371" s="2" t="s">
        <v>1350</v>
      </c>
      <c r="D371" s="2">
        <v>847</v>
      </c>
      <c r="E371" s="2">
        <v>8471240</v>
      </c>
      <c r="F371" s="2" t="s">
        <v>1364</v>
      </c>
      <c r="G371" s="2">
        <v>1</v>
      </c>
      <c r="H371" s="276">
        <v>425720</v>
      </c>
      <c r="I371" s="2" t="s">
        <v>620</v>
      </c>
      <c r="J371" s="2" t="s">
        <v>60</v>
      </c>
      <c r="K371" s="2" t="s">
        <v>50</v>
      </c>
      <c r="L371" s="7">
        <v>847001</v>
      </c>
      <c r="M371" s="2" t="s">
        <v>61</v>
      </c>
      <c r="N371" s="2">
        <v>200179</v>
      </c>
      <c r="O371" s="3" t="s">
        <v>1650</v>
      </c>
      <c r="P371" s="2"/>
      <c r="Q371" s="35"/>
      <c r="R371" s="2"/>
      <c r="S371" s="3" t="s">
        <v>622</v>
      </c>
      <c r="T371" s="2" t="s">
        <v>623</v>
      </c>
      <c r="U371" s="2">
        <v>1</v>
      </c>
      <c r="V371" s="2">
        <v>30000</v>
      </c>
      <c r="W371" s="3" t="s">
        <v>1375</v>
      </c>
      <c r="X371" s="36">
        <v>30000</v>
      </c>
      <c r="Y371" s="2" t="s">
        <v>55</v>
      </c>
      <c r="Z371" s="2" t="s">
        <v>197</v>
      </c>
      <c r="AA371" s="14">
        <f t="shared" si="16"/>
        <v>27000</v>
      </c>
      <c r="AB371" s="14">
        <f t="shared" si="17"/>
        <v>24000</v>
      </c>
      <c r="AC371" s="14">
        <f t="shared" si="18"/>
        <v>21000</v>
      </c>
      <c r="AD371" s="3" t="s">
        <v>1376</v>
      </c>
      <c r="AE371" s="3" t="s">
        <v>1376</v>
      </c>
      <c r="AF371" s="3" t="s">
        <v>1376</v>
      </c>
      <c r="AG371" s="43"/>
      <c r="AH371" s="43"/>
      <c r="AI371" s="43"/>
      <c r="AJ371" s="43"/>
      <c r="AK371" s="43"/>
      <c r="AL371" s="43"/>
      <c r="AM371" s="43"/>
      <c r="AN371" s="43"/>
      <c r="AO371" s="43"/>
      <c r="AP371" s="43">
        <v>30000</v>
      </c>
      <c r="AQ371" s="43"/>
      <c r="AR371" s="43"/>
      <c r="AS371" s="43">
        <v>30000</v>
      </c>
      <c r="AT371" s="3" t="s">
        <v>384</v>
      </c>
      <c r="AU371" s="272" t="s">
        <v>1369</v>
      </c>
    </row>
    <row r="372" spans="1:47" ht="16.5" hidden="1" customHeight="1" x14ac:dyDescent="0.35">
      <c r="A372" s="2" t="s">
        <v>258</v>
      </c>
      <c r="B372" s="2" t="s">
        <v>58</v>
      </c>
      <c r="C372" s="2" t="s">
        <v>1350</v>
      </c>
      <c r="D372" s="2">
        <v>847</v>
      </c>
      <c r="E372" s="2">
        <v>8471240</v>
      </c>
      <c r="F372" s="2" t="s">
        <v>1364</v>
      </c>
      <c r="G372" s="2">
        <v>1</v>
      </c>
      <c r="H372" s="276">
        <v>425720</v>
      </c>
      <c r="I372" s="2" t="s">
        <v>620</v>
      </c>
      <c r="J372" s="2" t="s">
        <v>60</v>
      </c>
      <c r="K372" s="2" t="s">
        <v>50</v>
      </c>
      <c r="L372" s="7">
        <v>847001</v>
      </c>
      <c r="M372" s="2" t="s">
        <v>61</v>
      </c>
      <c r="N372" s="2">
        <v>200179</v>
      </c>
      <c r="O372" s="3" t="s">
        <v>1650</v>
      </c>
      <c r="P372" s="2"/>
      <c r="Q372" s="35"/>
      <c r="R372" s="2"/>
      <c r="S372" s="3" t="s">
        <v>622</v>
      </c>
      <c r="T372" s="2" t="s">
        <v>623</v>
      </c>
      <c r="U372" s="2">
        <v>3</v>
      </c>
      <c r="V372" s="2">
        <v>6000</v>
      </c>
      <c r="W372" s="3" t="s">
        <v>1377</v>
      </c>
      <c r="X372" s="36">
        <v>18000</v>
      </c>
      <c r="Y372" s="2" t="s">
        <v>55</v>
      </c>
      <c r="Z372" s="2" t="s">
        <v>56</v>
      </c>
      <c r="AA372" s="14">
        <f t="shared" si="16"/>
        <v>16200</v>
      </c>
      <c r="AB372" s="14">
        <f t="shared" si="17"/>
        <v>14400</v>
      </c>
      <c r="AC372" s="14">
        <f t="shared" si="18"/>
        <v>12600</v>
      </c>
      <c r="AD372" s="3" t="s">
        <v>1366</v>
      </c>
      <c r="AE372" s="3" t="s">
        <v>1366</v>
      </c>
      <c r="AF372" s="3" t="s">
        <v>1366</v>
      </c>
      <c r="AG372" s="43"/>
      <c r="AH372" s="43"/>
      <c r="AI372" s="43">
        <v>6000</v>
      </c>
      <c r="AJ372" s="43"/>
      <c r="AK372" s="43"/>
      <c r="AL372" s="43">
        <v>6000</v>
      </c>
      <c r="AM372" s="43"/>
      <c r="AN372" s="43"/>
      <c r="AO372" s="43">
        <v>6000</v>
      </c>
      <c r="AP372" s="43"/>
      <c r="AQ372" s="43"/>
      <c r="AR372" s="43"/>
      <c r="AS372" s="43">
        <v>18000</v>
      </c>
      <c r="AT372" s="3" t="s">
        <v>384</v>
      </c>
      <c r="AU372" s="272" t="s">
        <v>1369</v>
      </c>
    </row>
    <row r="373" spans="1:47" ht="16.5" hidden="1" customHeight="1" x14ac:dyDescent="0.35">
      <c r="A373" s="2" t="s">
        <v>258</v>
      </c>
      <c r="B373" s="2" t="s">
        <v>58</v>
      </c>
      <c r="C373" s="2" t="s">
        <v>1350</v>
      </c>
      <c r="D373" s="2">
        <v>847</v>
      </c>
      <c r="E373" s="2">
        <v>8471240</v>
      </c>
      <c r="F373" s="2" t="s">
        <v>1364</v>
      </c>
      <c r="G373" s="2">
        <v>1</v>
      </c>
      <c r="H373" s="276">
        <v>425720</v>
      </c>
      <c r="I373" s="2" t="s">
        <v>620</v>
      </c>
      <c r="J373" s="2" t="s">
        <v>60</v>
      </c>
      <c r="K373" s="2" t="s">
        <v>50</v>
      </c>
      <c r="L373" s="7">
        <v>847001</v>
      </c>
      <c r="M373" s="2" t="s">
        <v>61</v>
      </c>
      <c r="N373" s="2">
        <v>200179</v>
      </c>
      <c r="O373" s="3" t="s">
        <v>1650</v>
      </c>
      <c r="P373" s="2"/>
      <c r="Q373" s="35"/>
      <c r="R373" s="2"/>
      <c r="S373" s="3" t="s">
        <v>622</v>
      </c>
      <c r="T373" s="2" t="s">
        <v>623</v>
      </c>
      <c r="U373" s="2">
        <v>10</v>
      </c>
      <c r="V373" s="2">
        <v>500</v>
      </c>
      <c r="W373" s="3" t="s">
        <v>1378</v>
      </c>
      <c r="X373" s="36">
        <v>5000</v>
      </c>
      <c r="Y373" s="2" t="s">
        <v>55</v>
      </c>
      <c r="Z373" s="2" t="s">
        <v>56</v>
      </c>
      <c r="AA373" s="14">
        <f t="shared" si="16"/>
        <v>4500</v>
      </c>
      <c r="AB373" s="14">
        <f t="shared" si="17"/>
        <v>4000</v>
      </c>
      <c r="AC373" s="14">
        <f t="shared" si="18"/>
        <v>3500</v>
      </c>
      <c r="AD373" s="3" t="s">
        <v>1366</v>
      </c>
      <c r="AE373" s="3" t="s">
        <v>1366</v>
      </c>
      <c r="AF373" s="3" t="s">
        <v>1366</v>
      </c>
      <c r="AG373" s="43">
        <v>500</v>
      </c>
      <c r="AH373" s="43">
        <v>500</v>
      </c>
      <c r="AI373" s="43">
        <v>500</v>
      </c>
      <c r="AJ373" s="43">
        <v>500</v>
      </c>
      <c r="AK373" s="43">
        <v>500</v>
      </c>
      <c r="AL373" s="43"/>
      <c r="AM373" s="43"/>
      <c r="AN373" s="43">
        <v>500</v>
      </c>
      <c r="AO373" s="43">
        <v>500</v>
      </c>
      <c r="AP373" s="43">
        <v>500</v>
      </c>
      <c r="AQ373" s="43">
        <v>500</v>
      </c>
      <c r="AR373" s="43">
        <v>500</v>
      </c>
      <c r="AS373" s="43">
        <v>5000</v>
      </c>
      <c r="AT373" s="3" t="s">
        <v>244</v>
      </c>
      <c r="AU373" s="272" t="s">
        <v>1369</v>
      </c>
    </row>
    <row r="374" spans="1:47" ht="16.5" hidden="1" customHeight="1" x14ac:dyDescent="0.35">
      <c r="A374" s="2" t="s">
        <v>258</v>
      </c>
      <c r="B374" s="2" t="s">
        <v>58</v>
      </c>
      <c r="C374" s="2" t="s">
        <v>1350</v>
      </c>
      <c r="D374" s="2">
        <v>847</v>
      </c>
      <c r="E374" s="2">
        <v>8471240</v>
      </c>
      <c r="F374" s="2" t="s">
        <v>1364</v>
      </c>
      <c r="G374" s="2">
        <v>1</v>
      </c>
      <c r="H374" s="276">
        <v>425750</v>
      </c>
      <c r="I374" s="2" t="s">
        <v>1057</v>
      </c>
      <c r="J374" s="2" t="s">
        <v>60</v>
      </c>
      <c r="K374" s="2" t="s">
        <v>50</v>
      </c>
      <c r="L374" s="7">
        <v>847001</v>
      </c>
      <c r="M374" s="2" t="s">
        <v>61</v>
      </c>
      <c r="N374" s="2">
        <v>200179</v>
      </c>
      <c r="O374" s="3" t="s">
        <v>1651</v>
      </c>
      <c r="P374" s="2" t="s">
        <v>46</v>
      </c>
      <c r="Q374" s="35">
        <v>23000</v>
      </c>
      <c r="R374" s="2"/>
      <c r="S374" s="3" t="s">
        <v>1379</v>
      </c>
      <c r="T374" s="2" t="s">
        <v>1380</v>
      </c>
      <c r="U374" s="2">
        <v>6</v>
      </c>
      <c r="V374" s="2">
        <v>1400</v>
      </c>
      <c r="W374" s="3" t="s">
        <v>1381</v>
      </c>
      <c r="X374" s="36">
        <v>8400</v>
      </c>
      <c r="Y374" s="2" t="s">
        <v>55</v>
      </c>
      <c r="Z374" s="2" t="s">
        <v>56</v>
      </c>
      <c r="AA374" s="14">
        <f t="shared" si="16"/>
        <v>7560</v>
      </c>
      <c r="AB374" s="14">
        <f t="shared" si="17"/>
        <v>6720</v>
      </c>
      <c r="AC374" s="14">
        <f t="shared" si="18"/>
        <v>5880</v>
      </c>
      <c r="AD374" s="3" t="s">
        <v>1366</v>
      </c>
      <c r="AE374" s="3" t="s">
        <v>1366</v>
      </c>
      <c r="AF374" s="3" t="s">
        <v>1366</v>
      </c>
      <c r="AG374" s="43"/>
      <c r="AH374" s="43"/>
      <c r="AI374" s="43"/>
      <c r="AJ374" s="43">
        <v>1400</v>
      </c>
      <c r="AK374" s="43">
        <v>1400</v>
      </c>
      <c r="AL374" s="43">
        <v>1400</v>
      </c>
      <c r="AM374" s="43"/>
      <c r="AN374" s="43"/>
      <c r="AO374" s="43"/>
      <c r="AP374" s="43">
        <v>1400</v>
      </c>
      <c r="AQ374" s="43">
        <v>1400</v>
      </c>
      <c r="AR374" s="43">
        <v>1400</v>
      </c>
      <c r="AS374" s="43">
        <v>8400</v>
      </c>
      <c r="AT374" s="3" t="s">
        <v>244</v>
      </c>
      <c r="AU374" s="272"/>
    </row>
    <row r="375" spans="1:47" ht="16.5" hidden="1" customHeight="1" x14ac:dyDescent="0.35">
      <c r="A375" s="2" t="s">
        <v>258</v>
      </c>
      <c r="B375" s="2" t="s">
        <v>58</v>
      </c>
      <c r="C375" s="2" t="s">
        <v>1350</v>
      </c>
      <c r="D375" s="2">
        <v>847</v>
      </c>
      <c r="E375" s="2">
        <v>8471240</v>
      </c>
      <c r="F375" s="2" t="s">
        <v>1364</v>
      </c>
      <c r="G375" s="2">
        <v>1</v>
      </c>
      <c r="H375" s="276">
        <v>425750</v>
      </c>
      <c r="I375" s="2" t="s">
        <v>1057</v>
      </c>
      <c r="J375" s="2" t="s">
        <v>60</v>
      </c>
      <c r="K375" s="2" t="s">
        <v>50</v>
      </c>
      <c r="L375" s="7">
        <v>847001</v>
      </c>
      <c r="M375" s="2" t="s">
        <v>61</v>
      </c>
      <c r="N375" s="2">
        <v>200179</v>
      </c>
      <c r="O375" s="3" t="s">
        <v>1651</v>
      </c>
      <c r="P375" s="2"/>
      <c r="Q375" s="35"/>
      <c r="R375" s="2"/>
      <c r="S375" s="3" t="s">
        <v>1059</v>
      </c>
      <c r="T375" s="2" t="s">
        <v>441</v>
      </c>
      <c r="U375" s="2">
        <v>1</v>
      </c>
      <c r="V375" s="2">
        <v>14600</v>
      </c>
      <c r="W375" s="3" t="s">
        <v>1382</v>
      </c>
      <c r="X375" s="36">
        <v>14600</v>
      </c>
      <c r="Y375" s="2" t="s">
        <v>55</v>
      </c>
      <c r="Z375" s="2" t="s">
        <v>197</v>
      </c>
      <c r="AA375" s="14">
        <f t="shared" si="16"/>
        <v>13140</v>
      </c>
      <c r="AB375" s="14">
        <f t="shared" si="17"/>
        <v>11680</v>
      </c>
      <c r="AC375" s="14">
        <f t="shared" si="18"/>
        <v>10220</v>
      </c>
      <c r="AD375" s="3" t="s">
        <v>1366</v>
      </c>
      <c r="AE375" s="3" t="s">
        <v>1366</v>
      </c>
      <c r="AF375" s="3" t="s">
        <v>1366</v>
      </c>
      <c r="AG375" s="43"/>
      <c r="AH375" s="43"/>
      <c r="AI375" s="43"/>
      <c r="AJ375" s="43"/>
      <c r="AK375" s="43"/>
      <c r="AL375" s="43"/>
      <c r="AM375" s="43"/>
      <c r="AN375" s="43">
        <v>14600</v>
      </c>
      <c r="AO375" s="43"/>
      <c r="AP375" s="43"/>
      <c r="AQ375" s="43"/>
      <c r="AR375" s="43"/>
      <c r="AS375" s="43">
        <v>14600</v>
      </c>
      <c r="AT375" s="3" t="s">
        <v>244</v>
      </c>
      <c r="AU375" s="272" t="s">
        <v>1369</v>
      </c>
    </row>
    <row r="376" spans="1:47" ht="16.5" hidden="1" customHeight="1" x14ac:dyDescent="0.35">
      <c r="A376" s="2" t="s">
        <v>222</v>
      </c>
      <c r="B376" s="2" t="s">
        <v>58</v>
      </c>
      <c r="C376" s="2" t="s">
        <v>1350</v>
      </c>
      <c r="D376" s="2">
        <v>847</v>
      </c>
      <c r="E376" s="2">
        <v>8471240</v>
      </c>
      <c r="F376" s="2" t="s">
        <v>1364</v>
      </c>
      <c r="G376" s="2">
        <v>1</v>
      </c>
      <c r="H376" s="276">
        <v>425761</v>
      </c>
      <c r="I376" s="2" t="s">
        <v>1383</v>
      </c>
      <c r="J376" s="2" t="s">
        <v>60</v>
      </c>
      <c r="K376" s="2" t="s">
        <v>50</v>
      </c>
      <c r="L376" s="7">
        <v>847001</v>
      </c>
      <c r="M376" s="2" t="s">
        <v>61</v>
      </c>
      <c r="N376" s="2">
        <v>200179</v>
      </c>
      <c r="O376" s="3" t="s">
        <v>1652</v>
      </c>
      <c r="P376" s="2">
        <v>236379.63</v>
      </c>
      <c r="Q376" s="35">
        <v>800000</v>
      </c>
      <c r="R376" s="2"/>
      <c r="S376" s="3" t="s">
        <v>727</v>
      </c>
      <c r="T376" s="2" t="s">
        <v>441</v>
      </c>
      <c r="U376" s="2">
        <v>1</v>
      </c>
      <c r="V376" s="2">
        <v>1000000</v>
      </c>
      <c r="W376" s="3" t="s">
        <v>1384</v>
      </c>
      <c r="X376" s="36">
        <v>1000000</v>
      </c>
      <c r="Y376" s="2" t="s">
        <v>55</v>
      </c>
      <c r="Z376" s="2" t="s">
        <v>56</v>
      </c>
      <c r="AA376" s="14">
        <f t="shared" si="16"/>
        <v>900000</v>
      </c>
      <c r="AB376" s="14">
        <f t="shared" si="17"/>
        <v>800000</v>
      </c>
      <c r="AC376" s="14">
        <f t="shared" si="18"/>
        <v>700000</v>
      </c>
      <c r="AD376" s="3" t="s">
        <v>1385</v>
      </c>
      <c r="AE376" s="3" t="s">
        <v>1385</v>
      </c>
      <c r="AF376" s="3" t="s">
        <v>1385</v>
      </c>
      <c r="AG376" s="43"/>
      <c r="AH376" s="43"/>
      <c r="AI376" s="43"/>
      <c r="AJ376" s="43"/>
      <c r="AK376" s="43"/>
      <c r="AL376" s="43">
        <v>500000</v>
      </c>
      <c r="AM376" s="43"/>
      <c r="AN376" s="43"/>
      <c r="AO376" s="43"/>
      <c r="AP376" s="43"/>
      <c r="AQ376" s="43"/>
      <c r="AR376" s="43">
        <v>500000</v>
      </c>
      <c r="AS376" s="43">
        <v>1000000</v>
      </c>
      <c r="AT376" s="3" t="s">
        <v>384</v>
      </c>
      <c r="AU376" s="272"/>
    </row>
    <row r="377" spans="1:47" ht="16.5" hidden="1" customHeight="1" x14ac:dyDescent="0.35">
      <c r="A377" s="2" t="s">
        <v>189</v>
      </c>
      <c r="B377" s="2" t="s">
        <v>265</v>
      </c>
      <c r="C377" s="2" t="s">
        <v>1350</v>
      </c>
      <c r="D377" s="2">
        <v>847</v>
      </c>
      <c r="E377" s="2">
        <v>8471240</v>
      </c>
      <c r="F377" s="2" t="s">
        <v>1364</v>
      </c>
      <c r="G377" s="2">
        <v>1</v>
      </c>
      <c r="H377" s="276">
        <v>425900</v>
      </c>
      <c r="I377" s="2" t="s">
        <v>266</v>
      </c>
      <c r="J377" s="2" t="s">
        <v>60</v>
      </c>
      <c r="K377" s="2" t="s">
        <v>50</v>
      </c>
      <c r="L377" s="7">
        <v>847001</v>
      </c>
      <c r="M377" s="2" t="s">
        <v>61</v>
      </c>
      <c r="N377" s="2">
        <v>200179</v>
      </c>
      <c r="O377" s="3" t="s">
        <v>1653</v>
      </c>
      <c r="P377" s="2" t="s">
        <v>46</v>
      </c>
      <c r="Q377" s="35">
        <v>24000</v>
      </c>
      <c r="R377" s="2"/>
      <c r="S377" s="3" t="s">
        <v>268</v>
      </c>
      <c r="T377" s="2" t="s">
        <v>269</v>
      </c>
      <c r="U377" s="2">
        <v>2</v>
      </c>
      <c r="V377" s="2">
        <v>7250</v>
      </c>
      <c r="W377" s="3" t="s">
        <v>1386</v>
      </c>
      <c r="X377" s="36">
        <v>14500</v>
      </c>
      <c r="Y377" s="2" t="s">
        <v>55</v>
      </c>
      <c r="Z377" s="2" t="s">
        <v>56</v>
      </c>
      <c r="AA377" s="14">
        <f t="shared" si="16"/>
        <v>13050</v>
      </c>
      <c r="AB377" s="14">
        <f t="shared" si="17"/>
        <v>11600</v>
      </c>
      <c r="AC377" s="14">
        <f t="shared" si="18"/>
        <v>10150</v>
      </c>
      <c r="AD377" s="3" t="s">
        <v>1366</v>
      </c>
      <c r="AE377" s="3" t="s">
        <v>1366</v>
      </c>
      <c r="AF377" s="3" t="s">
        <v>1366</v>
      </c>
      <c r="AG377" s="43"/>
      <c r="AH377" s="43"/>
      <c r="AI377" s="43"/>
      <c r="AJ377" s="43">
        <v>7250</v>
      </c>
      <c r="AK377" s="43"/>
      <c r="AL377" s="43"/>
      <c r="AM377" s="43"/>
      <c r="AN377" s="43"/>
      <c r="AO377" s="43"/>
      <c r="AP377" s="43">
        <v>7250</v>
      </c>
      <c r="AQ377" s="43"/>
      <c r="AR377" s="43"/>
      <c r="AS377" s="43">
        <v>14500</v>
      </c>
      <c r="AT377" s="3"/>
      <c r="AU377" s="272"/>
    </row>
    <row r="378" spans="1:47" ht="16.5" hidden="1" customHeight="1" x14ac:dyDescent="0.35">
      <c r="A378" s="2" t="s">
        <v>189</v>
      </c>
      <c r="B378" s="2" t="s">
        <v>265</v>
      </c>
      <c r="C378" s="2" t="s">
        <v>1350</v>
      </c>
      <c r="D378" s="2">
        <v>847</v>
      </c>
      <c r="E378" s="2">
        <v>8471240</v>
      </c>
      <c r="F378" s="2" t="s">
        <v>1364</v>
      </c>
      <c r="G378" s="2">
        <v>1</v>
      </c>
      <c r="H378" s="276">
        <v>425900</v>
      </c>
      <c r="I378" s="2" t="s">
        <v>266</v>
      </c>
      <c r="J378" s="2" t="s">
        <v>60</v>
      </c>
      <c r="K378" s="2" t="s">
        <v>50</v>
      </c>
      <c r="L378" s="7">
        <v>847001</v>
      </c>
      <c r="M378" s="2" t="s">
        <v>61</v>
      </c>
      <c r="N378" s="2">
        <v>200179</v>
      </c>
      <c r="O378" s="3" t="s">
        <v>1653</v>
      </c>
      <c r="P378" s="2"/>
      <c r="Q378" s="35"/>
      <c r="R378" s="2"/>
      <c r="S378" s="3" t="s">
        <v>268</v>
      </c>
      <c r="T378" s="2" t="s">
        <v>269</v>
      </c>
      <c r="U378" s="2">
        <v>3</v>
      </c>
      <c r="V378" s="2">
        <v>1500</v>
      </c>
      <c r="W378" s="3" t="s">
        <v>1387</v>
      </c>
      <c r="X378" s="36">
        <v>4500</v>
      </c>
      <c r="Y378" s="2" t="s">
        <v>55</v>
      </c>
      <c r="Z378" s="2" t="s">
        <v>56</v>
      </c>
      <c r="AA378" s="14">
        <f t="shared" si="16"/>
        <v>4050</v>
      </c>
      <c r="AB378" s="14">
        <f t="shared" si="17"/>
        <v>3600</v>
      </c>
      <c r="AC378" s="14">
        <f t="shared" si="18"/>
        <v>3150</v>
      </c>
      <c r="AD378" s="3" t="s">
        <v>1366</v>
      </c>
      <c r="AE378" s="3" t="s">
        <v>1366</v>
      </c>
      <c r="AF378" s="3" t="s">
        <v>1366</v>
      </c>
      <c r="AG378" s="43"/>
      <c r="AH378" s="43"/>
      <c r="AI378" s="43">
        <v>1500</v>
      </c>
      <c r="AJ378" s="43"/>
      <c r="AK378" s="43"/>
      <c r="AL378" s="43"/>
      <c r="AM378" s="43"/>
      <c r="AN378" s="43"/>
      <c r="AO378" s="43">
        <v>1500</v>
      </c>
      <c r="AP378" s="43"/>
      <c r="AQ378" s="43">
        <v>1500</v>
      </c>
      <c r="AR378" s="43"/>
      <c r="AS378" s="43">
        <v>4500</v>
      </c>
      <c r="AT378" s="3"/>
      <c r="AU378" s="272" t="s">
        <v>1369</v>
      </c>
    </row>
    <row r="379" spans="1:47" ht="16.5" hidden="1" customHeight="1" x14ac:dyDescent="0.35">
      <c r="A379" s="2" t="s">
        <v>189</v>
      </c>
      <c r="B379" s="2" t="s">
        <v>265</v>
      </c>
      <c r="C379" s="2" t="s">
        <v>1350</v>
      </c>
      <c r="D379" s="2">
        <v>847</v>
      </c>
      <c r="E379" s="2">
        <v>8471240</v>
      </c>
      <c r="F379" s="2" t="s">
        <v>1364</v>
      </c>
      <c r="G379" s="2">
        <v>1</v>
      </c>
      <c r="H379" s="276">
        <v>425900</v>
      </c>
      <c r="I379" s="2" t="s">
        <v>266</v>
      </c>
      <c r="J379" s="2" t="s">
        <v>60</v>
      </c>
      <c r="K379" s="2" t="s">
        <v>50</v>
      </c>
      <c r="L379" s="7">
        <v>847001</v>
      </c>
      <c r="M379" s="2" t="s">
        <v>61</v>
      </c>
      <c r="N379" s="2">
        <v>200179</v>
      </c>
      <c r="O379" s="3" t="s">
        <v>1653</v>
      </c>
      <c r="P379" s="2"/>
      <c r="Q379" s="35"/>
      <c r="R379" s="2"/>
      <c r="S379" s="3" t="s">
        <v>268</v>
      </c>
      <c r="T379" s="2" t="s">
        <v>269</v>
      </c>
      <c r="U379" s="2">
        <v>10</v>
      </c>
      <c r="V379" s="2">
        <v>500</v>
      </c>
      <c r="W379" s="3" t="s">
        <v>1388</v>
      </c>
      <c r="X379" s="36">
        <v>5000</v>
      </c>
      <c r="Y379" s="2" t="s">
        <v>55</v>
      </c>
      <c r="Z379" s="2" t="s">
        <v>56</v>
      </c>
      <c r="AA379" s="14">
        <f t="shared" si="16"/>
        <v>4500</v>
      </c>
      <c r="AB379" s="14">
        <f t="shared" si="17"/>
        <v>4000</v>
      </c>
      <c r="AC379" s="14">
        <f t="shared" si="18"/>
        <v>3500</v>
      </c>
      <c r="AD379" s="3" t="s">
        <v>1366</v>
      </c>
      <c r="AE379" s="3" t="s">
        <v>1366</v>
      </c>
      <c r="AF379" s="3" t="s">
        <v>1366</v>
      </c>
      <c r="AG379" s="43">
        <v>500</v>
      </c>
      <c r="AH379" s="43">
        <v>500</v>
      </c>
      <c r="AI379" s="43">
        <v>500</v>
      </c>
      <c r="AJ379" s="43">
        <v>500</v>
      </c>
      <c r="AK379" s="43">
        <v>500</v>
      </c>
      <c r="AL379" s="43"/>
      <c r="AM379" s="43"/>
      <c r="AN379" s="43">
        <v>500</v>
      </c>
      <c r="AO379" s="43">
        <v>500</v>
      </c>
      <c r="AP379" s="43">
        <v>500</v>
      </c>
      <c r="AQ379" s="43">
        <v>500</v>
      </c>
      <c r="AR379" s="43">
        <v>500</v>
      </c>
      <c r="AS379" s="43">
        <v>5000</v>
      </c>
      <c r="AT379" s="3"/>
      <c r="AU379" s="272" t="s">
        <v>1369</v>
      </c>
    </row>
    <row r="380" spans="1:47" ht="16.5" hidden="1" customHeight="1" x14ac:dyDescent="0.35">
      <c r="A380" s="2" t="s">
        <v>63</v>
      </c>
      <c r="B380" s="2" t="s">
        <v>64</v>
      </c>
      <c r="C380" s="2" t="s">
        <v>1350</v>
      </c>
      <c r="D380" s="2">
        <v>847</v>
      </c>
      <c r="E380" s="2">
        <v>8471240</v>
      </c>
      <c r="F380" s="2" t="s">
        <v>1364</v>
      </c>
      <c r="G380" s="2">
        <v>1</v>
      </c>
      <c r="H380" s="276">
        <v>426610</v>
      </c>
      <c r="I380" s="2" t="s">
        <v>74</v>
      </c>
      <c r="J380" s="2" t="s">
        <v>60</v>
      </c>
      <c r="K380" s="2" t="s">
        <v>50</v>
      </c>
      <c r="L380" s="7">
        <v>847001</v>
      </c>
      <c r="M380" s="2" t="s">
        <v>61</v>
      </c>
      <c r="N380" s="2">
        <v>200179</v>
      </c>
      <c r="O380" s="3" t="s">
        <v>1654</v>
      </c>
      <c r="P380" s="2">
        <v>495462</v>
      </c>
      <c r="Q380" s="35">
        <v>353000</v>
      </c>
      <c r="R380" s="2">
        <v>363000</v>
      </c>
      <c r="S380" s="3" t="s">
        <v>960</v>
      </c>
      <c r="T380" s="2" t="s">
        <v>68</v>
      </c>
      <c r="U380" s="2">
        <v>1</v>
      </c>
      <c r="V380" s="2">
        <v>400000</v>
      </c>
      <c r="W380" s="3" t="s">
        <v>1389</v>
      </c>
      <c r="X380" s="36">
        <v>400000</v>
      </c>
      <c r="Y380" s="2" t="s">
        <v>55</v>
      </c>
      <c r="Z380" s="2" t="s">
        <v>197</v>
      </c>
      <c r="AA380" s="14">
        <f t="shared" si="16"/>
        <v>360000</v>
      </c>
      <c r="AB380" s="14">
        <f t="shared" si="17"/>
        <v>320000</v>
      </c>
      <c r="AC380" s="14">
        <f t="shared" si="18"/>
        <v>280000</v>
      </c>
      <c r="AD380" s="3" t="s">
        <v>1390</v>
      </c>
      <c r="AE380" s="3" t="s">
        <v>1390</v>
      </c>
      <c r="AF380" s="3" t="s">
        <v>1390</v>
      </c>
      <c r="AG380" s="43"/>
      <c r="AH380" s="43"/>
      <c r="AI380" s="43"/>
      <c r="AJ380" s="43"/>
      <c r="AK380" s="43"/>
      <c r="AL380" s="43">
        <v>400000</v>
      </c>
      <c r="AM380" s="43"/>
      <c r="AN380" s="43"/>
      <c r="AO380" s="43"/>
      <c r="AP380" s="43"/>
      <c r="AQ380" s="43"/>
      <c r="AR380" s="43"/>
      <c r="AS380" s="43">
        <v>400000</v>
      </c>
      <c r="AT380" s="3" t="s">
        <v>384</v>
      </c>
      <c r="AU380" s="272"/>
    </row>
    <row r="381" spans="1:47" ht="16.5" hidden="1" customHeight="1" x14ac:dyDescent="0.35">
      <c r="A381" s="2" t="s">
        <v>153</v>
      </c>
      <c r="B381" s="2" t="s">
        <v>58</v>
      </c>
      <c r="C381" s="2" t="s">
        <v>1350</v>
      </c>
      <c r="D381" s="2">
        <v>847</v>
      </c>
      <c r="E381" s="2">
        <v>8471240</v>
      </c>
      <c r="F381" s="2" t="s">
        <v>1364</v>
      </c>
      <c r="G381" s="2">
        <v>1</v>
      </c>
      <c r="H381" s="276">
        <v>428090</v>
      </c>
      <c r="I381" s="2" t="s">
        <v>154</v>
      </c>
      <c r="J381" s="2" t="s">
        <v>60</v>
      </c>
      <c r="K381" s="2" t="s">
        <v>50</v>
      </c>
      <c r="L381" s="7">
        <v>847001</v>
      </c>
      <c r="M381" s="2" t="s">
        <v>61</v>
      </c>
      <c r="N381" s="2">
        <v>200179</v>
      </c>
      <c r="O381" s="3" t="s">
        <v>1655</v>
      </c>
      <c r="P381" s="2" t="s">
        <v>46</v>
      </c>
      <c r="Q381" s="35">
        <v>60000</v>
      </c>
      <c r="R381" s="2"/>
      <c r="S381" s="3" t="s">
        <v>156</v>
      </c>
      <c r="T381" s="2" t="s">
        <v>157</v>
      </c>
      <c r="U381" s="2">
        <v>2</v>
      </c>
      <c r="V381" s="2">
        <v>30000</v>
      </c>
      <c r="W381" s="3" t="s">
        <v>1391</v>
      </c>
      <c r="X381" s="36">
        <v>60000</v>
      </c>
      <c r="Y381" s="2" t="s">
        <v>55</v>
      </c>
      <c r="Z381" s="2" t="s">
        <v>56</v>
      </c>
      <c r="AA381" s="14">
        <f t="shared" si="16"/>
        <v>54000</v>
      </c>
      <c r="AB381" s="14">
        <f t="shared" si="17"/>
        <v>48000</v>
      </c>
      <c r="AC381" s="14">
        <f t="shared" si="18"/>
        <v>42000</v>
      </c>
      <c r="AD381" s="3" t="s">
        <v>1392</v>
      </c>
      <c r="AE381" s="3" t="s">
        <v>1392</v>
      </c>
      <c r="AF381" s="3" t="s">
        <v>1392</v>
      </c>
      <c r="AG381" s="43"/>
      <c r="AH381" s="43"/>
      <c r="AI381" s="43"/>
      <c r="AJ381" s="43">
        <v>30000</v>
      </c>
      <c r="AK381" s="43"/>
      <c r="AL381" s="43"/>
      <c r="AM381" s="43"/>
      <c r="AN381" s="43"/>
      <c r="AO381" s="43"/>
      <c r="AP381" s="43">
        <v>30000</v>
      </c>
      <c r="AQ381" s="43"/>
      <c r="AR381" s="43"/>
      <c r="AS381" s="43">
        <v>60000</v>
      </c>
      <c r="AT381" s="3" t="s">
        <v>348</v>
      </c>
      <c r="AU381" s="272"/>
    </row>
    <row r="382" spans="1:47" ht="16.5" hidden="1" customHeight="1" x14ac:dyDescent="0.35">
      <c r="A382" s="2" t="s">
        <v>245</v>
      </c>
      <c r="B382" s="2" t="s">
        <v>246</v>
      </c>
      <c r="C382" s="2" t="s">
        <v>1350</v>
      </c>
      <c r="D382" s="2">
        <v>847</v>
      </c>
      <c r="E382" s="2">
        <v>8471240</v>
      </c>
      <c r="F382" s="2" t="s">
        <v>1364</v>
      </c>
      <c r="G382" s="2">
        <v>1</v>
      </c>
      <c r="H382" s="276">
        <v>428640</v>
      </c>
      <c r="I382" s="2" t="s">
        <v>279</v>
      </c>
      <c r="J382" s="2" t="s">
        <v>60</v>
      </c>
      <c r="K382" s="2" t="s">
        <v>50</v>
      </c>
      <c r="L382" s="7">
        <v>847001</v>
      </c>
      <c r="M382" s="2" t="s">
        <v>61</v>
      </c>
      <c r="N382" s="2">
        <v>200179</v>
      </c>
      <c r="O382" s="3" t="s">
        <v>1656</v>
      </c>
      <c r="P382" s="2" t="s">
        <v>46</v>
      </c>
      <c r="Q382" s="35">
        <v>14000</v>
      </c>
      <c r="R382" s="2"/>
      <c r="S382" s="3" t="s">
        <v>281</v>
      </c>
      <c r="T382" s="2" t="s">
        <v>269</v>
      </c>
      <c r="U382" s="2">
        <v>2</v>
      </c>
      <c r="V382" s="10">
        <v>5000</v>
      </c>
      <c r="W382" s="3" t="s">
        <v>1393</v>
      </c>
      <c r="X382" s="36">
        <v>10000</v>
      </c>
      <c r="Y382" s="2" t="s">
        <v>55</v>
      </c>
      <c r="Z382" s="2" t="s">
        <v>56</v>
      </c>
      <c r="AA382" s="14">
        <f t="shared" si="16"/>
        <v>9000</v>
      </c>
      <c r="AB382" s="14">
        <f t="shared" si="17"/>
        <v>8000</v>
      </c>
      <c r="AC382" s="14">
        <f t="shared" si="18"/>
        <v>7000</v>
      </c>
      <c r="AD382" s="3" t="s">
        <v>1394</v>
      </c>
      <c r="AE382" s="3" t="s">
        <v>1394</v>
      </c>
      <c r="AF382" s="3" t="s">
        <v>1394</v>
      </c>
      <c r="AG382" s="43"/>
      <c r="AH382" s="43"/>
      <c r="AI382" s="43"/>
      <c r="AJ382" s="43">
        <v>5000</v>
      </c>
      <c r="AK382" s="43">
        <v>5000</v>
      </c>
      <c r="AL382" s="43"/>
      <c r="AM382" s="43"/>
      <c r="AN382" s="43"/>
      <c r="AO382" s="43"/>
      <c r="AP382" s="43"/>
      <c r="AQ382" s="43"/>
      <c r="AR382" s="43"/>
      <c r="AS382" s="43">
        <v>10000</v>
      </c>
      <c r="AT382" s="3"/>
      <c r="AU382" s="272"/>
    </row>
    <row r="383" spans="1:47" ht="16.5" hidden="1" customHeight="1" x14ac:dyDescent="0.35">
      <c r="A383" s="2" t="s">
        <v>245</v>
      </c>
      <c r="B383" s="2" t="s">
        <v>246</v>
      </c>
      <c r="C383" s="2" t="s">
        <v>1350</v>
      </c>
      <c r="D383" s="2">
        <v>847</v>
      </c>
      <c r="E383" s="2">
        <v>8471240</v>
      </c>
      <c r="F383" s="2" t="s">
        <v>1364</v>
      </c>
      <c r="G383" s="2">
        <v>1</v>
      </c>
      <c r="H383" s="276">
        <v>428640</v>
      </c>
      <c r="I383" s="2" t="s">
        <v>279</v>
      </c>
      <c r="J383" s="2" t="s">
        <v>60</v>
      </c>
      <c r="K383" s="2" t="s">
        <v>50</v>
      </c>
      <c r="L383" s="7">
        <v>847001</v>
      </c>
      <c r="M383" s="2" t="s">
        <v>61</v>
      </c>
      <c r="N383" s="2">
        <v>200179</v>
      </c>
      <c r="O383" s="3" t="s">
        <v>1656</v>
      </c>
      <c r="P383" s="2"/>
      <c r="Q383" s="35"/>
      <c r="R383" s="2"/>
      <c r="S383" s="3" t="s">
        <v>1395</v>
      </c>
      <c r="T383" s="2" t="s">
        <v>269</v>
      </c>
      <c r="U383" s="2">
        <v>10</v>
      </c>
      <c r="V383" s="10">
        <v>200</v>
      </c>
      <c r="W383" s="3" t="s">
        <v>1396</v>
      </c>
      <c r="X383" s="36">
        <v>2000</v>
      </c>
      <c r="Y383" s="2" t="s">
        <v>55</v>
      </c>
      <c r="Z383" s="2" t="s">
        <v>197</v>
      </c>
      <c r="AA383" s="14">
        <f t="shared" si="16"/>
        <v>1800</v>
      </c>
      <c r="AB383" s="14">
        <f t="shared" si="17"/>
        <v>1600</v>
      </c>
      <c r="AC383" s="14">
        <f t="shared" si="18"/>
        <v>1400</v>
      </c>
      <c r="AD383" s="3" t="s">
        <v>1394</v>
      </c>
      <c r="AE383" s="3" t="s">
        <v>1394</v>
      </c>
      <c r="AF383" s="3" t="s">
        <v>1394</v>
      </c>
      <c r="AG383" s="43"/>
      <c r="AH383" s="43"/>
      <c r="AI383" s="43"/>
      <c r="AJ383" s="43"/>
      <c r="AK383" s="43"/>
      <c r="AL383" s="43"/>
      <c r="AM383" s="43"/>
      <c r="AN383" s="43"/>
      <c r="AO383" s="43"/>
      <c r="AP383" s="43"/>
      <c r="AQ383" s="43"/>
      <c r="AR383" s="43">
        <v>2000</v>
      </c>
      <c r="AS383" s="43">
        <v>2000</v>
      </c>
      <c r="AT383" s="3"/>
      <c r="AU383" s="272" t="s">
        <v>1369</v>
      </c>
    </row>
    <row r="384" spans="1:47" ht="16.5" hidden="1" customHeight="1" x14ac:dyDescent="0.35">
      <c r="A384" s="2" t="s">
        <v>245</v>
      </c>
      <c r="B384" s="2" t="s">
        <v>246</v>
      </c>
      <c r="C384" s="2" t="s">
        <v>1350</v>
      </c>
      <c r="D384" s="2">
        <v>847</v>
      </c>
      <c r="E384" s="2">
        <v>8471240</v>
      </c>
      <c r="F384" s="2" t="s">
        <v>1364</v>
      </c>
      <c r="G384" s="2">
        <v>1</v>
      </c>
      <c r="H384" s="276">
        <v>428640</v>
      </c>
      <c r="I384" s="2" t="s">
        <v>279</v>
      </c>
      <c r="J384" s="2" t="s">
        <v>60</v>
      </c>
      <c r="K384" s="2" t="s">
        <v>50</v>
      </c>
      <c r="L384" s="7">
        <v>847001</v>
      </c>
      <c r="M384" s="2" t="s">
        <v>61</v>
      </c>
      <c r="N384" s="2">
        <v>200179</v>
      </c>
      <c r="O384" s="3" t="s">
        <v>1656</v>
      </c>
      <c r="P384" s="2"/>
      <c r="Q384" s="35"/>
      <c r="R384" s="2"/>
      <c r="S384" s="3" t="s">
        <v>1395</v>
      </c>
      <c r="T384" s="2" t="s">
        <v>269</v>
      </c>
      <c r="U384" s="2">
        <v>10</v>
      </c>
      <c r="V384" s="10">
        <v>200</v>
      </c>
      <c r="W384" s="3" t="s">
        <v>1397</v>
      </c>
      <c r="X384" s="36">
        <v>2000</v>
      </c>
      <c r="Y384" s="2" t="s">
        <v>55</v>
      </c>
      <c r="Z384" s="2" t="s">
        <v>197</v>
      </c>
      <c r="AA384" s="14">
        <f t="shared" si="16"/>
        <v>1800</v>
      </c>
      <c r="AB384" s="14">
        <f t="shared" si="17"/>
        <v>1600</v>
      </c>
      <c r="AC384" s="14">
        <f t="shared" si="18"/>
        <v>1400</v>
      </c>
      <c r="AD384" s="3" t="s">
        <v>1394</v>
      </c>
      <c r="AE384" s="3" t="s">
        <v>1394</v>
      </c>
      <c r="AF384" s="3" t="s">
        <v>1394</v>
      </c>
      <c r="AG384" s="43"/>
      <c r="AH384" s="43"/>
      <c r="AI384" s="43"/>
      <c r="AJ384" s="43"/>
      <c r="AK384" s="43"/>
      <c r="AL384" s="43"/>
      <c r="AM384" s="43"/>
      <c r="AN384" s="43">
        <v>2000</v>
      </c>
      <c r="AO384" s="43"/>
      <c r="AP384" s="43"/>
      <c r="AQ384" s="43"/>
      <c r="AR384" s="43"/>
      <c r="AS384" s="43">
        <v>2000</v>
      </c>
      <c r="AT384" s="3"/>
      <c r="AU384" s="272" t="s">
        <v>1369</v>
      </c>
    </row>
    <row r="385" spans="1:47" ht="16.5" hidden="1" customHeight="1" x14ac:dyDescent="0.35">
      <c r="A385" s="2" t="s">
        <v>222</v>
      </c>
      <c r="B385" s="2" t="s">
        <v>58</v>
      </c>
      <c r="C385" s="2" t="s">
        <v>1350</v>
      </c>
      <c r="D385" s="2">
        <v>847</v>
      </c>
      <c r="E385" s="2">
        <v>8471240</v>
      </c>
      <c r="F385" s="2" t="s">
        <v>1364</v>
      </c>
      <c r="G385" s="2">
        <v>1</v>
      </c>
      <c r="H385" s="276">
        <v>435330</v>
      </c>
      <c r="I385" s="2" t="s">
        <v>1111</v>
      </c>
      <c r="J385" s="2" t="s">
        <v>60</v>
      </c>
      <c r="K385" s="2" t="s">
        <v>50</v>
      </c>
      <c r="L385" s="7">
        <v>847001</v>
      </c>
      <c r="M385" s="2" t="s">
        <v>61</v>
      </c>
      <c r="N385" s="2">
        <v>200179</v>
      </c>
      <c r="O385" s="3" t="s">
        <v>1657</v>
      </c>
      <c r="P385" s="2" t="s">
        <v>46</v>
      </c>
      <c r="Q385" s="35">
        <v>4750</v>
      </c>
      <c r="R385" s="2"/>
      <c r="S385" s="3" t="s">
        <v>1113</v>
      </c>
      <c r="T385" s="2" t="s">
        <v>157</v>
      </c>
      <c r="U385" s="2">
        <v>50</v>
      </c>
      <c r="V385" s="2">
        <v>95</v>
      </c>
      <c r="W385" s="3" t="s">
        <v>1398</v>
      </c>
      <c r="X385" s="36">
        <v>4750</v>
      </c>
      <c r="Y385" s="2" t="s">
        <v>55</v>
      </c>
      <c r="Z385" s="2" t="s">
        <v>197</v>
      </c>
      <c r="AA385" s="14">
        <f t="shared" si="16"/>
        <v>4275</v>
      </c>
      <c r="AB385" s="14">
        <f t="shared" si="17"/>
        <v>3800</v>
      </c>
      <c r="AC385" s="14">
        <f t="shared" si="18"/>
        <v>3325</v>
      </c>
      <c r="AD385" s="3" t="s">
        <v>1394</v>
      </c>
      <c r="AE385" s="3" t="s">
        <v>1394</v>
      </c>
      <c r="AF385" s="3" t="s">
        <v>1394</v>
      </c>
      <c r="AG385" s="43"/>
      <c r="AH385" s="43"/>
      <c r="AI385" s="43"/>
      <c r="AJ385" s="43"/>
      <c r="AK385" s="43"/>
      <c r="AL385" s="43"/>
      <c r="AM385" s="43"/>
      <c r="AN385" s="43">
        <v>4750</v>
      </c>
      <c r="AO385" s="43"/>
      <c r="AP385" s="43"/>
      <c r="AQ385" s="43"/>
      <c r="AR385" s="43"/>
      <c r="AS385" s="43">
        <v>4750</v>
      </c>
      <c r="AT385" s="3"/>
      <c r="AU385" s="272"/>
    </row>
    <row r="386" spans="1:47" ht="16.5" hidden="1" customHeight="1" x14ac:dyDescent="0.35">
      <c r="A386" s="2" t="s">
        <v>189</v>
      </c>
      <c r="B386" s="2" t="s">
        <v>58</v>
      </c>
      <c r="C386" s="2" t="s">
        <v>1350</v>
      </c>
      <c r="D386" s="2">
        <v>847</v>
      </c>
      <c r="E386" s="2">
        <v>8471240</v>
      </c>
      <c r="F386" s="2" t="s">
        <v>1364</v>
      </c>
      <c r="G386" s="2">
        <v>1</v>
      </c>
      <c r="H386" s="276">
        <v>436110</v>
      </c>
      <c r="I386" s="2" t="s">
        <v>190</v>
      </c>
      <c r="J386" s="2" t="s">
        <v>60</v>
      </c>
      <c r="K386" s="2" t="s">
        <v>50</v>
      </c>
      <c r="L386" s="7">
        <v>847001</v>
      </c>
      <c r="M386" s="2" t="s">
        <v>61</v>
      </c>
      <c r="N386" s="2">
        <v>200179</v>
      </c>
      <c r="O386" s="3" t="s">
        <v>1658</v>
      </c>
      <c r="P386" s="2" t="s">
        <v>46</v>
      </c>
      <c r="Q386" s="35">
        <v>42000</v>
      </c>
      <c r="R386" s="2"/>
      <c r="S386" s="3" t="s">
        <v>829</v>
      </c>
      <c r="T386" s="2" t="s">
        <v>157</v>
      </c>
      <c r="U386" s="2">
        <v>1000</v>
      </c>
      <c r="V386" s="2">
        <v>35</v>
      </c>
      <c r="W386" s="3" t="s">
        <v>1399</v>
      </c>
      <c r="X386" s="36">
        <v>35000</v>
      </c>
      <c r="Y386" s="2" t="s">
        <v>55</v>
      </c>
      <c r="Z386" s="2" t="s">
        <v>197</v>
      </c>
      <c r="AA386" s="14">
        <f t="shared" si="16"/>
        <v>31500</v>
      </c>
      <c r="AB386" s="14">
        <f t="shared" si="17"/>
        <v>28000</v>
      </c>
      <c r="AC386" s="14">
        <f t="shared" si="18"/>
        <v>24500</v>
      </c>
      <c r="AD386" s="3" t="s">
        <v>1394</v>
      </c>
      <c r="AE386" s="3" t="s">
        <v>1394</v>
      </c>
      <c r="AF386" s="3" t="s">
        <v>1394</v>
      </c>
      <c r="AG386" s="43"/>
      <c r="AH386" s="43"/>
      <c r="AI386" s="43"/>
      <c r="AJ386" s="43"/>
      <c r="AK386" s="43"/>
      <c r="AL386" s="43"/>
      <c r="AM386" s="43"/>
      <c r="AN386" s="43">
        <v>35000</v>
      </c>
      <c r="AO386" s="43"/>
      <c r="AP386" s="43"/>
      <c r="AQ386" s="43"/>
      <c r="AR386" s="43"/>
      <c r="AS386" s="43">
        <v>35000</v>
      </c>
      <c r="AT386" s="3"/>
      <c r="AU386" s="272"/>
    </row>
    <row r="387" spans="1:47" ht="16.5" hidden="1" customHeight="1" x14ac:dyDescent="0.35">
      <c r="A387" s="2" t="s">
        <v>189</v>
      </c>
      <c r="B387" s="2" t="s">
        <v>58</v>
      </c>
      <c r="C387" s="2" t="s">
        <v>1350</v>
      </c>
      <c r="D387" s="2">
        <v>847</v>
      </c>
      <c r="E387" s="2">
        <v>8471240</v>
      </c>
      <c r="F387" s="2" t="s">
        <v>1364</v>
      </c>
      <c r="G387" s="2">
        <v>1</v>
      </c>
      <c r="H387" s="276">
        <v>436110</v>
      </c>
      <c r="I387" s="2" t="s">
        <v>190</v>
      </c>
      <c r="J387" s="2" t="s">
        <v>60</v>
      </c>
      <c r="K387" s="2" t="s">
        <v>50</v>
      </c>
      <c r="L387" s="7">
        <v>847001</v>
      </c>
      <c r="M387" s="2" t="s">
        <v>61</v>
      </c>
      <c r="N387" s="2">
        <v>200179</v>
      </c>
      <c r="O387" s="3" t="s">
        <v>1658</v>
      </c>
      <c r="P387" s="2"/>
      <c r="Q387" s="35"/>
      <c r="R387" s="2"/>
      <c r="S387" s="3" t="s">
        <v>829</v>
      </c>
      <c r="T387" s="2" t="s">
        <v>157</v>
      </c>
      <c r="U387" s="2">
        <v>10</v>
      </c>
      <c r="V387" s="2">
        <v>500</v>
      </c>
      <c r="W387" s="3" t="s">
        <v>1400</v>
      </c>
      <c r="X387" s="36">
        <v>5000</v>
      </c>
      <c r="Y387" s="2" t="s">
        <v>55</v>
      </c>
      <c r="Z387" s="2" t="s">
        <v>56</v>
      </c>
      <c r="AA387" s="14">
        <f t="shared" ref="AA387:AA449" si="20">X387*0.9</f>
        <v>4500</v>
      </c>
      <c r="AB387" s="14">
        <f t="shared" ref="AB387:AB449" si="21">X387*0.8</f>
        <v>4000</v>
      </c>
      <c r="AC387" s="14">
        <f t="shared" ref="AC387:AC449" si="22">X387*0.7</f>
        <v>3500</v>
      </c>
      <c r="AD387" s="3" t="s">
        <v>1394</v>
      </c>
      <c r="AE387" s="3" t="s">
        <v>1394</v>
      </c>
      <c r="AF387" s="3" t="s">
        <v>1394</v>
      </c>
      <c r="AG387" s="43"/>
      <c r="AH387" s="43"/>
      <c r="AI387" s="43"/>
      <c r="AJ387" s="43"/>
      <c r="AK387" s="43"/>
      <c r="AL387" s="43"/>
      <c r="AM387" s="43"/>
      <c r="AN387" s="43"/>
      <c r="AO387" s="43"/>
      <c r="AP387" s="43"/>
      <c r="AQ387" s="43">
        <v>5000</v>
      </c>
      <c r="AR387" s="43"/>
      <c r="AS387" s="43">
        <v>5000</v>
      </c>
      <c r="AT387" s="3"/>
      <c r="AU387" s="272" t="s">
        <v>1369</v>
      </c>
    </row>
    <row r="388" spans="1:47" ht="16.5" hidden="1" customHeight="1" x14ac:dyDescent="0.35">
      <c r="A388" s="2" t="s">
        <v>245</v>
      </c>
      <c r="B388" s="2" t="s">
        <v>246</v>
      </c>
      <c r="C388" s="2" t="s">
        <v>1350</v>
      </c>
      <c r="D388" s="2">
        <v>847</v>
      </c>
      <c r="E388" s="2">
        <v>8471240</v>
      </c>
      <c r="F388" s="2" t="s">
        <v>1364</v>
      </c>
      <c r="G388" s="2">
        <v>1</v>
      </c>
      <c r="H388" s="276">
        <v>436110</v>
      </c>
      <c r="I388" s="2" t="s">
        <v>190</v>
      </c>
      <c r="J388" s="2" t="s">
        <v>60</v>
      </c>
      <c r="K388" s="2" t="s">
        <v>50</v>
      </c>
      <c r="L388" s="7">
        <v>847001</v>
      </c>
      <c r="M388" s="2" t="s">
        <v>61</v>
      </c>
      <c r="N388" s="2">
        <v>200179</v>
      </c>
      <c r="O388" s="3" t="s">
        <v>1658</v>
      </c>
      <c r="P388" s="2"/>
      <c r="Q388" s="35"/>
      <c r="R388" s="2"/>
      <c r="S388" s="3" t="s">
        <v>829</v>
      </c>
      <c r="T388" s="2" t="s">
        <v>157</v>
      </c>
      <c r="U388" s="2">
        <v>80</v>
      </c>
      <c r="V388" s="2">
        <v>25</v>
      </c>
      <c r="W388" s="3" t="s">
        <v>1401</v>
      </c>
      <c r="X388" s="36">
        <v>2000</v>
      </c>
      <c r="Y388" s="2" t="s">
        <v>55</v>
      </c>
      <c r="Z388" s="2" t="s">
        <v>197</v>
      </c>
      <c r="AA388" s="14">
        <f t="shared" si="20"/>
        <v>1800</v>
      </c>
      <c r="AB388" s="14">
        <f t="shared" si="21"/>
        <v>1600</v>
      </c>
      <c r="AC388" s="14">
        <f t="shared" si="22"/>
        <v>1400</v>
      </c>
      <c r="AD388" s="3" t="s">
        <v>1394</v>
      </c>
      <c r="AE388" s="3" t="s">
        <v>1394</v>
      </c>
      <c r="AF388" s="3" t="s">
        <v>1394</v>
      </c>
      <c r="AG388" s="43"/>
      <c r="AH388" s="43"/>
      <c r="AI388" s="43"/>
      <c r="AJ388" s="43"/>
      <c r="AK388" s="43"/>
      <c r="AL388" s="43"/>
      <c r="AM388" s="43"/>
      <c r="AN388" s="43"/>
      <c r="AO388" s="43"/>
      <c r="AP388" s="43"/>
      <c r="AQ388" s="43"/>
      <c r="AR388" s="43">
        <v>2000</v>
      </c>
      <c r="AS388" s="43">
        <v>2000</v>
      </c>
      <c r="AT388" s="3"/>
      <c r="AU388" s="272" t="s">
        <v>1369</v>
      </c>
    </row>
    <row r="389" spans="1:47" ht="16.5" hidden="1" customHeight="1" x14ac:dyDescent="0.35">
      <c r="A389" s="2" t="s">
        <v>189</v>
      </c>
      <c r="B389" s="2" t="s">
        <v>58</v>
      </c>
      <c r="C389" s="2" t="s">
        <v>1350</v>
      </c>
      <c r="D389" s="2">
        <v>847</v>
      </c>
      <c r="E389" s="2">
        <v>8471240</v>
      </c>
      <c r="F389" s="2" t="s">
        <v>1364</v>
      </c>
      <c r="G389" s="2">
        <v>1</v>
      </c>
      <c r="H389" s="276">
        <v>436120</v>
      </c>
      <c r="I389" s="2" t="s">
        <v>291</v>
      </c>
      <c r="J389" s="2" t="s">
        <v>60</v>
      </c>
      <c r="K389" s="2" t="s">
        <v>50</v>
      </c>
      <c r="L389" s="7">
        <v>847001</v>
      </c>
      <c r="M389" s="2" t="s">
        <v>61</v>
      </c>
      <c r="N389" s="2">
        <v>200179</v>
      </c>
      <c r="O389" s="3" t="s">
        <v>1659</v>
      </c>
      <c r="P389" s="2" t="s">
        <v>46</v>
      </c>
      <c r="Q389" s="35">
        <v>35000</v>
      </c>
      <c r="R389" s="2"/>
      <c r="S389" s="3" t="s">
        <v>292</v>
      </c>
      <c r="T389" s="2" t="s">
        <v>157</v>
      </c>
      <c r="U389" s="2">
        <v>10</v>
      </c>
      <c r="V389" s="2">
        <v>3400</v>
      </c>
      <c r="W389" s="3" t="s">
        <v>1402</v>
      </c>
      <c r="X389" s="36">
        <v>34000</v>
      </c>
      <c r="Y389" s="2" t="s">
        <v>55</v>
      </c>
      <c r="Z389" s="2" t="s">
        <v>56</v>
      </c>
      <c r="AA389" s="14">
        <f t="shared" si="20"/>
        <v>30600</v>
      </c>
      <c r="AB389" s="14">
        <f t="shared" si="21"/>
        <v>27200</v>
      </c>
      <c r="AC389" s="14">
        <f t="shared" si="22"/>
        <v>23800</v>
      </c>
      <c r="AD389" s="3" t="s">
        <v>1394</v>
      </c>
      <c r="AE389" s="3" t="s">
        <v>1394</v>
      </c>
      <c r="AF389" s="3" t="s">
        <v>1394</v>
      </c>
      <c r="AG389" s="43"/>
      <c r="AH389" s="43"/>
      <c r="AI389" s="43"/>
      <c r="AJ389" s="43"/>
      <c r="AK389" s="43"/>
      <c r="AL389" s="43"/>
      <c r="AM389" s="43"/>
      <c r="AN389" s="43"/>
      <c r="AO389" s="43"/>
      <c r="AP389" s="43"/>
      <c r="AQ389" s="43">
        <v>34000</v>
      </c>
      <c r="AR389" s="43"/>
      <c r="AS389" s="43">
        <v>34000</v>
      </c>
      <c r="AT389" s="3"/>
      <c r="AU389" s="272"/>
    </row>
    <row r="390" spans="1:47" ht="16.5" hidden="1" customHeight="1" x14ac:dyDescent="0.35">
      <c r="A390" s="2" t="s">
        <v>189</v>
      </c>
      <c r="B390" s="2" t="s">
        <v>58</v>
      </c>
      <c r="C390" s="2" t="s">
        <v>1350</v>
      </c>
      <c r="D390" s="2">
        <v>847</v>
      </c>
      <c r="E390" s="2">
        <v>8471240</v>
      </c>
      <c r="F390" s="2" t="s">
        <v>1364</v>
      </c>
      <c r="G390" s="2">
        <v>1</v>
      </c>
      <c r="H390" s="276">
        <v>436120</v>
      </c>
      <c r="I390" s="2" t="s">
        <v>291</v>
      </c>
      <c r="J390" s="2" t="s">
        <v>60</v>
      </c>
      <c r="K390" s="2" t="s">
        <v>50</v>
      </c>
      <c r="L390" s="7">
        <v>847001</v>
      </c>
      <c r="M390" s="2" t="s">
        <v>61</v>
      </c>
      <c r="N390" s="2">
        <v>200179</v>
      </c>
      <c r="O390" s="3" t="s">
        <v>1659</v>
      </c>
      <c r="P390" s="2"/>
      <c r="Q390" s="35"/>
      <c r="R390" s="2"/>
      <c r="S390" s="3" t="s">
        <v>292</v>
      </c>
      <c r="T390" s="2" t="s">
        <v>157</v>
      </c>
      <c r="U390" s="2">
        <v>10</v>
      </c>
      <c r="V390" s="2">
        <v>100</v>
      </c>
      <c r="W390" s="3" t="s">
        <v>1403</v>
      </c>
      <c r="X390" s="36">
        <v>1000</v>
      </c>
      <c r="Y390" s="2" t="s">
        <v>55</v>
      </c>
      <c r="Z390" s="2" t="s">
        <v>197</v>
      </c>
      <c r="AA390" s="14">
        <f t="shared" si="20"/>
        <v>900</v>
      </c>
      <c r="AB390" s="14">
        <f t="shared" si="21"/>
        <v>800</v>
      </c>
      <c r="AC390" s="14">
        <f t="shared" si="22"/>
        <v>700</v>
      </c>
      <c r="AD390" s="3"/>
      <c r="AE390" s="3"/>
      <c r="AF390" s="3"/>
      <c r="AG390" s="43"/>
      <c r="AH390" s="43"/>
      <c r="AI390" s="43"/>
      <c r="AJ390" s="43"/>
      <c r="AK390" s="43"/>
      <c r="AL390" s="43"/>
      <c r="AM390" s="43"/>
      <c r="AN390" s="43"/>
      <c r="AO390" s="43"/>
      <c r="AP390" s="43"/>
      <c r="AQ390" s="43">
        <v>1000</v>
      </c>
      <c r="AR390" s="43"/>
      <c r="AS390" s="43">
        <v>1000</v>
      </c>
      <c r="AT390" s="3"/>
      <c r="AU390" s="272" t="s">
        <v>1369</v>
      </c>
    </row>
    <row r="391" spans="1:47" ht="16.5" hidden="1" customHeight="1" x14ac:dyDescent="0.35">
      <c r="A391" s="2" t="s">
        <v>46</v>
      </c>
      <c r="B391" s="2" t="s">
        <v>46</v>
      </c>
      <c r="C391" s="2" t="s">
        <v>1350</v>
      </c>
      <c r="D391" s="2">
        <v>847</v>
      </c>
      <c r="E391" s="2">
        <v>8471260</v>
      </c>
      <c r="F391" s="2" t="s">
        <v>1404</v>
      </c>
      <c r="G391" s="2">
        <v>1</v>
      </c>
      <c r="H391" s="276">
        <v>425510</v>
      </c>
      <c r="I391" s="2" t="s">
        <v>247</v>
      </c>
      <c r="J391" s="2" t="s">
        <v>60</v>
      </c>
      <c r="K391" s="2" t="s">
        <v>50</v>
      </c>
      <c r="L391" s="7">
        <v>847001</v>
      </c>
      <c r="M391" s="2" t="s">
        <v>61</v>
      </c>
      <c r="N391" s="2">
        <v>200179</v>
      </c>
      <c r="O391" s="3" t="s">
        <v>1660</v>
      </c>
      <c r="P391" s="2"/>
      <c r="Q391" s="35"/>
      <c r="R391" s="2"/>
      <c r="S391" s="3" t="s">
        <v>1405</v>
      </c>
      <c r="T391" s="2" t="s">
        <v>269</v>
      </c>
      <c r="U391" s="2">
        <v>1250</v>
      </c>
      <c r="V391" s="2">
        <v>100</v>
      </c>
      <c r="W391" s="3" t="s">
        <v>1406</v>
      </c>
      <c r="X391" s="36">
        <v>125000</v>
      </c>
      <c r="Y391" s="2" t="s">
        <v>55</v>
      </c>
      <c r="Z391" s="2" t="s">
        <v>56</v>
      </c>
      <c r="AA391" s="14">
        <f t="shared" si="20"/>
        <v>112500</v>
      </c>
      <c r="AB391" s="14">
        <f t="shared" si="21"/>
        <v>100000</v>
      </c>
      <c r="AC391" s="14">
        <f t="shared" si="22"/>
        <v>87500</v>
      </c>
      <c r="AD391" s="3" t="s">
        <v>1407</v>
      </c>
      <c r="AE391" s="3" t="s">
        <v>1407</v>
      </c>
      <c r="AF391" s="3" t="s">
        <v>1408</v>
      </c>
      <c r="AG391" s="43">
        <v>45000</v>
      </c>
      <c r="AH391" s="43"/>
      <c r="AI391" s="43"/>
      <c r="AJ391" s="43"/>
      <c r="AK391" s="43"/>
      <c r="AL391" s="43"/>
      <c r="AM391" s="43"/>
      <c r="AN391" s="43">
        <v>80000</v>
      </c>
      <c r="AO391" s="43"/>
      <c r="AP391" s="43"/>
      <c r="AQ391" s="43"/>
      <c r="AR391" s="43"/>
      <c r="AS391" s="43">
        <v>125000</v>
      </c>
      <c r="AT391" s="3" t="s">
        <v>244</v>
      </c>
      <c r="AU391" s="272" t="s">
        <v>1369</v>
      </c>
    </row>
    <row r="392" spans="1:47" ht="16.5" hidden="1" customHeight="1" x14ac:dyDescent="0.35">
      <c r="A392" s="2" t="s">
        <v>46</v>
      </c>
      <c r="B392" s="2" t="s">
        <v>46</v>
      </c>
      <c r="C392" s="2" t="s">
        <v>1350</v>
      </c>
      <c r="D392" s="2">
        <v>847</v>
      </c>
      <c r="E392" s="2">
        <v>8471260</v>
      </c>
      <c r="F392" s="2" t="s">
        <v>1404</v>
      </c>
      <c r="G392" s="2">
        <v>1</v>
      </c>
      <c r="H392" s="276">
        <v>425510</v>
      </c>
      <c r="I392" s="2" t="s">
        <v>247</v>
      </c>
      <c r="J392" s="2" t="s">
        <v>60</v>
      </c>
      <c r="K392" s="2" t="s">
        <v>50</v>
      </c>
      <c r="L392" s="7">
        <v>847001</v>
      </c>
      <c r="M392" s="2" t="s">
        <v>61</v>
      </c>
      <c r="N392" s="2">
        <v>200179</v>
      </c>
      <c r="O392" s="3" t="s">
        <v>1660</v>
      </c>
      <c r="P392" s="2"/>
      <c r="Q392" s="35"/>
      <c r="R392" s="2"/>
      <c r="S392" s="3" t="s">
        <v>1405</v>
      </c>
      <c r="T392" s="2" t="s">
        <v>269</v>
      </c>
      <c r="U392" s="2">
        <v>1500</v>
      </c>
      <c r="V392" s="2">
        <v>50</v>
      </c>
      <c r="W392" s="3" t="s">
        <v>1409</v>
      </c>
      <c r="X392" s="36">
        <v>75000</v>
      </c>
      <c r="Y392" s="2" t="s">
        <v>55</v>
      </c>
      <c r="Z392" s="2" t="s">
        <v>56</v>
      </c>
      <c r="AA392" s="14">
        <f t="shared" si="20"/>
        <v>67500</v>
      </c>
      <c r="AB392" s="14">
        <f t="shared" si="21"/>
        <v>60000</v>
      </c>
      <c r="AC392" s="14">
        <f t="shared" si="22"/>
        <v>52500</v>
      </c>
      <c r="AD392" s="3" t="s">
        <v>1407</v>
      </c>
      <c r="AE392" s="3" t="s">
        <v>1407</v>
      </c>
      <c r="AF392" s="3" t="s">
        <v>1410</v>
      </c>
      <c r="AG392" s="43"/>
      <c r="AH392" s="43"/>
      <c r="AI392" s="43"/>
      <c r="AJ392" s="43"/>
      <c r="AK392" s="43"/>
      <c r="AL392" s="43"/>
      <c r="AM392" s="43"/>
      <c r="AN392" s="43"/>
      <c r="AO392" s="43"/>
      <c r="AP392" s="43"/>
      <c r="AQ392" s="43">
        <v>75000</v>
      </c>
      <c r="AR392" s="43"/>
      <c r="AS392" s="43">
        <v>75000</v>
      </c>
      <c r="AT392" s="3" t="s">
        <v>244</v>
      </c>
      <c r="AU392" s="272" t="s">
        <v>1369</v>
      </c>
    </row>
    <row r="393" spans="1:47" ht="16.5" hidden="1" customHeight="1" x14ac:dyDescent="0.35">
      <c r="A393" s="2" t="s">
        <v>46</v>
      </c>
      <c r="B393" s="2" t="s">
        <v>46</v>
      </c>
      <c r="C393" s="2" t="s">
        <v>1350</v>
      </c>
      <c r="D393" s="2">
        <v>847</v>
      </c>
      <c r="E393" s="2">
        <v>8471260</v>
      </c>
      <c r="F393" s="2" t="s">
        <v>1404</v>
      </c>
      <c r="G393" s="2">
        <v>1</v>
      </c>
      <c r="H393" s="276">
        <v>425510</v>
      </c>
      <c r="I393" s="2" t="s">
        <v>247</v>
      </c>
      <c r="J393" s="2" t="s">
        <v>60</v>
      </c>
      <c r="K393" s="2" t="s">
        <v>50</v>
      </c>
      <c r="L393" s="7">
        <v>847001</v>
      </c>
      <c r="M393" s="2" t="s">
        <v>61</v>
      </c>
      <c r="N393" s="2">
        <v>200179</v>
      </c>
      <c r="O393" s="3" t="s">
        <v>1660</v>
      </c>
      <c r="P393" s="2"/>
      <c r="Q393" s="35"/>
      <c r="R393" s="2"/>
      <c r="S393" s="3" t="s">
        <v>1405</v>
      </c>
      <c r="T393" s="2" t="s">
        <v>269</v>
      </c>
      <c r="U393" s="2">
        <v>500</v>
      </c>
      <c r="V393" s="2">
        <v>20</v>
      </c>
      <c r="W393" s="3" t="s">
        <v>1411</v>
      </c>
      <c r="X393" s="36">
        <v>10000</v>
      </c>
      <c r="Y393" s="2" t="s">
        <v>55</v>
      </c>
      <c r="Z393" s="2" t="s">
        <v>56</v>
      </c>
      <c r="AA393" s="14">
        <f t="shared" si="20"/>
        <v>9000</v>
      </c>
      <c r="AB393" s="14">
        <f t="shared" si="21"/>
        <v>8000</v>
      </c>
      <c r="AC393" s="14">
        <f t="shared" si="22"/>
        <v>7000</v>
      </c>
      <c r="AD393" s="3" t="s">
        <v>1407</v>
      </c>
      <c r="AE393" s="3" t="s">
        <v>1407</v>
      </c>
      <c r="AF393" s="3" t="s">
        <v>1412</v>
      </c>
      <c r="AG393" s="43"/>
      <c r="AH393" s="43"/>
      <c r="AI393" s="43">
        <v>10000</v>
      </c>
      <c r="AJ393" s="43"/>
      <c r="AK393" s="43"/>
      <c r="AL393" s="43"/>
      <c r="AM393" s="43"/>
      <c r="AN393" s="43"/>
      <c r="AO393" s="43"/>
      <c r="AP393" s="43"/>
      <c r="AQ393" s="43"/>
      <c r="AR393" s="43"/>
      <c r="AS393" s="43">
        <v>10000</v>
      </c>
      <c r="AT393" s="3" t="s">
        <v>244</v>
      </c>
      <c r="AU393" s="272" t="s">
        <v>1369</v>
      </c>
    </row>
    <row r="394" spans="1:47" ht="16.5" hidden="1" customHeight="1" x14ac:dyDescent="0.35">
      <c r="A394" s="2" t="s">
        <v>46</v>
      </c>
      <c r="B394" s="2" t="s">
        <v>46</v>
      </c>
      <c r="C394" s="2" t="s">
        <v>1350</v>
      </c>
      <c r="D394" s="2">
        <v>847</v>
      </c>
      <c r="E394" s="2">
        <v>8471260</v>
      </c>
      <c r="F394" s="2" t="s">
        <v>1404</v>
      </c>
      <c r="G394" s="2">
        <v>1</v>
      </c>
      <c r="H394" s="276">
        <v>425510</v>
      </c>
      <c r="I394" s="2" t="s">
        <v>247</v>
      </c>
      <c r="J394" s="2" t="s">
        <v>60</v>
      </c>
      <c r="K394" s="2" t="s">
        <v>50</v>
      </c>
      <c r="L394" s="7">
        <v>847001</v>
      </c>
      <c r="M394" s="2" t="s">
        <v>61</v>
      </c>
      <c r="N394" s="2">
        <v>200179</v>
      </c>
      <c r="O394" s="3" t="s">
        <v>1660</v>
      </c>
      <c r="P394" s="2"/>
      <c r="Q394" s="35"/>
      <c r="R394" s="2"/>
      <c r="S394" s="3" t="s">
        <v>1405</v>
      </c>
      <c r="T394" s="2" t="s">
        <v>269</v>
      </c>
      <c r="U394" s="2">
        <v>1200</v>
      </c>
      <c r="V394" s="2">
        <v>20</v>
      </c>
      <c r="W394" s="3" t="s">
        <v>1413</v>
      </c>
      <c r="X394" s="36">
        <v>24000</v>
      </c>
      <c r="Y394" s="2" t="s">
        <v>55</v>
      </c>
      <c r="Z394" s="2" t="s">
        <v>56</v>
      </c>
      <c r="AA394" s="14">
        <f t="shared" si="20"/>
        <v>21600</v>
      </c>
      <c r="AB394" s="14">
        <f t="shared" si="21"/>
        <v>19200</v>
      </c>
      <c r="AC394" s="14">
        <f t="shared" si="22"/>
        <v>16800</v>
      </c>
      <c r="AD394" s="3" t="s">
        <v>1407</v>
      </c>
      <c r="AE394" s="3" t="s">
        <v>1407</v>
      </c>
      <c r="AF394" s="3" t="s">
        <v>1414</v>
      </c>
      <c r="AG394" s="43"/>
      <c r="AH394" s="43"/>
      <c r="AI394" s="43"/>
      <c r="AJ394" s="43">
        <v>24000</v>
      </c>
      <c r="AK394" s="43"/>
      <c r="AL394" s="43"/>
      <c r="AM394" s="43"/>
      <c r="AN394" s="43"/>
      <c r="AO394" s="43"/>
      <c r="AP394" s="43"/>
      <c r="AQ394" s="43"/>
      <c r="AR394" s="43"/>
      <c r="AS394" s="43">
        <v>24000</v>
      </c>
      <c r="AT394" s="3" t="s">
        <v>244</v>
      </c>
      <c r="AU394" s="272" t="s">
        <v>1369</v>
      </c>
    </row>
    <row r="395" spans="1:47" ht="16.5" hidden="1" customHeight="1" x14ac:dyDescent="0.35">
      <c r="A395" s="2" t="s">
        <v>245</v>
      </c>
      <c r="B395" s="2" t="s">
        <v>246</v>
      </c>
      <c r="C395" s="2" t="s">
        <v>1350</v>
      </c>
      <c r="D395" s="2">
        <v>847</v>
      </c>
      <c r="E395" s="2">
        <v>8471260</v>
      </c>
      <c r="F395" s="2" t="s">
        <v>1404</v>
      </c>
      <c r="G395" s="2">
        <v>1</v>
      </c>
      <c r="H395" s="276">
        <v>425510</v>
      </c>
      <c r="I395" s="2" t="s">
        <v>247</v>
      </c>
      <c r="J395" s="2" t="s">
        <v>60</v>
      </c>
      <c r="K395" s="2" t="s">
        <v>50</v>
      </c>
      <c r="L395" s="7">
        <v>847001</v>
      </c>
      <c r="M395" s="2" t="s">
        <v>61</v>
      </c>
      <c r="N395" s="2">
        <v>200179</v>
      </c>
      <c r="O395" s="3" t="s">
        <v>1660</v>
      </c>
      <c r="P395" s="2" t="s">
        <v>46</v>
      </c>
      <c r="Q395" s="35">
        <v>205000</v>
      </c>
      <c r="R395" s="2">
        <v>205000</v>
      </c>
      <c r="S395" s="3" t="s">
        <v>1405</v>
      </c>
      <c r="T395" s="2" t="s">
        <v>269</v>
      </c>
      <c r="U395" s="2">
        <v>1000</v>
      </c>
      <c r="V395" s="2">
        <v>40</v>
      </c>
      <c r="W395" s="3" t="s">
        <v>1415</v>
      </c>
      <c r="X395" s="36">
        <v>40000</v>
      </c>
      <c r="Y395" s="2" t="s">
        <v>55</v>
      </c>
      <c r="Z395" s="2" t="s">
        <v>56</v>
      </c>
      <c r="AA395" s="14">
        <f t="shared" si="20"/>
        <v>36000</v>
      </c>
      <c r="AB395" s="14">
        <f t="shared" si="21"/>
        <v>32000</v>
      </c>
      <c r="AC395" s="14">
        <f t="shared" si="22"/>
        <v>28000</v>
      </c>
      <c r="AD395" s="3" t="s">
        <v>1416</v>
      </c>
      <c r="AE395" s="3" t="s">
        <v>1407</v>
      </c>
      <c r="AF395" s="3" t="s">
        <v>1417</v>
      </c>
      <c r="AG395" s="43"/>
      <c r="AH395" s="43"/>
      <c r="AI395" s="43"/>
      <c r="AJ395" s="43"/>
      <c r="AK395" s="43"/>
      <c r="AL395" s="43"/>
      <c r="AM395" s="43"/>
      <c r="AN395" s="43"/>
      <c r="AO395" s="43"/>
      <c r="AP395" s="43"/>
      <c r="AQ395" s="43">
        <v>40000</v>
      </c>
      <c r="AR395" s="43"/>
      <c r="AS395" s="43">
        <v>40000</v>
      </c>
      <c r="AT395" s="3" t="s">
        <v>244</v>
      </c>
      <c r="AU395" s="272"/>
    </row>
    <row r="396" spans="1:47" ht="16.5" hidden="1" customHeight="1" x14ac:dyDescent="0.35">
      <c r="A396" s="2" t="s">
        <v>46</v>
      </c>
      <c r="B396" s="2" t="s">
        <v>46</v>
      </c>
      <c r="C396" s="2" t="s">
        <v>1350</v>
      </c>
      <c r="D396" s="2">
        <v>847</v>
      </c>
      <c r="E396" s="2">
        <v>8471260</v>
      </c>
      <c r="F396" s="2" t="s">
        <v>1404</v>
      </c>
      <c r="G396" s="2">
        <v>1</v>
      </c>
      <c r="H396" s="276">
        <v>425746</v>
      </c>
      <c r="I396" s="2" t="s">
        <v>1047</v>
      </c>
      <c r="J396" s="2" t="s">
        <v>60</v>
      </c>
      <c r="K396" s="2" t="s">
        <v>50</v>
      </c>
      <c r="L396" s="7">
        <v>847001</v>
      </c>
      <c r="M396" s="2" t="s">
        <v>61</v>
      </c>
      <c r="N396" s="2">
        <v>200179</v>
      </c>
      <c r="O396" s="3" t="s">
        <v>1661</v>
      </c>
      <c r="P396" s="2"/>
      <c r="Q396" s="35"/>
      <c r="R396" s="2"/>
      <c r="S396" s="3" t="s">
        <v>1049</v>
      </c>
      <c r="T396" s="2" t="s">
        <v>1418</v>
      </c>
      <c r="U396" s="2">
        <v>390</v>
      </c>
      <c r="V396" s="2">
        <v>8195</v>
      </c>
      <c r="W396" s="3" t="s">
        <v>1419</v>
      </c>
      <c r="X396" s="36">
        <v>3196050</v>
      </c>
      <c r="Y396" s="2" t="s">
        <v>55</v>
      </c>
      <c r="Z396" s="2"/>
      <c r="AA396" s="14">
        <f t="shared" si="20"/>
        <v>2876445</v>
      </c>
      <c r="AB396" s="14">
        <f t="shared" si="21"/>
        <v>2556840</v>
      </c>
      <c r="AC396" s="14">
        <f t="shared" si="22"/>
        <v>2237235</v>
      </c>
      <c r="AD396" s="3" t="s">
        <v>1420</v>
      </c>
      <c r="AE396" s="3" t="s">
        <v>1420</v>
      </c>
      <c r="AF396" s="3" t="s">
        <v>1420</v>
      </c>
      <c r="AG396" s="43">
        <v>319605</v>
      </c>
      <c r="AH396" s="43">
        <v>319605</v>
      </c>
      <c r="AI396" s="43">
        <v>319605</v>
      </c>
      <c r="AJ396" s="43">
        <v>319605</v>
      </c>
      <c r="AK396" s="43">
        <v>319605</v>
      </c>
      <c r="AL396" s="43">
        <v>319605</v>
      </c>
      <c r="AM396" s="43"/>
      <c r="AN396" s="43"/>
      <c r="AO396" s="43">
        <v>319605</v>
      </c>
      <c r="AP396" s="43">
        <v>319605</v>
      </c>
      <c r="AQ396" s="43">
        <v>319605</v>
      </c>
      <c r="AR396" s="43">
        <v>319605</v>
      </c>
      <c r="AS396" s="43">
        <v>3196050</v>
      </c>
      <c r="AT396" s="3" t="s">
        <v>70</v>
      </c>
      <c r="AU396" s="272" t="s">
        <v>1369</v>
      </c>
    </row>
    <row r="397" spans="1:47" ht="16.5" hidden="1" customHeight="1" x14ac:dyDescent="0.35">
      <c r="A397" s="2" t="s">
        <v>46</v>
      </c>
      <c r="B397" s="2" t="s">
        <v>46</v>
      </c>
      <c r="C397" s="2" t="s">
        <v>1350</v>
      </c>
      <c r="D397" s="2">
        <v>847</v>
      </c>
      <c r="E397" s="2">
        <v>8471260</v>
      </c>
      <c r="F397" s="2" t="s">
        <v>1404</v>
      </c>
      <c r="G397" s="2">
        <v>1</v>
      </c>
      <c r="H397" s="276">
        <v>425746</v>
      </c>
      <c r="I397" s="2" t="s">
        <v>1047</v>
      </c>
      <c r="J397" s="2" t="s">
        <v>60</v>
      </c>
      <c r="K397" s="2" t="s">
        <v>50</v>
      </c>
      <c r="L397" s="7">
        <v>847001</v>
      </c>
      <c r="M397" s="2" t="s">
        <v>61</v>
      </c>
      <c r="N397" s="2">
        <v>200179</v>
      </c>
      <c r="O397" s="3" t="s">
        <v>1661</v>
      </c>
      <c r="P397" s="2"/>
      <c r="Q397" s="35"/>
      <c r="R397" s="2"/>
      <c r="S397" s="3" t="s">
        <v>1049</v>
      </c>
      <c r="T397" s="2" t="s">
        <v>1418</v>
      </c>
      <c r="U397" s="2">
        <v>50</v>
      </c>
      <c r="V397" s="2">
        <v>11435</v>
      </c>
      <c r="W397" s="3" t="s">
        <v>1421</v>
      </c>
      <c r="X397" s="36">
        <v>571750</v>
      </c>
      <c r="Y397" s="2" t="s">
        <v>55</v>
      </c>
      <c r="Z397" s="2"/>
      <c r="AA397" s="14">
        <f t="shared" si="20"/>
        <v>514575</v>
      </c>
      <c r="AB397" s="14">
        <f t="shared" si="21"/>
        <v>457400</v>
      </c>
      <c r="AC397" s="14">
        <f t="shared" si="22"/>
        <v>400225</v>
      </c>
      <c r="AD397" s="3" t="s">
        <v>1420</v>
      </c>
      <c r="AE397" s="3" t="s">
        <v>1420</v>
      </c>
      <c r="AF397" s="3" t="s">
        <v>1420</v>
      </c>
      <c r="AG397" s="43">
        <v>57175</v>
      </c>
      <c r="AH397" s="43">
        <v>57175</v>
      </c>
      <c r="AI397" s="43">
        <v>57175</v>
      </c>
      <c r="AJ397" s="43">
        <v>57175</v>
      </c>
      <c r="AK397" s="43">
        <v>57175</v>
      </c>
      <c r="AL397" s="43">
        <v>57175</v>
      </c>
      <c r="AM397" s="43"/>
      <c r="AN397" s="43"/>
      <c r="AO397" s="43">
        <v>57175</v>
      </c>
      <c r="AP397" s="43">
        <v>57175</v>
      </c>
      <c r="AQ397" s="43">
        <v>57175</v>
      </c>
      <c r="AR397" s="43">
        <v>57175</v>
      </c>
      <c r="AS397" s="43">
        <v>571750</v>
      </c>
      <c r="AT397" s="3" t="s">
        <v>70</v>
      </c>
      <c r="AU397" s="272" t="s">
        <v>1369</v>
      </c>
    </row>
    <row r="398" spans="1:47" ht="16.5" hidden="1" customHeight="1" x14ac:dyDescent="0.35">
      <c r="A398" s="2" t="s">
        <v>46</v>
      </c>
      <c r="B398" s="2" t="s">
        <v>46</v>
      </c>
      <c r="C398" s="2" t="s">
        <v>1350</v>
      </c>
      <c r="D398" s="2">
        <v>847</v>
      </c>
      <c r="E398" s="2">
        <v>8471260</v>
      </c>
      <c r="F398" s="2" t="s">
        <v>1404</v>
      </c>
      <c r="G398" s="2">
        <v>1</v>
      </c>
      <c r="H398" s="276">
        <v>425746</v>
      </c>
      <c r="I398" s="2" t="s">
        <v>1047</v>
      </c>
      <c r="J398" s="2" t="s">
        <v>60</v>
      </c>
      <c r="K398" s="2" t="s">
        <v>50</v>
      </c>
      <c r="L398" s="7">
        <v>847001</v>
      </c>
      <c r="M398" s="2" t="s">
        <v>61</v>
      </c>
      <c r="N398" s="2">
        <v>200179</v>
      </c>
      <c r="O398" s="3" t="s">
        <v>1661</v>
      </c>
      <c r="P398" s="2"/>
      <c r="Q398" s="35"/>
      <c r="R398" s="2"/>
      <c r="S398" s="3" t="s">
        <v>1049</v>
      </c>
      <c r="T398" s="2" t="s">
        <v>1418</v>
      </c>
      <c r="U398" s="2">
        <v>130</v>
      </c>
      <c r="V398" s="2">
        <v>15455</v>
      </c>
      <c r="W398" s="3" t="s">
        <v>1422</v>
      </c>
      <c r="X398" s="36">
        <v>2009150</v>
      </c>
      <c r="Y398" s="2" t="s">
        <v>55</v>
      </c>
      <c r="Z398" s="2"/>
      <c r="AA398" s="14">
        <f t="shared" si="20"/>
        <v>1808235</v>
      </c>
      <c r="AB398" s="14">
        <f t="shared" si="21"/>
        <v>1607320</v>
      </c>
      <c r="AC398" s="14">
        <f t="shared" si="22"/>
        <v>1406405</v>
      </c>
      <c r="AD398" s="3" t="s">
        <v>1420</v>
      </c>
      <c r="AE398" s="3" t="s">
        <v>1420</v>
      </c>
      <c r="AF398" s="3" t="s">
        <v>1420</v>
      </c>
      <c r="AG398" s="43">
        <v>200915</v>
      </c>
      <c r="AH398" s="43">
        <v>200915</v>
      </c>
      <c r="AI398" s="43">
        <v>200915</v>
      </c>
      <c r="AJ398" s="43">
        <v>200915</v>
      </c>
      <c r="AK398" s="43">
        <v>200915</v>
      </c>
      <c r="AL398" s="43">
        <v>200915</v>
      </c>
      <c r="AM398" s="43"/>
      <c r="AN398" s="43"/>
      <c r="AO398" s="43">
        <v>200915</v>
      </c>
      <c r="AP398" s="43">
        <v>200915</v>
      </c>
      <c r="AQ398" s="43">
        <v>200915</v>
      </c>
      <c r="AR398" s="43">
        <v>200915</v>
      </c>
      <c r="AS398" s="43">
        <v>2009150</v>
      </c>
      <c r="AT398" s="3" t="s">
        <v>70</v>
      </c>
      <c r="AU398" s="272" t="s">
        <v>1369</v>
      </c>
    </row>
    <row r="399" spans="1:47" ht="16.5" hidden="1" customHeight="1" x14ac:dyDescent="0.35">
      <c r="A399" s="2" t="s">
        <v>46</v>
      </c>
      <c r="B399" s="2" t="s">
        <v>46</v>
      </c>
      <c r="C399" s="2" t="s">
        <v>1350</v>
      </c>
      <c r="D399" s="2">
        <v>847</v>
      </c>
      <c r="E399" s="2">
        <v>8471260</v>
      </c>
      <c r="F399" s="2" t="s">
        <v>1404</v>
      </c>
      <c r="G399" s="2">
        <v>1</v>
      </c>
      <c r="H399" s="276">
        <v>425746</v>
      </c>
      <c r="I399" s="2" t="s">
        <v>1047</v>
      </c>
      <c r="J399" s="2" t="s">
        <v>60</v>
      </c>
      <c r="K399" s="2" t="s">
        <v>50</v>
      </c>
      <c r="L399" s="7">
        <v>847001</v>
      </c>
      <c r="M399" s="2" t="s">
        <v>61</v>
      </c>
      <c r="N399" s="2">
        <v>200179</v>
      </c>
      <c r="O399" s="3" t="s">
        <v>1661</v>
      </c>
      <c r="P399" s="2"/>
      <c r="Q399" s="35"/>
      <c r="R399" s="2"/>
      <c r="S399" s="3" t="s">
        <v>1049</v>
      </c>
      <c r="T399" s="2" t="s">
        <v>1423</v>
      </c>
      <c r="U399" s="2">
        <v>73</v>
      </c>
      <c r="V399" s="2">
        <v>65716</v>
      </c>
      <c r="W399" s="3" t="s">
        <v>1424</v>
      </c>
      <c r="X399" s="36">
        <v>4797268</v>
      </c>
      <c r="Y399" s="2" t="s">
        <v>55</v>
      </c>
      <c r="Z399" s="2"/>
      <c r="AA399" s="14">
        <f t="shared" si="20"/>
        <v>4317541.2</v>
      </c>
      <c r="AB399" s="14">
        <f t="shared" si="21"/>
        <v>3837814.4000000004</v>
      </c>
      <c r="AC399" s="14">
        <f t="shared" si="22"/>
        <v>3358087.5999999996</v>
      </c>
      <c r="AD399" s="3" t="s">
        <v>1420</v>
      </c>
      <c r="AE399" s="3" t="s">
        <v>1420</v>
      </c>
      <c r="AF399" s="3" t="s">
        <v>1420</v>
      </c>
      <c r="AG399" s="43">
        <v>399772.33</v>
      </c>
      <c r="AH399" s="43">
        <v>399772.33</v>
      </c>
      <c r="AI399" s="43">
        <v>399772.33</v>
      </c>
      <c r="AJ399" s="43">
        <v>399772.33</v>
      </c>
      <c r="AK399" s="43">
        <v>399772.33</v>
      </c>
      <c r="AL399" s="43">
        <v>399772.33</v>
      </c>
      <c r="AM399" s="43">
        <v>399772.33</v>
      </c>
      <c r="AN399" s="43">
        <v>399772.33</v>
      </c>
      <c r="AO399" s="43">
        <v>399772.33</v>
      </c>
      <c r="AP399" s="43">
        <v>399772.33</v>
      </c>
      <c r="AQ399" s="43">
        <v>399772.33</v>
      </c>
      <c r="AR399" s="43">
        <v>399772.37</v>
      </c>
      <c r="AS399" s="43">
        <v>4797268</v>
      </c>
      <c r="AT399" s="3" t="s">
        <v>70</v>
      </c>
      <c r="AU399" s="272" t="s">
        <v>1369</v>
      </c>
    </row>
    <row r="400" spans="1:47" ht="16.5" hidden="1" customHeight="1" x14ac:dyDescent="0.35">
      <c r="A400" s="2" t="s">
        <v>46</v>
      </c>
      <c r="B400" s="2" t="s">
        <v>46</v>
      </c>
      <c r="C400" s="2" t="s">
        <v>1350</v>
      </c>
      <c r="D400" s="2">
        <v>847</v>
      </c>
      <c r="E400" s="2">
        <v>8471260</v>
      </c>
      <c r="F400" s="2" t="s">
        <v>1404</v>
      </c>
      <c r="G400" s="2">
        <v>1</v>
      </c>
      <c r="H400" s="276">
        <v>425746</v>
      </c>
      <c r="I400" s="2" t="s">
        <v>1047</v>
      </c>
      <c r="J400" s="2" t="s">
        <v>60</v>
      </c>
      <c r="K400" s="2" t="s">
        <v>50</v>
      </c>
      <c r="L400" s="7">
        <v>847001</v>
      </c>
      <c r="M400" s="2" t="s">
        <v>61</v>
      </c>
      <c r="N400" s="2">
        <v>200179</v>
      </c>
      <c r="O400" s="3" t="s">
        <v>1661</v>
      </c>
      <c r="P400" s="2"/>
      <c r="Q400" s="35"/>
      <c r="R400" s="2"/>
      <c r="S400" s="3" t="s">
        <v>1049</v>
      </c>
      <c r="T400" s="2" t="s">
        <v>1418</v>
      </c>
      <c r="U400" s="2">
        <v>1</v>
      </c>
      <c r="V400" s="2">
        <v>142085</v>
      </c>
      <c r="W400" s="3" t="s">
        <v>1425</v>
      </c>
      <c r="X400" s="36">
        <v>142085</v>
      </c>
      <c r="Y400" s="2" t="s">
        <v>55</v>
      </c>
      <c r="Z400" s="2"/>
      <c r="AA400" s="14">
        <f t="shared" si="20"/>
        <v>127876.5</v>
      </c>
      <c r="AB400" s="14">
        <f t="shared" si="21"/>
        <v>113668</v>
      </c>
      <c r="AC400" s="14">
        <f t="shared" si="22"/>
        <v>99459.5</v>
      </c>
      <c r="AD400" s="3" t="s">
        <v>1420</v>
      </c>
      <c r="AE400" s="3" t="s">
        <v>1420</v>
      </c>
      <c r="AF400" s="3" t="s">
        <v>1420</v>
      </c>
      <c r="AG400" s="43">
        <v>14208.5</v>
      </c>
      <c r="AH400" s="43">
        <v>14208.5</v>
      </c>
      <c r="AI400" s="43">
        <v>14208.5</v>
      </c>
      <c r="AJ400" s="43">
        <v>14208.5</v>
      </c>
      <c r="AK400" s="43">
        <v>14208.5</v>
      </c>
      <c r="AL400" s="43">
        <v>14208.5</v>
      </c>
      <c r="AM400" s="43"/>
      <c r="AN400" s="43"/>
      <c r="AO400" s="43">
        <v>14208.5</v>
      </c>
      <c r="AP400" s="43">
        <v>14208.5</v>
      </c>
      <c r="AQ400" s="43">
        <v>14208.5</v>
      </c>
      <c r="AR400" s="43">
        <v>14208.5</v>
      </c>
      <c r="AS400" s="43">
        <v>142085</v>
      </c>
      <c r="AT400" s="3" t="s">
        <v>70</v>
      </c>
      <c r="AU400" s="272" t="s">
        <v>1369</v>
      </c>
    </row>
    <row r="401" spans="1:47" ht="16.5" hidden="1" customHeight="1" x14ac:dyDescent="0.35">
      <c r="A401" s="2" t="s">
        <v>46</v>
      </c>
      <c r="B401" s="2" t="s">
        <v>46</v>
      </c>
      <c r="C401" s="2" t="s">
        <v>1350</v>
      </c>
      <c r="D401" s="2">
        <v>847</v>
      </c>
      <c r="E401" s="2">
        <v>8471260</v>
      </c>
      <c r="F401" s="2" t="s">
        <v>1404</v>
      </c>
      <c r="G401" s="2">
        <v>1</v>
      </c>
      <c r="H401" s="276">
        <v>425746</v>
      </c>
      <c r="I401" s="2" t="s">
        <v>1047</v>
      </c>
      <c r="J401" s="2" t="s">
        <v>60</v>
      </c>
      <c r="K401" s="2" t="s">
        <v>50</v>
      </c>
      <c r="L401" s="7">
        <v>847001</v>
      </c>
      <c r="M401" s="2" t="s">
        <v>61</v>
      </c>
      <c r="N401" s="2">
        <v>200179</v>
      </c>
      <c r="O401" s="3" t="s">
        <v>1661</v>
      </c>
      <c r="P401" s="2"/>
      <c r="Q401" s="35"/>
      <c r="R401" s="2"/>
      <c r="S401" s="3" t="s">
        <v>1049</v>
      </c>
      <c r="T401" s="2" t="s">
        <v>1418</v>
      </c>
      <c r="U401" s="2">
        <v>1</v>
      </c>
      <c r="V401" s="2">
        <v>525</v>
      </c>
      <c r="W401" s="3" t="s">
        <v>1426</v>
      </c>
      <c r="X401" s="36">
        <v>525</v>
      </c>
      <c r="Y401" s="2" t="s">
        <v>55</v>
      </c>
      <c r="Z401" s="2"/>
      <c r="AA401" s="14">
        <f t="shared" si="20"/>
        <v>472.5</v>
      </c>
      <c r="AB401" s="14">
        <f t="shared" si="21"/>
        <v>420</v>
      </c>
      <c r="AC401" s="14">
        <f t="shared" si="22"/>
        <v>367.5</v>
      </c>
      <c r="AD401" s="3" t="s">
        <v>1420</v>
      </c>
      <c r="AE401" s="3" t="s">
        <v>1420</v>
      </c>
      <c r="AF401" s="3" t="s">
        <v>1420</v>
      </c>
      <c r="AG401" s="43">
        <v>525</v>
      </c>
      <c r="AH401" s="43"/>
      <c r="AI401" s="43"/>
      <c r="AJ401" s="43"/>
      <c r="AK401" s="43"/>
      <c r="AL401" s="43"/>
      <c r="AM401" s="43"/>
      <c r="AN401" s="43"/>
      <c r="AO401" s="43"/>
      <c r="AP401" s="43"/>
      <c r="AQ401" s="43"/>
      <c r="AR401" s="43"/>
      <c r="AS401" s="43">
        <v>525</v>
      </c>
      <c r="AT401" s="3" t="s">
        <v>70</v>
      </c>
      <c r="AU401" s="272" t="s">
        <v>1369</v>
      </c>
    </row>
    <row r="402" spans="1:47" ht="16.5" hidden="1" customHeight="1" x14ac:dyDescent="0.35">
      <c r="A402" s="2" t="s">
        <v>46</v>
      </c>
      <c r="B402" s="2" t="s">
        <v>46</v>
      </c>
      <c r="C402" s="2" t="s">
        <v>1350</v>
      </c>
      <c r="D402" s="2">
        <v>847</v>
      </c>
      <c r="E402" s="2">
        <v>8471260</v>
      </c>
      <c r="F402" s="2" t="s">
        <v>1404</v>
      </c>
      <c r="G402" s="2">
        <v>1</v>
      </c>
      <c r="H402" s="276">
        <v>425746</v>
      </c>
      <c r="I402" s="2" t="s">
        <v>1047</v>
      </c>
      <c r="J402" s="2" t="s">
        <v>60</v>
      </c>
      <c r="K402" s="2" t="s">
        <v>50</v>
      </c>
      <c r="L402" s="7">
        <v>847001</v>
      </c>
      <c r="M402" s="2" t="s">
        <v>61</v>
      </c>
      <c r="N402" s="2">
        <v>200179</v>
      </c>
      <c r="O402" s="3" t="s">
        <v>1661</v>
      </c>
      <c r="P402" s="2"/>
      <c r="Q402" s="35"/>
      <c r="R402" s="2"/>
      <c r="S402" s="3" t="s">
        <v>1049</v>
      </c>
      <c r="T402" s="2" t="s">
        <v>1418</v>
      </c>
      <c r="U402" s="2">
        <v>10</v>
      </c>
      <c r="V402" s="2">
        <v>60000</v>
      </c>
      <c r="W402" s="3" t="s">
        <v>1427</v>
      </c>
      <c r="X402" s="36">
        <v>600000</v>
      </c>
      <c r="Y402" s="2" t="s">
        <v>55</v>
      </c>
      <c r="Z402" s="2"/>
      <c r="AA402" s="14">
        <f t="shared" si="20"/>
        <v>540000</v>
      </c>
      <c r="AB402" s="14">
        <f t="shared" si="21"/>
        <v>480000</v>
      </c>
      <c r="AC402" s="14">
        <f t="shared" si="22"/>
        <v>420000</v>
      </c>
      <c r="AD402" s="3" t="s">
        <v>1420</v>
      </c>
      <c r="AE402" s="3" t="s">
        <v>1420</v>
      </c>
      <c r="AF402" s="3" t="s">
        <v>1420</v>
      </c>
      <c r="AG402" s="43">
        <v>60000</v>
      </c>
      <c r="AH402" s="43">
        <v>60000</v>
      </c>
      <c r="AI402" s="43">
        <v>60000</v>
      </c>
      <c r="AJ402" s="43">
        <v>60000</v>
      </c>
      <c r="AK402" s="43">
        <v>60000</v>
      </c>
      <c r="AL402" s="43">
        <v>60000</v>
      </c>
      <c r="AM402" s="43"/>
      <c r="AN402" s="43"/>
      <c r="AO402" s="43">
        <v>60000</v>
      </c>
      <c r="AP402" s="43">
        <v>60000</v>
      </c>
      <c r="AQ402" s="43">
        <v>60000</v>
      </c>
      <c r="AR402" s="43">
        <v>60000</v>
      </c>
      <c r="AS402" s="43">
        <v>600000</v>
      </c>
      <c r="AT402" s="3" t="s">
        <v>70</v>
      </c>
      <c r="AU402" s="272" t="s">
        <v>1369</v>
      </c>
    </row>
    <row r="403" spans="1:47" ht="16.5" hidden="1" customHeight="1" x14ac:dyDescent="0.35">
      <c r="A403" s="2" t="s">
        <v>258</v>
      </c>
      <c r="B403" s="2" t="s">
        <v>58</v>
      </c>
      <c r="C403" s="2" t="s">
        <v>1350</v>
      </c>
      <c r="D403" s="2">
        <v>847</v>
      </c>
      <c r="E403" s="2">
        <v>8471260</v>
      </c>
      <c r="F403" s="2" t="s">
        <v>1404</v>
      </c>
      <c r="G403" s="2">
        <v>1</v>
      </c>
      <c r="H403" s="276">
        <v>425746</v>
      </c>
      <c r="I403" s="2" t="s">
        <v>1047</v>
      </c>
      <c r="J403" s="2" t="s">
        <v>60</v>
      </c>
      <c r="K403" s="2" t="s">
        <v>50</v>
      </c>
      <c r="L403" s="7">
        <v>847001</v>
      </c>
      <c r="M403" s="2" t="s">
        <v>61</v>
      </c>
      <c r="N403" s="2">
        <v>200179</v>
      </c>
      <c r="O403" s="3" t="s">
        <v>1661</v>
      </c>
      <c r="P403" s="2">
        <v>8221710.8799999999</v>
      </c>
      <c r="Q403" s="35">
        <v>9349361</v>
      </c>
      <c r="R403" s="2">
        <v>12000000</v>
      </c>
      <c r="S403" s="3" t="s">
        <v>1049</v>
      </c>
      <c r="T403" s="2" t="s">
        <v>1418</v>
      </c>
      <c r="U403" s="2">
        <v>10</v>
      </c>
      <c r="V403" s="2">
        <v>30000</v>
      </c>
      <c r="W403" s="3" t="s">
        <v>1428</v>
      </c>
      <c r="X403" s="36">
        <v>300000</v>
      </c>
      <c r="Y403" s="2" t="s">
        <v>55</v>
      </c>
      <c r="Z403" s="2"/>
      <c r="AA403" s="14">
        <f t="shared" si="20"/>
        <v>270000</v>
      </c>
      <c r="AB403" s="14">
        <f t="shared" si="21"/>
        <v>240000</v>
      </c>
      <c r="AC403" s="14">
        <f t="shared" si="22"/>
        <v>210000</v>
      </c>
      <c r="AD403" s="3" t="s">
        <v>1420</v>
      </c>
      <c r="AE403" s="3" t="s">
        <v>1420</v>
      </c>
      <c r="AF403" s="3" t="s">
        <v>1420</v>
      </c>
      <c r="AG403" s="43">
        <v>30000</v>
      </c>
      <c r="AH403" s="43">
        <v>30000</v>
      </c>
      <c r="AI403" s="43">
        <v>30000</v>
      </c>
      <c r="AJ403" s="43">
        <v>30000</v>
      </c>
      <c r="AK403" s="43">
        <v>30000</v>
      </c>
      <c r="AL403" s="43">
        <v>30000</v>
      </c>
      <c r="AM403" s="43"/>
      <c r="AN403" s="43"/>
      <c r="AO403" s="43">
        <v>30000</v>
      </c>
      <c r="AP403" s="43">
        <v>30000</v>
      </c>
      <c r="AQ403" s="43">
        <v>30000</v>
      </c>
      <c r="AR403" s="43">
        <v>30000</v>
      </c>
      <c r="AS403" s="43">
        <v>300000</v>
      </c>
      <c r="AT403" s="3" t="s">
        <v>70</v>
      </c>
      <c r="AU403" s="272"/>
    </row>
    <row r="404" spans="1:47" ht="16.5" hidden="1" customHeight="1" x14ac:dyDescent="0.35">
      <c r="A404" s="2" t="s">
        <v>46</v>
      </c>
      <c r="B404" s="2" t="s">
        <v>46</v>
      </c>
      <c r="C404" s="2" t="s">
        <v>1350</v>
      </c>
      <c r="D404" s="2">
        <v>847</v>
      </c>
      <c r="E404" s="2">
        <v>8471260</v>
      </c>
      <c r="F404" s="2" t="s">
        <v>1404</v>
      </c>
      <c r="G404" s="2">
        <v>1</v>
      </c>
      <c r="H404" s="276">
        <v>425760</v>
      </c>
      <c r="I404" s="2" t="s">
        <v>352</v>
      </c>
      <c r="J404" s="2" t="s">
        <v>60</v>
      </c>
      <c r="K404" s="2" t="s">
        <v>50</v>
      </c>
      <c r="L404" s="7">
        <v>847001</v>
      </c>
      <c r="M404" s="2" t="s">
        <v>61</v>
      </c>
      <c r="N404" s="2">
        <v>200179</v>
      </c>
      <c r="O404" s="3" t="s">
        <v>1662</v>
      </c>
      <c r="P404" s="2"/>
      <c r="Q404" s="35"/>
      <c r="R404" s="2"/>
      <c r="S404" s="3" t="s">
        <v>354</v>
      </c>
      <c r="T404" s="2" t="s">
        <v>262</v>
      </c>
      <c r="U404" s="2">
        <v>25</v>
      </c>
      <c r="V404" s="2">
        <v>1600</v>
      </c>
      <c r="W404" s="3" t="s">
        <v>1429</v>
      </c>
      <c r="X404" s="36">
        <v>40000</v>
      </c>
      <c r="Y404" s="2" t="s">
        <v>55</v>
      </c>
      <c r="Z404" s="2" t="s">
        <v>56</v>
      </c>
      <c r="AA404" s="14">
        <f t="shared" si="20"/>
        <v>36000</v>
      </c>
      <c r="AB404" s="14">
        <f t="shared" si="21"/>
        <v>32000</v>
      </c>
      <c r="AC404" s="14">
        <f t="shared" si="22"/>
        <v>28000</v>
      </c>
      <c r="AD404" s="3" t="s">
        <v>1430</v>
      </c>
      <c r="AE404" s="3" t="s">
        <v>1431</v>
      </c>
      <c r="AF404" s="3" t="s">
        <v>1432</v>
      </c>
      <c r="AG404" s="43"/>
      <c r="AH404" s="43"/>
      <c r="AI404" s="43"/>
      <c r="AJ404" s="43"/>
      <c r="AK404" s="43"/>
      <c r="AL404" s="43"/>
      <c r="AM404" s="43"/>
      <c r="AN404" s="43"/>
      <c r="AO404" s="43">
        <v>40000</v>
      </c>
      <c r="AP404" s="43"/>
      <c r="AQ404" s="43"/>
      <c r="AR404" s="43"/>
      <c r="AS404" s="43">
        <v>40000</v>
      </c>
      <c r="AT404" s="3" t="s">
        <v>244</v>
      </c>
      <c r="AU404" s="272" t="s">
        <v>1369</v>
      </c>
    </row>
    <row r="405" spans="1:47" ht="16.5" hidden="1" customHeight="1" x14ac:dyDescent="0.35">
      <c r="A405" s="2" t="s">
        <v>46</v>
      </c>
      <c r="B405" s="2" t="s">
        <v>46</v>
      </c>
      <c r="C405" s="2" t="s">
        <v>1350</v>
      </c>
      <c r="D405" s="2">
        <v>847</v>
      </c>
      <c r="E405" s="2">
        <v>8471260</v>
      </c>
      <c r="F405" s="2" t="s">
        <v>1404</v>
      </c>
      <c r="G405" s="2">
        <v>1</v>
      </c>
      <c r="H405" s="276">
        <v>425760</v>
      </c>
      <c r="I405" s="2" t="s">
        <v>352</v>
      </c>
      <c r="J405" s="2" t="s">
        <v>60</v>
      </c>
      <c r="K405" s="2" t="s">
        <v>50</v>
      </c>
      <c r="L405" s="7">
        <v>847001</v>
      </c>
      <c r="M405" s="2" t="s">
        <v>61</v>
      </c>
      <c r="N405" s="3">
        <v>200179</v>
      </c>
      <c r="O405" s="3" t="s">
        <v>1662</v>
      </c>
      <c r="P405" s="2"/>
      <c r="Q405" s="35"/>
      <c r="R405" s="2"/>
      <c r="S405" s="3" t="s">
        <v>354</v>
      </c>
      <c r="T405" s="2" t="s">
        <v>262</v>
      </c>
      <c r="U405" s="2">
        <v>30</v>
      </c>
      <c r="V405" s="2">
        <v>2334</v>
      </c>
      <c r="W405" s="3" t="s">
        <v>1433</v>
      </c>
      <c r="X405" s="36">
        <v>70020</v>
      </c>
      <c r="Y405" s="2" t="s">
        <v>55</v>
      </c>
      <c r="Z405" s="2" t="s">
        <v>56</v>
      </c>
      <c r="AA405" s="14">
        <f t="shared" si="20"/>
        <v>63018</v>
      </c>
      <c r="AB405" s="14">
        <f t="shared" si="21"/>
        <v>56016</v>
      </c>
      <c r="AC405" s="14">
        <f t="shared" si="22"/>
        <v>49014</v>
      </c>
      <c r="AD405" s="3" t="s">
        <v>1430</v>
      </c>
      <c r="AE405" s="3" t="s">
        <v>1431</v>
      </c>
      <c r="AF405" s="3" t="s">
        <v>1434</v>
      </c>
      <c r="AG405" s="43"/>
      <c r="AH405" s="43">
        <v>70020</v>
      </c>
      <c r="AI405" s="43"/>
      <c r="AJ405" s="43"/>
      <c r="AK405" s="43"/>
      <c r="AL405" s="43"/>
      <c r="AM405" s="43"/>
      <c r="AN405" s="43"/>
      <c r="AO405" s="43"/>
      <c r="AP405" s="43"/>
      <c r="AQ405" s="43"/>
      <c r="AR405" s="43"/>
      <c r="AS405" s="43">
        <v>70020</v>
      </c>
      <c r="AT405" s="3" t="s">
        <v>244</v>
      </c>
      <c r="AU405" s="272" t="s">
        <v>1369</v>
      </c>
    </row>
    <row r="406" spans="1:47" ht="16.5" hidden="1" customHeight="1" x14ac:dyDescent="0.35">
      <c r="A406" s="2" t="s">
        <v>46</v>
      </c>
      <c r="B406" s="2" t="s">
        <v>46</v>
      </c>
      <c r="C406" s="2" t="s">
        <v>1350</v>
      </c>
      <c r="D406" s="2">
        <v>847</v>
      </c>
      <c r="E406" s="2">
        <v>8471260</v>
      </c>
      <c r="F406" s="2" t="s">
        <v>1404</v>
      </c>
      <c r="G406" s="2">
        <v>1</v>
      </c>
      <c r="H406" s="276">
        <v>425760</v>
      </c>
      <c r="I406" s="2" t="s">
        <v>352</v>
      </c>
      <c r="J406" s="2" t="s">
        <v>60</v>
      </c>
      <c r="K406" s="2" t="s">
        <v>50</v>
      </c>
      <c r="L406" s="7">
        <v>847001</v>
      </c>
      <c r="M406" s="2" t="s">
        <v>61</v>
      </c>
      <c r="N406" s="3">
        <v>200179</v>
      </c>
      <c r="O406" s="3" t="s">
        <v>1662</v>
      </c>
      <c r="P406" s="2"/>
      <c r="Q406" s="35"/>
      <c r="R406" s="2"/>
      <c r="S406" s="3" t="s">
        <v>354</v>
      </c>
      <c r="T406" s="2" t="s">
        <v>262</v>
      </c>
      <c r="U406" s="2">
        <v>15</v>
      </c>
      <c r="V406" s="2">
        <v>4000</v>
      </c>
      <c r="W406" s="3" t="s">
        <v>1435</v>
      </c>
      <c r="X406" s="36">
        <v>60000</v>
      </c>
      <c r="Y406" s="2" t="s">
        <v>55</v>
      </c>
      <c r="Z406" s="2" t="s">
        <v>56</v>
      </c>
      <c r="AA406" s="14">
        <f t="shared" si="20"/>
        <v>54000</v>
      </c>
      <c r="AB406" s="14">
        <f t="shared" si="21"/>
        <v>48000</v>
      </c>
      <c r="AC406" s="14">
        <f t="shared" si="22"/>
        <v>42000</v>
      </c>
      <c r="AD406" s="3" t="s">
        <v>1430</v>
      </c>
      <c r="AE406" s="3" t="s">
        <v>1431</v>
      </c>
      <c r="AF406" s="3" t="s">
        <v>1434</v>
      </c>
      <c r="AG406" s="43"/>
      <c r="AH406" s="43"/>
      <c r="AI406" s="43"/>
      <c r="AJ406" s="43">
        <v>60000</v>
      </c>
      <c r="AK406" s="43"/>
      <c r="AL406" s="43"/>
      <c r="AM406" s="43"/>
      <c r="AN406" s="43"/>
      <c r="AO406" s="43"/>
      <c r="AP406" s="43"/>
      <c r="AQ406" s="43"/>
      <c r="AR406" s="43"/>
      <c r="AS406" s="43">
        <v>60000</v>
      </c>
      <c r="AT406" s="3" t="s">
        <v>244</v>
      </c>
      <c r="AU406" s="272" t="s">
        <v>1369</v>
      </c>
    </row>
    <row r="407" spans="1:47" ht="16.5" hidden="1" customHeight="1" x14ac:dyDescent="0.35">
      <c r="A407" s="2" t="s">
        <v>46</v>
      </c>
      <c r="B407" s="2" t="s">
        <v>46</v>
      </c>
      <c r="C407" s="2" t="s">
        <v>1350</v>
      </c>
      <c r="D407" s="2">
        <v>847</v>
      </c>
      <c r="E407" s="2">
        <v>8471260</v>
      </c>
      <c r="F407" s="2" t="s">
        <v>1404</v>
      </c>
      <c r="G407" s="2">
        <v>1</v>
      </c>
      <c r="H407" s="276">
        <v>425760</v>
      </c>
      <c r="I407" s="2" t="s">
        <v>352</v>
      </c>
      <c r="J407" s="2" t="s">
        <v>60</v>
      </c>
      <c r="K407" s="2" t="s">
        <v>50</v>
      </c>
      <c r="L407" s="7">
        <v>847001</v>
      </c>
      <c r="M407" s="2" t="s">
        <v>61</v>
      </c>
      <c r="N407" s="3">
        <v>200179</v>
      </c>
      <c r="O407" s="3" t="s">
        <v>1662</v>
      </c>
      <c r="P407" s="2"/>
      <c r="Q407" s="35"/>
      <c r="R407" s="2"/>
      <c r="S407" s="3" t="s">
        <v>354</v>
      </c>
      <c r="T407" s="2" t="s">
        <v>262</v>
      </c>
      <c r="U407" s="2">
        <v>30</v>
      </c>
      <c r="V407" s="2">
        <v>2000</v>
      </c>
      <c r="W407" s="3" t="s">
        <v>1436</v>
      </c>
      <c r="X407" s="36">
        <v>60000</v>
      </c>
      <c r="Y407" s="2" t="s">
        <v>55</v>
      </c>
      <c r="Z407" s="2" t="s">
        <v>56</v>
      </c>
      <c r="AA407" s="14">
        <f t="shared" si="20"/>
        <v>54000</v>
      </c>
      <c r="AB407" s="14">
        <f t="shared" si="21"/>
        <v>48000</v>
      </c>
      <c r="AC407" s="14">
        <f t="shared" si="22"/>
        <v>42000</v>
      </c>
      <c r="AD407" s="3" t="s">
        <v>1430</v>
      </c>
      <c r="AE407" s="3" t="s">
        <v>1431</v>
      </c>
      <c r="AF407" s="3" t="s">
        <v>1434</v>
      </c>
      <c r="AG407" s="43"/>
      <c r="AH407" s="43">
        <v>60000</v>
      </c>
      <c r="AI407" s="43"/>
      <c r="AJ407" s="43"/>
      <c r="AK407" s="43"/>
      <c r="AL407" s="43"/>
      <c r="AM407" s="43"/>
      <c r="AN407" s="43"/>
      <c r="AO407" s="43"/>
      <c r="AP407" s="43"/>
      <c r="AQ407" s="43"/>
      <c r="AR407" s="43"/>
      <c r="AS407" s="43">
        <v>60000</v>
      </c>
      <c r="AT407" s="3" t="s">
        <v>365</v>
      </c>
      <c r="AU407" s="272" t="s">
        <v>1369</v>
      </c>
    </row>
    <row r="408" spans="1:47" ht="16.5" hidden="1" customHeight="1" x14ac:dyDescent="0.35">
      <c r="A408" s="2" t="s">
        <v>46</v>
      </c>
      <c r="B408" s="2" t="s">
        <v>46</v>
      </c>
      <c r="C408" s="2" t="s">
        <v>1350</v>
      </c>
      <c r="D408" s="2">
        <v>847</v>
      </c>
      <c r="E408" s="2">
        <v>8471260</v>
      </c>
      <c r="F408" s="2" t="s">
        <v>1404</v>
      </c>
      <c r="G408" s="2">
        <v>1</v>
      </c>
      <c r="H408" s="276">
        <v>425760</v>
      </c>
      <c r="I408" s="2" t="s">
        <v>352</v>
      </c>
      <c r="J408" s="2" t="s">
        <v>60</v>
      </c>
      <c r="K408" s="2" t="s">
        <v>50</v>
      </c>
      <c r="L408" s="7">
        <v>847001</v>
      </c>
      <c r="M408" s="2" t="s">
        <v>61</v>
      </c>
      <c r="N408" s="3">
        <v>200179</v>
      </c>
      <c r="O408" s="3" t="s">
        <v>1662</v>
      </c>
      <c r="P408" s="2"/>
      <c r="Q408" s="35"/>
      <c r="R408" s="2"/>
      <c r="S408" s="3" t="s">
        <v>440</v>
      </c>
      <c r="T408" s="2" t="s">
        <v>441</v>
      </c>
      <c r="U408" s="2">
        <v>35</v>
      </c>
      <c r="V408" s="2">
        <v>2500</v>
      </c>
      <c r="W408" s="3" t="s">
        <v>1437</v>
      </c>
      <c r="X408" s="36">
        <v>87500</v>
      </c>
      <c r="Y408" s="2" t="s">
        <v>55</v>
      </c>
      <c r="Z408" s="2" t="s">
        <v>56</v>
      </c>
      <c r="AA408" s="14">
        <f t="shared" si="20"/>
        <v>78750</v>
      </c>
      <c r="AB408" s="14">
        <f t="shared" si="21"/>
        <v>70000</v>
      </c>
      <c r="AC408" s="14">
        <f t="shared" si="22"/>
        <v>61249.999999999993</v>
      </c>
      <c r="AD408" s="3" t="s">
        <v>1438</v>
      </c>
      <c r="AE408" s="3" t="s">
        <v>1439</v>
      </c>
      <c r="AF408" s="3" t="s">
        <v>1440</v>
      </c>
      <c r="AG408" s="43">
        <v>8750</v>
      </c>
      <c r="AH408" s="43">
        <v>8750</v>
      </c>
      <c r="AI408" s="43">
        <v>8750</v>
      </c>
      <c r="AJ408" s="43">
        <v>8750</v>
      </c>
      <c r="AK408" s="43">
        <v>8750</v>
      </c>
      <c r="AL408" s="43">
        <v>8750</v>
      </c>
      <c r="AM408" s="43"/>
      <c r="AN408" s="43"/>
      <c r="AO408" s="43">
        <v>8750</v>
      </c>
      <c r="AP408" s="43">
        <v>8750</v>
      </c>
      <c r="AQ408" s="43">
        <v>8750</v>
      </c>
      <c r="AR408" s="43">
        <v>8750</v>
      </c>
      <c r="AS408" s="43">
        <v>87500</v>
      </c>
      <c r="AT408" s="3" t="s">
        <v>244</v>
      </c>
      <c r="AU408" s="272" t="s">
        <v>1369</v>
      </c>
    </row>
    <row r="409" spans="1:47" ht="16.5" hidden="1" customHeight="1" x14ac:dyDescent="0.35">
      <c r="A409" s="2" t="s">
        <v>46</v>
      </c>
      <c r="B409" s="2" t="s">
        <v>46</v>
      </c>
      <c r="C409" s="2" t="s">
        <v>1350</v>
      </c>
      <c r="D409" s="2">
        <v>847</v>
      </c>
      <c r="E409" s="2">
        <v>8471260</v>
      </c>
      <c r="F409" s="2" t="s">
        <v>1404</v>
      </c>
      <c r="G409" s="2">
        <v>1</v>
      </c>
      <c r="H409" s="276">
        <v>425760</v>
      </c>
      <c r="I409" s="2" t="s">
        <v>352</v>
      </c>
      <c r="J409" s="2" t="s">
        <v>60</v>
      </c>
      <c r="K409" s="2" t="s">
        <v>50</v>
      </c>
      <c r="L409" s="7">
        <v>847001</v>
      </c>
      <c r="M409" s="2" t="s">
        <v>61</v>
      </c>
      <c r="N409" s="3">
        <v>200179</v>
      </c>
      <c r="O409" s="3" t="s">
        <v>1662</v>
      </c>
      <c r="P409" s="2"/>
      <c r="Q409" s="35"/>
      <c r="R409" s="2"/>
      <c r="S409" s="3" t="s">
        <v>440</v>
      </c>
      <c r="T409" s="2" t="s">
        <v>441</v>
      </c>
      <c r="U409" s="2">
        <v>20</v>
      </c>
      <c r="V409" s="2">
        <v>1500</v>
      </c>
      <c r="W409" s="3" t="s">
        <v>1441</v>
      </c>
      <c r="X409" s="36">
        <v>30000</v>
      </c>
      <c r="Y409" s="2" t="s">
        <v>55</v>
      </c>
      <c r="Z409" s="2" t="s">
        <v>56</v>
      </c>
      <c r="AA409" s="14">
        <f t="shared" si="20"/>
        <v>27000</v>
      </c>
      <c r="AB409" s="14">
        <f t="shared" si="21"/>
        <v>24000</v>
      </c>
      <c r="AC409" s="14">
        <f t="shared" si="22"/>
        <v>21000</v>
      </c>
      <c r="AD409" s="3" t="s">
        <v>1438</v>
      </c>
      <c r="AE409" s="3" t="s">
        <v>1439</v>
      </c>
      <c r="AF409" s="3" t="s">
        <v>1440</v>
      </c>
      <c r="AG409" s="43">
        <v>2000</v>
      </c>
      <c r="AH409" s="43">
        <v>4000</v>
      </c>
      <c r="AI409" s="43">
        <v>4000</v>
      </c>
      <c r="AJ409" s="43">
        <v>3000</v>
      </c>
      <c r="AK409" s="43">
        <v>3000</v>
      </c>
      <c r="AL409" s="43">
        <v>1000</v>
      </c>
      <c r="AM409" s="43"/>
      <c r="AN409" s="43"/>
      <c r="AO409" s="43">
        <v>3000</v>
      </c>
      <c r="AP409" s="43">
        <v>4000</v>
      </c>
      <c r="AQ409" s="43">
        <v>3000</v>
      </c>
      <c r="AR409" s="43">
        <v>3000</v>
      </c>
      <c r="AS409" s="43">
        <v>30000</v>
      </c>
      <c r="AT409" s="3" t="s">
        <v>244</v>
      </c>
      <c r="AU409" s="272" t="s">
        <v>1369</v>
      </c>
    </row>
    <row r="410" spans="1:47" ht="16.5" hidden="1" customHeight="1" x14ac:dyDescent="0.35">
      <c r="A410" s="2" t="s">
        <v>258</v>
      </c>
      <c r="B410" s="2" t="s">
        <v>350</v>
      </c>
      <c r="C410" s="2" t="s">
        <v>1350</v>
      </c>
      <c r="D410" s="2">
        <v>847</v>
      </c>
      <c r="E410" s="2">
        <v>8471260</v>
      </c>
      <c r="F410" s="2" t="s">
        <v>1404</v>
      </c>
      <c r="G410" s="2">
        <v>1</v>
      </c>
      <c r="H410" s="276">
        <v>425760</v>
      </c>
      <c r="I410" s="2" t="s">
        <v>352</v>
      </c>
      <c r="J410" s="2" t="s">
        <v>60</v>
      </c>
      <c r="K410" s="2" t="s">
        <v>50</v>
      </c>
      <c r="L410" s="7">
        <v>847001</v>
      </c>
      <c r="M410" s="2" t="s">
        <v>61</v>
      </c>
      <c r="N410" s="2">
        <v>200179</v>
      </c>
      <c r="O410" s="3" t="s">
        <v>1662</v>
      </c>
      <c r="P410" s="2">
        <v>229618.26</v>
      </c>
      <c r="Q410" s="35">
        <v>936870</v>
      </c>
      <c r="R410" s="2">
        <v>700000</v>
      </c>
      <c r="S410" s="3" t="s">
        <v>440</v>
      </c>
      <c r="T410" s="2" t="s">
        <v>441</v>
      </c>
      <c r="U410" s="2">
        <v>20</v>
      </c>
      <c r="V410" s="2">
        <v>25000</v>
      </c>
      <c r="W410" s="3" t="s">
        <v>1442</v>
      </c>
      <c r="X410" s="36">
        <v>500000</v>
      </c>
      <c r="Y410" s="2" t="s">
        <v>55</v>
      </c>
      <c r="Z410" s="2" t="s">
        <v>56</v>
      </c>
      <c r="AA410" s="14">
        <f t="shared" si="20"/>
        <v>450000</v>
      </c>
      <c r="AB410" s="14">
        <f t="shared" si="21"/>
        <v>400000</v>
      </c>
      <c r="AC410" s="14">
        <f t="shared" si="22"/>
        <v>350000</v>
      </c>
      <c r="AD410" s="3" t="s">
        <v>1438</v>
      </c>
      <c r="AE410" s="3" t="s">
        <v>1439</v>
      </c>
      <c r="AF410" s="3" t="s">
        <v>1443</v>
      </c>
      <c r="AG410" s="43"/>
      <c r="AH410" s="43">
        <v>200000</v>
      </c>
      <c r="AI410" s="43"/>
      <c r="AJ410" s="43"/>
      <c r="AK410" s="43">
        <v>150000</v>
      </c>
      <c r="AL410" s="43"/>
      <c r="AM410" s="43"/>
      <c r="AN410" s="43">
        <v>150000</v>
      </c>
      <c r="AO410" s="43"/>
      <c r="AP410" s="43"/>
      <c r="AQ410" s="43"/>
      <c r="AR410" s="43"/>
      <c r="AS410" s="43">
        <v>500000</v>
      </c>
      <c r="AT410" s="3" t="s">
        <v>244</v>
      </c>
      <c r="AU410" s="272"/>
    </row>
    <row r="411" spans="1:47" ht="16.5" hidden="1" customHeight="1" x14ac:dyDescent="0.35">
      <c r="A411" s="2" t="s">
        <v>46</v>
      </c>
      <c r="B411" s="2" t="s">
        <v>46</v>
      </c>
      <c r="C411" s="2" t="s">
        <v>1350</v>
      </c>
      <c r="D411" s="2">
        <v>847</v>
      </c>
      <c r="E411" s="2">
        <v>8471260</v>
      </c>
      <c r="F411" s="2" t="s">
        <v>1404</v>
      </c>
      <c r="G411" s="2">
        <v>1</v>
      </c>
      <c r="H411" s="276">
        <v>425900</v>
      </c>
      <c r="I411" s="2" t="s">
        <v>266</v>
      </c>
      <c r="J411" s="2" t="s">
        <v>60</v>
      </c>
      <c r="K411" s="2" t="s">
        <v>50</v>
      </c>
      <c r="L411" s="7">
        <v>847001</v>
      </c>
      <c r="M411" s="2" t="s">
        <v>61</v>
      </c>
      <c r="N411" s="3">
        <v>200179</v>
      </c>
      <c r="O411" s="3" t="s">
        <v>1663</v>
      </c>
      <c r="P411" s="2"/>
      <c r="Q411" s="35"/>
      <c r="R411" s="2"/>
      <c r="S411" s="3" t="s">
        <v>268</v>
      </c>
      <c r="T411" s="2" t="s">
        <v>269</v>
      </c>
      <c r="U411" s="2">
        <v>1700</v>
      </c>
      <c r="V411" s="2">
        <v>30</v>
      </c>
      <c r="W411" s="3" t="s">
        <v>1444</v>
      </c>
      <c r="X411" s="36">
        <v>51000</v>
      </c>
      <c r="Y411" s="2" t="s">
        <v>55</v>
      </c>
      <c r="Z411" s="2" t="s">
        <v>56</v>
      </c>
      <c r="AA411" s="14">
        <f t="shared" si="20"/>
        <v>45900</v>
      </c>
      <c r="AB411" s="14">
        <f t="shared" si="21"/>
        <v>40800</v>
      </c>
      <c r="AC411" s="14">
        <f t="shared" si="22"/>
        <v>35700</v>
      </c>
      <c r="AD411" s="3" t="s">
        <v>1445</v>
      </c>
      <c r="AE411" s="3" t="s">
        <v>1446</v>
      </c>
      <c r="AF411" s="3" t="s">
        <v>1447</v>
      </c>
      <c r="AG411" s="43">
        <v>18000</v>
      </c>
      <c r="AH411" s="43"/>
      <c r="AI411" s="43"/>
      <c r="AJ411" s="43"/>
      <c r="AK411" s="43"/>
      <c r="AL411" s="43"/>
      <c r="AM411" s="43"/>
      <c r="AN411" s="43">
        <v>33000</v>
      </c>
      <c r="AO411" s="43"/>
      <c r="AP411" s="43"/>
      <c r="AQ411" s="43"/>
      <c r="AR411" s="43"/>
      <c r="AS411" s="43">
        <v>51000</v>
      </c>
      <c r="AT411" s="3" t="s">
        <v>244</v>
      </c>
      <c r="AU411" s="272" t="s">
        <v>1369</v>
      </c>
    </row>
    <row r="412" spans="1:47" ht="16.5" hidden="1" customHeight="1" x14ac:dyDescent="0.35">
      <c r="A412" s="2" t="s">
        <v>46</v>
      </c>
      <c r="B412" s="2" t="s">
        <v>46</v>
      </c>
      <c r="C412" s="2" t="s">
        <v>1350</v>
      </c>
      <c r="D412" s="2">
        <v>847</v>
      </c>
      <c r="E412" s="2">
        <v>8471260</v>
      </c>
      <c r="F412" s="2" t="s">
        <v>1404</v>
      </c>
      <c r="G412" s="2">
        <v>1</v>
      </c>
      <c r="H412" s="276">
        <v>425900</v>
      </c>
      <c r="I412" s="2" t="s">
        <v>266</v>
      </c>
      <c r="J412" s="2" t="s">
        <v>60</v>
      </c>
      <c r="K412" s="2" t="s">
        <v>50</v>
      </c>
      <c r="L412" s="7">
        <v>847001</v>
      </c>
      <c r="M412" s="2" t="s">
        <v>61</v>
      </c>
      <c r="N412" s="3">
        <v>200179</v>
      </c>
      <c r="O412" s="3" t="s">
        <v>1663</v>
      </c>
      <c r="P412" s="2"/>
      <c r="Q412" s="35"/>
      <c r="R412" s="2"/>
      <c r="S412" s="3" t="s">
        <v>268</v>
      </c>
      <c r="T412" s="2" t="s">
        <v>269</v>
      </c>
      <c r="U412" s="2">
        <v>1000</v>
      </c>
      <c r="V412" s="2">
        <v>20</v>
      </c>
      <c r="W412" s="3" t="s">
        <v>1448</v>
      </c>
      <c r="X412" s="36">
        <v>20000</v>
      </c>
      <c r="Y412" s="2" t="s">
        <v>55</v>
      </c>
      <c r="Z412" s="2" t="s">
        <v>56</v>
      </c>
      <c r="AA412" s="14">
        <f t="shared" si="20"/>
        <v>18000</v>
      </c>
      <c r="AB412" s="14">
        <f t="shared" si="21"/>
        <v>16000</v>
      </c>
      <c r="AC412" s="14">
        <f t="shared" si="22"/>
        <v>14000</v>
      </c>
      <c r="AD412" s="3" t="s">
        <v>1445</v>
      </c>
      <c r="AE412" s="3" t="s">
        <v>1446</v>
      </c>
      <c r="AF412" s="3" t="s">
        <v>1447</v>
      </c>
      <c r="AG412" s="43"/>
      <c r="AH412" s="43"/>
      <c r="AI412" s="43"/>
      <c r="AJ412" s="43"/>
      <c r="AK412" s="43"/>
      <c r="AL412" s="43"/>
      <c r="AM412" s="43"/>
      <c r="AN412" s="43"/>
      <c r="AO412" s="43"/>
      <c r="AP412" s="43"/>
      <c r="AQ412" s="43">
        <v>20000</v>
      </c>
      <c r="AR412" s="43"/>
      <c r="AS412" s="43">
        <v>20000</v>
      </c>
      <c r="AT412" s="3" t="s">
        <v>244</v>
      </c>
      <c r="AU412" s="272" t="s">
        <v>1369</v>
      </c>
    </row>
    <row r="413" spans="1:47" ht="16.5" hidden="1" customHeight="1" x14ac:dyDescent="0.35">
      <c r="A413" s="2" t="s">
        <v>46</v>
      </c>
      <c r="B413" s="2" t="s">
        <v>46</v>
      </c>
      <c r="C413" s="2" t="s">
        <v>1350</v>
      </c>
      <c r="D413" s="2">
        <v>847</v>
      </c>
      <c r="E413" s="2">
        <v>8471260</v>
      </c>
      <c r="F413" s="2" t="s">
        <v>1404</v>
      </c>
      <c r="G413" s="2">
        <v>1</v>
      </c>
      <c r="H413" s="276">
        <v>425900</v>
      </c>
      <c r="I413" s="2" t="s">
        <v>266</v>
      </c>
      <c r="J413" s="2" t="s">
        <v>60</v>
      </c>
      <c r="K413" s="2" t="s">
        <v>50</v>
      </c>
      <c r="L413" s="7">
        <v>847001</v>
      </c>
      <c r="M413" s="2" t="s">
        <v>61</v>
      </c>
      <c r="N413" s="3">
        <v>200179</v>
      </c>
      <c r="O413" s="3" t="s">
        <v>1663</v>
      </c>
      <c r="P413" s="2"/>
      <c r="Q413" s="35"/>
      <c r="R413" s="2"/>
      <c r="S413" s="3" t="s">
        <v>268</v>
      </c>
      <c r="T413" s="2" t="s">
        <v>269</v>
      </c>
      <c r="U413" s="2">
        <v>1000</v>
      </c>
      <c r="V413" s="2">
        <v>15</v>
      </c>
      <c r="W413" s="3" t="s">
        <v>1449</v>
      </c>
      <c r="X413" s="36">
        <v>15000</v>
      </c>
      <c r="Y413" s="2" t="s">
        <v>55</v>
      </c>
      <c r="Z413" s="2" t="s">
        <v>56</v>
      </c>
      <c r="AA413" s="14">
        <f t="shared" si="20"/>
        <v>13500</v>
      </c>
      <c r="AB413" s="14">
        <f t="shared" si="21"/>
        <v>12000</v>
      </c>
      <c r="AC413" s="14">
        <f t="shared" si="22"/>
        <v>10500</v>
      </c>
      <c r="AD413" s="3" t="s">
        <v>1445</v>
      </c>
      <c r="AE413" s="3" t="s">
        <v>1446</v>
      </c>
      <c r="AF413" s="3" t="s">
        <v>1447</v>
      </c>
      <c r="AG413" s="43"/>
      <c r="AH413" s="43">
        <v>15000</v>
      </c>
      <c r="AI413" s="43"/>
      <c r="AJ413" s="43"/>
      <c r="AK413" s="43"/>
      <c r="AL413" s="43"/>
      <c r="AM413" s="43"/>
      <c r="AN413" s="43"/>
      <c r="AO413" s="43"/>
      <c r="AP413" s="43"/>
      <c r="AQ413" s="43"/>
      <c r="AR413" s="43"/>
      <c r="AS413" s="43">
        <v>15000</v>
      </c>
      <c r="AT413" s="3" t="s">
        <v>244</v>
      </c>
      <c r="AU413" s="272" t="s">
        <v>1369</v>
      </c>
    </row>
    <row r="414" spans="1:47" ht="16.5" hidden="1" customHeight="1" x14ac:dyDescent="0.35">
      <c r="A414" s="2" t="s">
        <v>46</v>
      </c>
      <c r="B414" s="2" t="s">
        <v>46</v>
      </c>
      <c r="C414" s="2" t="s">
        <v>1350</v>
      </c>
      <c r="D414" s="2">
        <v>847</v>
      </c>
      <c r="E414" s="2">
        <v>8471260</v>
      </c>
      <c r="F414" s="2" t="s">
        <v>1404</v>
      </c>
      <c r="G414" s="2">
        <v>1</v>
      </c>
      <c r="H414" s="276">
        <v>425900</v>
      </c>
      <c r="I414" s="2" t="s">
        <v>266</v>
      </c>
      <c r="J414" s="2" t="s">
        <v>60</v>
      </c>
      <c r="K414" s="2" t="s">
        <v>50</v>
      </c>
      <c r="L414" s="7">
        <v>847001</v>
      </c>
      <c r="M414" s="2" t="s">
        <v>61</v>
      </c>
      <c r="N414" s="3">
        <v>200179</v>
      </c>
      <c r="O414" s="3" t="s">
        <v>1663</v>
      </c>
      <c r="P414" s="2"/>
      <c r="Q414" s="35"/>
      <c r="R414" s="2"/>
      <c r="S414" s="3" t="s">
        <v>268</v>
      </c>
      <c r="T414" s="2" t="s">
        <v>269</v>
      </c>
      <c r="U414" s="2">
        <v>1600</v>
      </c>
      <c r="V414" s="2">
        <v>20</v>
      </c>
      <c r="W414" s="3" t="s">
        <v>1450</v>
      </c>
      <c r="X414" s="36">
        <v>32000</v>
      </c>
      <c r="Y414" s="2" t="s">
        <v>55</v>
      </c>
      <c r="Z414" s="2" t="s">
        <v>56</v>
      </c>
      <c r="AA414" s="14">
        <f t="shared" si="20"/>
        <v>28800</v>
      </c>
      <c r="AB414" s="14">
        <f t="shared" si="21"/>
        <v>25600</v>
      </c>
      <c r="AC414" s="14">
        <f t="shared" si="22"/>
        <v>22400</v>
      </c>
      <c r="AD414" s="3" t="s">
        <v>1445</v>
      </c>
      <c r="AE414" s="3" t="s">
        <v>1446</v>
      </c>
      <c r="AF414" s="3" t="s">
        <v>1447</v>
      </c>
      <c r="AG414" s="43"/>
      <c r="AH414" s="43"/>
      <c r="AI414" s="43"/>
      <c r="AJ414" s="43"/>
      <c r="AK414" s="43"/>
      <c r="AL414" s="43"/>
      <c r="AM414" s="43"/>
      <c r="AN414" s="43"/>
      <c r="AO414" s="43"/>
      <c r="AP414" s="43"/>
      <c r="AQ414" s="43">
        <v>32000</v>
      </c>
      <c r="AR414" s="43"/>
      <c r="AS414" s="43">
        <v>32000</v>
      </c>
      <c r="AT414" s="3" t="s">
        <v>244</v>
      </c>
      <c r="AU414" s="272" t="s">
        <v>1369</v>
      </c>
    </row>
    <row r="415" spans="1:47" ht="16.5" hidden="1" customHeight="1" x14ac:dyDescent="0.35">
      <c r="A415" s="2" t="s">
        <v>46</v>
      </c>
      <c r="B415" s="2" t="s">
        <v>46</v>
      </c>
      <c r="C415" s="2" t="s">
        <v>1350</v>
      </c>
      <c r="D415" s="2">
        <v>847</v>
      </c>
      <c r="E415" s="2">
        <v>8471260</v>
      </c>
      <c r="F415" s="2" t="s">
        <v>1404</v>
      </c>
      <c r="G415" s="2">
        <v>1</v>
      </c>
      <c r="H415" s="276">
        <v>425900</v>
      </c>
      <c r="I415" s="2" t="s">
        <v>266</v>
      </c>
      <c r="J415" s="2" t="s">
        <v>60</v>
      </c>
      <c r="K415" s="2" t="s">
        <v>50</v>
      </c>
      <c r="L415" s="7">
        <v>847001</v>
      </c>
      <c r="M415" s="2" t="s">
        <v>61</v>
      </c>
      <c r="N415" s="3">
        <v>200179</v>
      </c>
      <c r="O415" s="3" t="s">
        <v>1663</v>
      </c>
      <c r="P415" s="2"/>
      <c r="Q415" s="35"/>
      <c r="R415" s="2"/>
      <c r="S415" s="3" t="s">
        <v>268</v>
      </c>
      <c r="T415" s="2" t="s">
        <v>269</v>
      </c>
      <c r="U415" s="2">
        <v>800</v>
      </c>
      <c r="V415" s="2">
        <v>15</v>
      </c>
      <c r="W415" s="3" t="s">
        <v>1451</v>
      </c>
      <c r="X415" s="36">
        <v>12000</v>
      </c>
      <c r="Y415" s="2" t="s">
        <v>55</v>
      </c>
      <c r="Z415" s="2" t="s">
        <v>56</v>
      </c>
      <c r="AA415" s="14">
        <f t="shared" si="20"/>
        <v>10800</v>
      </c>
      <c r="AB415" s="14">
        <f t="shared" si="21"/>
        <v>9600</v>
      </c>
      <c r="AC415" s="14">
        <f t="shared" si="22"/>
        <v>8400</v>
      </c>
      <c r="AD415" s="3" t="s">
        <v>1445</v>
      </c>
      <c r="AE415" s="3" t="s">
        <v>1446</v>
      </c>
      <c r="AF415" s="3" t="s">
        <v>1447</v>
      </c>
      <c r="AG415" s="43">
        <v>1200</v>
      </c>
      <c r="AH415" s="43">
        <v>1200</v>
      </c>
      <c r="AI415" s="43">
        <v>1200</v>
      </c>
      <c r="AJ415" s="43">
        <v>1200</v>
      </c>
      <c r="AK415" s="43">
        <v>1200</v>
      </c>
      <c r="AL415" s="43">
        <v>1200</v>
      </c>
      <c r="AM415" s="43"/>
      <c r="AN415" s="43"/>
      <c r="AO415" s="43">
        <v>1200</v>
      </c>
      <c r="AP415" s="43">
        <v>1200</v>
      </c>
      <c r="AQ415" s="43">
        <v>1200</v>
      </c>
      <c r="AR415" s="43">
        <v>1200</v>
      </c>
      <c r="AS415" s="43">
        <v>12000</v>
      </c>
      <c r="AT415" s="3" t="s">
        <v>244</v>
      </c>
      <c r="AU415" s="272" t="s">
        <v>1369</v>
      </c>
    </row>
    <row r="416" spans="1:47" ht="16.5" hidden="1" customHeight="1" x14ac:dyDescent="0.35">
      <c r="A416" s="2" t="s">
        <v>189</v>
      </c>
      <c r="B416" s="2" t="s">
        <v>265</v>
      </c>
      <c r="C416" s="2" t="s">
        <v>1350</v>
      </c>
      <c r="D416" s="2">
        <v>847</v>
      </c>
      <c r="E416" s="2">
        <v>8471260</v>
      </c>
      <c r="F416" s="2" t="s">
        <v>1404</v>
      </c>
      <c r="G416" s="2">
        <v>1</v>
      </c>
      <c r="H416" s="276">
        <v>425900</v>
      </c>
      <c r="I416" s="2" t="s">
        <v>266</v>
      </c>
      <c r="J416" s="2" t="s">
        <v>60</v>
      </c>
      <c r="K416" s="2" t="s">
        <v>50</v>
      </c>
      <c r="L416" s="7">
        <v>847001</v>
      </c>
      <c r="M416" s="2" t="s">
        <v>61</v>
      </c>
      <c r="N416" s="2">
        <v>200179</v>
      </c>
      <c r="O416" s="3" t="s">
        <v>1663</v>
      </c>
      <c r="P416" s="2">
        <v>7085.98</v>
      </c>
      <c r="Q416" s="35">
        <v>70800</v>
      </c>
      <c r="R416" s="2">
        <v>70800</v>
      </c>
      <c r="S416" s="3" t="s">
        <v>268</v>
      </c>
      <c r="T416" s="2" t="s">
        <v>269</v>
      </c>
      <c r="U416" s="2">
        <v>2000</v>
      </c>
      <c r="V416" s="2">
        <v>20</v>
      </c>
      <c r="W416" s="3" t="s">
        <v>1413</v>
      </c>
      <c r="X416" s="36">
        <v>40000</v>
      </c>
      <c r="Y416" s="2" t="s">
        <v>55</v>
      </c>
      <c r="Z416" s="2" t="s">
        <v>56</v>
      </c>
      <c r="AA416" s="14">
        <f t="shared" si="20"/>
        <v>36000</v>
      </c>
      <c r="AB416" s="14">
        <f t="shared" si="21"/>
        <v>32000</v>
      </c>
      <c r="AC416" s="14">
        <f t="shared" si="22"/>
        <v>28000</v>
      </c>
      <c r="AD416" s="3" t="s">
        <v>1445</v>
      </c>
      <c r="AE416" s="3" t="s">
        <v>1446</v>
      </c>
      <c r="AF416" s="3" t="s">
        <v>1447</v>
      </c>
      <c r="AG416" s="43"/>
      <c r="AH416" s="43"/>
      <c r="AI416" s="43"/>
      <c r="AJ416" s="43">
        <v>40000</v>
      </c>
      <c r="AK416" s="43"/>
      <c r="AL416" s="43"/>
      <c r="AM416" s="43"/>
      <c r="AN416" s="43"/>
      <c r="AO416" s="43"/>
      <c r="AP416" s="43"/>
      <c r="AQ416" s="43"/>
      <c r="AR416" s="43"/>
      <c r="AS416" s="43">
        <v>40000</v>
      </c>
      <c r="AT416" s="3" t="s">
        <v>244</v>
      </c>
      <c r="AU416" s="272"/>
    </row>
    <row r="417" spans="1:47" ht="16.5" hidden="1" customHeight="1" x14ac:dyDescent="0.35">
      <c r="A417" s="2" t="s">
        <v>46</v>
      </c>
      <c r="B417" s="2" t="s">
        <v>46</v>
      </c>
      <c r="C417" s="2" t="s">
        <v>1350</v>
      </c>
      <c r="D417" s="2">
        <v>847</v>
      </c>
      <c r="E417" s="2">
        <v>8471260</v>
      </c>
      <c r="F417" s="2" t="s">
        <v>1404</v>
      </c>
      <c r="G417" s="2">
        <v>1</v>
      </c>
      <c r="H417" s="276">
        <v>428640</v>
      </c>
      <c r="I417" s="2" t="s">
        <v>279</v>
      </c>
      <c r="J417" s="2" t="s">
        <v>60</v>
      </c>
      <c r="K417" s="2" t="s">
        <v>50</v>
      </c>
      <c r="L417" s="7">
        <v>847001</v>
      </c>
      <c r="M417" s="2" t="s">
        <v>61</v>
      </c>
      <c r="N417" s="2">
        <v>200179</v>
      </c>
      <c r="O417" s="3" t="s">
        <v>1664</v>
      </c>
      <c r="P417" s="2"/>
      <c r="Q417" s="35"/>
      <c r="R417" s="2"/>
      <c r="S417" s="3" t="s">
        <v>1452</v>
      </c>
      <c r="T417" s="2" t="s">
        <v>269</v>
      </c>
      <c r="U417" s="2">
        <v>40</v>
      </c>
      <c r="V417" s="10">
        <v>250</v>
      </c>
      <c r="W417" s="3" t="s">
        <v>1453</v>
      </c>
      <c r="X417" s="36">
        <v>10000</v>
      </c>
      <c r="Y417" s="2"/>
      <c r="Z417" s="2"/>
      <c r="AA417" s="14">
        <f t="shared" si="20"/>
        <v>9000</v>
      </c>
      <c r="AB417" s="14">
        <f t="shared" si="21"/>
        <v>8000</v>
      </c>
      <c r="AC417" s="14">
        <f t="shared" si="22"/>
        <v>7000</v>
      </c>
      <c r="AD417" s="3" t="s">
        <v>1454</v>
      </c>
      <c r="AE417" s="3" t="s">
        <v>1455</v>
      </c>
      <c r="AF417" s="3" t="s">
        <v>1456</v>
      </c>
      <c r="AG417" s="43"/>
      <c r="AH417" s="43">
        <v>5000</v>
      </c>
      <c r="AI417" s="43"/>
      <c r="AJ417" s="43"/>
      <c r="AK417" s="43"/>
      <c r="AL417" s="43"/>
      <c r="AM417" s="43"/>
      <c r="AN417" s="43"/>
      <c r="AO417" s="43"/>
      <c r="AP417" s="43"/>
      <c r="AQ417" s="43">
        <v>5000</v>
      </c>
      <c r="AR417" s="43"/>
      <c r="AS417" s="43">
        <v>10000</v>
      </c>
      <c r="AT417" s="3" t="s">
        <v>244</v>
      </c>
      <c r="AU417" s="272" t="s">
        <v>1369</v>
      </c>
    </row>
    <row r="418" spans="1:47" ht="16.5" hidden="1" customHeight="1" x14ac:dyDescent="0.35">
      <c r="A418" s="2" t="s">
        <v>46</v>
      </c>
      <c r="B418" s="2" t="s">
        <v>46</v>
      </c>
      <c r="C418" s="2" t="s">
        <v>1350</v>
      </c>
      <c r="D418" s="2">
        <v>847</v>
      </c>
      <c r="E418" s="2">
        <v>8471260</v>
      </c>
      <c r="F418" s="2" t="s">
        <v>1404</v>
      </c>
      <c r="G418" s="2">
        <v>1</v>
      </c>
      <c r="H418" s="276">
        <v>428640</v>
      </c>
      <c r="I418" s="2" t="s">
        <v>279</v>
      </c>
      <c r="J418" s="2" t="s">
        <v>60</v>
      </c>
      <c r="K418" s="2" t="s">
        <v>50</v>
      </c>
      <c r="L418" s="7">
        <v>847001</v>
      </c>
      <c r="M418" s="2" t="s">
        <v>61</v>
      </c>
      <c r="N418" s="2">
        <v>200179</v>
      </c>
      <c r="O418" s="3" t="s">
        <v>1664</v>
      </c>
      <c r="P418" s="2"/>
      <c r="Q418" s="35"/>
      <c r="R418" s="2"/>
      <c r="S418" s="3" t="s">
        <v>1452</v>
      </c>
      <c r="T418" s="2" t="s">
        <v>269</v>
      </c>
      <c r="U418" s="2">
        <v>30</v>
      </c>
      <c r="V418" s="10">
        <v>400</v>
      </c>
      <c r="W418" s="3" t="s">
        <v>1457</v>
      </c>
      <c r="X418" s="36">
        <v>12000</v>
      </c>
      <c r="Y418" s="2"/>
      <c r="Z418" s="2"/>
      <c r="AA418" s="14">
        <f t="shared" si="20"/>
        <v>10800</v>
      </c>
      <c r="AB418" s="14">
        <f t="shared" si="21"/>
        <v>9600</v>
      </c>
      <c r="AC418" s="14">
        <f t="shared" si="22"/>
        <v>8400</v>
      </c>
      <c r="AD418" s="3" t="s">
        <v>1454</v>
      </c>
      <c r="AE418" s="3" t="s">
        <v>1455</v>
      </c>
      <c r="AF418" s="3" t="s">
        <v>1456</v>
      </c>
      <c r="AG418" s="43"/>
      <c r="AH418" s="43"/>
      <c r="AI418" s="43">
        <v>3000</v>
      </c>
      <c r="AJ418" s="43"/>
      <c r="AK418" s="43">
        <v>3000</v>
      </c>
      <c r="AL418" s="43"/>
      <c r="AM418" s="43"/>
      <c r="AN418" s="43"/>
      <c r="AO418" s="43">
        <v>3000</v>
      </c>
      <c r="AP418" s="43"/>
      <c r="AQ418" s="43">
        <v>3000</v>
      </c>
      <c r="AR418" s="43"/>
      <c r="AS418" s="43">
        <v>12000</v>
      </c>
      <c r="AT418" s="3" t="s">
        <v>244</v>
      </c>
      <c r="AU418" s="272" t="s">
        <v>1369</v>
      </c>
    </row>
    <row r="419" spans="1:47" ht="16.5" hidden="1" customHeight="1" x14ac:dyDescent="0.35">
      <c r="A419" s="2" t="s">
        <v>245</v>
      </c>
      <c r="B419" s="2" t="s">
        <v>246</v>
      </c>
      <c r="C419" s="2" t="s">
        <v>1350</v>
      </c>
      <c r="D419" s="2">
        <v>847</v>
      </c>
      <c r="E419" s="2">
        <v>8471260</v>
      </c>
      <c r="F419" s="2" t="s">
        <v>1404</v>
      </c>
      <c r="G419" s="2">
        <v>1</v>
      </c>
      <c r="H419" s="276">
        <v>428640</v>
      </c>
      <c r="I419" s="2" t="s">
        <v>279</v>
      </c>
      <c r="J419" s="2" t="s">
        <v>60</v>
      </c>
      <c r="K419" s="2" t="s">
        <v>50</v>
      </c>
      <c r="L419" s="7">
        <v>847001</v>
      </c>
      <c r="M419" s="2" t="s">
        <v>61</v>
      </c>
      <c r="N419" s="2">
        <v>200179</v>
      </c>
      <c r="O419" s="3" t="s">
        <v>1664</v>
      </c>
      <c r="P419" s="2">
        <v>10810.35</v>
      </c>
      <c r="Q419" s="35">
        <v>32500</v>
      </c>
      <c r="R419" s="2">
        <v>32500</v>
      </c>
      <c r="S419" s="3" t="s">
        <v>1452</v>
      </c>
      <c r="T419" s="2" t="s">
        <v>269</v>
      </c>
      <c r="U419" s="2">
        <v>40</v>
      </c>
      <c r="V419" s="10">
        <v>250</v>
      </c>
      <c r="W419" s="3" t="s">
        <v>1458</v>
      </c>
      <c r="X419" s="36">
        <v>10000</v>
      </c>
      <c r="Y419" s="2"/>
      <c r="Z419" s="2"/>
      <c r="AA419" s="14">
        <f t="shared" si="20"/>
        <v>9000</v>
      </c>
      <c r="AB419" s="14">
        <f t="shared" si="21"/>
        <v>8000</v>
      </c>
      <c r="AC419" s="14">
        <f t="shared" si="22"/>
        <v>7000</v>
      </c>
      <c r="AD419" s="3" t="s">
        <v>1454</v>
      </c>
      <c r="AE419" s="3" t="s">
        <v>1455</v>
      </c>
      <c r="AF419" s="3" t="s">
        <v>1456</v>
      </c>
      <c r="AG419" s="43"/>
      <c r="AH419" s="43">
        <v>3000</v>
      </c>
      <c r="AI419" s="43"/>
      <c r="AJ419" s="43">
        <v>4000</v>
      </c>
      <c r="AK419" s="43"/>
      <c r="AL419" s="43"/>
      <c r="AM419" s="43"/>
      <c r="AN419" s="43"/>
      <c r="AO419" s="43"/>
      <c r="AP419" s="43">
        <v>3000</v>
      </c>
      <c r="AQ419" s="43"/>
      <c r="AR419" s="43"/>
      <c r="AS419" s="43">
        <v>10000</v>
      </c>
      <c r="AT419" s="3" t="s">
        <v>244</v>
      </c>
      <c r="AU419" s="272"/>
    </row>
    <row r="420" spans="1:47" ht="16.5" hidden="1" customHeight="1" x14ac:dyDescent="0.35">
      <c r="A420" s="2" t="s">
        <v>46</v>
      </c>
      <c r="B420" s="2" t="s">
        <v>46</v>
      </c>
      <c r="C420" s="2" t="s">
        <v>1350</v>
      </c>
      <c r="D420" s="2">
        <v>847</v>
      </c>
      <c r="E420" s="2">
        <v>8471260</v>
      </c>
      <c r="F420" s="2" t="s">
        <v>1404</v>
      </c>
      <c r="G420" s="2">
        <v>1</v>
      </c>
      <c r="H420" s="276">
        <v>435530</v>
      </c>
      <c r="I420" s="2" t="s">
        <v>1127</v>
      </c>
      <c r="J420" s="2" t="s">
        <v>60</v>
      </c>
      <c r="K420" s="2" t="s">
        <v>50</v>
      </c>
      <c r="L420" s="7">
        <v>847001</v>
      </c>
      <c r="M420" s="2" t="s">
        <v>61</v>
      </c>
      <c r="N420" s="2">
        <v>200179</v>
      </c>
      <c r="O420" s="3" t="s">
        <v>1665</v>
      </c>
      <c r="P420" s="2"/>
      <c r="Q420" s="35"/>
      <c r="R420" s="2"/>
      <c r="S420" s="3" t="s">
        <v>1129</v>
      </c>
      <c r="T420" s="2" t="s">
        <v>157</v>
      </c>
      <c r="U420" s="2">
        <v>350</v>
      </c>
      <c r="V420" s="2">
        <v>40</v>
      </c>
      <c r="W420" s="3" t="s">
        <v>1459</v>
      </c>
      <c r="X420" s="36">
        <v>14000</v>
      </c>
      <c r="Y420" s="2" t="s">
        <v>55</v>
      </c>
      <c r="Z420" s="2" t="s">
        <v>56</v>
      </c>
      <c r="AA420" s="14">
        <f t="shared" si="20"/>
        <v>12600</v>
      </c>
      <c r="AB420" s="14">
        <f t="shared" si="21"/>
        <v>11200</v>
      </c>
      <c r="AC420" s="14">
        <f t="shared" si="22"/>
        <v>9800</v>
      </c>
      <c r="AD420" s="3" t="s">
        <v>1460</v>
      </c>
      <c r="AE420" s="3" t="s">
        <v>1461</v>
      </c>
      <c r="AF420" s="3" t="s">
        <v>1462</v>
      </c>
      <c r="AG420" s="43"/>
      <c r="AH420" s="43"/>
      <c r="AI420" s="43"/>
      <c r="AJ420" s="43"/>
      <c r="AK420" s="43"/>
      <c r="AL420" s="43"/>
      <c r="AM420" s="43">
        <v>14000</v>
      </c>
      <c r="AN420" s="43"/>
      <c r="AO420" s="43"/>
      <c r="AP420" s="43"/>
      <c r="AQ420" s="43"/>
      <c r="AR420" s="43"/>
      <c r="AS420" s="43">
        <v>14000</v>
      </c>
      <c r="AT420" s="3" t="s">
        <v>244</v>
      </c>
      <c r="AU420" s="272" t="s">
        <v>1369</v>
      </c>
    </row>
    <row r="421" spans="1:47" ht="16.5" hidden="1" customHeight="1" x14ac:dyDescent="0.35">
      <c r="A421" s="2" t="s">
        <v>46</v>
      </c>
      <c r="B421" s="2" t="s">
        <v>46</v>
      </c>
      <c r="C421" s="2" t="s">
        <v>1350</v>
      </c>
      <c r="D421" s="2">
        <v>847</v>
      </c>
      <c r="E421" s="2">
        <v>8471260</v>
      </c>
      <c r="F421" s="2" t="s">
        <v>1404</v>
      </c>
      <c r="G421" s="2">
        <v>1</v>
      </c>
      <c r="H421" s="276">
        <v>435530</v>
      </c>
      <c r="I421" s="2" t="s">
        <v>1127</v>
      </c>
      <c r="J421" s="2" t="s">
        <v>60</v>
      </c>
      <c r="K421" s="2" t="s">
        <v>50</v>
      </c>
      <c r="L421" s="7">
        <v>847001</v>
      </c>
      <c r="M421" s="2" t="s">
        <v>61</v>
      </c>
      <c r="N421" s="2">
        <v>200179</v>
      </c>
      <c r="O421" s="3" t="s">
        <v>1665</v>
      </c>
      <c r="P421" s="2"/>
      <c r="Q421" s="35"/>
      <c r="R421" s="2"/>
      <c r="S421" s="3" t="s">
        <v>1129</v>
      </c>
      <c r="T421" s="2" t="s">
        <v>157</v>
      </c>
      <c r="U421" s="2">
        <v>350</v>
      </c>
      <c r="V421" s="2">
        <v>40</v>
      </c>
      <c r="W421" s="3" t="s">
        <v>1463</v>
      </c>
      <c r="X421" s="36">
        <v>14000</v>
      </c>
      <c r="Y421" s="2" t="s">
        <v>55</v>
      </c>
      <c r="Z421" s="2" t="s">
        <v>56</v>
      </c>
      <c r="AA421" s="14">
        <f t="shared" si="20"/>
        <v>12600</v>
      </c>
      <c r="AB421" s="14">
        <f t="shared" si="21"/>
        <v>11200</v>
      </c>
      <c r="AC421" s="14">
        <f t="shared" si="22"/>
        <v>9800</v>
      </c>
      <c r="AD421" s="3" t="s">
        <v>1460</v>
      </c>
      <c r="AE421" s="3" t="s">
        <v>1464</v>
      </c>
      <c r="AF421" s="3" t="s">
        <v>1462</v>
      </c>
      <c r="AG421" s="43"/>
      <c r="AH421" s="43"/>
      <c r="AI421" s="43"/>
      <c r="AJ421" s="43"/>
      <c r="AK421" s="43"/>
      <c r="AL421" s="43"/>
      <c r="AM421" s="43">
        <v>14000</v>
      </c>
      <c r="AN421" s="43"/>
      <c r="AO421" s="43"/>
      <c r="AP421" s="43"/>
      <c r="AQ421" s="43"/>
      <c r="AR421" s="43"/>
      <c r="AS421" s="43">
        <v>14000</v>
      </c>
      <c r="AT421" s="3" t="s">
        <v>244</v>
      </c>
      <c r="AU421" s="272" t="s">
        <v>1369</v>
      </c>
    </row>
    <row r="422" spans="1:47" ht="16.5" hidden="1" customHeight="1" x14ac:dyDescent="0.35">
      <c r="A422" s="2" t="s">
        <v>222</v>
      </c>
      <c r="B422" s="2" t="s">
        <v>58</v>
      </c>
      <c r="C422" s="2" t="s">
        <v>1350</v>
      </c>
      <c r="D422" s="2">
        <v>847</v>
      </c>
      <c r="E422" s="2">
        <v>8471260</v>
      </c>
      <c r="F422" s="2" t="s">
        <v>1404</v>
      </c>
      <c r="G422" s="2">
        <v>1</v>
      </c>
      <c r="H422" s="276">
        <v>435530</v>
      </c>
      <c r="I422" s="2" t="s">
        <v>1127</v>
      </c>
      <c r="J422" s="2" t="s">
        <v>60</v>
      </c>
      <c r="K422" s="2" t="s">
        <v>50</v>
      </c>
      <c r="L422" s="7">
        <v>847001</v>
      </c>
      <c r="M422" s="2" t="s">
        <v>61</v>
      </c>
      <c r="N422" s="2">
        <v>200179</v>
      </c>
      <c r="O422" s="3" t="s">
        <v>1665</v>
      </c>
      <c r="P422" s="2">
        <v>31417</v>
      </c>
      <c r="Q422" s="35">
        <v>12000</v>
      </c>
      <c r="R422" s="2">
        <v>12000</v>
      </c>
      <c r="S422" s="3" t="s">
        <v>1129</v>
      </c>
      <c r="T422" s="2" t="s">
        <v>157</v>
      </c>
      <c r="U422" s="2">
        <v>349</v>
      </c>
      <c r="V422" s="2">
        <v>150</v>
      </c>
      <c r="W422" s="3" t="s">
        <v>1465</v>
      </c>
      <c r="X422" s="36">
        <v>52350</v>
      </c>
      <c r="Y422" s="2" t="s">
        <v>55</v>
      </c>
      <c r="Z422" s="2" t="s">
        <v>56</v>
      </c>
      <c r="AA422" s="14">
        <f t="shared" si="20"/>
        <v>47115</v>
      </c>
      <c r="AB422" s="14">
        <f t="shared" si="21"/>
        <v>41880</v>
      </c>
      <c r="AC422" s="14">
        <f t="shared" si="22"/>
        <v>36645</v>
      </c>
      <c r="AD422" s="3" t="s">
        <v>1466</v>
      </c>
      <c r="AE422" s="3" t="s">
        <v>1467</v>
      </c>
      <c r="AF422" s="3" t="s">
        <v>1468</v>
      </c>
      <c r="AG422" s="43"/>
      <c r="AH422" s="43"/>
      <c r="AI422" s="43"/>
      <c r="AJ422" s="43"/>
      <c r="AK422" s="43"/>
      <c r="AL422" s="43"/>
      <c r="AM422" s="43">
        <v>52350</v>
      </c>
      <c r="AN422" s="43"/>
      <c r="AO422" s="43"/>
      <c r="AP422" s="43"/>
      <c r="AQ422" s="43"/>
      <c r="AR422" s="43"/>
      <c r="AS422" s="43">
        <v>52350</v>
      </c>
      <c r="AT422" s="3" t="s">
        <v>244</v>
      </c>
      <c r="AU422" s="272"/>
    </row>
    <row r="423" spans="1:47" ht="16.5" hidden="1" customHeight="1" x14ac:dyDescent="0.35">
      <c r="A423" s="2" t="s">
        <v>46</v>
      </c>
      <c r="B423" s="2" t="s">
        <v>46</v>
      </c>
      <c r="C423" s="2" t="s">
        <v>1350</v>
      </c>
      <c r="D423" s="2">
        <v>847</v>
      </c>
      <c r="E423" s="2">
        <v>8471260</v>
      </c>
      <c r="F423" s="2" t="s">
        <v>1404</v>
      </c>
      <c r="G423" s="2">
        <v>1</v>
      </c>
      <c r="H423" s="276">
        <v>436110</v>
      </c>
      <c r="I423" s="2" t="s">
        <v>190</v>
      </c>
      <c r="J423" s="2" t="s">
        <v>60</v>
      </c>
      <c r="K423" s="2" t="s">
        <v>50</v>
      </c>
      <c r="L423" s="7">
        <v>847001</v>
      </c>
      <c r="M423" s="2" t="s">
        <v>61</v>
      </c>
      <c r="N423" s="2">
        <v>200179</v>
      </c>
      <c r="O423" s="3" t="s">
        <v>1666</v>
      </c>
      <c r="P423" s="2"/>
      <c r="Q423" s="35"/>
      <c r="R423" s="2"/>
      <c r="S423" s="3" t="s">
        <v>829</v>
      </c>
      <c r="T423" s="2" t="s">
        <v>157</v>
      </c>
      <c r="U423" s="2">
        <v>80</v>
      </c>
      <c r="V423" s="2">
        <v>60</v>
      </c>
      <c r="W423" s="3" t="s">
        <v>1469</v>
      </c>
      <c r="X423" s="36">
        <v>4800</v>
      </c>
      <c r="Y423" s="2" t="s">
        <v>55</v>
      </c>
      <c r="Z423" s="2" t="s">
        <v>56</v>
      </c>
      <c r="AA423" s="14">
        <f t="shared" si="20"/>
        <v>4320</v>
      </c>
      <c r="AB423" s="14">
        <f t="shared" si="21"/>
        <v>3840</v>
      </c>
      <c r="AC423" s="14">
        <f t="shared" si="22"/>
        <v>3360</v>
      </c>
      <c r="AD423" s="3" t="s">
        <v>1470</v>
      </c>
      <c r="AE423" s="3" t="s">
        <v>1471</v>
      </c>
      <c r="AF423" s="3" t="s">
        <v>1472</v>
      </c>
      <c r="AG423" s="43"/>
      <c r="AH423" s="43"/>
      <c r="AI423" s="43"/>
      <c r="AJ423" s="43"/>
      <c r="AK423" s="43">
        <v>1600</v>
      </c>
      <c r="AL423" s="43">
        <v>1600</v>
      </c>
      <c r="AM423" s="43"/>
      <c r="AN423" s="43"/>
      <c r="AO423" s="43"/>
      <c r="AP423" s="43"/>
      <c r="AQ423" s="43">
        <v>1600</v>
      </c>
      <c r="AR423" s="43"/>
      <c r="AS423" s="43">
        <v>4800</v>
      </c>
      <c r="AT423" s="3" t="s">
        <v>244</v>
      </c>
      <c r="AU423" s="272" t="s">
        <v>1369</v>
      </c>
    </row>
    <row r="424" spans="1:47" ht="16.5" hidden="1" customHeight="1" x14ac:dyDescent="0.35">
      <c r="A424" s="2" t="s">
        <v>189</v>
      </c>
      <c r="B424" s="2" t="s">
        <v>58</v>
      </c>
      <c r="C424" s="2" t="s">
        <v>1350</v>
      </c>
      <c r="D424" s="2">
        <v>847</v>
      </c>
      <c r="E424" s="2">
        <v>8471260</v>
      </c>
      <c r="F424" s="2" t="s">
        <v>1404</v>
      </c>
      <c r="G424" s="2">
        <v>1</v>
      </c>
      <c r="H424" s="276">
        <v>436110</v>
      </c>
      <c r="I424" s="2" t="s">
        <v>190</v>
      </c>
      <c r="J424" s="2" t="s">
        <v>60</v>
      </c>
      <c r="K424" s="2" t="s">
        <v>50</v>
      </c>
      <c r="L424" s="7">
        <v>847001</v>
      </c>
      <c r="M424" s="2" t="s">
        <v>61</v>
      </c>
      <c r="N424" s="2">
        <v>200179</v>
      </c>
      <c r="O424" s="3" t="s">
        <v>1666</v>
      </c>
      <c r="P424" s="2" t="s">
        <v>46</v>
      </c>
      <c r="Q424" s="35">
        <v>13500</v>
      </c>
      <c r="R424" s="2">
        <v>13500</v>
      </c>
      <c r="S424" s="3" t="s">
        <v>829</v>
      </c>
      <c r="T424" s="2" t="s">
        <v>441</v>
      </c>
      <c r="U424" s="2">
        <v>30</v>
      </c>
      <c r="V424" s="2">
        <v>160</v>
      </c>
      <c r="W424" s="3" t="s">
        <v>1473</v>
      </c>
      <c r="X424" s="36">
        <v>4800</v>
      </c>
      <c r="Y424" s="2" t="s">
        <v>55</v>
      </c>
      <c r="Z424" s="2" t="s">
        <v>56</v>
      </c>
      <c r="AA424" s="14">
        <f t="shared" si="20"/>
        <v>4320</v>
      </c>
      <c r="AB424" s="14">
        <f t="shared" si="21"/>
        <v>3840</v>
      </c>
      <c r="AC424" s="14">
        <f t="shared" si="22"/>
        <v>3360</v>
      </c>
      <c r="AD424" s="3" t="s">
        <v>1470</v>
      </c>
      <c r="AE424" s="3" t="s">
        <v>1471</v>
      </c>
      <c r="AF424" s="3" t="s">
        <v>1472</v>
      </c>
      <c r="AG424" s="43"/>
      <c r="AH424" s="43">
        <v>1000</v>
      </c>
      <c r="AI424" s="43">
        <v>800</v>
      </c>
      <c r="AJ424" s="43">
        <v>1000</v>
      </c>
      <c r="AK424" s="43"/>
      <c r="AL424" s="43"/>
      <c r="AM424" s="43"/>
      <c r="AN424" s="43">
        <v>1000</v>
      </c>
      <c r="AO424" s="43"/>
      <c r="AP424" s="43">
        <v>1000</v>
      </c>
      <c r="AQ424" s="43"/>
      <c r="AR424" s="43"/>
      <c r="AS424" s="43">
        <v>4800</v>
      </c>
      <c r="AT424" s="3" t="s">
        <v>244</v>
      </c>
      <c r="AU424" s="272"/>
    </row>
    <row r="425" spans="1:47" s="39" customFormat="1" ht="16.5" hidden="1" customHeight="1" x14ac:dyDescent="0.35">
      <c r="A425" s="37" t="s">
        <v>161</v>
      </c>
      <c r="B425" s="37" t="s">
        <v>58</v>
      </c>
      <c r="C425" s="37" t="s">
        <v>1350</v>
      </c>
      <c r="D425" s="37">
        <v>847</v>
      </c>
      <c r="E425" s="37">
        <v>8471260</v>
      </c>
      <c r="F425" s="37" t="s">
        <v>1404</v>
      </c>
      <c r="G425" s="37">
        <v>1</v>
      </c>
      <c r="H425" s="276">
        <v>421600</v>
      </c>
      <c r="I425" s="37" t="s">
        <v>1475</v>
      </c>
      <c r="J425" s="37" t="s">
        <v>60</v>
      </c>
      <c r="K425" s="37" t="s">
        <v>50</v>
      </c>
      <c r="L425" s="78">
        <v>847001</v>
      </c>
      <c r="M425" s="37" t="s">
        <v>61</v>
      </c>
      <c r="N425" s="37">
        <v>200179</v>
      </c>
      <c r="O425" s="3" t="s">
        <v>1668</v>
      </c>
      <c r="P425" s="37">
        <v>1750.45</v>
      </c>
      <c r="Q425" s="38" t="s">
        <v>46</v>
      </c>
      <c r="R425" s="37"/>
      <c r="S425" s="34"/>
      <c r="T425" s="37" t="s">
        <v>62</v>
      </c>
      <c r="U425" s="37"/>
      <c r="V425" s="37"/>
      <c r="W425" s="21"/>
      <c r="X425" s="38">
        <v>0</v>
      </c>
      <c r="Y425" s="37"/>
      <c r="Z425" s="37"/>
      <c r="AA425" s="14">
        <f t="shared" si="20"/>
        <v>0</v>
      </c>
      <c r="AB425" s="14">
        <f t="shared" si="21"/>
        <v>0</v>
      </c>
      <c r="AC425" s="14">
        <f t="shared" si="22"/>
        <v>0</v>
      </c>
      <c r="AD425" s="21"/>
      <c r="AE425" s="21"/>
      <c r="AF425" s="21"/>
      <c r="AG425" s="50"/>
      <c r="AH425" s="50"/>
      <c r="AI425" s="50"/>
      <c r="AJ425" s="50"/>
      <c r="AK425" s="50"/>
      <c r="AL425" s="50"/>
      <c r="AM425" s="50"/>
      <c r="AN425" s="50"/>
      <c r="AO425" s="50"/>
      <c r="AP425" s="50"/>
      <c r="AQ425" s="50"/>
      <c r="AR425" s="50"/>
      <c r="AS425" s="50">
        <v>0</v>
      </c>
      <c r="AT425" s="21"/>
      <c r="AU425" s="273"/>
    </row>
    <row r="426" spans="1:47" s="39" customFormat="1" ht="16.5" hidden="1" customHeight="1" x14ac:dyDescent="0.35">
      <c r="A426" s="37" t="s">
        <v>189</v>
      </c>
      <c r="B426" s="37" t="s">
        <v>58</v>
      </c>
      <c r="C426" s="37" t="s">
        <v>1350</v>
      </c>
      <c r="D426" s="37">
        <v>847</v>
      </c>
      <c r="E426" s="37">
        <v>8471260</v>
      </c>
      <c r="F426" s="37" t="s">
        <v>1404</v>
      </c>
      <c r="G426" s="37">
        <v>1</v>
      </c>
      <c r="H426" s="276">
        <v>422400</v>
      </c>
      <c r="I426" s="37" t="s">
        <v>1476</v>
      </c>
      <c r="J426" s="37" t="s">
        <v>60</v>
      </c>
      <c r="K426" s="37" t="s">
        <v>50</v>
      </c>
      <c r="L426" s="78">
        <v>847001</v>
      </c>
      <c r="M426" s="37" t="s">
        <v>61</v>
      </c>
      <c r="N426" s="37">
        <v>200179</v>
      </c>
      <c r="O426" s="3" t="s">
        <v>1669</v>
      </c>
      <c r="P426" s="37">
        <v>1240</v>
      </c>
      <c r="Q426" s="38" t="s">
        <v>46</v>
      </c>
      <c r="R426" s="37"/>
      <c r="S426" s="21"/>
      <c r="T426" s="37" t="s">
        <v>62</v>
      </c>
      <c r="U426" s="37"/>
      <c r="V426" s="37"/>
      <c r="W426" s="21"/>
      <c r="X426" s="38">
        <v>0</v>
      </c>
      <c r="Y426" s="37"/>
      <c r="Z426" s="37"/>
      <c r="AA426" s="14">
        <f t="shared" si="20"/>
        <v>0</v>
      </c>
      <c r="AB426" s="14">
        <f t="shared" si="21"/>
        <v>0</v>
      </c>
      <c r="AC426" s="14">
        <f t="shared" si="22"/>
        <v>0</v>
      </c>
      <c r="AD426" s="21"/>
      <c r="AE426" s="21"/>
      <c r="AF426" s="21"/>
      <c r="AG426" s="50"/>
      <c r="AH426" s="50"/>
      <c r="AI426" s="50"/>
      <c r="AJ426" s="50"/>
      <c r="AK426" s="50"/>
      <c r="AL426" s="50"/>
      <c r="AM426" s="50"/>
      <c r="AN426" s="50"/>
      <c r="AO426" s="50"/>
      <c r="AP426" s="50"/>
      <c r="AQ426" s="50"/>
      <c r="AR426" s="50"/>
      <c r="AS426" s="50">
        <v>0</v>
      </c>
      <c r="AT426" s="21"/>
      <c r="AU426" s="273"/>
    </row>
    <row r="427" spans="1:47" s="39" customFormat="1" ht="16.5" hidden="1" customHeight="1" x14ac:dyDescent="0.35">
      <c r="A427" s="37" t="s">
        <v>258</v>
      </c>
      <c r="B427" s="37" t="s">
        <v>58</v>
      </c>
      <c r="C427" s="37" t="s">
        <v>1350</v>
      </c>
      <c r="D427" s="37">
        <v>847</v>
      </c>
      <c r="E427" s="37">
        <v>8471260</v>
      </c>
      <c r="F427" s="37" t="s">
        <v>1404</v>
      </c>
      <c r="G427" s="37">
        <v>1</v>
      </c>
      <c r="H427" s="276">
        <v>425750</v>
      </c>
      <c r="I427" s="37" t="s">
        <v>1057</v>
      </c>
      <c r="J427" s="37" t="s">
        <v>60</v>
      </c>
      <c r="K427" s="37" t="s">
        <v>50</v>
      </c>
      <c r="L427" s="78">
        <v>847001</v>
      </c>
      <c r="M427" s="37" t="s">
        <v>61</v>
      </c>
      <c r="N427" s="37">
        <v>200179</v>
      </c>
      <c r="O427" s="3" t="s">
        <v>1670</v>
      </c>
      <c r="P427" s="37">
        <v>25000</v>
      </c>
      <c r="Q427" s="38" t="s">
        <v>46</v>
      </c>
      <c r="R427" s="37"/>
      <c r="S427" s="21"/>
      <c r="T427" s="37" t="s">
        <v>62</v>
      </c>
      <c r="U427" s="37"/>
      <c r="V427" s="37"/>
      <c r="W427" s="21"/>
      <c r="X427" s="38">
        <v>0</v>
      </c>
      <c r="Y427" s="37"/>
      <c r="Z427" s="37"/>
      <c r="AA427" s="14">
        <f t="shared" si="20"/>
        <v>0</v>
      </c>
      <c r="AB427" s="14">
        <f t="shared" si="21"/>
        <v>0</v>
      </c>
      <c r="AC427" s="14">
        <f t="shared" si="22"/>
        <v>0</v>
      </c>
      <c r="AD427" s="21"/>
      <c r="AE427" s="21"/>
      <c r="AF427" s="21"/>
      <c r="AG427" s="50"/>
      <c r="AH427" s="50"/>
      <c r="AI427" s="50"/>
      <c r="AJ427" s="50"/>
      <c r="AK427" s="50"/>
      <c r="AL427" s="50"/>
      <c r="AM427" s="50"/>
      <c r="AN427" s="50"/>
      <c r="AO427" s="50"/>
      <c r="AP427" s="50"/>
      <c r="AQ427" s="50"/>
      <c r="AR427" s="50"/>
      <c r="AS427" s="50">
        <v>0</v>
      </c>
      <c r="AT427" s="21"/>
      <c r="AU427" s="273"/>
    </row>
    <row r="428" spans="1:47" s="39" customFormat="1" ht="16.5" hidden="1" customHeight="1" x14ac:dyDescent="0.35">
      <c r="A428" s="37" t="s">
        <v>161</v>
      </c>
      <c r="B428" s="37" t="s">
        <v>58</v>
      </c>
      <c r="C428" s="37" t="s">
        <v>1350</v>
      </c>
      <c r="D428" s="37">
        <v>847</v>
      </c>
      <c r="E428" s="37">
        <v>8471260</v>
      </c>
      <c r="F428" s="37" t="s">
        <v>1404</v>
      </c>
      <c r="G428" s="37">
        <v>1</v>
      </c>
      <c r="H428" s="276">
        <v>426220</v>
      </c>
      <c r="I428" s="37" t="s">
        <v>1477</v>
      </c>
      <c r="J428" s="37" t="s">
        <v>60</v>
      </c>
      <c r="K428" s="37" t="s">
        <v>50</v>
      </c>
      <c r="L428" s="78">
        <v>847001</v>
      </c>
      <c r="M428" s="37" t="s">
        <v>61</v>
      </c>
      <c r="N428" s="37">
        <v>200179</v>
      </c>
      <c r="O428" s="3" t="s">
        <v>1671</v>
      </c>
      <c r="P428" s="37">
        <v>7904.54000000001</v>
      </c>
      <c r="Q428" s="38" t="s">
        <v>46</v>
      </c>
      <c r="R428" s="37"/>
      <c r="S428" s="21"/>
      <c r="T428" s="37" t="s">
        <v>62</v>
      </c>
      <c r="U428" s="37"/>
      <c r="V428" s="37"/>
      <c r="W428" s="21"/>
      <c r="X428" s="38">
        <v>0</v>
      </c>
      <c r="Y428" s="37"/>
      <c r="Z428" s="37"/>
      <c r="AA428" s="14">
        <f t="shared" si="20"/>
        <v>0</v>
      </c>
      <c r="AB428" s="14">
        <f t="shared" si="21"/>
        <v>0</v>
      </c>
      <c r="AC428" s="14">
        <f t="shared" si="22"/>
        <v>0</v>
      </c>
      <c r="AD428" s="21"/>
      <c r="AE428" s="21"/>
      <c r="AF428" s="21"/>
      <c r="AG428" s="50"/>
      <c r="AH428" s="50"/>
      <c r="AI428" s="50"/>
      <c r="AJ428" s="50"/>
      <c r="AK428" s="50"/>
      <c r="AL428" s="50"/>
      <c r="AM428" s="50"/>
      <c r="AN428" s="50"/>
      <c r="AO428" s="50"/>
      <c r="AP428" s="50"/>
      <c r="AQ428" s="50"/>
      <c r="AR428" s="50"/>
      <c r="AS428" s="50">
        <v>0</v>
      </c>
      <c r="AT428" s="21"/>
      <c r="AU428" s="273"/>
    </row>
    <row r="429" spans="1:47" s="39" customFormat="1" ht="16.5" hidden="1" customHeight="1" x14ac:dyDescent="0.35">
      <c r="A429" s="37" t="s">
        <v>161</v>
      </c>
      <c r="B429" s="37" t="s">
        <v>58</v>
      </c>
      <c r="C429" s="37" t="s">
        <v>1350</v>
      </c>
      <c r="D429" s="37">
        <v>847</v>
      </c>
      <c r="E429" s="37">
        <v>8471260</v>
      </c>
      <c r="F429" s="37" t="s">
        <v>1404</v>
      </c>
      <c r="G429" s="37">
        <v>1</v>
      </c>
      <c r="H429" s="276">
        <v>428111</v>
      </c>
      <c r="I429" s="37" t="s">
        <v>1478</v>
      </c>
      <c r="J429" s="37" t="s">
        <v>60</v>
      </c>
      <c r="K429" s="37" t="s">
        <v>50</v>
      </c>
      <c r="L429" s="78">
        <v>847001</v>
      </c>
      <c r="M429" s="37" t="s">
        <v>61</v>
      </c>
      <c r="N429" s="37">
        <v>200179</v>
      </c>
      <c r="O429" s="3" t="s">
        <v>1672</v>
      </c>
      <c r="P429" s="37">
        <v>506184.86</v>
      </c>
      <c r="Q429" s="38" t="s">
        <v>46</v>
      </c>
      <c r="R429" s="37"/>
      <c r="S429" s="21"/>
      <c r="T429" s="37" t="s">
        <v>62</v>
      </c>
      <c r="U429" s="37"/>
      <c r="V429" s="37"/>
      <c r="W429" s="21"/>
      <c r="X429" s="38">
        <v>0</v>
      </c>
      <c r="Y429" s="37"/>
      <c r="Z429" s="37"/>
      <c r="AA429" s="14">
        <f t="shared" si="20"/>
        <v>0</v>
      </c>
      <c r="AB429" s="14">
        <f t="shared" si="21"/>
        <v>0</v>
      </c>
      <c r="AC429" s="14">
        <f t="shared" si="22"/>
        <v>0</v>
      </c>
      <c r="AD429" s="21"/>
      <c r="AE429" s="21"/>
      <c r="AF429" s="21"/>
      <c r="AG429" s="50"/>
      <c r="AH429" s="50"/>
      <c r="AI429" s="50"/>
      <c r="AJ429" s="50"/>
      <c r="AK429" s="50"/>
      <c r="AL429" s="50"/>
      <c r="AM429" s="50"/>
      <c r="AN429" s="50"/>
      <c r="AO429" s="50"/>
      <c r="AP429" s="50"/>
      <c r="AQ429" s="50"/>
      <c r="AR429" s="50"/>
      <c r="AS429" s="50">
        <v>0</v>
      </c>
      <c r="AT429" s="21"/>
      <c r="AU429" s="273"/>
    </row>
    <row r="430" spans="1:47" s="39" customFormat="1" ht="16.5" hidden="1" customHeight="1" x14ac:dyDescent="0.35">
      <c r="A430" s="37" t="s">
        <v>161</v>
      </c>
      <c r="B430" s="37" t="s">
        <v>58</v>
      </c>
      <c r="C430" s="37" t="s">
        <v>1350</v>
      </c>
      <c r="D430" s="37">
        <v>847</v>
      </c>
      <c r="E430" s="37">
        <v>8471260</v>
      </c>
      <c r="F430" s="37" t="s">
        <v>1404</v>
      </c>
      <c r="G430" s="37">
        <v>1</v>
      </c>
      <c r="H430" s="276">
        <v>428112</v>
      </c>
      <c r="I430" s="37" t="s">
        <v>1479</v>
      </c>
      <c r="J430" s="37" t="s">
        <v>60</v>
      </c>
      <c r="K430" s="37" t="s">
        <v>50</v>
      </c>
      <c r="L430" s="78">
        <v>847001</v>
      </c>
      <c r="M430" s="37" t="s">
        <v>61</v>
      </c>
      <c r="N430" s="37">
        <v>200179</v>
      </c>
      <c r="O430" s="3" t="s">
        <v>1673</v>
      </c>
      <c r="P430" s="37">
        <v>166804.99</v>
      </c>
      <c r="Q430" s="38" t="s">
        <v>46</v>
      </c>
      <c r="R430" s="37"/>
      <c r="S430" s="21"/>
      <c r="T430" s="37" t="s">
        <v>62</v>
      </c>
      <c r="U430" s="37"/>
      <c r="V430" s="37"/>
      <c r="W430" s="21"/>
      <c r="X430" s="38">
        <v>0</v>
      </c>
      <c r="Y430" s="37"/>
      <c r="Z430" s="37"/>
      <c r="AA430" s="14">
        <f t="shared" si="20"/>
        <v>0</v>
      </c>
      <c r="AB430" s="14">
        <f t="shared" si="21"/>
        <v>0</v>
      </c>
      <c r="AC430" s="14">
        <f t="shared" si="22"/>
        <v>0</v>
      </c>
      <c r="AD430" s="21"/>
      <c r="AE430" s="21"/>
      <c r="AF430" s="21"/>
      <c r="AG430" s="50"/>
      <c r="AH430" s="50"/>
      <c r="AI430" s="50"/>
      <c r="AJ430" s="50"/>
      <c r="AK430" s="50"/>
      <c r="AL430" s="50"/>
      <c r="AM430" s="50"/>
      <c r="AN430" s="50"/>
      <c r="AO430" s="50"/>
      <c r="AP430" s="50"/>
      <c r="AQ430" s="50"/>
      <c r="AR430" s="50"/>
      <c r="AS430" s="50">
        <v>0</v>
      </c>
      <c r="AT430" s="21"/>
      <c r="AU430" s="273"/>
    </row>
    <row r="431" spans="1:47" s="39" customFormat="1" ht="16.5" hidden="1" customHeight="1" x14ac:dyDescent="0.35">
      <c r="A431" s="37" t="s">
        <v>63</v>
      </c>
      <c r="B431" s="37" t="s">
        <v>58</v>
      </c>
      <c r="C431" s="37" t="s">
        <v>1350</v>
      </c>
      <c r="D431" s="37">
        <v>847</v>
      </c>
      <c r="E431" s="37">
        <v>8471260</v>
      </c>
      <c r="F431" s="37" t="s">
        <v>1404</v>
      </c>
      <c r="G431" s="37">
        <v>1</v>
      </c>
      <c r="H431" s="276">
        <v>430230</v>
      </c>
      <c r="I431" s="37" t="s">
        <v>160</v>
      </c>
      <c r="J431" s="37" t="s">
        <v>60</v>
      </c>
      <c r="K431" s="37" t="s">
        <v>50</v>
      </c>
      <c r="L431" s="78">
        <v>847001</v>
      </c>
      <c r="M431" s="37" t="s">
        <v>61</v>
      </c>
      <c r="N431" s="37">
        <v>200179</v>
      </c>
      <c r="O431" s="3" t="s">
        <v>1674</v>
      </c>
      <c r="P431" s="37">
        <v>5500</v>
      </c>
      <c r="Q431" s="38" t="s">
        <v>46</v>
      </c>
      <c r="R431" s="37"/>
      <c r="S431" s="21"/>
      <c r="T431" s="37" t="s">
        <v>62</v>
      </c>
      <c r="U431" s="37"/>
      <c r="V431" s="37"/>
      <c r="W431" s="21"/>
      <c r="X431" s="38">
        <v>0</v>
      </c>
      <c r="Y431" s="37"/>
      <c r="Z431" s="37"/>
      <c r="AA431" s="14">
        <f t="shared" si="20"/>
        <v>0</v>
      </c>
      <c r="AB431" s="14">
        <f t="shared" si="21"/>
        <v>0</v>
      </c>
      <c r="AC431" s="14">
        <f t="shared" si="22"/>
        <v>0</v>
      </c>
      <c r="AD431" s="21"/>
      <c r="AE431" s="21"/>
      <c r="AF431" s="21"/>
      <c r="AG431" s="50"/>
      <c r="AH431" s="50"/>
      <c r="AI431" s="50"/>
      <c r="AJ431" s="50"/>
      <c r="AK431" s="50"/>
      <c r="AL431" s="50"/>
      <c r="AM431" s="50"/>
      <c r="AN431" s="50"/>
      <c r="AO431" s="50"/>
      <c r="AP431" s="50"/>
      <c r="AQ431" s="50"/>
      <c r="AR431" s="50"/>
      <c r="AS431" s="50">
        <v>0</v>
      </c>
      <c r="AT431" s="21"/>
      <c r="AU431" s="273"/>
    </row>
    <row r="432" spans="1:47" s="39" customFormat="1" ht="16.5" hidden="1" customHeight="1" x14ac:dyDescent="0.35">
      <c r="A432" s="37" t="s">
        <v>161</v>
      </c>
      <c r="B432" s="37" t="s">
        <v>58</v>
      </c>
      <c r="C432" s="37" t="s">
        <v>1350</v>
      </c>
      <c r="D432" s="37">
        <v>847</v>
      </c>
      <c r="E432" s="37">
        <v>8471260</v>
      </c>
      <c r="F432" s="37" t="s">
        <v>1404</v>
      </c>
      <c r="G432" s="37">
        <v>1</v>
      </c>
      <c r="H432" s="276">
        <v>432120</v>
      </c>
      <c r="I432" s="37" t="s">
        <v>1480</v>
      </c>
      <c r="J432" s="37" t="s">
        <v>60</v>
      </c>
      <c r="K432" s="37" t="s">
        <v>50</v>
      </c>
      <c r="L432" s="78">
        <v>847001</v>
      </c>
      <c r="M432" s="37" t="s">
        <v>61</v>
      </c>
      <c r="N432" s="37">
        <v>200179</v>
      </c>
      <c r="O432" s="3" t="s">
        <v>1675</v>
      </c>
      <c r="P432" s="37">
        <v>118836.36</v>
      </c>
      <c r="Q432" s="38" t="s">
        <v>46</v>
      </c>
      <c r="R432" s="37"/>
      <c r="S432" s="21"/>
      <c r="T432" s="37" t="s">
        <v>62</v>
      </c>
      <c r="U432" s="37"/>
      <c r="V432" s="37"/>
      <c r="W432" s="21"/>
      <c r="X432" s="38">
        <v>0</v>
      </c>
      <c r="Y432" s="37"/>
      <c r="Z432" s="37"/>
      <c r="AA432" s="14">
        <f t="shared" si="20"/>
        <v>0</v>
      </c>
      <c r="AB432" s="14">
        <f t="shared" si="21"/>
        <v>0</v>
      </c>
      <c r="AC432" s="14">
        <f t="shared" si="22"/>
        <v>0</v>
      </c>
      <c r="AD432" s="21"/>
      <c r="AE432" s="21"/>
      <c r="AF432" s="21"/>
      <c r="AG432" s="50"/>
      <c r="AH432" s="50"/>
      <c r="AI432" s="50"/>
      <c r="AJ432" s="50"/>
      <c r="AK432" s="50"/>
      <c r="AL432" s="50"/>
      <c r="AM432" s="50"/>
      <c r="AN432" s="50"/>
      <c r="AO432" s="50"/>
      <c r="AP432" s="50"/>
      <c r="AQ432" s="50"/>
      <c r="AR432" s="50"/>
      <c r="AS432" s="50">
        <v>0</v>
      </c>
      <c r="AT432" s="21"/>
      <c r="AU432" s="273"/>
    </row>
    <row r="433" spans="1:47" ht="16.5" hidden="1" customHeight="1" x14ac:dyDescent="0.35">
      <c r="A433" s="2" t="s">
        <v>245</v>
      </c>
      <c r="B433" s="2" t="s">
        <v>246</v>
      </c>
      <c r="C433" s="2" t="s">
        <v>1350</v>
      </c>
      <c r="D433" s="2">
        <v>847</v>
      </c>
      <c r="E433" s="2">
        <v>8471220</v>
      </c>
      <c r="F433" s="2" t="s">
        <v>1481</v>
      </c>
      <c r="G433" s="2">
        <v>1</v>
      </c>
      <c r="H433" s="276">
        <v>425510</v>
      </c>
      <c r="I433" s="2" t="s">
        <v>247</v>
      </c>
      <c r="J433" s="2" t="s">
        <v>60</v>
      </c>
      <c r="K433" s="2" t="s">
        <v>50</v>
      </c>
      <c r="L433" s="7">
        <v>847001</v>
      </c>
      <c r="M433" s="2" t="s">
        <v>61</v>
      </c>
      <c r="N433" s="2">
        <v>200179</v>
      </c>
      <c r="O433" s="3" t="s">
        <v>1676</v>
      </c>
      <c r="P433" s="2">
        <v>0</v>
      </c>
      <c r="Q433" s="35">
        <v>2200</v>
      </c>
      <c r="R433" s="2"/>
      <c r="S433" s="3" t="s">
        <v>433</v>
      </c>
      <c r="T433" s="2" t="s">
        <v>434</v>
      </c>
      <c r="U433" s="2">
        <v>2</v>
      </c>
      <c r="V433" s="2">
        <v>2000</v>
      </c>
      <c r="W433" s="3" t="s">
        <v>1482</v>
      </c>
      <c r="X433" s="36">
        <v>4000</v>
      </c>
      <c r="Y433" s="2" t="s">
        <v>1483</v>
      </c>
      <c r="Z433" s="2" t="s">
        <v>56</v>
      </c>
      <c r="AA433" s="14">
        <f t="shared" si="20"/>
        <v>3600</v>
      </c>
      <c r="AB433" s="14">
        <f t="shared" si="21"/>
        <v>3200</v>
      </c>
      <c r="AC433" s="14">
        <f t="shared" si="22"/>
        <v>2800</v>
      </c>
      <c r="AD433" s="3" t="s">
        <v>1484</v>
      </c>
      <c r="AE433" s="3" t="s">
        <v>1484</v>
      </c>
      <c r="AF433" s="3" t="s">
        <v>1484</v>
      </c>
      <c r="AG433" s="43">
        <v>4000</v>
      </c>
      <c r="AH433" s="43"/>
      <c r="AI433" s="43"/>
      <c r="AJ433" s="43"/>
      <c r="AK433" s="43"/>
      <c r="AL433" s="43"/>
      <c r="AM433" s="43"/>
      <c r="AN433" s="43"/>
      <c r="AO433" s="43"/>
      <c r="AP433" s="43"/>
      <c r="AQ433" s="43"/>
      <c r="AR433" s="43"/>
      <c r="AS433" s="43">
        <v>4000</v>
      </c>
      <c r="AT433" s="3"/>
      <c r="AU433" s="272"/>
    </row>
    <row r="434" spans="1:47" ht="16.5" hidden="1" customHeight="1" x14ac:dyDescent="0.35">
      <c r="A434" s="2" t="s">
        <v>258</v>
      </c>
      <c r="B434" s="2" t="s">
        <v>58</v>
      </c>
      <c r="C434" s="2" t="s">
        <v>1350</v>
      </c>
      <c r="D434" s="2">
        <v>847</v>
      </c>
      <c r="E434" s="2">
        <v>8471220</v>
      </c>
      <c r="F434" s="2" t="s">
        <v>1481</v>
      </c>
      <c r="G434" s="2">
        <v>1</v>
      </c>
      <c r="H434" s="276">
        <v>425741</v>
      </c>
      <c r="I434" s="2" t="s">
        <v>1485</v>
      </c>
      <c r="J434" s="2" t="s">
        <v>60</v>
      </c>
      <c r="K434" s="2" t="s">
        <v>50</v>
      </c>
      <c r="L434" s="7">
        <v>847001</v>
      </c>
      <c r="M434" s="2" t="s">
        <v>61</v>
      </c>
      <c r="N434" s="2">
        <v>200179</v>
      </c>
      <c r="O434" s="3" t="s">
        <v>1677</v>
      </c>
      <c r="P434" s="2">
        <v>40250800</v>
      </c>
      <c r="Q434" s="35">
        <v>80501600</v>
      </c>
      <c r="R434" s="2"/>
      <c r="S434" s="3" t="s">
        <v>1486</v>
      </c>
      <c r="T434" s="2" t="s">
        <v>262</v>
      </c>
      <c r="U434" s="36">
        <v>1</v>
      </c>
      <c r="V434" s="36">
        <v>98652604.176784843</v>
      </c>
      <c r="W434" s="3" t="s">
        <v>1487</v>
      </c>
      <c r="X434" s="36">
        <v>98652604.176784843</v>
      </c>
      <c r="Y434" s="2" t="s">
        <v>1483</v>
      </c>
      <c r="Z434" s="2" t="s">
        <v>56</v>
      </c>
      <c r="AA434" s="14">
        <f t="shared" si="20"/>
        <v>88787343.759106368</v>
      </c>
      <c r="AB434" s="14">
        <f t="shared" si="21"/>
        <v>78922083.341427878</v>
      </c>
      <c r="AC434" s="14">
        <f t="shared" si="22"/>
        <v>69056822.923749387</v>
      </c>
      <c r="AD434" s="3" t="s">
        <v>1484</v>
      </c>
      <c r="AE434" s="3" t="s">
        <v>1484</v>
      </c>
      <c r="AF434" s="3" t="s">
        <v>1484</v>
      </c>
      <c r="AG434" s="43">
        <v>6165787.7610490527</v>
      </c>
      <c r="AH434" s="43">
        <v>12331575.522098105</v>
      </c>
      <c r="AI434" s="43">
        <v>12331575.522098105</v>
      </c>
      <c r="AJ434" s="43">
        <v>12331575.522098105</v>
      </c>
      <c r="AK434" s="43">
        <v>12331575.522098105</v>
      </c>
      <c r="AL434" s="43"/>
      <c r="AM434" s="43"/>
      <c r="AN434" s="43"/>
      <c r="AO434" s="43">
        <v>12331575.522098105</v>
      </c>
      <c r="AP434" s="43">
        <v>12331575.522098105</v>
      </c>
      <c r="AQ434" s="43">
        <v>12331575.522098105</v>
      </c>
      <c r="AR434" s="43">
        <v>6165787.7610490527</v>
      </c>
      <c r="AS434" s="43">
        <v>98652604.176784843</v>
      </c>
      <c r="AT434" s="3"/>
      <c r="AU434" s="272" t="s">
        <v>1488</v>
      </c>
    </row>
    <row r="435" spans="1:47" ht="16.5" hidden="1" customHeight="1" x14ac:dyDescent="0.35">
      <c r="A435" s="2" t="s">
        <v>71</v>
      </c>
      <c r="B435" s="2" t="s">
        <v>58</v>
      </c>
      <c r="C435" s="2" t="s">
        <v>1350</v>
      </c>
      <c r="D435" s="2">
        <v>847</v>
      </c>
      <c r="E435" s="2">
        <v>8471220</v>
      </c>
      <c r="F435" s="2" t="s">
        <v>1481</v>
      </c>
      <c r="G435" s="2">
        <v>1</v>
      </c>
      <c r="H435" s="276">
        <v>426900</v>
      </c>
      <c r="I435" s="2" t="s">
        <v>1080</v>
      </c>
      <c r="J435" s="2" t="s">
        <v>60</v>
      </c>
      <c r="K435" s="2" t="s">
        <v>50</v>
      </c>
      <c r="L435" s="7">
        <v>847001</v>
      </c>
      <c r="M435" s="2" t="s">
        <v>61</v>
      </c>
      <c r="N435" s="2">
        <v>200179</v>
      </c>
      <c r="O435" s="3" t="s">
        <v>1678</v>
      </c>
      <c r="P435" s="2">
        <v>0</v>
      </c>
      <c r="Q435" s="35">
        <v>11000</v>
      </c>
      <c r="R435" s="2"/>
      <c r="S435" s="3" t="s">
        <v>1489</v>
      </c>
      <c r="T435" s="2" t="s">
        <v>157</v>
      </c>
      <c r="U435" s="2">
        <v>5190</v>
      </c>
      <c r="V435" s="2">
        <v>1</v>
      </c>
      <c r="W435" s="3" t="s">
        <v>1490</v>
      </c>
      <c r="X435" s="36">
        <v>5190</v>
      </c>
      <c r="Y435" s="2" t="s">
        <v>1483</v>
      </c>
      <c r="Z435" s="2" t="s">
        <v>56</v>
      </c>
      <c r="AA435" s="14">
        <f t="shared" si="20"/>
        <v>4671</v>
      </c>
      <c r="AB435" s="14">
        <f t="shared" si="21"/>
        <v>4152</v>
      </c>
      <c r="AC435" s="14">
        <f t="shared" si="22"/>
        <v>3632.9999999999995</v>
      </c>
      <c r="AD435" s="3" t="s">
        <v>1484</v>
      </c>
      <c r="AE435" s="3" t="s">
        <v>1484</v>
      </c>
      <c r="AF435" s="3" t="s">
        <v>1484</v>
      </c>
      <c r="AG435" s="43">
        <v>5190</v>
      </c>
      <c r="AH435" s="43"/>
      <c r="AI435" s="43"/>
      <c r="AJ435" s="43"/>
      <c r="AK435" s="43"/>
      <c r="AL435" s="43"/>
      <c r="AM435" s="43"/>
      <c r="AN435" s="43"/>
      <c r="AO435" s="43"/>
      <c r="AP435" s="43"/>
      <c r="AQ435" s="43"/>
      <c r="AR435" s="43"/>
      <c r="AS435" s="43">
        <v>5190</v>
      </c>
      <c r="AT435" s="3"/>
      <c r="AU435" s="272"/>
    </row>
    <row r="436" spans="1:47" ht="16.5" hidden="1" customHeight="1" x14ac:dyDescent="0.35">
      <c r="A436" s="2" t="s">
        <v>222</v>
      </c>
      <c r="B436" s="2" t="s">
        <v>58</v>
      </c>
      <c r="C436" s="2" t="s">
        <v>1350</v>
      </c>
      <c r="D436" s="2">
        <v>847</v>
      </c>
      <c r="E436" s="2">
        <v>8471220</v>
      </c>
      <c r="F436" s="2" t="s">
        <v>1481</v>
      </c>
      <c r="G436" s="2">
        <v>1</v>
      </c>
      <c r="H436" s="276">
        <v>435340</v>
      </c>
      <c r="I436" s="2" t="s">
        <v>655</v>
      </c>
      <c r="J436" s="2" t="s">
        <v>60</v>
      </c>
      <c r="K436" s="2" t="s">
        <v>50</v>
      </c>
      <c r="L436" s="7">
        <v>847001</v>
      </c>
      <c r="M436" s="2" t="s">
        <v>61</v>
      </c>
      <c r="N436" s="2">
        <v>200179</v>
      </c>
      <c r="O436" s="3" t="s">
        <v>1679</v>
      </c>
      <c r="P436" s="2">
        <v>9483734.2200000007</v>
      </c>
      <c r="Q436" s="35">
        <v>9500000</v>
      </c>
      <c r="R436" s="2"/>
      <c r="S436" s="3" t="s">
        <v>1491</v>
      </c>
      <c r="T436" s="2" t="s">
        <v>1492</v>
      </c>
      <c r="U436" s="2">
        <v>1</v>
      </c>
      <c r="V436" s="36">
        <v>11400000</v>
      </c>
      <c r="W436" s="3" t="s">
        <v>1493</v>
      </c>
      <c r="X436" s="36">
        <v>11400000</v>
      </c>
      <c r="Y436" s="2" t="s">
        <v>1483</v>
      </c>
      <c r="Z436" s="2" t="s">
        <v>56</v>
      </c>
      <c r="AA436" s="14">
        <f t="shared" si="20"/>
        <v>10260000</v>
      </c>
      <c r="AB436" s="14">
        <f t="shared" si="21"/>
        <v>9120000</v>
      </c>
      <c r="AC436" s="14">
        <f t="shared" si="22"/>
        <v>7979999.9999999991</v>
      </c>
      <c r="AD436" s="3" t="s">
        <v>1484</v>
      </c>
      <c r="AE436" s="3" t="s">
        <v>1484</v>
      </c>
      <c r="AF436" s="3" t="s">
        <v>1484</v>
      </c>
      <c r="AG436" s="43">
        <v>11400000</v>
      </c>
      <c r="AH436" s="43"/>
      <c r="AI436" s="43"/>
      <c r="AJ436" s="43"/>
      <c r="AK436" s="43"/>
      <c r="AL436" s="43"/>
      <c r="AM436" s="43"/>
      <c r="AN436" s="43"/>
      <c r="AO436" s="43"/>
      <c r="AP436" s="43"/>
      <c r="AQ436" s="43"/>
      <c r="AR436" s="43"/>
      <c r="AS436" s="43">
        <v>11400000</v>
      </c>
      <c r="AT436" s="3"/>
      <c r="AU436" s="272" t="s">
        <v>1494</v>
      </c>
    </row>
    <row r="437" spans="1:47" ht="16.5" hidden="1" customHeight="1" x14ac:dyDescent="0.35">
      <c r="A437" s="2" t="s">
        <v>189</v>
      </c>
      <c r="B437" s="2" t="s">
        <v>58</v>
      </c>
      <c r="C437" s="2" t="s">
        <v>1350</v>
      </c>
      <c r="D437" s="2">
        <v>847</v>
      </c>
      <c r="E437" s="2">
        <v>8471220</v>
      </c>
      <c r="F437" s="2" t="s">
        <v>1481</v>
      </c>
      <c r="G437" s="2">
        <v>1</v>
      </c>
      <c r="H437" s="276">
        <v>436110</v>
      </c>
      <c r="I437" s="2" t="s">
        <v>190</v>
      </c>
      <c r="J437" s="2" t="s">
        <v>60</v>
      </c>
      <c r="K437" s="2" t="s">
        <v>50</v>
      </c>
      <c r="L437" s="7">
        <v>847001</v>
      </c>
      <c r="M437" s="2" t="s">
        <v>61</v>
      </c>
      <c r="N437" s="2">
        <v>200179</v>
      </c>
      <c r="O437" s="3" t="s">
        <v>1680</v>
      </c>
      <c r="P437" s="2">
        <v>21820</v>
      </c>
      <c r="Q437" s="35">
        <v>300000</v>
      </c>
      <c r="R437" s="2"/>
      <c r="S437" s="3" t="s">
        <v>829</v>
      </c>
      <c r="T437" s="2" t="s">
        <v>157</v>
      </c>
      <c r="U437" s="2">
        <v>1</v>
      </c>
      <c r="V437" s="36">
        <v>361000</v>
      </c>
      <c r="W437" s="3" t="s">
        <v>1495</v>
      </c>
      <c r="X437" s="36">
        <v>361000</v>
      </c>
      <c r="Y437" s="2" t="s">
        <v>1483</v>
      </c>
      <c r="Z437" s="2" t="s">
        <v>56</v>
      </c>
      <c r="AA437" s="14">
        <f t="shared" si="20"/>
        <v>324900</v>
      </c>
      <c r="AB437" s="14">
        <f t="shared" si="21"/>
        <v>288800</v>
      </c>
      <c r="AC437" s="14">
        <f t="shared" si="22"/>
        <v>252699.99999999997</v>
      </c>
      <c r="AD437" s="3" t="s">
        <v>1484</v>
      </c>
      <c r="AE437" s="3" t="s">
        <v>1484</v>
      </c>
      <c r="AF437" s="3" t="s">
        <v>1484</v>
      </c>
      <c r="AG437" s="43">
        <v>361000</v>
      </c>
      <c r="AH437" s="43"/>
      <c r="AI437" s="43"/>
      <c r="AJ437" s="43"/>
      <c r="AK437" s="43"/>
      <c r="AL437" s="43"/>
      <c r="AM437" s="43"/>
      <c r="AN437" s="43"/>
      <c r="AO437" s="43"/>
      <c r="AP437" s="43"/>
      <c r="AQ437" s="43"/>
      <c r="AR437" s="43"/>
      <c r="AS437" s="43">
        <v>361000</v>
      </c>
      <c r="AT437" s="3"/>
      <c r="AU437" s="272"/>
    </row>
    <row r="438" spans="1:47" ht="16.5" hidden="1" customHeight="1" x14ac:dyDescent="0.35">
      <c r="A438" s="2" t="s">
        <v>189</v>
      </c>
      <c r="B438" s="2" t="s">
        <v>58</v>
      </c>
      <c r="C438" s="2" t="s">
        <v>1350</v>
      </c>
      <c r="D438" s="2">
        <v>847</v>
      </c>
      <c r="E438" s="2">
        <v>8471220</v>
      </c>
      <c r="F438" s="2" t="s">
        <v>1481</v>
      </c>
      <c r="G438" s="2">
        <v>1</v>
      </c>
      <c r="H438" s="276">
        <v>436120</v>
      </c>
      <c r="I438" s="2" t="s">
        <v>291</v>
      </c>
      <c r="J438" s="2" t="s">
        <v>60</v>
      </c>
      <c r="K438" s="2" t="s">
        <v>50</v>
      </c>
      <c r="L438" s="7">
        <v>847001</v>
      </c>
      <c r="M438" s="2" t="s">
        <v>61</v>
      </c>
      <c r="N438" s="2">
        <v>200179</v>
      </c>
      <c r="O438" s="3" t="s">
        <v>1681</v>
      </c>
      <c r="P438" s="2">
        <v>0</v>
      </c>
      <c r="Q438" s="35">
        <v>6000</v>
      </c>
      <c r="R438" s="2"/>
      <c r="S438" s="3" t="s">
        <v>292</v>
      </c>
      <c r="T438" s="2" t="s">
        <v>157</v>
      </c>
      <c r="U438" s="2">
        <v>12</v>
      </c>
      <c r="V438" s="2">
        <v>200</v>
      </c>
      <c r="W438" s="3" t="s">
        <v>1496</v>
      </c>
      <c r="X438" s="36">
        <v>2400</v>
      </c>
      <c r="Y438" s="2" t="s">
        <v>1483</v>
      </c>
      <c r="Z438" s="2" t="s">
        <v>56</v>
      </c>
      <c r="AA438" s="14">
        <f t="shared" si="20"/>
        <v>2160</v>
      </c>
      <c r="AB438" s="14">
        <f t="shared" si="21"/>
        <v>1920</v>
      </c>
      <c r="AC438" s="14">
        <f t="shared" si="22"/>
        <v>1680</v>
      </c>
      <c r="AD438" s="3" t="s">
        <v>1484</v>
      </c>
      <c r="AE438" s="3" t="s">
        <v>1484</v>
      </c>
      <c r="AF438" s="3" t="s">
        <v>1484</v>
      </c>
      <c r="AG438" s="43">
        <v>2400</v>
      </c>
      <c r="AH438" s="43"/>
      <c r="AI438" s="43"/>
      <c r="AJ438" s="43"/>
      <c r="AK438" s="43"/>
      <c r="AL438" s="43"/>
      <c r="AM438" s="43"/>
      <c r="AN438" s="43"/>
      <c r="AO438" s="43"/>
      <c r="AP438" s="43"/>
      <c r="AQ438" s="43"/>
      <c r="AR438" s="43"/>
      <c r="AS438" s="43">
        <v>2400</v>
      </c>
      <c r="AT438" s="3"/>
      <c r="AU438" s="272"/>
    </row>
    <row r="439" spans="1:47" ht="16.5" hidden="1" customHeight="1" x14ac:dyDescent="0.35">
      <c r="A439" s="2" t="s">
        <v>189</v>
      </c>
      <c r="B439" s="2" t="s">
        <v>265</v>
      </c>
      <c r="C439" s="2" t="s">
        <v>1350</v>
      </c>
      <c r="D439" s="2">
        <v>847</v>
      </c>
      <c r="E439" s="2">
        <v>8471270</v>
      </c>
      <c r="F439" s="2" t="s">
        <v>1497</v>
      </c>
      <c r="G439" s="2">
        <v>1</v>
      </c>
      <c r="H439" s="276">
        <v>425900</v>
      </c>
      <c r="I439" s="2" t="s">
        <v>266</v>
      </c>
      <c r="J439" s="2" t="s">
        <v>60</v>
      </c>
      <c r="K439" s="2" t="s">
        <v>50</v>
      </c>
      <c r="L439" s="7">
        <v>847001</v>
      </c>
      <c r="M439" s="2" t="s">
        <v>61</v>
      </c>
      <c r="N439" s="2">
        <v>200179</v>
      </c>
      <c r="O439" s="3" t="s">
        <v>1682</v>
      </c>
      <c r="P439" s="2" t="s">
        <v>46</v>
      </c>
      <c r="Q439" s="35">
        <v>50000</v>
      </c>
      <c r="R439" s="2">
        <v>50000</v>
      </c>
      <c r="S439" s="3" t="s">
        <v>268</v>
      </c>
      <c r="T439" s="2" t="s">
        <v>157</v>
      </c>
      <c r="U439" s="2">
        <v>1</v>
      </c>
      <c r="V439" s="2">
        <v>50000</v>
      </c>
      <c r="W439" s="3" t="s">
        <v>1498</v>
      </c>
      <c r="X439" s="36">
        <v>50000</v>
      </c>
      <c r="Y439" s="2" t="s">
        <v>55</v>
      </c>
      <c r="Z439" s="2" t="s">
        <v>56</v>
      </c>
      <c r="AA439" s="14">
        <f t="shared" si="20"/>
        <v>45000</v>
      </c>
      <c r="AB439" s="14">
        <f t="shared" si="21"/>
        <v>40000</v>
      </c>
      <c r="AC439" s="14">
        <f t="shared" si="22"/>
        <v>35000</v>
      </c>
      <c r="AD439" s="3" t="s">
        <v>1499</v>
      </c>
      <c r="AE439" s="3" t="s">
        <v>1500</v>
      </c>
      <c r="AF439" s="3" t="s">
        <v>1500</v>
      </c>
      <c r="AG439" s="43">
        <v>15000</v>
      </c>
      <c r="AH439" s="43"/>
      <c r="AI439" s="43"/>
      <c r="AJ439" s="43"/>
      <c r="AK439" s="43">
        <v>15000</v>
      </c>
      <c r="AL439" s="43"/>
      <c r="AM439" s="43"/>
      <c r="AN439" s="43"/>
      <c r="AO439" s="43">
        <v>20000</v>
      </c>
      <c r="AP439" s="43"/>
      <c r="AQ439" s="43"/>
      <c r="AR439" s="43"/>
      <c r="AS439" s="43">
        <v>50000</v>
      </c>
      <c r="AT439" s="3" t="s">
        <v>384</v>
      </c>
      <c r="AU439" s="272"/>
    </row>
    <row r="440" spans="1:47" ht="16.5" hidden="1" customHeight="1" x14ac:dyDescent="0.35">
      <c r="A440" s="2" t="s">
        <v>153</v>
      </c>
      <c r="B440" s="2" t="s">
        <v>58</v>
      </c>
      <c r="C440" s="2" t="s">
        <v>1350</v>
      </c>
      <c r="D440" s="2">
        <v>847</v>
      </c>
      <c r="E440" s="2">
        <v>8471270</v>
      </c>
      <c r="F440" s="2" t="s">
        <v>1497</v>
      </c>
      <c r="G440" s="2">
        <v>1</v>
      </c>
      <c r="H440" s="276">
        <v>428090</v>
      </c>
      <c r="I440" s="2" t="s">
        <v>154</v>
      </c>
      <c r="J440" s="2" t="s">
        <v>60</v>
      </c>
      <c r="K440" s="2" t="s">
        <v>50</v>
      </c>
      <c r="L440" s="7">
        <v>847001</v>
      </c>
      <c r="M440" s="2" t="s">
        <v>61</v>
      </c>
      <c r="N440" s="2">
        <v>200179</v>
      </c>
      <c r="O440" s="3" t="s">
        <v>1683</v>
      </c>
      <c r="P440" s="2" t="s">
        <v>46</v>
      </c>
      <c r="Q440" s="35">
        <v>300000</v>
      </c>
      <c r="R440" s="2">
        <v>300000</v>
      </c>
      <c r="S440" s="3" t="s">
        <v>156</v>
      </c>
      <c r="T440" s="2" t="s">
        <v>157</v>
      </c>
      <c r="U440" s="2">
        <v>16</v>
      </c>
      <c r="V440" s="2">
        <v>18750</v>
      </c>
      <c r="W440" s="3" t="s">
        <v>1501</v>
      </c>
      <c r="X440" s="36">
        <v>300000</v>
      </c>
      <c r="Y440" s="2" t="s">
        <v>55</v>
      </c>
      <c r="Z440" s="2" t="s">
        <v>56</v>
      </c>
      <c r="AA440" s="14">
        <f t="shared" si="20"/>
        <v>270000</v>
      </c>
      <c r="AB440" s="14">
        <f t="shared" si="21"/>
        <v>240000</v>
      </c>
      <c r="AC440" s="14">
        <f t="shared" si="22"/>
        <v>210000</v>
      </c>
      <c r="AD440" s="3" t="s">
        <v>1502</v>
      </c>
      <c r="AE440" s="3" t="s">
        <v>1503</v>
      </c>
      <c r="AF440" s="3" t="s">
        <v>1504</v>
      </c>
      <c r="AG440" s="43"/>
      <c r="AH440" s="43">
        <v>100000</v>
      </c>
      <c r="AI440" s="43"/>
      <c r="AJ440" s="43"/>
      <c r="AK440" s="43"/>
      <c r="AL440" s="43">
        <v>100000</v>
      </c>
      <c r="AM440" s="43"/>
      <c r="AN440" s="43"/>
      <c r="AO440" s="43">
        <v>100000</v>
      </c>
      <c r="AP440" s="43"/>
      <c r="AQ440" s="43"/>
      <c r="AR440" s="43"/>
      <c r="AS440" s="43">
        <v>300000</v>
      </c>
      <c r="AT440" s="3" t="s">
        <v>264</v>
      </c>
      <c r="AU440" s="272"/>
    </row>
    <row r="441" spans="1:47" ht="16.5" hidden="1" customHeight="1" x14ac:dyDescent="0.35">
      <c r="A441" s="2" t="s">
        <v>222</v>
      </c>
      <c r="B441" s="2" t="s">
        <v>58</v>
      </c>
      <c r="C441" s="2" t="s">
        <v>1350</v>
      </c>
      <c r="D441" s="2">
        <v>847</v>
      </c>
      <c r="E441" s="2">
        <v>8471270</v>
      </c>
      <c r="F441" s="2" t="s">
        <v>1497</v>
      </c>
      <c r="G441" s="2">
        <v>1</v>
      </c>
      <c r="H441" s="276">
        <v>435330</v>
      </c>
      <c r="I441" s="2" t="s">
        <v>1111</v>
      </c>
      <c r="J441" s="2" t="s">
        <v>60</v>
      </c>
      <c r="K441" s="2" t="s">
        <v>50</v>
      </c>
      <c r="L441" s="7">
        <v>847001</v>
      </c>
      <c r="M441" s="2" t="s">
        <v>61</v>
      </c>
      <c r="N441" s="2">
        <v>200179</v>
      </c>
      <c r="O441" s="3" t="s">
        <v>1684</v>
      </c>
      <c r="P441" s="2">
        <v>13236762.58</v>
      </c>
      <c r="Q441" s="35">
        <v>15199430</v>
      </c>
      <c r="R441" s="2">
        <v>15199430</v>
      </c>
      <c r="S441" s="3" t="s">
        <v>1113</v>
      </c>
      <c r="T441" s="2" t="s">
        <v>157</v>
      </c>
      <c r="U441" s="2">
        <v>4000</v>
      </c>
      <c r="V441" s="2">
        <v>3891</v>
      </c>
      <c r="W441" s="3"/>
      <c r="X441" s="36">
        <v>15564000</v>
      </c>
      <c r="Y441" s="2" t="s">
        <v>55</v>
      </c>
      <c r="Z441" s="2" t="s">
        <v>56</v>
      </c>
      <c r="AA441" s="14">
        <f t="shared" si="20"/>
        <v>14007600</v>
      </c>
      <c r="AB441" s="14">
        <f t="shared" si="21"/>
        <v>12451200</v>
      </c>
      <c r="AC441" s="14">
        <f t="shared" si="22"/>
        <v>10894800</v>
      </c>
      <c r="AD441" s="3" t="s">
        <v>1505</v>
      </c>
      <c r="AE441" s="3" t="s">
        <v>1505</v>
      </c>
      <c r="AF441" s="3" t="s">
        <v>1505</v>
      </c>
      <c r="AG441" s="43">
        <v>10000000</v>
      </c>
      <c r="AH441" s="43"/>
      <c r="AI441" s="43"/>
      <c r="AJ441" s="43"/>
      <c r="AK441" s="43"/>
      <c r="AL441" s="43">
        <v>5564000</v>
      </c>
      <c r="AM441" s="43"/>
      <c r="AN441" s="43"/>
      <c r="AO441" s="43"/>
      <c r="AP441" s="43"/>
      <c r="AQ441" s="43"/>
      <c r="AR441" s="43"/>
      <c r="AS441" s="43">
        <v>15564000</v>
      </c>
      <c r="AT441" s="3" t="s">
        <v>384</v>
      </c>
      <c r="AU441" s="272"/>
    </row>
    <row r="442" spans="1:47" ht="16.5" hidden="1" customHeight="1" x14ac:dyDescent="0.35">
      <c r="A442" s="2" t="s">
        <v>189</v>
      </c>
      <c r="B442" s="2" t="s">
        <v>58</v>
      </c>
      <c r="C442" s="2" t="s">
        <v>1350</v>
      </c>
      <c r="D442" s="2">
        <v>847</v>
      </c>
      <c r="E442" s="2">
        <v>8471270</v>
      </c>
      <c r="F442" s="2" t="s">
        <v>1497</v>
      </c>
      <c r="G442" s="2">
        <v>1</v>
      </c>
      <c r="H442" s="276">
        <v>436110</v>
      </c>
      <c r="I442" s="2" t="s">
        <v>190</v>
      </c>
      <c r="J442" s="2" t="s">
        <v>60</v>
      </c>
      <c r="K442" s="2" t="s">
        <v>50</v>
      </c>
      <c r="L442" s="7">
        <v>847001</v>
      </c>
      <c r="M442" s="2" t="s">
        <v>61</v>
      </c>
      <c r="N442" s="2">
        <v>200179</v>
      </c>
      <c r="O442" s="3" t="s">
        <v>1685</v>
      </c>
      <c r="P442" s="2" t="s">
        <v>46</v>
      </c>
      <c r="Q442" s="35">
        <v>50000</v>
      </c>
      <c r="R442" s="2">
        <v>50000</v>
      </c>
      <c r="S442" s="3" t="s">
        <v>829</v>
      </c>
      <c r="T442" s="2" t="s">
        <v>157</v>
      </c>
      <c r="U442" s="2">
        <v>4000</v>
      </c>
      <c r="V442" s="2">
        <v>12</v>
      </c>
      <c r="W442" s="3"/>
      <c r="X442" s="36">
        <v>48000</v>
      </c>
      <c r="Y442" s="2"/>
      <c r="Z442" s="2"/>
      <c r="AA442" s="14">
        <f t="shared" si="20"/>
        <v>43200</v>
      </c>
      <c r="AB442" s="14">
        <f t="shared" si="21"/>
        <v>38400</v>
      </c>
      <c r="AC442" s="14">
        <f t="shared" si="22"/>
        <v>33600</v>
      </c>
      <c r="AD442" s="3" t="s">
        <v>1506</v>
      </c>
      <c r="AE442" s="3" t="s">
        <v>1506</v>
      </c>
      <c r="AF442" s="3" t="s">
        <v>1506</v>
      </c>
      <c r="AG442" s="43">
        <v>24000</v>
      </c>
      <c r="AH442" s="43"/>
      <c r="AI442" s="43"/>
      <c r="AJ442" s="43"/>
      <c r="AK442" s="43"/>
      <c r="AL442" s="43">
        <v>24000</v>
      </c>
      <c r="AM442" s="43"/>
      <c r="AN442" s="43"/>
      <c r="AO442" s="43"/>
      <c r="AP442" s="43"/>
      <c r="AQ442" s="43"/>
      <c r="AR442" s="43"/>
      <c r="AS442" s="43">
        <v>48000</v>
      </c>
      <c r="AT442" s="3" t="s">
        <v>384</v>
      </c>
      <c r="AU442" s="272"/>
    </row>
    <row r="443" spans="1:47" ht="16.5" hidden="1" customHeight="1" x14ac:dyDescent="0.35">
      <c r="A443" s="2" t="s">
        <v>46</v>
      </c>
      <c r="B443" s="2" t="s">
        <v>46</v>
      </c>
      <c r="C443" s="2" t="s">
        <v>1350</v>
      </c>
      <c r="D443" s="2">
        <v>847</v>
      </c>
      <c r="E443" s="2">
        <v>8471230</v>
      </c>
      <c r="F443" s="2" t="s">
        <v>1507</v>
      </c>
      <c r="G443" s="2">
        <v>1</v>
      </c>
      <c r="H443" s="276">
        <v>425742</v>
      </c>
      <c r="I443" s="2" t="s">
        <v>1036</v>
      </c>
      <c r="J443" s="2" t="s">
        <v>60</v>
      </c>
      <c r="K443" s="2" t="s">
        <v>50</v>
      </c>
      <c r="L443" s="7">
        <v>847001</v>
      </c>
      <c r="M443" s="2" t="s">
        <v>61</v>
      </c>
      <c r="N443" s="2">
        <v>200179</v>
      </c>
      <c r="O443" s="3" t="s">
        <v>1686</v>
      </c>
      <c r="P443" s="2"/>
      <c r="Q443" s="35"/>
      <c r="R443" s="2"/>
      <c r="S443" s="3" t="s">
        <v>344</v>
      </c>
      <c r="T443" s="2" t="s">
        <v>256</v>
      </c>
      <c r="U443" s="2">
        <v>11</v>
      </c>
      <c r="V443" s="2">
        <v>50000</v>
      </c>
      <c r="W443" s="3" t="s">
        <v>1508</v>
      </c>
      <c r="X443" s="36">
        <v>550000</v>
      </c>
      <c r="Y443" s="2" t="s">
        <v>55</v>
      </c>
      <c r="Z443" s="2" t="s">
        <v>56</v>
      </c>
      <c r="AA443" s="14">
        <f t="shared" si="20"/>
        <v>495000</v>
      </c>
      <c r="AB443" s="14">
        <f t="shared" si="21"/>
        <v>440000</v>
      </c>
      <c r="AC443" s="14">
        <f t="shared" si="22"/>
        <v>385000</v>
      </c>
      <c r="AD443" s="3" t="s">
        <v>1509</v>
      </c>
      <c r="AE443" s="3" t="s">
        <v>1509</v>
      </c>
      <c r="AF443" s="3" t="s">
        <v>1509</v>
      </c>
      <c r="AG443" s="43">
        <v>50000</v>
      </c>
      <c r="AH443" s="43">
        <v>50000</v>
      </c>
      <c r="AI443" s="43">
        <v>50000</v>
      </c>
      <c r="AJ443" s="43">
        <v>50000</v>
      </c>
      <c r="AK443" s="43">
        <v>50000</v>
      </c>
      <c r="AL443" s="43">
        <v>50000</v>
      </c>
      <c r="AM443" s="43"/>
      <c r="AN443" s="43">
        <v>50000</v>
      </c>
      <c r="AO443" s="43">
        <v>50000</v>
      </c>
      <c r="AP443" s="43">
        <v>50000</v>
      </c>
      <c r="AQ443" s="43">
        <v>50000</v>
      </c>
      <c r="AR443" s="43">
        <v>50000</v>
      </c>
      <c r="AS443" s="43">
        <v>550000</v>
      </c>
      <c r="AT443" s="3" t="s">
        <v>244</v>
      </c>
      <c r="AU443" s="272" t="s">
        <v>1369</v>
      </c>
    </row>
    <row r="444" spans="1:47" ht="16.5" hidden="1" customHeight="1" x14ac:dyDescent="0.35">
      <c r="A444" s="2" t="s">
        <v>46</v>
      </c>
      <c r="B444" s="2" t="s">
        <v>46</v>
      </c>
      <c r="C444" s="2" t="s">
        <v>1350</v>
      </c>
      <c r="D444" s="2">
        <v>847</v>
      </c>
      <c r="E444" s="2">
        <v>8471230</v>
      </c>
      <c r="F444" s="2" t="s">
        <v>1507</v>
      </c>
      <c r="G444" s="2">
        <v>1</v>
      </c>
      <c r="H444" s="276">
        <v>425742</v>
      </c>
      <c r="I444" s="2" t="s">
        <v>1036</v>
      </c>
      <c r="J444" s="2" t="s">
        <v>60</v>
      </c>
      <c r="K444" s="2" t="s">
        <v>50</v>
      </c>
      <c r="L444" s="7">
        <v>847001</v>
      </c>
      <c r="M444" s="2" t="s">
        <v>61</v>
      </c>
      <c r="N444" s="2">
        <v>200179</v>
      </c>
      <c r="O444" s="3" t="s">
        <v>1686</v>
      </c>
      <c r="P444" s="2"/>
      <c r="Q444" s="35"/>
      <c r="R444" s="2"/>
      <c r="S444" s="3" t="s">
        <v>255</v>
      </c>
      <c r="T444" s="2" t="s">
        <v>256</v>
      </c>
      <c r="U444" s="2">
        <v>10</v>
      </c>
      <c r="V444" s="2">
        <v>50000</v>
      </c>
      <c r="W444" s="3" t="s">
        <v>1510</v>
      </c>
      <c r="X444" s="36">
        <v>500000</v>
      </c>
      <c r="Y444" s="2" t="s">
        <v>55</v>
      </c>
      <c r="Z444" s="2" t="s">
        <v>56</v>
      </c>
      <c r="AA444" s="14">
        <f t="shared" si="20"/>
        <v>450000</v>
      </c>
      <c r="AB444" s="14">
        <f t="shared" si="21"/>
        <v>400000</v>
      </c>
      <c r="AC444" s="14">
        <f t="shared" si="22"/>
        <v>350000</v>
      </c>
      <c r="AD444" s="3" t="s">
        <v>1511</v>
      </c>
      <c r="AE444" s="3" t="s">
        <v>1511</v>
      </c>
      <c r="AF444" s="3" t="s">
        <v>1511</v>
      </c>
      <c r="AG444" s="43">
        <v>80000</v>
      </c>
      <c r="AH444" s="43">
        <v>80000</v>
      </c>
      <c r="AI444" s="43">
        <v>80000</v>
      </c>
      <c r="AJ444" s="43"/>
      <c r="AK444" s="43"/>
      <c r="AL444" s="43"/>
      <c r="AM444" s="43"/>
      <c r="AN444" s="43"/>
      <c r="AO444" s="43"/>
      <c r="AP444" s="43">
        <v>100000</v>
      </c>
      <c r="AQ444" s="43">
        <v>80000</v>
      </c>
      <c r="AR444" s="43">
        <v>80000</v>
      </c>
      <c r="AS444" s="43">
        <v>500000</v>
      </c>
      <c r="AT444" s="3" t="s">
        <v>244</v>
      </c>
      <c r="AU444" s="272" t="s">
        <v>1369</v>
      </c>
    </row>
    <row r="445" spans="1:47" ht="16.5" hidden="1" customHeight="1" x14ac:dyDescent="0.35">
      <c r="A445" s="2" t="s">
        <v>46</v>
      </c>
      <c r="B445" s="2" t="s">
        <v>46</v>
      </c>
      <c r="C445" s="2" t="s">
        <v>1350</v>
      </c>
      <c r="D445" s="2">
        <v>847</v>
      </c>
      <c r="E445" s="2">
        <v>8471230</v>
      </c>
      <c r="F445" s="2" t="s">
        <v>1507</v>
      </c>
      <c r="G445" s="2">
        <v>1</v>
      </c>
      <c r="H445" s="276">
        <v>425742</v>
      </c>
      <c r="I445" s="2" t="s">
        <v>1036</v>
      </c>
      <c r="J445" s="2" t="s">
        <v>60</v>
      </c>
      <c r="K445" s="2" t="s">
        <v>50</v>
      </c>
      <c r="L445" s="7">
        <v>847001</v>
      </c>
      <c r="M445" s="2" t="s">
        <v>61</v>
      </c>
      <c r="N445" s="2">
        <v>200179</v>
      </c>
      <c r="O445" s="3" t="s">
        <v>1686</v>
      </c>
      <c r="P445" s="2"/>
      <c r="Q445" s="35"/>
      <c r="R445" s="2"/>
      <c r="S445" s="3" t="s">
        <v>1452</v>
      </c>
      <c r="T445" s="2" t="s">
        <v>269</v>
      </c>
      <c r="U445" s="2">
        <v>30000</v>
      </c>
      <c r="V445" s="2">
        <v>10</v>
      </c>
      <c r="W445" s="3" t="s">
        <v>1512</v>
      </c>
      <c r="X445" s="36">
        <v>300000</v>
      </c>
      <c r="Y445" s="2" t="s">
        <v>55</v>
      </c>
      <c r="Z445" s="2" t="s">
        <v>56</v>
      </c>
      <c r="AA445" s="14">
        <f t="shared" si="20"/>
        <v>270000</v>
      </c>
      <c r="AB445" s="14">
        <f t="shared" si="21"/>
        <v>240000</v>
      </c>
      <c r="AC445" s="14">
        <f t="shared" si="22"/>
        <v>210000</v>
      </c>
      <c r="AD445" s="3" t="s">
        <v>1513</v>
      </c>
      <c r="AE445" s="3" t="s">
        <v>1514</v>
      </c>
      <c r="AF445" s="3" t="s">
        <v>1514</v>
      </c>
      <c r="AG445" s="43"/>
      <c r="AH445" s="43"/>
      <c r="AI445" s="43"/>
      <c r="AJ445" s="43"/>
      <c r="AK445" s="43"/>
      <c r="AL445" s="43">
        <v>150000</v>
      </c>
      <c r="AM445" s="43"/>
      <c r="AN445" s="43"/>
      <c r="AO445" s="43">
        <v>150000</v>
      </c>
      <c r="AP445" s="43"/>
      <c r="AQ445" s="43"/>
      <c r="AR445" s="43"/>
      <c r="AS445" s="43">
        <v>300000</v>
      </c>
      <c r="AT445" s="3" t="s">
        <v>244</v>
      </c>
      <c r="AU445" s="272" t="s">
        <v>1369</v>
      </c>
    </row>
    <row r="446" spans="1:47" ht="16.5" hidden="1" customHeight="1" x14ac:dyDescent="0.35">
      <c r="A446" s="2" t="s">
        <v>222</v>
      </c>
      <c r="B446" s="2" t="s">
        <v>58</v>
      </c>
      <c r="C446" s="2" t="s">
        <v>1350</v>
      </c>
      <c r="D446" s="2">
        <v>847</v>
      </c>
      <c r="E446" s="2">
        <v>8471230</v>
      </c>
      <c r="F446" s="2" t="s">
        <v>1507</v>
      </c>
      <c r="G446" s="2">
        <v>1</v>
      </c>
      <c r="H446" s="276">
        <v>425742</v>
      </c>
      <c r="I446" s="2" t="s">
        <v>1036</v>
      </c>
      <c r="J446" s="2" t="s">
        <v>60</v>
      </c>
      <c r="K446" s="2" t="s">
        <v>50</v>
      </c>
      <c r="L446" s="7">
        <v>847001</v>
      </c>
      <c r="M446" s="2" t="s">
        <v>61</v>
      </c>
      <c r="N446" s="2">
        <v>200179</v>
      </c>
      <c r="O446" s="3" t="s">
        <v>1686</v>
      </c>
      <c r="P446" s="2">
        <v>967573.09</v>
      </c>
      <c r="Q446" s="35">
        <v>1647000</v>
      </c>
      <c r="R446" s="2"/>
      <c r="S446" s="3" t="s">
        <v>1038</v>
      </c>
      <c r="T446" s="2" t="s">
        <v>157</v>
      </c>
      <c r="U446" s="2">
        <v>9</v>
      </c>
      <c r="V446" s="2">
        <v>70000</v>
      </c>
      <c r="W446" s="3" t="s">
        <v>1515</v>
      </c>
      <c r="X446" s="36">
        <v>630000</v>
      </c>
      <c r="Y446" s="2" t="s">
        <v>55</v>
      </c>
      <c r="Z446" s="2" t="s">
        <v>56</v>
      </c>
      <c r="AA446" s="14">
        <f t="shared" si="20"/>
        <v>567000</v>
      </c>
      <c r="AB446" s="14">
        <f t="shared" si="21"/>
        <v>504000</v>
      </c>
      <c r="AC446" s="14">
        <f t="shared" si="22"/>
        <v>441000</v>
      </c>
      <c r="AD446" s="3" t="s">
        <v>1514</v>
      </c>
      <c r="AE446" s="3" t="s">
        <v>1514</v>
      </c>
      <c r="AF446" s="3" t="s">
        <v>1516</v>
      </c>
      <c r="AG446" s="43"/>
      <c r="AH446" s="43"/>
      <c r="AI446" s="43"/>
      <c r="AJ446" s="43"/>
      <c r="AK446" s="43"/>
      <c r="AL446" s="43">
        <v>90000</v>
      </c>
      <c r="AM446" s="43">
        <v>90000</v>
      </c>
      <c r="AN446" s="43">
        <v>90000</v>
      </c>
      <c r="AO446" s="43">
        <v>90000</v>
      </c>
      <c r="AP446" s="43">
        <v>90000</v>
      </c>
      <c r="AQ446" s="43">
        <v>90000</v>
      </c>
      <c r="AR446" s="43">
        <v>90000</v>
      </c>
      <c r="AS446" s="43">
        <v>630000</v>
      </c>
      <c r="AT446" s="3" t="s">
        <v>244</v>
      </c>
      <c r="AU446" s="272"/>
    </row>
    <row r="447" spans="1:47" ht="16.5" hidden="1" customHeight="1" x14ac:dyDescent="0.35">
      <c r="A447" s="2" t="s">
        <v>63</v>
      </c>
      <c r="B447" s="2" t="s">
        <v>64</v>
      </c>
      <c r="C447" s="2" t="s">
        <v>1350</v>
      </c>
      <c r="D447" s="2">
        <v>847</v>
      </c>
      <c r="E447" s="2">
        <v>8471230</v>
      </c>
      <c r="F447" s="2" t="s">
        <v>1507</v>
      </c>
      <c r="G447" s="2">
        <v>1</v>
      </c>
      <c r="H447" s="276">
        <v>426610</v>
      </c>
      <c r="I447" s="2" t="s">
        <v>74</v>
      </c>
      <c r="J447" s="2" t="s">
        <v>60</v>
      </c>
      <c r="K447" s="2" t="s">
        <v>50</v>
      </c>
      <c r="L447" s="7">
        <v>847001</v>
      </c>
      <c r="M447" s="2" t="s">
        <v>61</v>
      </c>
      <c r="N447" s="2">
        <v>200179</v>
      </c>
      <c r="O447" s="3" t="s">
        <v>1687</v>
      </c>
      <c r="P447" s="2">
        <v>95604.5</v>
      </c>
      <c r="Q447" s="35">
        <v>120000</v>
      </c>
      <c r="R447" s="2"/>
      <c r="S447" s="3" t="s">
        <v>274</v>
      </c>
      <c r="T447" s="2" t="s">
        <v>157</v>
      </c>
      <c r="U447" s="2">
        <v>1000</v>
      </c>
      <c r="V447" s="2">
        <v>100</v>
      </c>
      <c r="W447" s="3" t="s">
        <v>1517</v>
      </c>
      <c r="X447" s="36">
        <v>100000</v>
      </c>
      <c r="Y447" s="2" t="s">
        <v>55</v>
      </c>
      <c r="Z447" s="2" t="s">
        <v>56</v>
      </c>
      <c r="AA447" s="14">
        <f t="shared" si="20"/>
        <v>90000</v>
      </c>
      <c r="AB447" s="14">
        <f t="shared" si="21"/>
        <v>80000</v>
      </c>
      <c r="AC447" s="14">
        <f t="shared" si="22"/>
        <v>70000</v>
      </c>
      <c r="AD447" s="3" t="s">
        <v>1518</v>
      </c>
      <c r="AE447" s="3" t="s">
        <v>1519</v>
      </c>
      <c r="AF447" s="3" t="s">
        <v>1519</v>
      </c>
      <c r="AG447" s="43"/>
      <c r="AH447" s="43"/>
      <c r="AI447" s="43"/>
      <c r="AJ447" s="43">
        <v>20000</v>
      </c>
      <c r="AK447" s="43"/>
      <c r="AL447" s="43"/>
      <c r="AM447" s="43"/>
      <c r="AN447" s="43">
        <v>40000</v>
      </c>
      <c r="AO447" s="43"/>
      <c r="AP447" s="43"/>
      <c r="AQ447" s="43"/>
      <c r="AR447" s="43">
        <v>40000</v>
      </c>
      <c r="AS447" s="43">
        <v>100000</v>
      </c>
      <c r="AT447" s="3" t="s">
        <v>244</v>
      </c>
      <c r="AU447" s="272"/>
    </row>
    <row r="448" spans="1:47" ht="16.5" hidden="1" customHeight="1" x14ac:dyDescent="0.35">
      <c r="A448" s="2" t="s">
        <v>245</v>
      </c>
      <c r="B448" s="2" t="s">
        <v>246</v>
      </c>
      <c r="C448" s="2" t="s">
        <v>1350</v>
      </c>
      <c r="D448" s="2">
        <v>847</v>
      </c>
      <c r="E448" s="2">
        <v>8471280</v>
      </c>
      <c r="F448" s="2" t="s">
        <v>1520</v>
      </c>
      <c r="G448" s="2">
        <v>1</v>
      </c>
      <c r="H448" s="276">
        <v>425100</v>
      </c>
      <c r="I448" s="2" t="s">
        <v>1521</v>
      </c>
      <c r="J448" s="2" t="s">
        <v>60</v>
      </c>
      <c r="K448" s="2" t="s">
        <v>50</v>
      </c>
      <c r="L448" s="7">
        <v>847001</v>
      </c>
      <c r="M448" s="2" t="s">
        <v>61</v>
      </c>
      <c r="N448" s="2">
        <v>200179</v>
      </c>
      <c r="O448" s="3" t="s">
        <v>1688</v>
      </c>
      <c r="P448" s="2" t="s">
        <v>46</v>
      </c>
      <c r="Q448" s="35">
        <v>2500</v>
      </c>
      <c r="R448" s="2">
        <v>2500</v>
      </c>
      <c r="S448" s="3" t="s">
        <v>1522</v>
      </c>
      <c r="T448" s="2" t="s">
        <v>269</v>
      </c>
      <c r="U448" s="2">
        <v>100</v>
      </c>
      <c r="V448" s="2">
        <v>30</v>
      </c>
      <c r="W448" s="3" t="s">
        <v>1523</v>
      </c>
      <c r="X448" s="36">
        <v>3000</v>
      </c>
      <c r="Y448" s="2" t="s">
        <v>55</v>
      </c>
      <c r="Z448" s="2" t="s">
        <v>56</v>
      </c>
      <c r="AA448" s="14">
        <f t="shared" si="20"/>
        <v>2700</v>
      </c>
      <c r="AB448" s="14">
        <f t="shared" si="21"/>
        <v>2400</v>
      </c>
      <c r="AC448" s="14">
        <f t="shared" si="22"/>
        <v>2100</v>
      </c>
      <c r="AD448" s="3">
        <v>2250</v>
      </c>
      <c r="AE448" s="3">
        <v>2000</v>
      </c>
      <c r="AF448" s="3">
        <v>1750</v>
      </c>
      <c r="AG448" s="43">
        <v>250</v>
      </c>
      <c r="AH448" s="43">
        <v>250</v>
      </c>
      <c r="AI448" s="43">
        <v>250</v>
      </c>
      <c r="AJ448" s="43">
        <v>250</v>
      </c>
      <c r="AK448" s="43">
        <v>250</v>
      </c>
      <c r="AL448" s="43">
        <v>250</v>
      </c>
      <c r="AM448" s="43">
        <v>250</v>
      </c>
      <c r="AN448" s="43">
        <v>250</v>
      </c>
      <c r="AO448" s="43">
        <v>250</v>
      </c>
      <c r="AP448" s="43">
        <v>250</v>
      </c>
      <c r="AQ448" s="43">
        <v>250</v>
      </c>
      <c r="AR448" s="43">
        <v>250</v>
      </c>
      <c r="AS448" s="43">
        <v>3000</v>
      </c>
      <c r="AT448" s="3" t="s">
        <v>384</v>
      </c>
      <c r="AU448" s="272"/>
    </row>
    <row r="449" spans="1:47" ht="16.5" hidden="1" customHeight="1" x14ac:dyDescent="0.35">
      <c r="A449" s="2" t="s">
        <v>245</v>
      </c>
      <c r="B449" s="2" t="s">
        <v>246</v>
      </c>
      <c r="C449" s="2" t="s">
        <v>1350</v>
      </c>
      <c r="D449" s="2">
        <v>847</v>
      </c>
      <c r="E449" s="2">
        <v>8471280</v>
      </c>
      <c r="F449" s="2" t="s">
        <v>1520</v>
      </c>
      <c r="G449" s="2">
        <v>1</v>
      </c>
      <c r="H449" s="276">
        <v>425510</v>
      </c>
      <c r="I449" s="2" t="s">
        <v>247</v>
      </c>
      <c r="J449" s="2" t="s">
        <v>60</v>
      </c>
      <c r="K449" s="2" t="s">
        <v>50</v>
      </c>
      <c r="L449" s="7">
        <v>847001</v>
      </c>
      <c r="M449" s="2" t="s">
        <v>61</v>
      </c>
      <c r="N449" s="2">
        <v>200179</v>
      </c>
      <c r="O449" s="3" t="s">
        <v>1689</v>
      </c>
      <c r="P449" s="2">
        <v>14261</v>
      </c>
      <c r="Q449" s="35">
        <v>30000</v>
      </c>
      <c r="R449" s="2">
        <v>30000</v>
      </c>
      <c r="S449" s="3" t="s">
        <v>433</v>
      </c>
      <c r="T449" s="2" t="s">
        <v>434</v>
      </c>
      <c r="U449" s="2">
        <v>30</v>
      </c>
      <c r="V449" s="2">
        <v>1200</v>
      </c>
      <c r="W449" s="3" t="s">
        <v>1524</v>
      </c>
      <c r="X449" s="36">
        <v>36000</v>
      </c>
      <c r="Y449" s="2" t="s">
        <v>55</v>
      </c>
      <c r="Z449" s="2" t="s">
        <v>56</v>
      </c>
      <c r="AA449" s="14">
        <f t="shared" si="20"/>
        <v>32400</v>
      </c>
      <c r="AB449" s="14">
        <f t="shared" si="21"/>
        <v>28800</v>
      </c>
      <c r="AC449" s="14">
        <f t="shared" si="22"/>
        <v>25200</v>
      </c>
      <c r="AD449" s="3">
        <v>27000</v>
      </c>
      <c r="AE449" s="3">
        <v>24000</v>
      </c>
      <c r="AF449" s="3">
        <v>21000</v>
      </c>
      <c r="AG449" s="43">
        <v>9000</v>
      </c>
      <c r="AH449" s="43"/>
      <c r="AI449" s="43"/>
      <c r="AJ449" s="43">
        <v>9000</v>
      </c>
      <c r="AK449" s="43"/>
      <c r="AL449" s="43"/>
      <c r="AM449" s="43"/>
      <c r="AN449" s="43">
        <v>9000</v>
      </c>
      <c r="AO449" s="43"/>
      <c r="AP449" s="43"/>
      <c r="AQ449" s="43">
        <v>9000</v>
      </c>
      <c r="AR449" s="43"/>
      <c r="AS449" s="43">
        <v>36000</v>
      </c>
      <c r="AT449" s="3" t="s">
        <v>264</v>
      </c>
      <c r="AU449" s="272"/>
    </row>
    <row r="450" spans="1:47" ht="16.5" hidden="1" customHeight="1" x14ac:dyDescent="0.35">
      <c r="A450" s="2" t="s">
        <v>245</v>
      </c>
      <c r="B450" s="2" t="s">
        <v>58</v>
      </c>
      <c r="C450" s="2" t="s">
        <v>1350</v>
      </c>
      <c r="D450" s="2">
        <v>847</v>
      </c>
      <c r="E450" s="2">
        <v>8471280</v>
      </c>
      <c r="F450" s="2" t="s">
        <v>1520</v>
      </c>
      <c r="G450" s="2">
        <v>1</v>
      </c>
      <c r="H450" s="276">
        <v>425550</v>
      </c>
      <c r="I450" s="2" t="s">
        <v>253</v>
      </c>
      <c r="J450" s="2" t="s">
        <v>60</v>
      </c>
      <c r="K450" s="2" t="s">
        <v>50</v>
      </c>
      <c r="L450" s="7">
        <v>847001</v>
      </c>
      <c r="M450" s="2" t="s">
        <v>61</v>
      </c>
      <c r="N450" s="2">
        <v>200179</v>
      </c>
      <c r="O450" s="3" t="s">
        <v>1690</v>
      </c>
      <c r="P450" s="2">
        <v>7346</v>
      </c>
      <c r="Q450" s="35">
        <v>60000</v>
      </c>
      <c r="R450" s="2">
        <v>60000</v>
      </c>
      <c r="S450" s="3" t="s">
        <v>255</v>
      </c>
      <c r="T450" s="2" t="s">
        <v>256</v>
      </c>
      <c r="U450" s="2">
        <v>4</v>
      </c>
      <c r="V450" s="2">
        <v>18000</v>
      </c>
      <c r="W450" s="3" t="s">
        <v>1525</v>
      </c>
      <c r="X450" s="36">
        <v>72000</v>
      </c>
      <c r="Y450" s="2" t="s">
        <v>55</v>
      </c>
      <c r="Z450" s="2" t="s">
        <v>56</v>
      </c>
      <c r="AA450" s="14">
        <f t="shared" ref="AA450:AA513" si="23">X450*0.9</f>
        <v>64800</v>
      </c>
      <c r="AB450" s="14">
        <f t="shared" ref="AB450:AB513" si="24">X450*0.8</f>
        <v>57600</v>
      </c>
      <c r="AC450" s="14">
        <f t="shared" ref="AC450:AC513" si="25">X450*0.7</f>
        <v>50400</v>
      </c>
      <c r="AD450" s="3">
        <v>54000</v>
      </c>
      <c r="AE450" s="3">
        <v>48000</v>
      </c>
      <c r="AF450" s="3">
        <v>42000</v>
      </c>
      <c r="AG450" s="43"/>
      <c r="AH450" s="43">
        <v>18000</v>
      </c>
      <c r="AI450" s="43"/>
      <c r="AJ450" s="43"/>
      <c r="AK450" s="43">
        <v>18000</v>
      </c>
      <c r="AL450" s="43"/>
      <c r="AM450" s="43"/>
      <c r="AN450" s="43"/>
      <c r="AO450" s="43">
        <v>18000</v>
      </c>
      <c r="AP450" s="43"/>
      <c r="AQ450" s="43"/>
      <c r="AR450" s="43">
        <v>18000</v>
      </c>
      <c r="AS450" s="43">
        <v>72000</v>
      </c>
      <c r="AT450" s="3" t="s">
        <v>237</v>
      </c>
      <c r="AU450" s="272"/>
    </row>
    <row r="451" spans="1:47" ht="16.5" hidden="1" customHeight="1" x14ac:dyDescent="0.35">
      <c r="A451" s="2">
        <v>0</v>
      </c>
      <c r="B451" s="2" t="s">
        <v>58</v>
      </c>
      <c r="C451" s="2" t="s">
        <v>1350</v>
      </c>
      <c r="D451" s="2">
        <v>847</v>
      </c>
      <c r="E451" s="2">
        <v>8471280</v>
      </c>
      <c r="F451" s="2" t="s">
        <v>1520</v>
      </c>
      <c r="G451" s="2">
        <v>1</v>
      </c>
      <c r="H451" s="276">
        <v>425710</v>
      </c>
      <c r="I451" s="2" t="s">
        <v>1526</v>
      </c>
      <c r="J451" s="2" t="s">
        <v>60</v>
      </c>
      <c r="K451" s="2" t="s">
        <v>50</v>
      </c>
      <c r="L451" s="7">
        <v>847001</v>
      </c>
      <c r="M451" s="2" t="s">
        <v>61</v>
      </c>
      <c r="N451" s="2">
        <v>200179</v>
      </c>
      <c r="O451" s="3" t="s">
        <v>1691</v>
      </c>
      <c r="P451" s="2" t="s">
        <v>46</v>
      </c>
      <c r="Q451" s="35">
        <v>300000</v>
      </c>
      <c r="R451" s="2">
        <v>300000</v>
      </c>
      <c r="S451" s="3" t="s">
        <v>1527</v>
      </c>
      <c r="T451" s="2" t="s">
        <v>1109</v>
      </c>
      <c r="U451" s="2">
        <v>2</v>
      </c>
      <c r="V451" s="2">
        <v>180000</v>
      </c>
      <c r="W451" s="3" t="s">
        <v>1528</v>
      </c>
      <c r="X451" s="36">
        <v>360000</v>
      </c>
      <c r="Y451" s="2" t="s">
        <v>55</v>
      </c>
      <c r="Z451" s="2" t="s">
        <v>56</v>
      </c>
      <c r="AA451" s="14">
        <f t="shared" si="23"/>
        <v>324000</v>
      </c>
      <c r="AB451" s="14">
        <f t="shared" si="24"/>
        <v>288000</v>
      </c>
      <c r="AC451" s="14">
        <f t="shared" si="25"/>
        <v>251999.99999999997</v>
      </c>
      <c r="AD451" s="3">
        <v>270000</v>
      </c>
      <c r="AE451" s="3">
        <v>240000</v>
      </c>
      <c r="AF451" s="3">
        <v>210000</v>
      </c>
      <c r="AG451" s="43">
        <v>120000</v>
      </c>
      <c r="AH451" s="43"/>
      <c r="AI451" s="43"/>
      <c r="AJ451" s="43"/>
      <c r="AK451" s="43"/>
      <c r="AL451" s="43">
        <v>120000</v>
      </c>
      <c r="AM451" s="43"/>
      <c r="AN451" s="43"/>
      <c r="AO451" s="43"/>
      <c r="AP451" s="43"/>
      <c r="AQ451" s="43"/>
      <c r="AR451" s="43">
        <v>120000</v>
      </c>
      <c r="AS451" s="43">
        <v>360000</v>
      </c>
      <c r="AT451" s="3" t="s">
        <v>636</v>
      </c>
      <c r="AU451" s="272"/>
    </row>
    <row r="452" spans="1:47" ht="16.5" hidden="1" customHeight="1" x14ac:dyDescent="0.35">
      <c r="A452" s="2" t="s">
        <v>258</v>
      </c>
      <c r="B452" s="2" t="s">
        <v>350</v>
      </c>
      <c r="C452" s="2" t="s">
        <v>1350</v>
      </c>
      <c r="D452" s="2">
        <v>847</v>
      </c>
      <c r="E452" s="2">
        <v>8471280</v>
      </c>
      <c r="F452" s="2" t="s">
        <v>1520</v>
      </c>
      <c r="G452" s="2">
        <v>1</v>
      </c>
      <c r="H452" s="276">
        <v>425760</v>
      </c>
      <c r="I452" s="2" t="s">
        <v>352</v>
      </c>
      <c r="J452" s="2" t="s">
        <v>60</v>
      </c>
      <c r="K452" s="2" t="s">
        <v>50</v>
      </c>
      <c r="L452" s="7">
        <v>847001</v>
      </c>
      <c r="M452" s="2" t="s">
        <v>61</v>
      </c>
      <c r="N452" s="2">
        <v>200179</v>
      </c>
      <c r="O452" s="3" t="s">
        <v>1692</v>
      </c>
      <c r="P452" s="2" t="s">
        <v>46</v>
      </c>
      <c r="Q452" s="35">
        <v>30000</v>
      </c>
      <c r="R452" s="2">
        <v>30000</v>
      </c>
      <c r="S452" s="3" t="s">
        <v>440</v>
      </c>
      <c r="T452" s="2" t="s">
        <v>441</v>
      </c>
      <c r="U452" s="2">
        <v>2</v>
      </c>
      <c r="V452" s="2">
        <v>18000</v>
      </c>
      <c r="W452" s="3" t="s">
        <v>1529</v>
      </c>
      <c r="X452" s="36">
        <v>36000</v>
      </c>
      <c r="Y452" s="2" t="s">
        <v>55</v>
      </c>
      <c r="Z452" s="2" t="s">
        <v>56</v>
      </c>
      <c r="AA452" s="14">
        <f t="shared" si="23"/>
        <v>32400</v>
      </c>
      <c r="AB452" s="14">
        <f t="shared" si="24"/>
        <v>28800</v>
      </c>
      <c r="AC452" s="14">
        <f t="shared" si="25"/>
        <v>25200</v>
      </c>
      <c r="AD452" s="3">
        <v>27000</v>
      </c>
      <c r="AE452" s="3">
        <v>24000</v>
      </c>
      <c r="AF452" s="3">
        <v>21000</v>
      </c>
      <c r="AG452" s="43"/>
      <c r="AH452" s="43">
        <v>9000</v>
      </c>
      <c r="AI452" s="43"/>
      <c r="AJ452" s="43">
        <v>9000</v>
      </c>
      <c r="AK452" s="43"/>
      <c r="AL452" s="43"/>
      <c r="AM452" s="43">
        <v>9000</v>
      </c>
      <c r="AN452" s="43"/>
      <c r="AO452" s="43"/>
      <c r="AP452" s="43">
        <v>9000</v>
      </c>
      <c r="AQ452" s="43"/>
      <c r="AR452" s="43"/>
      <c r="AS452" s="43">
        <v>36000</v>
      </c>
      <c r="AT452" s="3" t="s">
        <v>414</v>
      </c>
      <c r="AU452" s="272"/>
    </row>
    <row r="453" spans="1:47" ht="16.5" hidden="1" customHeight="1" x14ac:dyDescent="0.35">
      <c r="A453" s="2" t="s">
        <v>222</v>
      </c>
      <c r="B453" s="2" t="s">
        <v>58</v>
      </c>
      <c r="C453" s="2" t="s">
        <v>1350</v>
      </c>
      <c r="D453" s="2">
        <v>847</v>
      </c>
      <c r="E453" s="2">
        <v>8471280</v>
      </c>
      <c r="F453" s="2" t="s">
        <v>1520</v>
      </c>
      <c r="G453" s="2">
        <v>1</v>
      </c>
      <c r="H453" s="276">
        <v>425770</v>
      </c>
      <c r="I453" s="2" t="s">
        <v>367</v>
      </c>
      <c r="J453" s="2" t="s">
        <v>60</v>
      </c>
      <c r="K453" s="2" t="s">
        <v>50</v>
      </c>
      <c r="L453" s="7">
        <v>847001</v>
      </c>
      <c r="M453" s="2" t="s">
        <v>61</v>
      </c>
      <c r="N453" s="2">
        <v>200179</v>
      </c>
      <c r="O453" s="3" t="s">
        <v>1693</v>
      </c>
      <c r="P453" s="2">
        <v>30906.93</v>
      </c>
      <c r="Q453" s="35">
        <v>200000</v>
      </c>
      <c r="R453" s="2">
        <v>200000</v>
      </c>
      <c r="S453" s="3" t="s">
        <v>369</v>
      </c>
      <c r="T453" s="2" t="s">
        <v>157</v>
      </c>
      <c r="U453" s="2">
        <v>4</v>
      </c>
      <c r="V453" s="2">
        <v>60000</v>
      </c>
      <c r="W453" s="3" t="s">
        <v>1530</v>
      </c>
      <c r="X453" s="36">
        <v>240000</v>
      </c>
      <c r="Y453" s="2" t="s">
        <v>55</v>
      </c>
      <c r="Z453" s="2" t="s">
        <v>56</v>
      </c>
      <c r="AA453" s="14">
        <f t="shared" si="23"/>
        <v>216000</v>
      </c>
      <c r="AB453" s="14">
        <f t="shared" si="24"/>
        <v>192000</v>
      </c>
      <c r="AC453" s="14">
        <f t="shared" si="25"/>
        <v>168000</v>
      </c>
      <c r="AD453" s="3">
        <v>180000</v>
      </c>
      <c r="AE453" s="3">
        <v>160000</v>
      </c>
      <c r="AF453" s="3">
        <v>140000</v>
      </c>
      <c r="AG453" s="43">
        <v>40000</v>
      </c>
      <c r="AH453" s="43"/>
      <c r="AI453" s="43">
        <v>40000</v>
      </c>
      <c r="AJ453" s="43"/>
      <c r="AK453" s="43"/>
      <c r="AL453" s="43">
        <v>40000</v>
      </c>
      <c r="AM453" s="43"/>
      <c r="AN453" s="43">
        <v>40000</v>
      </c>
      <c r="AO453" s="43"/>
      <c r="AP453" s="43">
        <v>40000</v>
      </c>
      <c r="AQ453" s="43"/>
      <c r="AR453" s="43">
        <v>40000</v>
      </c>
      <c r="AS453" s="43">
        <v>240000</v>
      </c>
      <c r="AT453" s="3" t="s">
        <v>618</v>
      </c>
      <c r="AU453" s="272"/>
    </row>
    <row r="454" spans="1:47" ht="16.5" hidden="1" customHeight="1" x14ac:dyDescent="0.35">
      <c r="A454" s="2" t="s">
        <v>63</v>
      </c>
      <c r="B454" s="2" t="s">
        <v>64</v>
      </c>
      <c r="C454" s="2" t="s">
        <v>1350</v>
      </c>
      <c r="D454" s="2">
        <v>847</v>
      </c>
      <c r="E454" s="2">
        <v>8471280</v>
      </c>
      <c r="F454" s="2" t="s">
        <v>1520</v>
      </c>
      <c r="G454" s="2">
        <v>1</v>
      </c>
      <c r="H454" s="276">
        <v>426610</v>
      </c>
      <c r="I454" s="2" t="s">
        <v>74</v>
      </c>
      <c r="J454" s="2" t="s">
        <v>60</v>
      </c>
      <c r="K454" s="2" t="s">
        <v>50</v>
      </c>
      <c r="L454" s="7">
        <v>847001</v>
      </c>
      <c r="M454" s="2" t="s">
        <v>61</v>
      </c>
      <c r="N454" s="2">
        <v>200179</v>
      </c>
      <c r="O454" s="3" t="s">
        <v>1694</v>
      </c>
      <c r="P454" s="2">
        <v>117689.83</v>
      </c>
      <c r="Q454" s="35">
        <v>321000</v>
      </c>
      <c r="R454" s="2">
        <v>321000</v>
      </c>
      <c r="S454" s="3" t="s">
        <v>274</v>
      </c>
      <c r="T454" s="2" t="s">
        <v>157</v>
      </c>
      <c r="U454" s="2">
        <v>20</v>
      </c>
      <c r="V454" s="2">
        <v>79260</v>
      </c>
      <c r="W454" s="3" t="s">
        <v>1531</v>
      </c>
      <c r="X454" s="36">
        <v>1585200</v>
      </c>
      <c r="Y454" s="2" t="s">
        <v>55</v>
      </c>
      <c r="Z454" s="2" t="s">
        <v>56</v>
      </c>
      <c r="AA454" s="14">
        <f t="shared" si="23"/>
        <v>1426680</v>
      </c>
      <c r="AB454" s="14">
        <f t="shared" si="24"/>
        <v>1268160</v>
      </c>
      <c r="AC454" s="14">
        <f t="shared" si="25"/>
        <v>1109640</v>
      </c>
      <c r="AD454" s="3">
        <v>324000</v>
      </c>
      <c r="AE454" s="3">
        <v>288000</v>
      </c>
      <c r="AF454" s="3">
        <v>252000</v>
      </c>
      <c r="AG454" s="43">
        <v>96300</v>
      </c>
      <c r="AH454" s="43">
        <v>1200000</v>
      </c>
      <c r="AI454" s="43"/>
      <c r="AJ454" s="43">
        <v>96300</v>
      </c>
      <c r="AK454" s="43"/>
      <c r="AL454" s="43"/>
      <c r="AM454" s="43">
        <v>96300</v>
      </c>
      <c r="AN454" s="43"/>
      <c r="AO454" s="43"/>
      <c r="AP454" s="43">
        <v>96300</v>
      </c>
      <c r="AQ454" s="43"/>
      <c r="AR454" s="43"/>
      <c r="AS454" s="43">
        <v>1585200</v>
      </c>
      <c r="AT454" s="3" t="s">
        <v>70</v>
      </c>
      <c r="AU454" s="272" t="s">
        <v>1532</v>
      </c>
    </row>
    <row r="455" spans="1:47" ht="16.5" hidden="1" customHeight="1" x14ac:dyDescent="0.35">
      <c r="A455" s="2" t="s">
        <v>245</v>
      </c>
      <c r="B455" s="2" t="s">
        <v>246</v>
      </c>
      <c r="C455" s="2" t="s">
        <v>1350</v>
      </c>
      <c r="D455" s="2">
        <v>847</v>
      </c>
      <c r="E455" s="2">
        <v>8471280</v>
      </c>
      <c r="F455" s="2" t="s">
        <v>1520</v>
      </c>
      <c r="G455" s="2">
        <v>1</v>
      </c>
      <c r="H455" s="276">
        <v>428640</v>
      </c>
      <c r="I455" s="2" t="s">
        <v>279</v>
      </c>
      <c r="J455" s="2" t="s">
        <v>60</v>
      </c>
      <c r="K455" s="2" t="s">
        <v>50</v>
      </c>
      <c r="L455" s="7">
        <v>847001</v>
      </c>
      <c r="M455" s="2" t="s">
        <v>61</v>
      </c>
      <c r="N455" s="2">
        <v>200179</v>
      </c>
      <c r="O455" s="3" t="s">
        <v>1695</v>
      </c>
      <c r="P455" s="2">
        <v>866.25</v>
      </c>
      <c r="Q455" s="35">
        <v>15000</v>
      </c>
      <c r="R455" s="2">
        <v>15000</v>
      </c>
      <c r="S455" s="3" t="s">
        <v>1533</v>
      </c>
      <c r="T455" s="2" t="s">
        <v>269</v>
      </c>
      <c r="U455" s="2">
        <v>6</v>
      </c>
      <c r="V455" s="10">
        <v>3000</v>
      </c>
      <c r="W455" s="3" t="s">
        <v>1534</v>
      </c>
      <c r="X455" s="36">
        <v>18000</v>
      </c>
      <c r="Y455" s="2" t="s">
        <v>55</v>
      </c>
      <c r="Z455" s="2" t="s">
        <v>56</v>
      </c>
      <c r="AA455" s="14">
        <f t="shared" si="23"/>
        <v>16200</v>
      </c>
      <c r="AB455" s="14">
        <f t="shared" si="24"/>
        <v>14400</v>
      </c>
      <c r="AC455" s="14">
        <f t="shared" si="25"/>
        <v>12600</v>
      </c>
      <c r="AD455" s="3">
        <v>13500</v>
      </c>
      <c r="AE455" s="3">
        <v>12000</v>
      </c>
      <c r="AF455" s="3">
        <v>10500</v>
      </c>
      <c r="AG455" s="43">
        <v>1800</v>
      </c>
      <c r="AH455" s="43">
        <v>1800</v>
      </c>
      <c r="AI455" s="43">
        <v>1800</v>
      </c>
      <c r="AJ455" s="43">
        <v>1800</v>
      </c>
      <c r="AK455" s="43">
        <v>1800</v>
      </c>
      <c r="AL455" s="43"/>
      <c r="AM455" s="43">
        <v>1800</v>
      </c>
      <c r="AN455" s="43">
        <v>1800</v>
      </c>
      <c r="AO455" s="43">
        <v>1800</v>
      </c>
      <c r="AP455" s="43">
        <v>1800</v>
      </c>
      <c r="AQ455" s="43">
        <v>1800</v>
      </c>
      <c r="AR455" s="43"/>
      <c r="AS455" s="43">
        <v>18000</v>
      </c>
      <c r="AT455" s="3" t="s">
        <v>379</v>
      </c>
      <c r="AU455" s="272"/>
    </row>
    <row r="456" spans="1:47" ht="16.5" hidden="1" customHeight="1" x14ac:dyDescent="0.35">
      <c r="A456" s="2" t="s">
        <v>1535</v>
      </c>
      <c r="B456" s="2" t="s">
        <v>58</v>
      </c>
      <c r="C456" s="2" t="s">
        <v>1350</v>
      </c>
      <c r="D456" s="2">
        <v>847</v>
      </c>
      <c r="E456" s="2">
        <v>8471280</v>
      </c>
      <c r="F456" s="2" t="s">
        <v>1520</v>
      </c>
      <c r="G456" s="2">
        <v>1</v>
      </c>
      <c r="H456" s="276">
        <v>432170</v>
      </c>
      <c r="I456" s="2" t="s">
        <v>1536</v>
      </c>
      <c r="J456" s="2" t="s">
        <v>60</v>
      </c>
      <c r="K456" s="2" t="s">
        <v>50</v>
      </c>
      <c r="L456" s="7">
        <v>847001</v>
      </c>
      <c r="M456" s="2" t="s">
        <v>61</v>
      </c>
      <c r="N456" s="2">
        <v>200179</v>
      </c>
      <c r="O456" s="3" t="s">
        <v>1696</v>
      </c>
      <c r="P456" s="2" t="s">
        <v>46</v>
      </c>
      <c r="Q456" s="35">
        <v>200000</v>
      </c>
      <c r="R456" s="2">
        <v>200000</v>
      </c>
      <c r="S456" s="3" t="s">
        <v>1537</v>
      </c>
      <c r="T456" s="2" t="s">
        <v>157</v>
      </c>
      <c r="U456" s="2">
        <v>3</v>
      </c>
      <c r="V456" s="2">
        <v>80000</v>
      </c>
      <c r="W456" s="3" t="s">
        <v>1538</v>
      </c>
      <c r="X456" s="36">
        <v>240000</v>
      </c>
      <c r="Y456" s="2" t="s">
        <v>55</v>
      </c>
      <c r="Z456" s="2" t="s">
        <v>56</v>
      </c>
      <c r="AA456" s="14">
        <f t="shared" si="23"/>
        <v>216000</v>
      </c>
      <c r="AB456" s="14">
        <f t="shared" si="24"/>
        <v>192000</v>
      </c>
      <c r="AC456" s="14">
        <f t="shared" si="25"/>
        <v>168000</v>
      </c>
      <c r="AD456" s="3">
        <v>202500</v>
      </c>
      <c r="AE456" s="3">
        <v>180000</v>
      </c>
      <c r="AF456" s="3">
        <v>157500</v>
      </c>
      <c r="AG456" s="43">
        <v>60000</v>
      </c>
      <c r="AH456" s="43"/>
      <c r="AI456" s="43"/>
      <c r="AJ456" s="43">
        <v>60000</v>
      </c>
      <c r="AK456" s="43"/>
      <c r="AL456" s="43"/>
      <c r="AM456" s="43"/>
      <c r="AN456" s="43">
        <v>60000</v>
      </c>
      <c r="AO456" s="43">
        <v>60000</v>
      </c>
      <c r="AP456" s="43"/>
      <c r="AQ456" s="43"/>
      <c r="AR456" s="43"/>
      <c r="AS456" s="43">
        <v>240000</v>
      </c>
      <c r="AT456" s="3" t="s">
        <v>70</v>
      </c>
      <c r="AU456" s="272"/>
    </row>
    <row r="457" spans="1:47" ht="16.5" hidden="1" customHeight="1" x14ac:dyDescent="0.35">
      <c r="A457" s="2" t="s">
        <v>222</v>
      </c>
      <c r="B457" s="2" t="s">
        <v>58</v>
      </c>
      <c r="C457" s="2" t="s">
        <v>1350</v>
      </c>
      <c r="D457" s="2">
        <v>847</v>
      </c>
      <c r="E457" s="2">
        <v>8471280</v>
      </c>
      <c r="F457" s="2" t="s">
        <v>1520</v>
      </c>
      <c r="G457" s="2">
        <v>1</v>
      </c>
      <c r="H457" s="276">
        <v>435340</v>
      </c>
      <c r="I457" s="2" t="s">
        <v>655</v>
      </c>
      <c r="J457" s="2" t="s">
        <v>60</v>
      </c>
      <c r="K457" s="2" t="s">
        <v>50</v>
      </c>
      <c r="L457" s="7">
        <v>847001</v>
      </c>
      <c r="M457" s="2" t="s">
        <v>61</v>
      </c>
      <c r="N457" s="2">
        <v>200179</v>
      </c>
      <c r="O457" s="3" t="s">
        <v>1697</v>
      </c>
      <c r="P457" s="2" t="s">
        <v>46</v>
      </c>
      <c r="Q457" s="35">
        <v>10000</v>
      </c>
      <c r="R457" s="2">
        <v>10000</v>
      </c>
      <c r="S457" s="3" t="s">
        <v>1539</v>
      </c>
      <c r="T457" s="2" t="s">
        <v>1117</v>
      </c>
      <c r="U457" s="2">
        <v>40</v>
      </c>
      <c r="V457" s="2">
        <v>300</v>
      </c>
      <c r="W457" s="3" t="s">
        <v>1540</v>
      </c>
      <c r="X457" s="36">
        <v>12000</v>
      </c>
      <c r="Y457" s="2" t="s">
        <v>55</v>
      </c>
      <c r="Z457" s="2" t="s">
        <v>56</v>
      </c>
      <c r="AA457" s="14">
        <f t="shared" si="23"/>
        <v>10800</v>
      </c>
      <c r="AB457" s="14">
        <f t="shared" si="24"/>
        <v>9600</v>
      </c>
      <c r="AC457" s="14">
        <f t="shared" si="25"/>
        <v>8400</v>
      </c>
      <c r="AD457" s="3">
        <v>9000</v>
      </c>
      <c r="AE457" s="3">
        <v>8000</v>
      </c>
      <c r="AF457" s="3">
        <v>7000</v>
      </c>
      <c r="AG457" s="43">
        <v>1000</v>
      </c>
      <c r="AH457" s="43">
        <v>1000</v>
      </c>
      <c r="AI457" s="43">
        <v>1000</v>
      </c>
      <c r="AJ457" s="43">
        <v>1000</v>
      </c>
      <c r="AK457" s="43">
        <v>1000</v>
      </c>
      <c r="AL457" s="43">
        <v>1000</v>
      </c>
      <c r="AM457" s="43">
        <v>1000</v>
      </c>
      <c r="AN457" s="43">
        <v>1000</v>
      </c>
      <c r="AO457" s="43">
        <v>1000</v>
      </c>
      <c r="AP457" s="43">
        <v>1000</v>
      </c>
      <c r="AQ457" s="43">
        <v>1000</v>
      </c>
      <c r="AR457" s="43">
        <v>1000</v>
      </c>
      <c r="AS457" s="43">
        <v>12000</v>
      </c>
      <c r="AT457" s="3" t="s">
        <v>348</v>
      </c>
      <c r="AU457" s="272"/>
    </row>
    <row r="458" spans="1:47" ht="16.5" hidden="1" customHeight="1" x14ac:dyDescent="0.35">
      <c r="A458" s="2" t="s">
        <v>222</v>
      </c>
      <c r="B458" s="2" t="s">
        <v>58</v>
      </c>
      <c r="C458" s="2" t="s">
        <v>1350</v>
      </c>
      <c r="D458" s="2">
        <v>847</v>
      </c>
      <c r="E458" s="2">
        <v>8471280</v>
      </c>
      <c r="F458" s="2" t="s">
        <v>1520</v>
      </c>
      <c r="G458" s="2">
        <v>1</v>
      </c>
      <c r="H458" s="276">
        <v>435530</v>
      </c>
      <c r="I458" s="2" t="s">
        <v>1127</v>
      </c>
      <c r="J458" s="2" t="s">
        <v>60</v>
      </c>
      <c r="K458" s="2" t="s">
        <v>50</v>
      </c>
      <c r="L458" s="7">
        <v>847001</v>
      </c>
      <c r="M458" s="2" t="s">
        <v>61</v>
      </c>
      <c r="N458" s="2">
        <v>200179</v>
      </c>
      <c r="O458" s="3" t="s">
        <v>1698</v>
      </c>
      <c r="P458" s="2" t="s">
        <v>46</v>
      </c>
      <c r="Q458" s="35">
        <v>5000</v>
      </c>
      <c r="R458" s="2">
        <v>5000</v>
      </c>
      <c r="S458" s="3" t="s">
        <v>1541</v>
      </c>
      <c r="T458" s="2" t="s">
        <v>157</v>
      </c>
      <c r="U458" s="2">
        <v>50</v>
      </c>
      <c r="V458" s="2">
        <v>120</v>
      </c>
      <c r="W458" s="3" t="s">
        <v>1542</v>
      </c>
      <c r="X458" s="36">
        <v>6000</v>
      </c>
      <c r="Y458" s="2" t="s">
        <v>55</v>
      </c>
      <c r="Z458" s="2" t="s">
        <v>56</v>
      </c>
      <c r="AA458" s="14">
        <f t="shared" si="23"/>
        <v>5400</v>
      </c>
      <c r="AB458" s="14">
        <f t="shared" si="24"/>
        <v>4800</v>
      </c>
      <c r="AC458" s="14">
        <f t="shared" si="25"/>
        <v>4200</v>
      </c>
      <c r="AD458" s="3">
        <v>4500</v>
      </c>
      <c r="AE458" s="3">
        <v>4000</v>
      </c>
      <c r="AF458" s="3">
        <v>3500</v>
      </c>
      <c r="AG458" s="43"/>
      <c r="AH458" s="43">
        <v>2000</v>
      </c>
      <c r="AI458" s="43"/>
      <c r="AJ458" s="43"/>
      <c r="AK458" s="43">
        <v>2000</v>
      </c>
      <c r="AL458" s="43"/>
      <c r="AM458" s="43"/>
      <c r="AN458" s="43"/>
      <c r="AO458" s="43"/>
      <c r="AP458" s="43">
        <v>2000</v>
      </c>
      <c r="AQ458" s="43"/>
      <c r="AR458" s="43"/>
      <c r="AS458" s="43">
        <v>6000</v>
      </c>
      <c r="AT458" s="3" t="s">
        <v>816</v>
      </c>
      <c r="AU458" s="272"/>
    </row>
    <row r="459" spans="1:47" ht="16.5" hidden="1" customHeight="1" x14ac:dyDescent="0.35">
      <c r="A459" s="2" t="s">
        <v>161</v>
      </c>
      <c r="B459" s="2" t="s">
        <v>220</v>
      </c>
      <c r="C459" s="2" t="s">
        <v>1350</v>
      </c>
      <c r="D459" s="2">
        <v>847</v>
      </c>
      <c r="E459" s="2">
        <v>8471280</v>
      </c>
      <c r="F459" s="2" t="s">
        <v>1520</v>
      </c>
      <c r="G459" s="2">
        <v>1</v>
      </c>
      <c r="H459" s="276">
        <v>492316</v>
      </c>
      <c r="I459" s="2" t="s">
        <v>221</v>
      </c>
      <c r="J459" s="2" t="s">
        <v>60</v>
      </c>
      <c r="K459" s="2" t="s">
        <v>50</v>
      </c>
      <c r="L459" s="7">
        <v>847001</v>
      </c>
      <c r="M459" s="2" t="s">
        <v>192</v>
      </c>
      <c r="N459" s="2">
        <v>300180</v>
      </c>
      <c r="O459" s="3" t="s">
        <v>1699</v>
      </c>
      <c r="P459" s="2" t="s">
        <v>46</v>
      </c>
      <c r="Q459" s="35">
        <v>6879</v>
      </c>
      <c r="R459" s="2">
        <v>6879</v>
      </c>
      <c r="S459" s="3" t="s">
        <v>495</v>
      </c>
      <c r="T459" s="2" t="s">
        <v>157</v>
      </c>
      <c r="U459" s="2">
        <v>6</v>
      </c>
      <c r="V459" s="2">
        <v>1375</v>
      </c>
      <c r="W459" s="3" t="s">
        <v>1543</v>
      </c>
      <c r="X459" s="36">
        <v>8250</v>
      </c>
      <c r="Y459" s="2" t="s">
        <v>55</v>
      </c>
      <c r="Z459" s="2" t="s">
        <v>56</v>
      </c>
      <c r="AA459" s="14">
        <f t="shared" si="23"/>
        <v>7425</v>
      </c>
      <c r="AB459" s="14">
        <f t="shared" si="24"/>
        <v>6600</v>
      </c>
      <c r="AC459" s="14">
        <f t="shared" si="25"/>
        <v>5775</v>
      </c>
      <c r="AD459" s="3">
        <v>4500</v>
      </c>
      <c r="AE459" s="3">
        <v>4000</v>
      </c>
      <c r="AF459" s="3">
        <v>3500</v>
      </c>
      <c r="AG459" s="43">
        <v>1375</v>
      </c>
      <c r="AH459" s="43"/>
      <c r="AI459" s="43">
        <v>1375</v>
      </c>
      <c r="AJ459" s="43"/>
      <c r="AK459" s="43">
        <v>1375</v>
      </c>
      <c r="AL459" s="43"/>
      <c r="AM459" s="43"/>
      <c r="AN459" s="43"/>
      <c r="AO459" s="43"/>
      <c r="AP459" s="43">
        <v>1375</v>
      </c>
      <c r="AQ459" s="43">
        <v>1375</v>
      </c>
      <c r="AR459" s="43">
        <v>1375</v>
      </c>
      <c r="AS459" s="43">
        <v>8250</v>
      </c>
      <c r="AT459" s="3" t="s">
        <v>70</v>
      </c>
      <c r="AU459" s="272"/>
    </row>
    <row r="460" spans="1:47" ht="16.5" hidden="1" customHeight="1" x14ac:dyDescent="0.35">
      <c r="A460" s="2" t="s">
        <v>153</v>
      </c>
      <c r="B460" s="2" t="s">
        <v>58</v>
      </c>
      <c r="C460" s="2" t="s">
        <v>1350</v>
      </c>
      <c r="D460" s="2">
        <v>847</v>
      </c>
      <c r="E460" s="2">
        <v>8471280</v>
      </c>
      <c r="F460" s="2" t="s">
        <v>1520</v>
      </c>
      <c r="G460" s="2">
        <v>1</v>
      </c>
      <c r="H460" s="276">
        <v>428090</v>
      </c>
      <c r="I460" s="2" t="s">
        <v>154</v>
      </c>
      <c r="J460" s="2" t="s">
        <v>60</v>
      </c>
      <c r="K460" s="2" t="s">
        <v>50</v>
      </c>
      <c r="L460" s="7">
        <v>847001</v>
      </c>
      <c r="M460" s="2" t="s">
        <v>61</v>
      </c>
      <c r="N460" s="2">
        <v>200179</v>
      </c>
      <c r="O460" s="3" t="s">
        <v>1700</v>
      </c>
      <c r="P460" s="2">
        <v>2200</v>
      </c>
      <c r="Q460" s="35"/>
      <c r="R460" s="2"/>
      <c r="S460" s="3" t="s">
        <v>156</v>
      </c>
      <c r="T460" s="2" t="s">
        <v>157</v>
      </c>
      <c r="U460" s="2">
        <v>3</v>
      </c>
      <c r="V460" s="2">
        <v>880</v>
      </c>
      <c r="W460" s="3" t="s">
        <v>1544</v>
      </c>
      <c r="X460" s="36">
        <v>2640</v>
      </c>
      <c r="Y460" s="2" t="s">
        <v>55</v>
      </c>
      <c r="Z460" s="2" t="s">
        <v>56</v>
      </c>
      <c r="AA460" s="14">
        <f t="shared" si="23"/>
        <v>2376</v>
      </c>
      <c r="AB460" s="14">
        <f t="shared" si="24"/>
        <v>2112</v>
      </c>
      <c r="AC460" s="14">
        <f t="shared" si="25"/>
        <v>1847.9999999999998</v>
      </c>
      <c r="AD460" s="3">
        <v>27000</v>
      </c>
      <c r="AE460" s="3">
        <v>24000</v>
      </c>
      <c r="AF460" s="3">
        <v>21000</v>
      </c>
      <c r="AG460" s="43">
        <v>880</v>
      </c>
      <c r="AH460" s="43"/>
      <c r="AI460" s="43"/>
      <c r="AJ460" s="43">
        <v>880</v>
      </c>
      <c r="AK460" s="43"/>
      <c r="AL460" s="43"/>
      <c r="AM460" s="43"/>
      <c r="AN460" s="43"/>
      <c r="AO460" s="43">
        <v>880</v>
      </c>
      <c r="AP460" s="43"/>
      <c r="AQ460" s="43"/>
      <c r="AR460" s="43"/>
      <c r="AS460" s="43">
        <v>2640</v>
      </c>
      <c r="AT460" s="3" t="s">
        <v>230</v>
      </c>
      <c r="AU460" s="272" t="s">
        <v>1369</v>
      </c>
    </row>
    <row r="461" spans="1:47" ht="16.5" hidden="1" customHeight="1" x14ac:dyDescent="0.35">
      <c r="A461" s="2" t="s">
        <v>245</v>
      </c>
      <c r="B461" s="2" t="s">
        <v>246</v>
      </c>
      <c r="C461" s="2" t="s">
        <v>1350</v>
      </c>
      <c r="D461" s="2">
        <v>847</v>
      </c>
      <c r="E461" s="2">
        <v>8471250</v>
      </c>
      <c r="F461" s="2" t="s">
        <v>1545</v>
      </c>
      <c r="G461" s="2">
        <v>1</v>
      </c>
      <c r="H461" s="276">
        <v>425510</v>
      </c>
      <c r="I461" s="2" t="s">
        <v>247</v>
      </c>
      <c r="J461" s="2" t="s">
        <v>60</v>
      </c>
      <c r="K461" s="2" t="s">
        <v>50</v>
      </c>
      <c r="L461" s="7">
        <v>847001</v>
      </c>
      <c r="M461" s="2" t="s">
        <v>61</v>
      </c>
      <c r="N461" s="2">
        <v>200179</v>
      </c>
      <c r="O461" s="3" t="s">
        <v>1701</v>
      </c>
      <c r="P461" s="2">
        <v>255064.92</v>
      </c>
      <c r="Q461" s="35">
        <v>317500</v>
      </c>
      <c r="R461" s="2">
        <v>317500</v>
      </c>
      <c r="S461" s="3" t="s">
        <v>565</v>
      </c>
      <c r="T461" s="2" t="s">
        <v>157</v>
      </c>
      <c r="U461" s="2">
        <v>5</v>
      </c>
      <c r="V461" s="2">
        <v>200000</v>
      </c>
      <c r="W461" s="3" t="s">
        <v>1546</v>
      </c>
      <c r="X461" s="36">
        <v>1000000</v>
      </c>
      <c r="Y461" s="2" t="s">
        <v>210</v>
      </c>
      <c r="Z461" s="2"/>
      <c r="AA461" s="14">
        <f t="shared" si="23"/>
        <v>900000</v>
      </c>
      <c r="AB461" s="14">
        <f t="shared" si="24"/>
        <v>800000</v>
      </c>
      <c r="AC461" s="14">
        <f t="shared" si="25"/>
        <v>700000</v>
      </c>
      <c r="AD461" s="3" t="s">
        <v>1547</v>
      </c>
      <c r="AE461" s="3" t="s">
        <v>1548</v>
      </c>
      <c r="AF461" s="3" t="s">
        <v>1548</v>
      </c>
      <c r="AG461" s="43"/>
      <c r="AH461" s="43">
        <v>80000</v>
      </c>
      <c r="AI461" s="43"/>
      <c r="AJ461" s="43"/>
      <c r="AK461" s="43"/>
      <c r="AL461" s="43"/>
      <c r="AM461" s="43"/>
      <c r="AN461" s="43">
        <v>70000</v>
      </c>
      <c r="AO461" s="43">
        <v>300000</v>
      </c>
      <c r="AP461" s="43">
        <v>300000</v>
      </c>
      <c r="AQ461" s="43">
        <v>250000</v>
      </c>
      <c r="AR461" s="43"/>
      <c r="AS461" s="43">
        <v>1000000</v>
      </c>
      <c r="AT461" s="3" t="s">
        <v>1367</v>
      </c>
      <c r="AU461" s="272" t="s">
        <v>1549</v>
      </c>
    </row>
    <row r="462" spans="1:47" ht="16.5" hidden="1" customHeight="1" x14ac:dyDescent="0.35">
      <c r="A462" s="2" t="s">
        <v>258</v>
      </c>
      <c r="B462" s="2" t="s">
        <v>58</v>
      </c>
      <c r="C462" s="2" t="s">
        <v>1350</v>
      </c>
      <c r="D462" s="2">
        <v>847</v>
      </c>
      <c r="E462" s="2">
        <v>8471250</v>
      </c>
      <c r="F462" s="2" t="s">
        <v>1545</v>
      </c>
      <c r="G462" s="2">
        <v>1</v>
      </c>
      <c r="H462" s="276">
        <v>425720</v>
      </c>
      <c r="I462" s="2" t="s">
        <v>620</v>
      </c>
      <c r="J462" s="2" t="s">
        <v>60</v>
      </c>
      <c r="K462" s="2" t="s">
        <v>50</v>
      </c>
      <c r="L462" s="7">
        <v>847001</v>
      </c>
      <c r="M462" s="2" t="s">
        <v>61</v>
      </c>
      <c r="N462" s="2">
        <v>200179</v>
      </c>
      <c r="O462" s="3" t="s">
        <v>1702</v>
      </c>
      <c r="P462" s="2">
        <v>370000</v>
      </c>
      <c r="Q462" s="35">
        <v>550000</v>
      </c>
      <c r="R462" s="2">
        <v>550000</v>
      </c>
      <c r="S462" s="3" t="s">
        <v>622</v>
      </c>
      <c r="T462" s="2" t="s">
        <v>623</v>
      </c>
      <c r="U462" s="2">
        <v>2</v>
      </c>
      <c r="V462" s="2">
        <v>280000</v>
      </c>
      <c r="W462" s="3" t="s">
        <v>1550</v>
      </c>
      <c r="X462" s="36">
        <v>560000</v>
      </c>
      <c r="Y462" s="2" t="s">
        <v>210</v>
      </c>
      <c r="Z462" s="2"/>
      <c r="AA462" s="14">
        <f t="shared" si="23"/>
        <v>504000</v>
      </c>
      <c r="AB462" s="14">
        <f t="shared" si="24"/>
        <v>448000</v>
      </c>
      <c r="AC462" s="14">
        <f t="shared" si="25"/>
        <v>392000</v>
      </c>
      <c r="AD462" s="3" t="s">
        <v>1551</v>
      </c>
      <c r="AE462" s="3" t="s">
        <v>1551</v>
      </c>
      <c r="AF462" s="3" t="s">
        <v>1552</v>
      </c>
      <c r="AG462" s="43"/>
      <c r="AH462" s="43">
        <v>560000</v>
      </c>
      <c r="AI462" s="43"/>
      <c r="AJ462" s="43"/>
      <c r="AK462" s="43"/>
      <c r="AL462" s="43"/>
      <c r="AM462" s="43"/>
      <c r="AN462" s="43"/>
      <c r="AO462" s="43"/>
      <c r="AP462" s="43"/>
      <c r="AQ462" s="43"/>
      <c r="AR462" s="43"/>
      <c r="AS462" s="43">
        <v>560000</v>
      </c>
      <c r="AT462" s="3" t="s">
        <v>1367</v>
      </c>
      <c r="AU462" s="272"/>
    </row>
    <row r="463" spans="1:47" ht="16.5" hidden="1" customHeight="1" x14ac:dyDescent="0.35">
      <c r="A463" s="2" t="s">
        <v>258</v>
      </c>
      <c r="B463" s="2" t="s">
        <v>58</v>
      </c>
      <c r="C463" s="2" t="s">
        <v>1350</v>
      </c>
      <c r="D463" s="2">
        <v>847</v>
      </c>
      <c r="E463" s="2">
        <v>8471250</v>
      </c>
      <c r="F463" s="2" t="s">
        <v>1545</v>
      </c>
      <c r="G463" s="2">
        <v>1</v>
      </c>
      <c r="H463" s="276">
        <v>425762</v>
      </c>
      <c r="I463" s="2" t="s">
        <v>573</v>
      </c>
      <c r="J463" s="2" t="s">
        <v>60</v>
      </c>
      <c r="K463" s="2" t="s">
        <v>50</v>
      </c>
      <c r="L463" s="7">
        <v>847001</v>
      </c>
      <c r="M463" s="2" t="s">
        <v>61</v>
      </c>
      <c r="N463" s="2">
        <v>200179</v>
      </c>
      <c r="O463" s="3" t="s">
        <v>1703</v>
      </c>
      <c r="P463" s="2">
        <v>0</v>
      </c>
      <c r="Q463" s="35">
        <v>520000</v>
      </c>
      <c r="R463" s="2">
        <v>520000</v>
      </c>
      <c r="S463" s="3" t="s">
        <v>1062</v>
      </c>
      <c r="T463" s="2" t="s">
        <v>68</v>
      </c>
      <c r="U463" s="2">
        <v>80</v>
      </c>
      <c r="V463" s="2">
        <v>26800</v>
      </c>
      <c r="W463" s="3" t="s">
        <v>1553</v>
      </c>
      <c r="X463" s="36">
        <v>2144000</v>
      </c>
      <c r="Y463" s="2" t="s">
        <v>210</v>
      </c>
      <c r="Z463" s="2"/>
      <c r="AA463" s="14">
        <f t="shared" si="23"/>
        <v>1929600</v>
      </c>
      <c r="AB463" s="14">
        <f t="shared" si="24"/>
        <v>1715200</v>
      </c>
      <c r="AC463" s="14">
        <f t="shared" si="25"/>
        <v>1500800</v>
      </c>
      <c r="AD463" s="3" t="s">
        <v>1554</v>
      </c>
      <c r="AE463" s="3" t="s">
        <v>1554</v>
      </c>
      <c r="AF463" s="3" t="s">
        <v>1554</v>
      </c>
      <c r="AG463" s="43"/>
      <c r="AH463" s="43">
        <v>2144000</v>
      </c>
      <c r="AI463" s="43"/>
      <c r="AJ463" s="43"/>
      <c r="AK463" s="43"/>
      <c r="AL463" s="43"/>
      <c r="AM463" s="43"/>
      <c r="AN463" s="43"/>
      <c r="AO463" s="43"/>
      <c r="AP463" s="43"/>
      <c r="AQ463" s="43"/>
      <c r="AR463" s="43"/>
      <c r="AS463" s="43">
        <v>2144000</v>
      </c>
      <c r="AT463" s="3" t="s">
        <v>577</v>
      </c>
      <c r="AU463" s="272" t="s">
        <v>1555</v>
      </c>
    </row>
    <row r="464" spans="1:47" ht="16.5" hidden="1" customHeight="1" x14ac:dyDescent="0.35">
      <c r="A464" s="2" t="s">
        <v>189</v>
      </c>
      <c r="B464" s="2" t="s">
        <v>265</v>
      </c>
      <c r="C464" s="2" t="s">
        <v>1350</v>
      </c>
      <c r="D464" s="2">
        <v>847</v>
      </c>
      <c r="E464" s="2">
        <v>8471250</v>
      </c>
      <c r="F464" s="2" t="s">
        <v>1545</v>
      </c>
      <c r="G464" s="2">
        <v>1</v>
      </c>
      <c r="H464" s="276">
        <v>425900</v>
      </c>
      <c r="I464" s="2" t="s">
        <v>266</v>
      </c>
      <c r="J464" s="2" t="s">
        <v>60</v>
      </c>
      <c r="K464" s="2" t="s">
        <v>50</v>
      </c>
      <c r="L464" s="7">
        <v>847001</v>
      </c>
      <c r="M464" s="2" t="s">
        <v>61</v>
      </c>
      <c r="N464" s="2">
        <v>200179</v>
      </c>
      <c r="O464" s="3" t="s">
        <v>1704</v>
      </c>
      <c r="P464" s="2" t="s">
        <v>46</v>
      </c>
      <c r="Q464" s="35">
        <v>51000</v>
      </c>
      <c r="R464" s="2">
        <v>51000</v>
      </c>
      <c r="S464" s="3" t="s">
        <v>268</v>
      </c>
      <c r="T464" s="2" t="s">
        <v>269</v>
      </c>
      <c r="U464" s="2">
        <v>5</v>
      </c>
      <c r="V464" s="2">
        <v>15000</v>
      </c>
      <c r="W464" s="3" t="s">
        <v>1556</v>
      </c>
      <c r="X464" s="36">
        <v>75000</v>
      </c>
      <c r="Y464" s="2" t="s">
        <v>55</v>
      </c>
      <c r="Z464" s="2"/>
      <c r="AA464" s="14">
        <f t="shared" si="23"/>
        <v>67500</v>
      </c>
      <c r="AB464" s="14">
        <f t="shared" si="24"/>
        <v>60000</v>
      </c>
      <c r="AC464" s="14">
        <f t="shared" si="25"/>
        <v>52500</v>
      </c>
      <c r="AD464" s="3" t="s">
        <v>1557</v>
      </c>
      <c r="AE464" s="3" t="s">
        <v>1557</v>
      </c>
      <c r="AF464" s="3" t="s">
        <v>1558</v>
      </c>
      <c r="AG464" s="43"/>
      <c r="AH464" s="43">
        <v>15000</v>
      </c>
      <c r="AI464" s="43"/>
      <c r="AJ464" s="43"/>
      <c r="AK464" s="43"/>
      <c r="AL464" s="43"/>
      <c r="AM464" s="43"/>
      <c r="AN464" s="43">
        <v>10000</v>
      </c>
      <c r="AO464" s="43">
        <v>15000</v>
      </c>
      <c r="AP464" s="43">
        <v>20000</v>
      </c>
      <c r="AQ464" s="43">
        <v>15000</v>
      </c>
      <c r="AR464" s="43"/>
      <c r="AS464" s="43">
        <v>75000</v>
      </c>
      <c r="AT464" s="3"/>
      <c r="AU464" s="272"/>
    </row>
    <row r="465" spans="1:47" ht="16.5" hidden="1" customHeight="1" x14ac:dyDescent="0.35">
      <c r="A465" s="2" t="s">
        <v>63</v>
      </c>
      <c r="B465" s="2" t="s">
        <v>64</v>
      </c>
      <c r="C465" s="2" t="s">
        <v>1350</v>
      </c>
      <c r="D465" s="2">
        <v>847</v>
      </c>
      <c r="E465" s="2">
        <v>8471250</v>
      </c>
      <c r="F465" s="2" t="s">
        <v>1545</v>
      </c>
      <c r="G465" s="2">
        <v>1</v>
      </c>
      <c r="H465" s="276">
        <v>426610</v>
      </c>
      <c r="I465" s="2" t="s">
        <v>74</v>
      </c>
      <c r="J465" s="2" t="s">
        <v>60</v>
      </c>
      <c r="K465" s="2" t="s">
        <v>50</v>
      </c>
      <c r="L465" s="7">
        <v>847001</v>
      </c>
      <c r="M465" s="2" t="s">
        <v>61</v>
      </c>
      <c r="N465" s="2">
        <v>200179</v>
      </c>
      <c r="O465" s="3" t="s">
        <v>1705</v>
      </c>
      <c r="P465" s="2">
        <v>0</v>
      </c>
      <c r="Q465" s="35">
        <v>60608</v>
      </c>
      <c r="R465" s="2">
        <v>60605</v>
      </c>
      <c r="S465" s="3" t="s">
        <v>274</v>
      </c>
      <c r="T465" s="2" t="s">
        <v>157</v>
      </c>
      <c r="U465" s="2">
        <v>3</v>
      </c>
      <c r="V465" s="2">
        <v>124384</v>
      </c>
      <c r="W465" s="3" t="s">
        <v>1559</v>
      </c>
      <c r="X465" s="36">
        <v>373152</v>
      </c>
      <c r="Y465" s="2" t="s">
        <v>55</v>
      </c>
      <c r="Z465" s="2"/>
      <c r="AA465" s="14">
        <f t="shared" si="23"/>
        <v>335836.8</v>
      </c>
      <c r="AB465" s="14">
        <f t="shared" si="24"/>
        <v>298521.60000000003</v>
      </c>
      <c r="AC465" s="14">
        <f t="shared" si="25"/>
        <v>261206.39999999999</v>
      </c>
      <c r="AD465" s="3" t="s">
        <v>1560</v>
      </c>
      <c r="AE465" s="3" t="s">
        <v>1560</v>
      </c>
      <c r="AF465" s="3" t="s">
        <v>1560</v>
      </c>
      <c r="AG465" s="43"/>
      <c r="AH465" s="43">
        <v>373152</v>
      </c>
      <c r="AI465" s="43"/>
      <c r="AJ465" s="43"/>
      <c r="AK465" s="43"/>
      <c r="AL465" s="43"/>
      <c r="AM465" s="43"/>
      <c r="AN465" s="43"/>
      <c r="AO465" s="43"/>
      <c r="AP465" s="43"/>
      <c r="AQ465" s="43"/>
      <c r="AR465" s="43"/>
      <c r="AS465" s="43">
        <v>373152</v>
      </c>
      <c r="AT465" s="3"/>
      <c r="AU465" s="272" t="s">
        <v>1561</v>
      </c>
    </row>
    <row r="466" spans="1:47" ht="16.5" hidden="1" customHeight="1" x14ac:dyDescent="0.35">
      <c r="A466" s="2" t="s">
        <v>153</v>
      </c>
      <c r="B466" s="2" t="s">
        <v>58</v>
      </c>
      <c r="C466" s="2" t="s">
        <v>1350</v>
      </c>
      <c r="D466" s="2">
        <v>847</v>
      </c>
      <c r="E466" s="2">
        <v>8471250</v>
      </c>
      <c r="F466" s="2" t="s">
        <v>1545</v>
      </c>
      <c r="G466" s="2">
        <v>1</v>
      </c>
      <c r="H466" s="276">
        <v>428090</v>
      </c>
      <c r="I466" s="2" t="s">
        <v>154</v>
      </c>
      <c r="J466" s="2" t="s">
        <v>60</v>
      </c>
      <c r="K466" s="2" t="s">
        <v>50</v>
      </c>
      <c r="L466" s="7">
        <v>847001</v>
      </c>
      <c r="M466" s="2" t="s">
        <v>61</v>
      </c>
      <c r="N466" s="2">
        <v>200179</v>
      </c>
      <c r="O466" s="3" t="s">
        <v>1706</v>
      </c>
      <c r="P466" s="2">
        <v>0</v>
      </c>
      <c r="Q466" s="35">
        <v>10000</v>
      </c>
      <c r="R466" s="2">
        <v>10000</v>
      </c>
      <c r="S466" s="3" t="s">
        <v>156</v>
      </c>
      <c r="T466" s="2" t="s">
        <v>157</v>
      </c>
      <c r="U466" s="2"/>
      <c r="V466" s="2"/>
      <c r="W466" s="3"/>
      <c r="X466" s="36">
        <v>0</v>
      </c>
      <c r="Y466" s="2"/>
      <c r="Z466" s="2"/>
      <c r="AA466" s="14">
        <f t="shared" si="23"/>
        <v>0</v>
      </c>
      <c r="AB466" s="14">
        <f t="shared" si="24"/>
        <v>0</v>
      </c>
      <c r="AC466" s="14">
        <f t="shared" si="25"/>
        <v>0</v>
      </c>
      <c r="AD466" s="3"/>
      <c r="AE466" s="3"/>
      <c r="AF466" s="3"/>
      <c r="AG466" s="43"/>
      <c r="AH466" s="43"/>
      <c r="AI466" s="43"/>
      <c r="AJ466" s="43"/>
      <c r="AK466" s="43"/>
      <c r="AL466" s="43"/>
      <c r="AM466" s="43"/>
      <c r="AN466" s="43"/>
      <c r="AO466" s="43"/>
      <c r="AP466" s="43"/>
      <c r="AQ466" s="43"/>
      <c r="AR466" s="43"/>
      <c r="AS466" s="43">
        <v>0</v>
      </c>
      <c r="AT466" s="3"/>
      <c r="AU466" s="272"/>
    </row>
    <row r="467" spans="1:47" ht="16.5" hidden="1" customHeight="1" x14ac:dyDescent="0.35">
      <c r="A467" s="2" t="s">
        <v>245</v>
      </c>
      <c r="B467" s="2" t="s">
        <v>246</v>
      </c>
      <c r="C467" s="2" t="s">
        <v>1350</v>
      </c>
      <c r="D467" s="2">
        <v>847</v>
      </c>
      <c r="E467" s="2">
        <v>8471250</v>
      </c>
      <c r="F467" s="2" t="s">
        <v>1545</v>
      </c>
      <c r="G467" s="2">
        <v>1</v>
      </c>
      <c r="H467" s="276">
        <v>428640</v>
      </c>
      <c r="I467" s="2" t="s">
        <v>279</v>
      </c>
      <c r="J467" s="2" t="s">
        <v>60</v>
      </c>
      <c r="K467" s="2" t="s">
        <v>50</v>
      </c>
      <c r="L467" s="7">
        <v>847001</v>
      </c>
      <c r="M467" s="2" t="s">
        <v>61</v>
      </c>
      <c r="N467" s="2">
        <v>200179</v>
      </c>
      <c r="O467" s="3" t="s">
        <v>1707</v>
      </c>
      <c r="P467" s="2" t="s">
        <v>46</v>
      </c>
      <c r="Q467" s="35">
        <v>46500</v>
      </c>
      <c r="R467" s="2">
        <v>46500</v>
      </c>
      <c r="S467" s="3" t="s">
        <v>1452</v>
      </c>
      <c r="T467" s="2" t="s">
        <v>269</v>
      </c>
      <c r="U467" s="2">
        <v>200</v>
      </c>
      <c r="V467" s="10">
        <v>400</v>
      </c>
      <c r="W467" s="3" t="s">
        <v>1562</v>
      </c>
      <c r="X467" s="36">
        <v>80000</v>
      </c>
      <c r="Y467" s="2" t="s">
        <v>55</v>
      </c>
      <c r="Z467" s="2"/>
      <c r="AA467" s="14">
        <f t="shared" si="23"/>
        <v>72000</v>
      </c>
      <c r="AB467" s="14">
        <f t="shared" si="24"/>
        <v>64000</v>
      </c>
      <c r="AC467" s="14">
        <f t="shared" si="25"/>
        <v>56000</v>
      </c>
      <c r="AD467" s="3" t="s">
        <v>1563</v>
      </c>
      <c r="AE467" s="3" t="s">
        <v>1564</v>
      </c>
      <c r="AF467" s="3" t="s">
        <v>1565</v>
      </c>
      <c r="AG467" s="43"/>
      <c r="AH467" s="43">
        <v>15000</v>
      </c>
      <c r="AI467" s="43"/>
      <c r="AJ467" s="43"/>
      <c r="AK467" s="43"/>
      <c r="AL467" s="43"/>
      <c r="AM467" s="43"/>
      <c r="AN467" s="43">
        <v>5000</v>
      </c>
      <c r="AO467" s="43">
        <v>40000</v>
      </c>
      <c r="AP467" s="43">
        <v>10000</v>
      </c>
      <c r="AQ467" s="43">
        <v>10000</v>
      </c>
      <c r="AR467" s="43"/>
      <c r="AS467" s="43">
        <v>80000</v>
      </c>
      <c r="AT467" s="3"/>
      <c r="AU467" s="272" t="s">
        <v>1566</v>
      </c>
    </row>
    <row r="468" spans="1:47" ht="16.5" hidden="1" customHeight="1" x14ac:dyDescent="0.35">
      <c r="A468" s="2" t="s">
        <v>189</v>
      </c>
      <c r="B468" s="2" t="s">
        <v>58</v>
      </c>
      <c r="C468" s="2" t="s">
        <v>1350</v>
      </c>
      <c r="D468" s="2">
        <v>847</v>
      </c>
      <c r="E468" s="2">
        <v>8471250</v>
      </c>
      <c r="F468" s="2" t="s">
        <v>1545</v>
      </c>
      <c r="G468" s="2">
        <v>1</v>
      </c>
      <c r="H468" s="276">
        <v>436110</v>
      </c>
      <c r="I468" s="2" t="s">
        <v>190</v>
      </c>
      <c r="J468" s="2" t="s">
        <v>60</v>
      </c>
      <c r="K468" s="2" t="s">
        <v>50</v>
      </c>
      <c r="L468" s="7">
        <v>847001</v>
      </c>
      <c r="M468" s="2" t="s">
        <v>61</v>
      </c>
      <c r="N468" s="2">
        <v>200179</v>
      </c>
      <c r="O468" s="3" t="s">
        <v>1708</v>
      </c>
      <c r="P468" s="2">
        <v>-5910</v>
      </c>
      <c r="Q468" s="35">
        <v>10000</v>
      </c>
      <c r="R468" s="2">
        <v>10000</v>
      </c>
      <c r="S468" s="3" t="s">
        <v>488</v>
      </c>
      <c r="T468" s="2" t="s">
        <v>157</v>
      </c>
      <c r="U468" s="2">
        <v>5</v>
      </c>
      <c r="V468" s="2">
        <v>2000</v>
      </c>
      <c r="W468" s="3" t="s">
        <v>1567</v>
      </c>
      <c r="X468" s="36">
        <v>10000</v>
      </c>
      <c r="Y468" s="2" t="s">
        <v>55</v>
      </c>
      <c r="Z468" s="2"/>
      <c r="AA468" s="14">
        <f t="shared" si="23"/>
        <v>9000</v>
      </c>
      <c r="AB468" s="14">
        <f t="shared" si="24"/>
        <v>8000</v>
      </c>
      <c r="AC468" s="14">
        <f t="shared" si="25"/>
        <v>7000</v>
      </c>
      <c r="AD468" s="3" t="s">
        <v>1568</v>
      </c>
      <c r="AE468" s="3" t="s">
        <v>1568</v>
      </c>
      <c r="AF468" s="3" t="s">
        <v>1568</v>
      </c>
      <c r="AG468" s="43"/>
      <c r="AH468" s="43">
        <v>10000</v>
      </c>
      <c r="AI468" s="43"/>
      <c r="AJ468" s="43"/>
      <c r="AK468" s="43"/>
      <c r="AL468" s="43"/>
      <c r="AM468" s="43"/>
      <c r="AN468" s="43"/>
      <c r="AO468" s="43"/>
      <c r="AP468" s="43"/>
      <c r="AQ468" s="43"/>
      <c r="AR468" s="43"/>
      <c r="AS468" s="43">
        <v>10000</v>
      </c>
      <c r="AT468" s="3"/>
      <c r="AU468" s="272"/>
    </row>
    <row r="469" spans="1:47" ht="16.5" hidden="1" customHeight="1" x14ac:dyDescent="0.35">
      <c r="A469" s="2" t="s">
        <v>245</v>
      </c>
      <c r="B469" s="2" t="s">
        <v>246</v>
      </c>
      <c r="C469" s="2" t="s">
        <v>1569</v>
      </c>
      <c r="D469" s="2">
        <v>847</v>
      </c>
      <c r="E469" s="2">
        <v>8471010</v>
      </c>
      <c r="F469" s="2" t="s">
        <v>1570</v>
      </c>
      <c r="G469" s="2">
        <v>1</v>
      </c>
      <c r="H469" s="276">
        <v>425510</v>
      </c>
      <c r="I469" s="2" t="s">
        <v>247</v>
      </c>
      <c r="J469" s="2" t="s">
        <v>60</v>
      </c>
      <c r="K469" s="2" t="s">
        <v>50</v>
      </c>
      <c r="L469" s="7">
        <v>847001</v>
      </c>
      <c r="M469" s="2" t="s">
        <v>61</v>
      </c>
      <c r="N469" s="2">
        <v>200179</v>
      </c>
      <c r="O469" s="3" t="s">
        <v>1709</v>
      </c>
      <c r="P469" s="2">
        <v>0</v>
      </c>
      <c r="Q469" s="35">
        <v>100000</v>
      </c>
      <c r="R469" s="2"/>
      <c r="S469" s="3" t="s">
        <v>433</v>
      </c>
      <c r="T469" s="2" t="s">
        <v>434</v>
      </c>
      <c r="U469" s="2">
        <v>2</v>
      </c>
      <c r="V469" s="2">
        <v>50000</v>
      </c>
      <c r="W469" s="3" t="s">
        <v>1571</v>
      </c>
      <c r="X469" s="36">
        <v>100000</v>
      </c>
      <c r="Y469" s="2" t="s">
        <v>55</v>
      </c>
      <c r="Z469" s="2" t="s">
        <v>56</v>
      </c>
      <c r="AA469" s="14">
        <f t="shared" si="23"/>
        <v>90000</v>
      </c>
      <c r="AB469" s="14">
        <f t="shared" si="24"/>
        <v>80000</v>
      </c>
      <c r="AC469" s="14">
        <f t="shared" si="25"/>
        <v>70000</v>
      </c>
      <c r="AD469" s="3" t="s">
        <v>1572</v>
      </c>
      <c r="AE469" s="3" t="s">
        <v>1573</v>
      </c>
      <c r="AF469" s="3" t="s">
        <v>1574</v>
      </c>
      <c r="AG469" s="43"/>
      <c r="AH469" s="43"/>
      <c r="AI469" s="43"/>
      <c r="AJ469" s="43">
        <v>50000</v>
      </c>
      <c r="AK469" s="43"/>
      <c r="AL469" s="43"/>
      <c r="AM469" s="43"/>
      <c r="AN469" s="43"/>
      <c r="AO469" s="43">
        <v>50000</v>
      </c>
      <c r="AP469" s="43"/>
      <c r="AQ469" s="43"/>
      <c r="AR469" s="43"/>
      <c r="AS469" s="43">
        <v>100000</v>
      </c>
      <c r="AT469" s="3" t="s">
        <v>618</v>
      </c>
      <c r="AU469" s="272"/>
    </row>
    <row r="470" spans="1:47" ht="16.5" hidden="1" customHeight="1" x14ac:dyDescent="0.35">
      <c r="A470" s="2" t="s">
        <v>258</v>
      </c>
      <c r="B470" s="2" t="s">
        <v>58</v>
      </c>
      <c r="C470" s="2" t="s">
        <v>1569</v>
      </c>
      <c r="D470" s="2">
        <v>847</v>
      </c>
      <c r="E470" s="2">
        <v>8471010</v>
      </c>
      <c r="F470" s="2" t="s">
        <v>1570</v>
      </c>
      <c r="G470" s="2">
        <v>1</v>
      </c>
      <c r="H470" s="276">
        <v>425720</v>
      </c>
      <c r="I470" s="2" t="s">
        <v>620</v>
      </c>
      <c r="J470" s="2" t="s">
        <v>60</v>
      </c>
      <c r="K470" s="2" t="s">
        <v>50</v>
      </c>
      <c r="L470" s="7">
        <v>847001</v>
      </c>
      <c r="M470" s="2" t="s">
        <v>61</v>
      </c>
      <c r="N470" s="2">
        <v>200179</v>
      </c>
      <c r="O470" s="3" t="s">
        <v>1710</v>
      </c>
      <c r="P470" s="2">
        <v>23528</v>
      </c>
      <c r="Q470" s="35">
        <v>76120</v>
      </c>
      <c r="R470" s="2"/>
      <c r="S470" s="3" t="s">
        <v>622</v>
      </c>
      <c r="T470" s="2" t="s">
        <v>623</v>
      </c>
      <c r="U470" s="2">
        <v>11</v>
      </c>
      <c r="V470" s="2">
        <v>6920</v>
      </c>
      <c r="W470" s="3" t="s">
        <v>1575</v>
      </c>
      <c r="X470" s="36">
        <v>76120</v>
      </c>
      <c r="Y470" s="2" t="s">
        <v>55</v>
      </c>
      <c r="Z470" s="2" t="s">
        <v>56</v>
      </c>
      <c r="AA470" s="14">
        <f t="shared" si="23"/>
        <v>68508</v>
      </c>
      <c r="AB470" s="14">
        <f t="shared" si="24"/>
        <v>60896</v>
      </c>
      <c r="AC470" s="14">
        <f t="shared" si="25"/>
        <v>53284</v>
      </c>
      <c r="AD470" s="3" t="s">
        <v>1576</v>
      </c>
      <c r="AE470" s="3" t="s">
        <v>1576</v>
      </c>
      <c r="AF470" s="3" t="s">
        <v>1576</v>
      </c>
      <c r="AG470" s="43"/>
      <c r="AH470" s="43"/>
      <c r="AI470" s="43">
        <v>6920</v>
      </c>
      <c r="AJ470" s="43"/>
      <c r="AK470" s="43">
        <v>6920</v>
      </c>
      <c r="AL470" s="43">
        <v>13840</v>
      </c>
      <c r="AM470" s="43">
        <v>13840</v>
      </c>
      <c r="AN470" s="43"/>
      <c r="AO470" s="43">
        <v>13840</v>
      </c>
      <c r="AP470" s="43">
        <v>13840</v>
      </c>
      <c r="AQ470" s="43">
        <v>6920</v>
      </c>
      <c r="AR470" s="43"/>
      <c r="AS470" s="43">
        <v>76120</v>
      </c>
      <c r="AT470" s="3" t="s">
        <v>237</v>
      </c>
      <c r="AU470" s="272"/>
    </row>
    <row r="471" spans="1:47" ht="16.5" hidden="1" customHeight="1" x14ac:dyDescent="0.35">
      <c r="A471" s="2" t="s">
        <v>189</v>
      </c>
      <c r="B471" s="2" t="s">
        <v>265</v>
      </c>
      <c r="C471" s="2" t="s">
        <v>1569</v>
      </c>
      <c r="D471" s="2">
        <v>847</v>
      </c>
      <c r="E471" s="2">
        <v>8471010</v>
      </c>
      <c r="F471" s="2" t="s">
        <v>1570</v>
      </c>
      <c r="G471" s="2">
        <v>1</v>
      </c>
      <c r="H471" s="276">
        <v>425900</v>
      </c>
      <c r="I471" s="2" t="s">
        <v>266</v>
      </c>
      <c r="J471" s="2" t="s">
        <v>60</v>
      </c>
      <c r="K471" s="2" t="s">
        <v>50</v>
      </c>
      <c r="L471" s="7">
        <v>847001</v>
      </c>
      <c r="M471" s="2" t="s">
        <v>61</v>
      </c>
      <c r="N471" s="2">
        <v>200179</v>
      </c>
      <c r="O471" s="3" t="s">
        <v>1711</v>
      </c>
      <c r="P471" s="2">
        <v>26586</v>
      </c>
      <c r="Q471" s="35">
        <v>162500</v>
      </c>
      <c r="R471" s="2"/>
      <c r="S471" s="3" t="s">
        <v>268</v>
      </c>
      <c r="T471" s="2" t="s">
        <v>269</v>
      </c>
      <c r="U471" s="2">
        <v>20</v>
      </c>
      <c r="V471" s="2">
        <v>4420</v>
      </c>
      <c r="W471" s="3" t="s">
        <v>1577</v>
      </c>
      <c r="X471" s="36">
        <v>88400</v>
      </c>
      <c r="Y471" s="2" t="s">
        <v>55</v>
      </c>
      <c r="Z471" s="2" t="s">
        <v>56</v>
      </c>
      <c r="AA471" s="14">
        <f t="shared" si="23"/>
        <v>79560</v>
      </c>
      <c r="AB471" s="14">
        <f t="shared" si="24"/>
        <v>70720</v>
      </c>
      <c r="AC471" s="14">
        <f t="shared" si="25"/>
        <v>61879.999999999993</v>
      </c>
      <c r="AD471" s="3" t="s">
        <v>1576</v>
      </c>
      <c r="AE471" s="3" t="s">
        <v>1576</v>
      </c>
      <c r="AF471" s="3" t="s">
        <v>1576</v>
      </c>
      <c r="AG471" s="43">
        <v>6500</v>
      </c>
      <c r="AH471" s="43">
        <v>6500</v>
      </c>
      <c r="AI471" s="43">
        <v>6500</v>
      </c>
      <c r="AJ471" s="43">
        <v>9100</v>
      </c>
      <c r="AK471" s="43"/>
      <c r="AL471" s="43">
        <v>36400</v>
      </c>
      <c r="AM471" s="43">
        <v>10400</v>
      </c>
      <c r="AN471" s="43"/>
      <c r="AO471" s="43">
        <v>6500</v>
      </c>
      <c r="AP471" s="43">
        <v>6500</v>
      </c>
      <c r="AQ471" s="43"/>
      <c r="AR471" s="43"/>
      <c r="AS471" s="43">
        <v>88400</v>
      </c>
      <c r="AT471" s="3" t="s">
        <v>816</v>
      </c>
      <c r="AU471" s="272"/>
    </row>
    <row r="472" spans="1:47" ht="16.5" hidden="1" customHeight="1" x14ac:dyDescent="0.35">
      <c r="A472" s="2" t="s">
        <v>189</v>
      </c>
      <c r="B472" s="2" t="s">
        <v>58</v>
      </c>
      <c r="C472" s="2" t="s">
        <v>1569</v>
      </c>
      <c r="D472" s="2">
        <v>847</v>
      </c>
      <c r="E472" s="2">
        <v>8471010</v>
      </c>
      <c r="F472" s="2" t="s">
        <v>1570</v>
      </c>
      <c r="G472" s="2">
        <v>1</v>
      </c>
      <c r="H472" s="276">
        <v>436110</v>
      </c>
      <c r="I472" s="2" t="s">
        <v>190</v>
      </c>
      <c r="J472" s="2" t="s">
        <v>60</v>
      </c>
      <c r="K472" s="2" t="s">
        <v>50</v>
      </c>
      <c r="L472" s="7">
        <v>847001</v>
      </c>
      <c r="M472" s="2" t="s">
        <v>61</v>
      </c>
      <c r="N472" s="2">
        <v>200179</v>
      </c>
      <c r="O472" s="3" t="s">
        <v>1712</v>
      </c>
      <c r="P472" s="2">
        <v>0</v>
      </c>
      <c r="Q472" s="35">
        <v>50625</v>
      </c>
      <c r="R472" s="2"/>
      <c r="S472" s="3" t="s">
        <v>829</v>
      </c>
      <c r="T472" s="2" t="s">
        <v>157</v>
      </c>
      <c r="U472" s="2">
        <v>10</v>
      </c>
      <c r="V472" s="2">
        <v>2000</v>
      </c>
      <c r="W472" s="3" t="s">
        <v>1578</v>
      </c>
      <c r="X472" s="36">
        <v>20000</v>
      </c>
      <c r="Y472" s="2" t="s">
        <v>55</v>
      </c>
      <c r="Z472" s="2" t="s">
        <v>56</v>
      </c>
      <c r="AA472" s="14">
        <f t="shared" si="23"/>
        <v>18000</v>
      </c>
      <c r="AB472" s="14">
        <f t="shared" si="24"/>
        <v>16000</v>
      </c>
      <c r="AC472" s="14">
        <f t="shared" si="25"/>
        <v>14000</v>
      </c>
      <c r="AD472" s="3" t="s">
        <v>1576</v>
      </c>
      <c r="AE472" s="3" t="s">
        <v>1576</v>
      </c>
      <c r="AF472" s="3" t="s">
        <v>1576</v>
      </c>
      <c r="AG472" s="43">
        <v>2000</v>
      </c>
      <c r="AH472" s="43">
        <v>2000</v>
      </c>
      <c r="AI472" s="43">
        <v>2000</v>
      </c>
      <c r="AJ472" s="43">
        <v>2000</v>
      </c>
      <c r="AK472" s="43"/>
      <c r="AL472" s="43">
        <v>2000</v>
      </c>
      <c r="AM472" s="43">
        <v>2000</v>
      </c>
      <c r="AN472" s="43">
        <v>2000</v>
      </c>
      <c r="AO472" s="43">
        <v>2000</v>
      </c>
      <c r="AP472" s="43">
        <v>2000</v>
      </c>
      <c r="AQ472" s="43">
        <v>2000</v>
      </c>
      <c r="AR472" s="43"/>
      <c r="AS472" s="43">
        <v>20000</v>
      </c>
      <c r="AT472" s="3" t="s">
        <v>816</v>
      </c>
      <c r="AU472" s="272"/>
    </row>
    <row r="473" spans="1:47" ht="16.5" hidden="1" customHeight="1" x14ac:dyDescent="0.35">
      <c r="A473" s="2" t="s">
        <v>189</v>
      </c>
      <c r="B473" s="2" t="s">
        <v>58</v>
      </c>
      <c r="C473" s="2" t="s">
        <v>1569</v>
      </c>
      <c r="D473" s="2">
        <v>847</v>
      </c>
      <c r="E473" s="2">
        <v>8471010</v>
      </c>
      <c r="F473" s="2" t="s">
        <v>1570</v>
      </c>
      <c r="G473" s="2">
        <v>1</v>
      </c>
      <c r="H473" s="276">
        <v>436120</v>
      </c>
      <c r="I473" s="2" t="s">
        <v>291</v>
      </c>
      <c r="J473" s="2" t="s">
        <v>60</v>
      </c>
      <c r="K473" s="2" t="s">
        <v>50</v>
      </c>
      <c r="L473" s="7">
        <v>847001</v>
      </c>
      <c r="M473" s="2" t="s">
        <v>61</v>
      </c>
      <c r="N473" s="2">
        <v>200179</v>
      </c>
      <c r="O473" s="3" t="s">
        <v>1713</v>
      </c>
      <c r="P473" s="2">
        <v>0</v>
      </c>
      <c r="Q473" s="35">
        <v>5625</v>
      </c>
      <c r="R473" s="2"/>
      <c r="S473" s="3" t="s">
        <v>1579</v>
      </c>
      <c r="T473" s="2" t="s">
        <v>157</v>
      </c>
      <c r="U473" s="2">
        <v>12</v>
      </c>
      <c r="V473" s="2">
        <v>500</v>
      </c>
      <c r="W473" s="3" t="s">
        <v>1580</v>
      </c>
      <c r="X473" s="36">
        <v>6000</v>
      </c>
      <c r="Y473" s="2" t="s">
        <v>55</v>
      </c>
      <c r="Z473" s="2" t="s">
        <v>56</v>
      </c>
      <c r="AA473" s="14">
        <f t="shared" si="23"/>
        <v>5400</v>
      </c>
      <c r="AB473" s="14">
        <f t="shared" si="24"/>
        <v>4800</v>
      </c>
      <c r="AC473" s="14">
        <f t="shared" si="25"/>
        <v>4200</v>
      </c>
      <c r="AD473" s="3" t="s">
        <v>1576</v>
      </c>
      <c r="AE473" s="3" t="s">
        <v>1576</v>
      </c>
      <c r="AF473" s="3" t="s">
        <v>1576</v>
      </c>
      <c r="AG473" s="43">
        <v>500</v>
      </c>
      <c r="AH473" s="43">
        <v>500</v>
      </c>
      <c r="AI473" s="43">
        <v>500</v>
      </c>
      <c r="AJ473" s="43">
        <v>500</v>
      </c>
      <c r="AK473" s="43"/>
      <c r="AL473" s="43">
        <v>1000</v>
      </c>
      <c r="AM473" s="43">
        <v>1000</v>
      </c>
      <c r="AN473" s="43">
        <v>500</v>
      </c>
      <c r="AO473" s="43">
        <v>500</v>
      </c>
      <c r="AP473" s="43">
        <v>500</v>
      </c>
      <c r="AQ473" s="43">
        <v>500</v>
      </c>
      <c r="AR473" s="43"/>
      <c r="AS473" s="43">
        <v>6000</v>
      </c>
      <c r="AT473" s="3" t="s">
        <v>816</v>
      </c>
      <c r="AU473" s="272"/>
    </row>
    <row r="474" spans="1:47" ht="16.5" hidden="1" customHeight="1" x14ac:dyDescent="0.35">
      <c r="A474" s="2" t="s">
        <v>189</v>
      </c>
      <c r="B474" s="2" t="s">
        <v>58</v>
      </c>
      <c r="C474" s="2" t="s">
        <v>1569</v>
      </c>
      <c r="D474" s="2">
        <v>847</v>
      </c>
      <c r="E474" s="2">
        <v>8471010</v>
      </c>
      <c r="F474" s="2" t="s">
        <v>1570</v>
      </c>
      <c r="G474" s="2">
        <v>1</v>
      </c>
      <c r="H474" s="276">
        <v>425100</v>
      </c>
      <c r="I474" s="2" t="s">
        <v>1184</v>
      </c>
      <c r="J474" s="2" t="s">
        <v>60</v>
      </c>
      <c r="K474" s="2" t="s">
        <v>50</v>
      </c>
      <c r="L474" s="7">
        <v>847001</v>
      </c>
      <c r="M474" s="2" t="s">
        <v>61</v>
      </c>
      <c r="N474" s="2">
        <v>200179</v>
      </c>
      <c r="O474" s="3" t="s">
        <v>1714</v>
      </c>
      <c r="P474" s="2"/>
      <c r="Q474" s="35"/>
      <c r="R474" s="2"/>
      <c r="S474" s="3" t="s">
        <v>1581</v>
      </c>
      <c r="T474" s="2" t="s">
        <v>269</v>
      </c>
      <c r="U474" s="2">
        <v>20</v>
      </c>
      <c r="V474" s="2">
        <v>6000</v>
      </c>
      <c r="W474" s="3" t="s">
        <v>1582</v>
      </c>
      <c r="X474" s="36">
        <v>120000</v>
      </c>
      <c r="Y474" s="2" t="s">
        <v>55</v>
      </c>
      <c r="Z474" s="2" t="s">
        <v>56</v>
      </c>
      <c r="AA474" s="14">
        <f t="shared" si="23"/>
        <v>108000</v>
      </c>
      <c r="AB474" s="14">
        <f t="shared" si="24"/>
        <v>96000</v>
      </c>
      <c r="AC474" s="14">
        <f t="shared" si="25"/>
        <v>84000</v>
      </c>
      <c r="AD474" s="3" t="s">
        <v>1576</v>
      </c>
      <c r="AE474" s="3" t="s">
        <v>1576</v>
      </c>
      <c r="AF474" s="3" t="s">
        <v>1576</v>
      </c>
      <c r="AG474" s="43"/>
      <c r="AH474" s="43"/>
      <c r="AI474" s="43"/>
      <c r="AJ474" s="43">
        <v>120000</v>
      </c>
      <c r="AK474" s="43"/>
      <c r="AL474" s="43"/>
      <c r="AM474" s="43"/>
      <c r="AN474" s="43"/>
      <c r="AO474" s="43"/>
      <c r="AP474" s="43"/>
      <c r="AQ474" s="43"/>
      <c r="AR474" s="43"/>
      <c r="AS474" s="43">
        <v>120000</v>
      </c>
      <c r="AT474" s="3" t="s">
        <v>379</v>
      </c>
      <c r="AU474" s="272" t="s">
        <v>1369</v>
      </c>
    </row>
    <row r="475" spans="1:47" ht="16.5" hidden="1" customHeight="1" x14ac:dyDescent="0.35">
      <c r="A475" s="2" t="s">
        <v>222</v>
      </c>
      <c r="B475" s="2" t="s">
        <v>58</v>
      </c>
      <c r="C475" s="2" t="s">
        <v>1350</v>
      </c>
      <c r="D475" s="2">
        <v>847</v>
      </c>
      <c r="E475" s="2">
        <v>8470230</v>
      </c>
      <c r="F475" s="2" t="s">
        <v>1583</v>
      </c>
      <c r="G475" s="2">
        <v>1</v>
      </c>
      <c r="H475" s="276">
        <v>420550</v>
      </c>
      <c r="I475" s="2" t="s">
        <v>225</v>
      </c>
      <c r="J475" s="2" t="s">
        <v>60</v>
      </c>
      <c r="K475" s="2" t="s">
        <v>50</v>
      </c>
      <c r="L475" s="7">
        <v>847001</v>
      </c>
      <c r="M475" s="2" t="s">
        <v>61</v>
      </c>
      <c r="N475" s="2">
        <v>200179</v>
      </c>
      <c r="O475" s="3" t="s">
        <v>1715</v>
      </c>
      <c r="P475" s="2">
        <v>56949.06</v>
      </c>
      <c r="Q475" s="35">
        <v>1020620</v>
      </c>
      <c r="R475" s="2">
        <v>1020620</v>
      </c>
      <c r="S475" s="3" t="s">
        <v>338</v>
      </c>
      <c r="T475" s="2" t="s">
        <v>157</v>
      </c>
      <c r="U475" s="2">
        <v>63</v>
      </c>
      <c r="V475" s="2">
        <v>31902</v>
      </c>
      <c r="W475" s="3" t="s">
        <v>1584</v>
      </c>
      <c r="X475" s="36">
        <v>2009826</v>
      </c>
      <c r="Y475" s="2" t="s">
        <v>55</v>
      </c>
      <c r="Z475" s="2" t="s">
        <v>56</v>
      </c>
      <c r="AA475" s="14">
        <f t="shared" si="23"/>
        <v>1808843.4000000001</v>
      </c>
      <c r="AB475" s="14">
        <f t="shared" si="24"/>
        <v>1607860.8</v>
      </c>
      <c r="AC475" s="14">
        <f t="shared" si="25"/>
        <v>1406878.2</v>
      </c>
      <c r="AD475" s="3" t="s">
        <v>1585</v>
      </c>
      <c r="AE475" s="3" t="s">
        <v>1585</v>
      </c>
      <c r="AF475" s="3" t="s">
        <v>1585</v>
      </c>
      <c r="AG475" s="43"/>
      <c r="AH475" s="43"/>
      <c r="AI475" s="43"/>
      <c r="AJ475" s="43">
        <v>46600</v>
      </c>
      <c r="AK475" s="43">
        <v>366567</v>
      </c>
      <c r="AL475" s="43">
        <v>366567</v>
      </c>
      <c r="AM475" s="43">
        <v>366568</v>
      </c>
      <c r="AN475" s="43"/>
      <c r="AO475" s="43"/>
      <c r="AP475" s="43">
        <v>272308</v>
      </c>
      <c r="AQ475" s="43">
        <v>318908</v>
      </c>
      <c r="AR475" s="43">
        <v>272308</v>
      </c>
      <c r="AS475" s="43">
        <v>2009826</v>
      </c>
      <c r="AT475" s="3" t="s">
        <v>880</v>
      </c>
      <c r="AU475" s="272" t="s">
        <v>1488</v>
      </c>
    </row>
    <row r="476" spans="1:47" ht="16.5" hidden="1" customHeight="1" x14ac:dyDescent="0.35">
      <c r="A476" s="2" t="s">
        <v>245</v>
      </c>
      <c r="B476" s="2" t="s">
        <v>246</v>
      </c>
      <c r="C476" s="2" t="s">
        <v>1350</v>
      </c>
      <c r="D476" s="2">
        <v>847</v>
      </c>
      <c r="E476" s="2">
        <v>8470230</v>
      </c>
      <c r="F476" s="2" t="s">
        <v>1583</v>
      </c>
      <c r="G476" s="2">
        <v>1</v>
      </c>
      <c r="H476" s="276">
        <v>425100</v>
      </c>
      <c r="I476" s="2" t="s">
        <v>1521</v>
      </c>
      <c r="J476" s="2" t="s">
        <v>60</v>
      </c>
      <c r="K476" s="2" t="s">
        <v>50</v>
      </c>
      <c r="L476" s="7">
        <v>847001</v>
      </c>
      <c r="M476" s="2" t="s">
        <v>61</v>
      </c>
      <c r="N476" s="2">
        <v>200179</v>
      </c>
      <c r="O476" s="3" t="s">
        <v>1716</v>
      </c>
      <c r="P476" s="2">
        <v>0</v>
      </c>
      <c r="Q476" s="35">
        <v>300000</v>
      </c>
      <c r="R476" s="2">
        <v>300000</v>
      </c>
      <c r="S476" s="3" t="s">
        <v>1581</v>
      </c>
      <c r="T476" s="2" t="s">
        <v>269</v>
      </c>
      <c r="U476" s="2">
        <v>8</v>
      </c>
      <c r="V476" s="2">
        <v>37500</v>
      </c>
      <c r="W476" s="3" t="s">
        <v>1586</v>
      </c>
      <c r="X476" s="36">
        <v>300000</v>
      </c>
      <c r="Y476" s="2" t="s">
        <v>55</v>
      </c>
      <c r="Z476" s="2" t="s">
        <v>56</v>
      </c>
      <c r="AA476" s="14">
        <f t="shared" si="23"/>
        <v>270000</v>
      </c>
      <c r="AB476" s="14">
        <f t="shared" si="24"/>
        <v>240000</v>
      </c>
      <c r="AC476" s="14">
        <f t="shared" si="25"/>
        <v>210000</v>
      </c>
      <c r="AD476" s="3" t="s">
        <v>1587</v>
      </c>
      <c r="AE476" s="3" t="s">
        <v>1587</v>
      </c>
      <c r="AF476" s="3" t="s">
        <v>1587</v>
      </c>
      <c r="AG476" s="43">
        <v>5000</v>
      </c>
      <c r="AH476" s="43">
        <v>5000</v>
      </c>
      <c r="AI476" s="43">
        <v>115000</v>
      </c>
      <c r="AJ476" s="43"/>
      <c r="AK476" s="43"/>
      <c r="AL476" s="43"/>
      <c r="AM476" s="43">
        <v>15000</v>
      </c>
      <c r="AN476" s="43">
        <v>140000</v>
      </c>
      <c r="AO476" s="43">
        <v>10000</v>
      </c>
      <c r="AP476" s="43">
        <v>10000</v>
      </c>
      <c r="AQ476" s="43"/>
      <c r="AR476" s="43"/>
      <c r="AS476" s="43">
        <v>300000</v>
      </c>
      <c r="AT476" s="3" t="s">
        <v>834</v>
      </c>
      <c r="AU476" s="272"/>
    </row>
    <row r="477" spans="1:47" ht="16.5" hidden="1" customHeight="1" x14ac:dyDescent="0.35">
      <c r="A477" s="2" t="s">
        <v>245</v>
      </c>
      <c r="B477" s="2" t="s">
        <v>246</v>
      </c>
      <c r="C477" s="2" t="s">
        <v>1350</v>
      </c>
      <c r="D477" s="2">
        <v>847</v>
      </c>
      <c r="E477" s="2">
        <v>8470230</v>
      </c>
      <c r="F477" s="2" t="s">
        <v>1583</v>
      </c>
      <c r="G477" s="2">
        <v>1</v>
      </c>
      <c r="H477" s="276">
        <v>425510</v>
      </c>
      <c r="I477" s="2" t="s">
        <v>247</v>
      </c>
      <c r="J477" s="2" t="s">
        <v>60</v>
      </c>
      <c r="K477" s="2" t="s">
        <v>50</v>
      </c>
      <c r="L477" s="7">
        <v>847001</v>
      </c>
      <c r="M477" s="2" t="s">
        <v>61</v>
      </c>
      <c r="N477" s="2">
        <v>200179</v>
      </c>
      <c r="O477" s="3" t="s">
        <v>1717</v>
      </c>
      <c r="P477" s="2">
        <v>3706.11</v>
      </c>
      <c r="Q477" s="35">
        <v>34000</v>
      </c>
      <c r="R477" s="2">
        <v>34000</v>
      </c>
      <c r="S477" s="3" t="s">
        <v>1405</v>
      </c>
      <c r="T477" s="2" t="s">
        <v>269</v>
      </c>
      <c r="U477" s="2">
        <v>12</v>
      </c>
      <c r="V477" s="2">
        <v>3200</v>
      </c>
      <c r="W477" s="3" t="s">
        <v>1588</v>
      </c>
      <c r="X477" s="36">
        <v>38400</v>
      </c>
      <c r="Y477" s="2" t="s">
        <v>55</v>
      </c>
      <c r="Z477" s="2" t="s">
        <v>56</v>
      </c>
      <c r="AA477" s="14">
        <f t="shared" si="23"/>
        <v>34560</v>
      </c>
      <c r="AB477" s="14">
        <f t="shared" si="24"/>
        <v>30720</v>
      </c>
      <c r="AC477" s="14">
        <f t="shared" si="25"/>
        <v>26880</v>
      </c>
      <c r="AD477" s="3" t="s">
        <v>1589</v>
      </c>
      <c r="AE477" s="3" t="s">
        <v>1589</v>
      </c>
      <c r="AF477" s="3" t="s">
        <v>1589</v>
      </c>
      <c r="AG477" s="43">
        <v>3200</v>
      </c>
      <c r="AH477" s="43">
        <v>3200</v>
      </c>
      <c r="AI477" s="43">
        <v>3200</v>
      </c>
      <c r="AJ477" s="43">
        <v>3200</v>
      </c>
      <c r="AK477" s="43">
        <v>3200</v>
      </c>
      <c r="AL477" s="43">
        <v>3200</v>
      </c>
      <c r="AM477" s="43">
        <v>3200</v>
      </c>
      <c r="AN477" s="43">
        <v>3200</v>
      </c>
      <c r="AO477" s="43">
        <v>3200</v>
      </c>
      <c r="AP477" s="43">
        <v>3200</v>
      </c>
      <c r="AQ477" s="43">
        <v>3200</v>
      </c>
      <c r="AR477" s="43">
        <v>3200</v>
      </c>
      <c r="AS477" s="43">
        <v>38400</v>
      </c>
      <c r="AT477" s="3" t="s">
        <v>480</v>
      </c>
      <c r="AU477" s="272"/>
    </row>
    <row r="478" spans="1:47" ht="16.5" hidden="1" customHeight="1" x14ac:dyDescent="0.35">
      <c r="A478" s="2" t="s">
        <v>245</v>
      </c>
      <c r="B478" s="2" t="s">
        <v>58</v>
      </c>
      <c r="C478" s="2" t="s">
        <v>1350</v>
      </c>
      <c r="D478" s="2">
        <v>847</v>
      </c>
      <c r="E478" s="2">
        <v>8470230</v>
      </c>
      <c r="F478" s="2" t="s">
        <v>1583</v>
      </c>
      <c r="G478" s="2">
        <v>1</v>
      </c>
      <c r="H478" s="276">
        <v>425550</v>
      </c>
      <c r="I478" s="2" t="s">
        <v>253</v>
      </c>
      <c r="J478" s="2" t="s">
        <v>60</v>
      </c>
      <c r="K478" s="2" t="s">
        <v>50</v>
      </c>
      <c r="L478" s="7">
        <v>847001</v>
      </c>
      <c r="M478" s="2" t="s">
        <v>61</v>
      </c>
      <c r="N478" s="2">
        <v>200179</v>
      </c>
      <c r="O478" s="3" t="s">
        <v>1718</v>
      </c>
      <c r="P478" s="2">
        <v>3326.03</v>
      </c>
      <c r="Q478" s="35">
        <v>222000</v>
      </c>
      <c r="R478" s="2">
        <v>222000</v>
      </c>
      <c r="S478" s="3" t="s">
        <v>255</v>
      </c>
      <c r="T478" s="2" t="s">
        <v>256</v>
      </c>
      <c r="U478" s="2">
        <v>24</v>
      </c>
      <c r="V478" s="2">
        <v>14800</v>
      </c>
      <c r="W478" s="3" t="s">
        <v>1588</v>
      </c>
      <c r="X478" s="36">
        <v>355200</v>
      </c>
      <c r="Y478" s="2" t="s">
        <v>55</v>
      </c>
      <c r="Z478" s="2" t="s">
        <v>56</v>
      </c>
      <c r="AA478" s="14">
        <f t="shared" si="23"/>
        <v>319680</v>
      </c>
      <c r="AB478" s="14">
        <f t="shared" si="24"/>
        <v>284160</v>
      </c>
      <c r="AC478" s="14">
        <f t="shared" si="25"/>
        <v>248639.99999999997</v>
      </c>
      <c r="AD478" s="3" t="s">
        <v>1589</v>
      </c>
      <c r="AE478" s="3" t="s">
        <v>1589</v>
      </c>
      <c r="AF478" s="3" t="s">
        <v>1589</v>
      </c>
      <c r="AG478" s="43">
        <v>29600</v>
      </c>
      <c r="AH478" s="43">
        <v>29600</v>
      </c>
      <c r="AI478" s="43">
        <v>29600</v>
      </c>
      <c r="AJ478" s="43">
        <v>29600</v>
      </c>
      <c r="AK478" s="43">
        <v>29600</v>
      </c>
      <c r="AL478" s="43">
        <v>29600</v>
      </c>
      <c r="AM478" s="43">
        <v>29600</v>
      </c>
      <c r="AN478" s="43">
        <v>29600</v>
      </c>
      <c r="AO478" s="43">
        <v>29600</v>
      </c>
      <c r="AP478" s="43">
        <v>29600</v>
      </c>
      <c r="AQ478" s="43">
        <v>29600</v>
      </c>
      <c r="AR478" s="43">
        <v>29600</v>
      </c>
      <c r="AS478" s="43">
        <v>355200</v>
      </c>
      <c r="AT478" s="3" t="s">
        <v>480</v>
      </c>
      <c r="AU478" s="272"/>
    </row>
    <row r="479" spans="1:47" s="39" customFormat="1" ht="16.5" hidden="1" customHeight="1" x14ac:dyDescent="0.35">
      <c r="A479" s="37" t="s">
        <v>258</v>
      </c>
      <c r="B479" s="37" t="s">
        <v>58</v>
      </c>
      <c r="C479" s="37" t="s">
        <v>1350</v>
      </c>
      <c r="D479" s="37">
        <v>847</v>
      </c>
      <c r="E479" s="37">
        <v>8470230</v>
      </c>
      <c r="F479" s="37" t="s">
        <v>1583</v>
      </c>
      <c r="G479" s="37">
        <v>1</v>
      </c>
      <c r="H479" s="276">
        <v>425743</v>
      </c>
      <c r="I479" s="37" t="s">
        <v>1590</v>
      </c>
      <c r="J479" s="37" t="s">
        <v>60</v>
      </c>
      <c r="K479" s="37" t="s">
        <v>50</v>
      </c>
      <c r="L479" s="78">
        <v>847001</v>
      </c>
      <c r="M479" s="37" t="s">
        <v>61</v>
      </c>
      <c r="N479" s="37">
        <v>200179</v>
      </c>
      <c r="O479" s="3" t="s">
        <v>1719</v>
      </c>
      <c r="P479" s="37">
        <v>960000</v>
      </c>
      <c r="Q479" s="38">
        <v>240000</v>
      </c>
      <c r="R479" s="37">
        <v>240000</v>
      </c>
      <c r="S479" s="21"/>
      <c r="T479" s="37" t="s">
        <v>62</v>
      </c>
      <c r="U479" s="37"/>
      <c r="V479" s="37"/>
      <c r="W479" s="21" t="s">
        <v>1591</v>
      </c>
      <c r="X479" s="38">
        <v>0</v>
      </c>
      <c r="Y479" s="37"/>
      <c r="Z479" s="37"/>
      <c r="AA479" s="14">
        <f t="shared" si="23"/>
        <v>0</v>
      </c>
      <c r="AB479" s="14">
        <f t="shared" si="24"/>
        <v>0</v>
      </c>
      <c r="AC479" s="14">
        <f t="shared" si="25"/>
        <v>0</v>
      </c>
      <c r="AD479" s="21"/>
      <c r="AE479" s="21"/>
      <c r="AF479" s="21"/>
      <c r="AG479" s="50"/>
      <c r="AH479" s="50"/>
      <c r="AI479" s="50"/>
      <c r="AJ479" s="50"/>
      <c r="AK479" s="50"/>
      <c r="AL479" s="50"/>
      <c r="AM479" s="50"/>
      <c r="AN479" s="50"/>
      <c r="AO479" s="50"/>
      <c r="AP479" s="50"/>
      <c r="AQ479" s="50"/>
      <c r="AR479" s="50"/>
      <c r="AS479" s="50">
        <v>0</v>
      </c>
      <c r="AT479" s="21"/>
      <c r="AU479" s="273"/>
    </row>
    <row r="480" spans="1:47" ht="16.5" hidden="1" customHeight="1" x14ac:dyDescent="0.35">
      <c r="A480" s="2" t="s">
        <v>258</v>
      </c>
      <c r="B480" s="2" t="s">
        <v>58</v>
      </c>
      <c r="C480" s="2" t="s">
        <v>1350</v>
      </c>
      <c r="D480" s="2">
        <v>847</v>
      </c>
      <c r="E480" s="2">
        <v>8470230</v>
      </c>
      <c r="F480" s="2" t="s">
        <v>1583</v>
      </c>
      <c r="G480" s="2">
        <v>1</v>
      </c>
      <c r="H480" s="276">
        <v>425744</v>
      </c>
      <c r="I480" s="2" t="s">
        <v>1592</v>
      </c>
      <c r="J480" s="2" t="s">
        <v>60</v>
      </c>
      <c r="K480" s="2" t="s">
        <v>50</v>
      </c>
      <c r="L480" s="7">
        <v>847001</v>
      </c>
      <c r="M480" s="2" t="s">
        <v>61</v>
      </c>
      <c r="N480" s="2">
        <v>200179</v>
      </c>
      <c r="O480" s="3" t="s">
        <v>1720</v>
      </c>
      <c r="P480" s="2">
        <v>0</v>
      </c>
      <c r="Q480" s="35">
        <v>4816800</v>
      </c>
      <c r="R480" s="2">
        <v>4816800</v>
      </c>
      <c r="S480" s="3" t="s">
        <v>1593</v>
      </c>
      <c r="T480" s="2" t="s">
        <v>157</v>
      </c>
      <c r="U480" s="2">
        <v>925</v>
      </c>
      <c r="V480" s="2">
        <v>4000</v>
      </c>
      <c r="W480" s="3" t="s">
        <v>1594</v>
      </c>
      <c r="X480" s="36">
        <v>3700000</v>
      </c>
      <c r="Y480" s="2" t="s">
        <v>55</v>
      </c>
      <c r="Z480" s="2" t="s">
        <v>56</v>
      </c>
      <c r="AA480" s="14">
        <f t="shared" si="23"/>
        <v>3330000</v>
      </c>
      <c r="AB480" s="14">
        <f t="shared" si="24"/>
        <v>2960000</v>
      </c>
      <c r="AC480" s="14">
        <f t="shared" si="25"/>
        <v>2590000</v>
      </c>
      <c r="AD480" s="3" t="s">
        <v>1595</v>
      </c>
      <c r="AE480" s="3" t="s">
        <v>1595</v>
      </c>
      <c r="AF480" s="3" t="s">
        <v>1595</v>
      </c>
      <c r="AG480" s="43">
        <v>2412000</v>
      </c>
      <c r="AH480" s="43">
        <v>428000</v>
      </c>
      <c r="AI480" s="43"/>
      <c r="AJ480" s="43"/>
      <c r="AK480" s="43"/>
      <c r="AL480" s="43"/>
      <c r="AM480" s="43"/>
      <c r="AN480" s="43"/>
      <c r="AO480" s="43">
        <v>860000</v>
      </c>
      <c r="AP480" s="43"/>
      <c r="AQ480" s="43"/>
      <c r="AR480" s="43"/>
      <c r="AS480" s="43">
        <v>3700000</v>
      </c>
      <c r="AT480" s="3" t="s">
        <v>834</v>
      </c>
      <c r="AU480" s="272"/>
    </row>
    <row r="481" spans="1:47" ht="16.5" hidden="1" customHeight="1" x14ac:dyDescent="0.35">
      <c r="A481" s="2" t="s">
        <v>258</v>
      </c>
      <c r="B481" s="2" t="s">
        <v>58</v>
      </c>
      <c r="C481" s="2" t="s">
        <v>1350</v>
      </c>
      <c r="D481" s="2">
        <v>847</v>
      </c>
      <c r="E481" s="2">
        <v>8470230</v>
      </c>
      <c r="F481" s="2" t="s">
        <v>1583</v>
      </c>
      <c r="G481" s="2">
        <v>1</v>
      </c>
      <c r="H481" s="276">
        <v>425745</v>
      </c>
      <c r="I481" s="2" t="s">
        <v>1041</v>
      </c>
      <c r="J481" s="2" t="s">
        <v>60</v>
      </c>
      <c r="K481" s="2" t="s">
        <v>50</v>
      </c>
      <c r="L481" s="7">
        <v>847001</v>
      </c>
      <c r="M481" s="2" t="s">
        <v>61</v>
      </c>
      <c r="N481" s="2">
        <v>200179</v>
      </c>
      <c r="O481" s="3" t="s">
        <v>1721</v>
      </c>
      <c r="P481" s="2">
        <v>1286175</v>
      </c>
      <c r="Q481" s="35">
        <v>1971263</v>
      </c>
      <c r="R481" s="2">
        <v>1971263</v>
      </c>
      <c r="S481" s="3" t="s">
        <v>1596</v>
      </c>
      <c r="T481" s="2" t="s">
        <v>68</v>
      </c>
      <c r="U481" s="2">
        <v>987</v>
      </c>
      <c r="V481" s="2">
        <v>3145</v>
      </c>
      <c r="W481" s="3" t="s">
        <v>1594</v>
      </c>
      <c r="X481" s="36">
        <v>3104115</v>
      </c>
      <c r="Y481" s="2" t="s">
        <v>55</v>
      </c>
      <c r="Z481" s="2" t="s">
        <v>56</v>
      </c>
      <c r="AA481" s="14">
        <f t="shared" si="23"/>
        <v>2793703.5</v>
      </c>
      <c r="AB481" s="14">
        <f t="shared" si="24"/>
        <v>2483292</v>
      </c>
      <c r="AC481" s="14">
        <f t="shared" si="25"/>
        <v>2172880.5</v>
      </c>
      <c r="AD481" s="3" t="s">
        <v>1597</v>
      </c>
      <c r="AE481" s="3" t="s">
        <v>1597</v>
      </c>
      <c r="AF481" s="3" t="s">
        <v>1597</v>
      </c>
      <c r="AG481" s="43">
        <v>247815</v>
      </c>
      <c r="AH481" s="43">
        <v>5000</v>
      </c>
      <c r="AI481" s="43">
        <v>5000</v>
      </c>
      <c r="AJ481" s="43">
        <v>1150000</v>
      </c>
      <c r="AK481" s="43">
        <v>220500</v>
      </c>
      <c r="AL481" s="43">
        <v>5000</v>
      </c>
      <c r="AM481" s="43">
        <v>5000</v>
      </c>
      <c r="AN481" s="43">
        <v>257500</v>
      </c>
      <c r="AO481" s="43">
        <v>257500</v>
      </c>
      <c r="AP481" s="43">
        <v>5000</v>
      </c>
      <c r="AQ481" s="43">
        <v>785300</v>
      </c>
      <c r="AR481" s="43">
        <v>160500</v>
      </c>
      <c r="AS481" s="43">
        <v>3104115</v>
      </c>
      <c r="AT481" s="3" t="s">
        <v>834</v>
      </c>
      <c r="AU481" s="272"/>
    </row>
    <row r="482" spans="1:47" ht="16.5" hidden="1" customHeight="1" x14ac:dyDescent="0.35">
      <c r="A482" s="2" t="s">
        <v>258</v>
      </c>
      <c r="B482" s="2" t="s">
        <v>58</v>
      </c>
      <c r="C482" s="2" t="s">
        <v>1350</v>
      </c>
      <c r="D482" s="2">
        <v>847</v>
      </c>
      <c r="E482" s="2">
        <v>8470230</v>
      </c>
      <c r="F482" s="2" t="s">
        <v>1583</v>
      </c>
      <c r="G482" s="2">
        <v>1</v>
      </c>
      <c r="H482" s="276">
        <v>425749</v>
      </c>
      <c r="I482" s="2" t="s">
        <v>1052</v>
      </c>
      <c r="J482" s="2" t="s">
        <v>60</v>
      </c>
      <c r="K482" s="2" t="s">
        <v>50</v>
      </c>
      <c r="L482" s="7">
        <v>847001</v>
      </c>
      <c r="M482" s="2" t="s">
        <v>61</v>
      </c>
      <c r="N482" s="2">
        <v>200179</v>
      </c>
      <c r="O482" s="3" t="s">
        <v>1722</v>
      </c>
      <c r="P482" s="2">
        <v>84701166.200000003</v>
      </c>
      <c r="Q482" s="35">
        <v>110824684</v>
      </c>
      <c r="R482" s="2">
        <v>110824684</v>
      </c>
      <c r="S482" s="3" t="s">
        <v>1054</v>
      </c>
      <c r="T482" s="2" t="s">
        <v>1055</v>
      </c>
      <c r="U482" s="2">
        <v>1250</v>
      </c>
      <c r="V482" s="2">
        <v>163000</v>
      </c>
      <c r="W482" s="3" t="s">
        <v>3376</v>
      </c>
      <c r="X482" s="36">
        <v>203750000</v>
      </c>
      <c r="Y482" s="2" t="s">
        <v>55</v>
      </c>
      <c r="Z482" s="2" t="s">
        <v>56</v>
      </c>
      <c r="AA482" s="14">
        <f t="shared" si="23"/>
        <v>183375000</v>
      </c>
      <c r="AB482" s="14">
        <f t="shared" si="24"/>
        <v>163000000</v>
      </c>
      <c r="AC482" s="14">
        <f t="shared" si="25"/>
        <v>142625000</v>
      </c>
      <c r="AD482" s="3" t="s">
        <v>1598</v>
      </c>
      <c r="AE482" s="3" t="s">
        <v>1598</v>
      </c>
      <c r="AF482" s="3" t="s">
        <v>1598</v>
      </c>
      <c r="AG482" s="43">
        <v>15500000</v>
      </c>
      <c r="AH482" s="43">
        <v>15500000</v>
      </c>
      <c r="AI482" s="43">
        <v>15500000</v>
      </c>
      <c r="AJ482" s="43">
        <v>15500000</v>
      </c>
      <c r="AK482" s="43">
        <v>15500000</v>
      </c>
      <c r="AL482" s="43">
        <v>15500000</v>
      </c>
      <c r="AM482" s="43">
        <v>13250000</v>
      </c>
      <c r="AN482" s="43">
        <v>19500000</v>
      </c>
      <c r="AO482" s="43">
        <v>19500000</v>
      </c>
      <c r="AP482" s="43">
        <v>19500000</v>
      </c>
      <c r="AQ482" s="43">
        <v>19500000</v>
      </c>
      <c r="AR482" s="43">
        <v>19500000</v>
      </c>
      <c r="AS482" s="43">
        <v>203750000</v>
      </c>
      <c r="AT482" s="3" t="s">
        <v>834</v>
      </c>
      <c r="AU482" s="272" t="s">
        <v>1599</v>
      </c>
    </row>
    <row r="483" spans="1:47" ht="16.5" hidden="1" customHeight="1" x14ac:dyDescent="0.35">
      <c r="A483" s="2" t="s">
        <v>222</v>
      </c>
      <c r="B483" s="2" t="s">
        <v>58</v>
      </c>
      <c r="C483" s="2" t="s">
        <v>1350</v>
      </c>
      <c r="D483" s="2">
        <v>847</v>
      </c>
      <c r="E483" s="2">
        <v>8470230</v>
      </c>
      <c r="F483" s="2" t="s">
        <v>1583</v>
      </c>
      <c r="G483" s="2">
        <v>1</v>
      </c>
      <c r="H483" s="276">
        <v>425761</v>
      </c>
      <c r="I483" s="2" t="s">
        <v>1383</v>
      </c>
      <c r="J483" s="2" t="s">
        <v>60</v>
      </c>
      <c r="K483" s="2" t="s">
        <v>50</v>
      </c>
      <c r="L483" s="7">
        <v>847001</v>
      </c>
      <c r="M483" s="2" t="s">
        <v>61</v>
      </c>
      <c r="N483" s="2">
        <v>200179</v>
      </c>
      <c r="O483" s="3" t="s">
        <v>1723</v>
      </c>
      <c r="P483" s="2" t="s">
        <v>46</v>
      </c>
      <c r="Q483" s="35">
        <v>150000</v>
      </c>
      <c r="R483" s="2">
        <v>100000</v>
      </c>
      <c r="S483" s="3" t="s">
        <v>1600</v>
      </c>
      <c r="T483" s="2" t="s">
        <v>157</v>
      </c>
      <c r="U483" s="2">
        <v>12</v>
      </c>
      <c r="V483" s="2">
        <v>15000</v>
      </c>
      <c r="W483" s="3" t="s">
        <v>1601</v>
      </c>
      <c r="X483" s="36">
        <v>180000</v>
      </c>
      <c r="Y483" s="2" t="s">
        <v>55</v>
      </c>
      <c r="Z483" s="2" t="s">
        <v>56</v>
      </c>
      <c r="AA483" s="14">
        <f t="shared" si="23"/>
        <v>162000</v>
      </c>
      <c r="AB483" s="14">
        <f t="shared" si="24"/>
        <v>144000</v>
      </c>
      <c r="AC483" s="14">
        <f t="shared" si="25"/>
        <v>125999.99999999999</v>
      </c>
      <c r="AD483" s="3" t="s">
        <v>1602</v>
      </c>
      <c r="AE483" s="3" t="s">
        <v>1602</v>
      </c>
      <c r="AF483" s="3" t="s">
        <v>1602</v>
      </c>
      <c r="AG483" s="43">
        <v>15000</v>
      </c>
      <c r="AH483" s="43">
        <v>15000</v>
      </c>
      <c r="AI483" s="43">
        <v>15000</v>
      </c>
      <c r="AJ483" s="43">
        <v>15000</v>
      </c>
      <c r="AK483" s="43">
        <v>15000</v>
      </c>
      <c r="AL483" s="43">
        <v>15000</v>
      </c>
      <c r="AM483" s="43">
        <v>15000</v>
      </c>
      <c r="AN483" s="43">
        <v>15000</v>
      </c>
      <c r="AO483" s="43">
        <v>15000</v>
      </c>
      <c r="AP483" s="43">
        <v>15000</v>
      </c>
      <c r="AQ483" s="43">
        <v>15000</v>
      </c>
      <c r="AR483" s="43">
        <v>15000</v>
      </c>
      <c r="AS483" s="43">
        <v>180000</v>
      </c>
      <c r="AT483" s="3" t="s">
        <v>348</v>
      </c>
      <c r="AU483" s="272"/>
    </row>
    <row r="484" spans="1:47" ht="16.5" hidden="1" customHeight="1" x14ac:dyDescent="0.35">
      <c r="A484" s="2" t="s">
        <v>258</v>
      </c>
      <c r="B484" s="2" t="s">
        <v>58</v>
      </c>
      <c r="C484" s="2" t="s">
        <v>1350</v>
      </c>
      <c r="D484" s="2">
        <v>847</v>
      </c>
      <c r="E484" s="2">
        <v>8470230</v>
      </c>
      <c r="F484" s="2" t="s">
        <v>1583</v>
      </c>
      <c r="G484" s="2">
        <v>1</v>
      </c>
      <c r="H484" s="276">
        <v>425762</v>
      </c>
      <c r="I484" s="2" t="s">
        <v>573</v>
      </c>
      <c r="J484" s="2" t="s">
        <v>60</v>
      </c>
      <c r="K484" s="2" t="s">
        <v>50</v>
      </c>
      <c r="L484" s="7">
        <v>847001</v>
      </c>
      <c r="M484" s="2" t="s">
        <v>61</v>
      </c>
      <c r="N484" s="2">
        <v>200179</v>
      </c>
      <c r="O484" s="3" t="s">
        <v>1724</v>
      </c>
      <c r="P484" s="2" t="s">
        <v>46</v>
      </c>
      <c r="Q484" s="35">
        <v>150000</v>
      </c>
      <c r="R484" s="2">
        <v>150000</v>
      </c>
      <c r="S484" s="3" t="s">
        <v>575</v>
      </c>
      <c r="T484" s="2" t="s">
        <v>157</v>
      </c>
      <c r="U484" s="2">
        <v>12</v>
      </c>
      <c r="V484" s="2">
        <v>15000</v>
      </c>
      <c r="W484" s="3" t="s">
        <v>1603</v>
      </c>
      <c r="X484" s="36">
        <v>180000</v>
      </c>
      <c r="Y484" s="2" t="s">
        <v>55</v>
      </c>
      <c r="Z484" s="2" t="s">
        <v>56</v>
      </c>
      <c r="AA484" s="14">
        <f t="shared" si="23"/>
        <v>162000</v>
      </c>
      <c r="AB484" s="14">
        <f t="shared" si="24"/>
        <v>144000</v>
      </c>
      <c r="AC484" s="14">
        <f t="shared" si="25"/>
        <v>125999.99999999999</v>
      </c>
      <c r="AD484" s="3" t="s">
        <v>1604</v>
      </c>
      <c r="AE484" s="3" t="s">
        <v>1604</v>
      </c>
      <c r="AF484" s="3" t="s">
        <v>1604</v>
      </c>
      <c r="AG484" s="43">
        <v>15000</v>
      </c>
      <c r="AH484" s="43">
        <v>15000</v>
      </c>
      <c r="AI484" s="43">
        <v>15000</v>
      </c>
      <c r="AJ484" s="43">
        <v>15000</v>
      </c>
      <c r="AK484" s="43">
        <v>15000</v>
      </c>
      <c r="AL484" s="43">
        <v>15000</v>
      </c>
      <c r="AM484" s="43">
        <v>15000</v>
      </c>
      <c r="AN484" s="43">
        <v>15000</v>
      </c>
      <c r="AO484" s="43">
        <v>15000</v>
      </c>
      <c r="AP484" s="43">
        <v>15000</v>
      </c>
      <c r="AQ484" s="43">
        <v>15000</v>
      </c>
      <c r="AR484" s="43">
        <v>15000</v>
      </c>
      <c r="AS484" s="43">
        <v>180000</v>
      </c>
      <c r="AT484" s="3" t="s">
        <v>577</v>
      </c>
      <c r="AU484" s="272"/>
    </row>
    <row r="485" spans="1:47" ht="16.5" hidden="1" customHeight="1" x14ac:dyDescent="0.35">
      <c r="A485" s="2" t="s">
        <v>189</v>
      </c>
      <c r="B485" s="2" t="s">
        <v>265</v>
      </c>
      <c r="C485" s="2" t="s">
        <v>1350</v>
      </c>
      <c r="D485" s="2">
        <v>847</v>
      </c>
      <c r="E485" s="2">
        <v>8470230</v>
      </c>
      <c r="F485" s="2" t="s">
        <v>1583</v>
      </c>
      <c r="G485" s="2">
        <v>1</v>
      </c>
      <c r="H485" s="276">
        <v>425900</v>
      </c>
      <c r="I485" s="2" t="s">
        <v>266</v>
      </c>
      <c r="J485" s="2" t="s">
        <v>60</v>
      </c>
      <c r="K485" s="2" t="s">
        <v>50</v>
      </c>
      <c r="L485" s="7">
        <v>847001</v>
      </c>
      <c r="M485" s="2" t="s">
        <v>61</v>
      </c>
      <c r="N485" s="2">
        <v>200179</v>
      </c>
      <c r="O485" s="3" t="s">
        <v>1725</v>
      </c>
      <c r="P485" s="2" t="s">
        <v>46</v>
      </c>
      <c r="Q485" s="35">
        <v>45648</v>
      </c>
      <c r="R485" s="2">
        <v>30000</v>
      </c>
      <c r="S485" s="3" t="s">
        <v>268</v>
      </c>
      <c r="T485" s="2" t="s">
        <v>269</v>
      </c>
      <c r="U485" s="2">
        <v>186</v>
      </c>
      <c r="V485" s="2">
        <v>323</v>
      </c>
      <c r="W485" s="3" t="s">
        <v>1586</v>
      </c>
      <c r="X485" s="36">
        <v>60078</v>
      </c>
      <c r="Y485" s="2" t="s">
        <v>55</v>
      </c>
      <c r="Z485" s="2" t="s">
        <v>56</v>
      </c>
      <c r="AA485" s="14">
        <f t="shared" si="23"/>
        <v>54070.200000000004</v>
      </c>
      <c r="AB485" s="14">
        <f t="shared" si="24"/>
        <v>48062.400000000001</v>
      </c>
      <c r="AC485" s="14">
        <f t="shared" si="25"/>
        <v>42054.6</v>
      </c>
      <c r="AD485" s="3" t="s">
        <v>1605</v>
      </c>
      <c r="AE485" s="3" t="s">
        <v>1605</v>
      </c>
      <c r="AF485" s="3" t="s">
        <v>1605</v>
      </c>
      <c r="AG485" s="43">
        <v>25000</v>
      </c>
      <c r="AH485" s="43"/>
      <c r="AI485" s="43"/>
      <c r="AJ485" s="43">
        <v>5250</v>
      </c>
      <c r="AK485" s="43">
        <v>500</v>
      </c>
      <c r="AL485" s="43"/>
      <c r="AM485" s="43"/>
      <c r="AN485" s="43">
        <v>25000</v>
      </c>
      <c r="AO485" s="43"/>
      <c r="AP485" s="43">
        <v>3900</v>
      </c>
      <c r="AQ485" s="43">
        <v>428</v>
      </c>
      <c r="AR485" s="43"/>
      <c r="AS485" s="43">
        <v>60078</v>
      </c>
      <c r="AT485" s="3"/>
      <c r="AU485" s="272"/>
    </row>
    <row r="486" spans="1:47" ht="16.5" hidden="1" customHeight="1" x14ac:dyDescent="0.35">
      <c r="A486" s="2" t="s">
        <v>63</v>
      </c>
      <c r="B486" s="2" t="s">
        <v>64</v>
      </c>
      <c r="C486" s="2" t="s">
        <v>1350</v>
      </c>
      <c r="D486" s="2">
        <v>847</v>
      </c>
      <c r="E486" s="2">
        <v>8470230</v>
      </c>
      <c r="F486" s="2" t="s">
        <v>1583</v>
      </c>
      <c r="G486" s="2">
        <v>1</v>
      </c>
      <c r="H486" s="276">
        <v>426610</v>
      </c>
      <c r="I486" s="2" t="s">
        <v>74</v>
      </c>
      <c r="J486" s="2" t="s">
        <v>60</v>
      </c>
      <c r="K486" s="2" t="s">
        <v>50</v>
      </c>
      <c r="L486" s="7">
        <v>847001</v>
      </c>
      <c r="M486" s="2" t="s">
        <v>61</v>
      </c>
      <c r="N486" s="2">
        <v>200179</v>
      </c>
      <c r="O486" s="3" t="s">
        <v>1726</v>
      </c>
      <c r="P486" s="2">
        <v>0</v>
      </c>
      <c r="Q486" s="35">
        <v>10000</v>
      </c>
      <c r="R486" s="2">
        <v>10000</v>
      </c>
      <c r="S486" s="3" t="s">
        <v>274</v>
      </c>
      <c r="T486" s="2" t="s">
        <v>157</v>
      </c>
      <c r="U486" s="2">
        <v>1</v>
      </c>
      <c r="V486" s="2">
        <v>10000</v>
      </c>
      <c r="W486" s="3" t="s">
        <v>1586</v>
      </c>
      <c r="X486" s="36">
        <v>10000</v>
      </c>
      <c r="Y486" s="2" t="s">
        <v>55</v>
      </c>
      <c r="Z486" s="2" t="s">
        <v>56</v>
      </c>
      <c r="AA486" s="14">
        <f t="shared" si="23"/>
        <v>9000</v>
      </c>
      <c r="AB486" s="14">
        <f t="shared" si="24"/>
        <v>8000</v>
      </c>
      <c r="AC486" s="14">
        <f t="shared" si="25"/>
        <v>7000</v>
      </c>
      <c r="AD486" s="3" t="s">
        <v>1606</v>
      </c>
      <c r="AE486" s="3" t="s">
        <v>1606</v>
      </c>
      <c r="AF486" s="3" t="s">
        <v>1606</v>
      </c>
      <c r="AG486" s="43">
        <v>833.33333333333337</v>
      </c>
      <c r="AH486" s="43">
        <v>833.33333333333337</v>
      </c>
      <c r="AI486" s="43">
        <v>833.33333333333337</v>
      </c>
      <c r="AJ486" s="43">
        <v>833.33333333333337</v>
      </c>
      <c r="AK486" s="43">
        <v>833.33333333333337</v>
      </c>
      <c r="AL486" s="43">
        <v>833.33333333333337</v>
      </c>
      <c r="AM486" s="43">
        <v>833.33333333333337</v>
      </c>
      <c r="AN486" s="43">
        <v>833.33333333333337</v>
      </c>
      <c r="AO486" s="43">
        <v>833.33333333333337</v>
      </c>
      <c r="AP486" s="43">
        <v>833.33333333333337</v>
      </c>
      <c r="AQ486" s="43">
        <v>833.33333333333337</v>
      </c>
      <c r="AR486" s="43">
        <v>833.33333333333337</v>
      </c>
      <c r="AS486" s="43">
        <v>10000</v>
      </c>
      <c r="AT486" s="3"/>
      <c r="AU486" s="272"/>
    </row>
    <row r="487" spans="1:47" ht="16.5" hidden="1" customHeight="1" x14ac:dyDescent="0.35">
      <c r="A487" s="2" t="s">
        <v>153</v>
      </c>
      <c r="B487" s="2" t="s">
        <v>58</v>
      </c>
      <c r="C487" s="2" t="s">
        <v>1350</v>
      </c>
      <c r="D487" s="2">
        <v>847</v>
      </c>
      <c r="E487" s="2">
        <v>8470230</v>
      </c>
      <c r="F487" s="2" t="s">
        <v>1583</v>
      </c>
      <c r="G487" s="2">
        <v>1</v>
      </c>
      <c r="H487" s="276">
        <v>428090</v>
      </c>
      <c r="I487" s="2" t="s">
        <v>154</v>
      </c>
      <c r="J487" s="2" t="s">
        <v>60</v>
      </c>
      <c r="K487" s="2" t="s">
        <v>50</v>
      </c>
      <c r="L487" s="7">
        <v>847001</v>
      </c>
      <c r="M487" s="2" t="s">
        <v>61</v>
      </c>
      <c r="N487" s="2">
        <v>200179</v>
      </c>
      <c r="O487" s="3" t="s">
        <v>1727</v>
      </c>
      <c r="P487" s="2" t="s">
        <v>46</v>
      </c>
      <c r="Q487" s="35">
        <v>97000</v>
      </c>
      <c r="R487" s="2">
        <v>97000</v>
      </c>
      <c r="S487" s="3" t="s">
        <v>156</v>
      </c>
      <c r="T487" s="2" t="s">
        <v>157</v>
      </c>
      <c r="U487" s="2">
        <v>5</v>
      </c>
      <c r="V487" s="2">
        <v>19160</v>
      </c>
      <c r="W487" s="3" t="s">
        <v>1607</v>
      </c>
      <c r="X487" s="36">
        <v>95800</v>
      </c>
      <c r="Y487" s="2" t="s">
        <v>55</v>
      </c>
      <c r="Z487" s="2" t="s">
        <v>56</v>
      </c>
      <c r="AA487" s="14">
        <f t="shared" si="23"/>
        <v>86220</v>
      </c>
      <c r="AB487" s="14">
        <f t="shared" si="24"/>
        <v>76640</v>
      </c>
      <c r="AC487" s="14">
        <f t="shared" si="25"/>
        <v>67060</v>
      </c>
      <c r="AD487" s="3" t="s">
        <v>1608</v>
      </c>
      <c r="AE487" s="3" t="s">
        <v>1609</v>
      </c>
      <c r="AF487" s="3" t="s">
        <v>1610</v>
      </c>
      <c r="AG487" s="43"/>
      <c r="AH487" s="43">
        <v>26000</v>
      </c>
      <c r="AI487" s="43">
        <v>14600</v>
      </c>
      <c r="AJ487" s="43">
        <v>14600</v>
      </c>
      <c r="AK487" s="43"/>
      <c r="AL487" s="43"/>
      <c r="AM487" s="43">
        <v>26000</v>
      </c>
      <c r="AN487" s="43"/>
      <c r="AO487" s="43">
        <v>14600</v>
      </c>
      <c r="AP487" s="43"/>
      <c r="AQ487" s="43"/>
      <c r="AR487" s="43"/>
      <c r="AS487" s="43">
        <v>95800</v>
      </c>
      <c r="AT487" s="3" t="s">
        <v>834</v>
      </c>
      <c r="AU487" s="272"/>
    </row>
    <row r="488" spans="1:47" ht="16.5" hidden="1" customHeight="1" x14ac:dyDescent="0.35">
      <c r="A488" s="2" t="s">
        <v>245</v>
      </c>
      <c r="B488" s="2" t="s">
        <v>246</v>
      </c>
      <c r="C488" s="2" t="s">
        <v>1350</v>
      </c>
      <c r="D488" s="2">
        <v>847</v>
      </c>
      <c r="E488" s="2">
        <v>8470230</v>
      </c>
      <c r="F488" s="2" t="s">
        <v>1583</v>
      </c>
      <c r="G488" s="2">
        <v>1</v>
      </c>
      <c r="H488" s="276">
        <v>428640</v>
      </c>
      <c r="I488" s="2" t="s">
        <v>279</v>
      </c>
      <c r="J488" s="2" t="s">
        <v>60</v>
      </c>
      <c r="K488" s="2" t="s">
        <v>50</v>
      </c>
      <c r="L488" s="7">
        <v>847001</v>
      </c>
      <c r="M488" s="2" t="s">
        <v>61</v>
      </c>
      <c r="N488" s="2">
        <v>200179</v>
      </c>
      <c r="O488" s="3" t="s">
        <v>1728</v>
      </c>
      <c r="P488" s="2" t="s">
        <v>46</v>
      </c>
      <c r="Q488" s="35">
        <v>80000</v>
      </c>
      <c r="R488" s="2">
        <v>40000</v>
      </c>
      <c r="S488" s="3" t="s">
        <v>1533</v>
      </c>
      <c r="T488" s="2" t="s">
        <v>269</v>
      </c>
      <c r="U488" s="2">
        <v>1063</v>
      </c>
      <c r="V488" s="10">
        <v>67</v>
      </c>
      <c r="W488" s="3" t="s">
        <v>1586</v>
      </c>
      <c r="X488" s="36">
        <v>71221</v>
      </c>
      <c r="Y488" s="2" t="s">
        <v>55</v>
      </c>
      <c r="Z488" s="2" t="s">
        <v>56</v>
      </c>
      <c r="AA488" s="14">
        <f t="shared" si="23"/>
        <v>64098.9</v>
      </c>
      <c r="AB488" s="14">
        <f t="shared" si="24"/>
        <v>56976.800000000003</v>
      </c>
      <c r="AC488" s="14">
        <f t="shared" si="25"/>
        <v>49854.7</v>
      </c>
      <c r="AD488" s="3" t="s">
        <v>1611</v>
      </c>
      <c r="AE488" s="3" t="s">
        <v>1611</v>
      </c>
      <c r="AF488" s="3" t="s">
        <v>1611</v>
      </c>
      <c r="AG488" s="43"/>
      <c r="AH488" s="43">
        <v>71221</v>
      </c>
      <c r="AI488" s="43"/>
      <c r="AJ488" s="43"/>
      <c r="AK488" s="43"/>
      <c r="AL488" s="43"/>
      <c r="AM488" s="43"/>
      <c r="AN488" s="43"/>
      <c r="AO488" s="43"/>
      <c r="AP488" s="43"/>
      <c r="AQ488" s="43"/>
      <c r="AR488" s="43"/>
      <c r="AS488" s="43">
        <v>71221</v>
      </c>
      <c r="AT488" s="3"/>
      <c r="AU488" s="272"/>
    </row>
    <row r="489" spans="1:47" ht="16.5" hidden="1" customHeight="1" x14ac:dyDescent="0.35">
      <c r="A489" s="2" t="s">
        <v>189</v>
      </c>
      <c r="B489" s="2" t="s">
        <v>58</v>
      </c>
      <c r="C489" s="2" t="s">
        <v>1350</v>
      </c>
      <c r="D489" s="2">
        <v>847</v>
      </c>
      <c r="E489" s="2">
        <v>8470230</v>
      </c>
      <c r="F489" s="2" t="s">
        <v>1583</v>
      </c>
      <c r="G489" s="2">
        <v>1</v>
      </c>
      <c r="H489" s="276">
        <v>436110</v>
      </c>
      <c r="I489" s="2" t="s">
        <v>190</v>
      </c>
      <c r="J489" s="2" t="s">
        <v>60</v>
      </c>
      <c r="K489" s="2" t="s">
        <v>50</v>
      </c>
      <c r="L489" s="7">
        <v>847001</v>
      </c>
      <c r="M489" s="2" t="s">
        <v>61</v>
      </c>
      <c r="N489" s="2">
        <v>200179</v>
      </c>
      <c r="O489" s="3" t="s">
        <v>1729</v>
      </c>
      <c r="P489" s="2">
        <v>0</v>
      </c>
      <c r="Q489" s="35">
        <v>5000</v>
      </c>
      <c r="R489" s="2">
        <v>5000</v>
      </c>
      <c r="S489" s="3" t="s">
        <v>488</v>
      </c>
      <c r="T489" s="2" t="s">
        <v>157</v>
      </c>
      <c r="U489" s="2">
        <v>1</v>
      </c>
      <c r="V489" s="2">
        <v>5000</v>
      </c>
      <c r="W489" s="3" t="s">
        <v>1612</v>
      </c>
      <c r="X489" s="36">
        <v>5000</v>
      </c>
      <c r="Y489" s="2" t="s">
        <v>55</v>
      </c>
      <c r="Z489" s="2" t="s">
        <v>56</v>
      </c>
      <c r="AA489" s="14">
        <f t="shared" si="23"/>
        <v>4500</v>
      </c>
      <c r="AB489" s="14">
        <f t="shared" si="24"/>
        <v>4000</v>
      </c>
      <c r="AC489" s="14">
        <f t="shared" si="25"/>
        <v>3500</v>
      </c>
      <c r="AD489" s="3" t="s">
        <v>1613</v>
      </c>
      <c r="AE489" s="3" t="s">
        <v>1613</v>
      </c>
      <c r="AF489" s="3" t="s">
        <v>1613</v>
      </c>
      <c r="AG489" s="43">
        <v>416.66666666666669</v>
      </c>
      <c r="AH489" s="43">
        <v>416.66666666666669</v>
      </c>
      <c r="AI489" s="43">
        <v>416.66666666666669</v>
      </c>
      <c r="AJ489" s="43">
        <v>416.66666666666669</v>
      </c>
      <c r="AK489" s="43">
        <v>416.66666666666669</v>
      </c>
      <c r="AL489" s="43">
        <v>416.66666666666669</v>
      </c>
      <c r="AM489" s="43">
        <v>416.66666666666669</v>
      </c>
      <c r="AN489" s="43">
        <v>416.66666666666669</v>
      </c>
      <c r="AO489" s="43">
        <v>416.66666666666669</v>
      </c>
      <c r="AP489" s="43">
        <v>416.66666666666669</v>
      </c>
      <c r="AQ489" s="43">
        <v>416.66666666666669</v>
      </c>
      <c r="AR489" s="43">
        <v>416.66666666666669</v>
      </c>
      <c r="AS489" s="43">
        <v>5000</v>
      </c>
      <c r="AT489" s="3"/>
      <c r="AU489" s="272"/>
    </row>
    <row r="490" spans="1:47" ht="16.5" hidden="1" customHeight="1" x14ac:dyDescent="0.35">
      <c r="A490" s="2" t="s">
        <v>63</v>
      </c>
      <c r="B490" s="2" t="s">
        <v>64</v>
      </c>
      <c r="C490" s="2" t="s">
        <v>1350</v>
      </c>
      <c r="D490" s="2">
        <v>847</v>
      </c>
      <c r="E490" s="2">
        <v>8470230</v>
      </c>
      <c r="F490" s="2" t="s">
        <v>1583</v>
      </c>
      <c r="G490" s="2">
        <v>1</v>
      </c>
      <c r="H490" s="276">
        <v>492310</v>
      </c>
      <c r="I490" s="2" t="s">
        <v>191</v>
      </c>
      <c r="J490" s="2" t="s">
        <v>60</v>
      </c>
      <c r="K490" s="2" t="s">
        <v>50</v>
      </c>
      <c r="L490" s="7">
        <v>847001</v>
      </c>
      <c r="M490" s="2" t="s">
        <v>192</v>
      </c>
      <c r="N490" s="2">
        <v>300180</v>
      </c>
      <c r="O490" s="3" t="s">
        <v>1730</v>
      </c>
      <c r="P490" s="2" t="s">
        <v>46</v>
      </c>
      <c r="Q490" s="35">
        <v>1380709</v>
      </c>
      <c r="R490" s="2">
        <v>1380709</v>
      </c>
      <c r="S490" s="3" t="s">
        <v>1614</v>
      </c>
      <c r="T490" s="2" t="s">
        <v>68</v>
      </c>
      <c r="U490" s="2">
        <v>347</v>
      </c>
      <c r="V490" s="2">
        <v>4500</v>
      </c>
      <c r="W490" s="3" t="s">
        <v>1615</v>
      </c>
      <c r="X490" s="36">
        <v>1561500</v>
      </c>
      <c r="Y490" s="2" t="s">
        <v>55</v>
      </c>
      <c r="Z490" s="2" t="s">
        <v>56</v>
      </c>
      <c r="AA490" s="14">
        <f t="shared" si="23"/>
        <v>1405350</v>
      </c>
      <c r="AB490" s="14">
        <f t="shared" si="24"/>
        <v>1249200</v>
      </c>
      <c r="AC490" s="14">
        <f t="shared" si="25"/>
        <v>1093050</v>
      </c>
      <c r="AD490" s="3" t="s">
        <v>1616</v>
      </c>
      <c r="AE490" s="3" t="s">
        <v>1616</v>
      </c>
      <c r="AF490" s="3" t="s">
        <v>1616</v>
      </c>
      <c r="AG490" s="43"/>
      <c r="AH490" s="43">
        <v>1561500</v>
      </c>
      <c r="AI490" s="43"/>
      <c r="AJ490" s="43"/>
      <c r="AK490" s="43"/>
      <c r="AL490" s="43"/>
      <c r="AM490" s="43"/>
      <c r="AN490" s="43"/>
      <c r="AO490" s="43"/>
      <c r="AP490" s="43"/>
      <c r="AQ490" s="43"/>
      <c r="AR490" s="43"/>
      <c r="AS490" s="43">
        <v>1561500</v>
      </c>
      <c r="AT490" s="3" t="s">
        <v>834</v>
      </c>
      <c r="AU490" s="272"/>
    </row>
    <row r="491" spans="1:47" ht="16.5" hidden="1" customHeight="1" x14ac:dyDescent="0.35">
      <c r="A491" s="2" t="s">
        <v>222</v>
      </c>
      <c r="B491" s="2" t="s">
        <v>58</v>
      </c>
      <c r="C491" s="2" t="s">
        <v>1784</v>
      </c>
      <c r="D491" s="2">
        <v>847</v>
      </c>
      <c r="E491" s="2">
        <v>8470405</v>
      </c>
      <c r="F491" s="2" t="s">
        <v>1785</v>
      </c>
      <c r="G491" s="2">
        <v>1</v>
      </c>
      <c r="H491" s="276">
        <v>420550</v>
      </c>
      <c r="I491" s="2" t="s">
        <v>225</v>
      </c>
      <c r="J491" s="2" t="s">
        <v>60</v>
      </c>
      <c r="K491" s="2" t="s">
        <v>50</v>
      </c>
      <c r="L491" s="7">
        <v>847001</v>
      </c>
      <c r="M491" s="2" t="s">
        <v>61</v>
      </c>
      <c r="N491" s="2">
        <v>200179</v>
      </c>
      <c r="O491" s="3" t="s">
        <v>1786</v>
      </c>
      <c r="P491" s="2" t="s">
        <v>46</v>
      </c>
      <c r="Q491" s="35">
        <v>59692</v>
      </c>
      <c r="R491" s="2">
        <v>59692</v>
      </c>
      <c r="S491" s="3" t="s">
        <v>227</v>
      </c>
      <c r="T491" s="2" t="s">
        <v>269</v>
      </c>
      <c r="U491" s="2">
        <v>16</v>
      </c>
      <c r="V491" s="2">
        <v>1469</v>
      </c>
      <c r="W491" s="3" t="s">
        <v>1787</v>
      </c>
      <c r="X491" s="36">
        <v>23504</v>
      </c>
      <c r="Y491" s="2" t="s">
        <v>55</v>
      </c>
      <c r="Z491" s="2" t="s">
        <v>56</v>
      </c>
      <c r="AA491" s="14">
        <f t="shared" si="23"/>
        <v>21153.600000000002</v>
      </c>
      <c r="AB491" s="14">
        <f t="shared" si="24"/>
        <v>18803.2</v>
      </c>
      <c r="AC491" s="14">
        <f t="shared" si="25"/>
        <v>16452.8</v>
      </c>
      <c r="AD491" s="3" t="s">
        <v>1788</v>
      </c>
      <c r="AE491" s="3" t="s">
        <v>1788</v>
      </c>
      <c r="AF491" s="3" t="s">
        <v>1788</v>
      </c>
      <c r="AG491" s="43">
        <v>0</v>
      </c>
      <c r="AH491" s="43">
        <v>0</v>
      </c>
      <c r="AI491" s="43">
        <v>0</v>
      </c>
      <c r="AJ491" s="43">
        <v>23504</v>
      </c>
      <c r="AK491" s="43">
        <v>0</v>
      </c>
      <c r="AL491" s="43">
        <v>0</v>
      </c>
      <c r="AM491" s="43">
        <v>0</v>
      </c>
      <c r="AN491" s="43">
        <v>0</v>
      </c>
      <c r="AO491" s="43">
        <v>0</v>
      </c>
      <c r="AP491" s="43">
        <v>0</v>
      </c>
      <c r="AQ491" s="43">
        <v>0</v>
      </c>
      <c r="AR491" s="43">
        <v>0</v>
      </c>
      <c r="AS491" s="43">
        <v>23504</v>
      </c>
      <c r="AT491" s="3">
        <v>0</v>
      </c>
      <c r="AU491" s="272" t="s">
        <v>264</v>
      </c>
    </row>
    <row r="492" spans="1:47" ht="16.5" hidden="1" customHeight="1" x14ac:dyDescent="0.35">
      <c r="A492" s="2" t="s">
        <v>222</v>
      </c>
      <c r="B492" s="2" t="s">
        <v>238</v>
      </c>
      <c r="C492" s="2" t="s">
        <v>1784</v>
      </c>
      <c r="D492" s="2">
        <v>847</v>
      </c>
      <c r="E492" s="2">
        <v>8470405</v>
      </c>
      <c r="F492" s="2" t="s">
        <v>1785</v>
      </c>
      <c r="G492" s="2">
        <v>1</v>
      </c>
      <c r="H492" s="276">
        <v>421700</v>
      </c>
      <c r="I492" s="2" t="s">
        <v>239</v>
      </c>
      <c r="J492" s="2" t="s">
        <v>60</v>
      </c>
      <c r="K492" s="2" t="s">
        <v>50</v>
      </c>
      <c r="L492" s="7">
        <v>847001</v>
      </c>
      <c r="M492" s="2" t="s">
        <v>61</v>
      </c>
      <c r="N492" s="2">
        <v>200179</v>
      </c>
      <c r="O492" s="3" t="s">
        <v>1789</v>
      </c>
      <c r="P492" s="2">
        <v>109525.28</v>
      </c>
      <c r="Q492" s="35">
        <v>500308</v>
      </c>
      <c r="R492" s="2">
        <v>368363</v>
      </c>
      <c r="S492" s="3" t="s">
        <v>241</v>
      </c>
      <c r="T492" s="2" t="s">
        <v>269</v>
      </c>
      <c r="U492" s="2">
        <v>2</v>
      </c>
      <c r="V492" s="10">
        <v>140000</v>
      </c>
      <c r="W492" s="3" t="s">
        <v>1787</v>
      </c>
      <c r="X492" s="36">
        <v>280000</v>
      </c>
      <c r="Y492" s="2" t="s">
        <v>210</v>
      </c>
      <c r="Z492" s="2" t="s">
        <v>197</v>
      </c>
      <c r="AA492" s="14">
        <f t="shared" si="23"/>
        <v>252000</v>
      </c>
      <c r="AB492" s="14">
        <f t="shared" si="24"/>
        <v>224000</v>
      </c>
      <c r="AC492" s="14">
        <f t="shared" si="25"/>
        <v>196000</v>
      </c>
      <c r="AD492" s="3" t="s">
        <v>1790</v>
      </c>
      <c r="AE492" s="3" t="s">
        <v>1791</v>
      </c>
      <c r="AF492" s="3" t="s">
        <v>1791</v>
      </c>
      <c r="AG492" s="43">
        <v>0</v>
      </c>
      <c r="AH492" s="43">
        <v>140000</v>
      </c>
      <c r="AI492" s="43">
        <v>140000</v>
      </c>
      <c r="AJ492" s="43">
        <v>0</v>
      </c>
      <c r="AK492" s="43">
        <v>0</v>
      </c>
      <c r="AL492" s="43">
        <v>0</v>
      </c>
      <c r="AM492" s="43">
        <v>0</v>
      </c>
      <c r="AN492" s="43">
        <v>0</v>
      </c>
      <c r="AO492" s="43">
        <v>0</v>
      </c>
      <c r="AP492" s="43">
        <v>0</v>
      </c>
      <c r="AQ492" s="43">
        <v>0</v>
      </c>
      <c r="AR492" s="43">
        <v>0</v>
      </c>
      <c r="AS492" s="43">
        <v>280000</v>
      </c>
      <c r="AT492" s="3">
        <v>0</v>
      </c>
      <c r="AU492" s="272" t="s">
        <v>834</v>
      </c>
    </row>
    <row r="493" spans="1:47" ht="16.5" hidden="1" customHeight="1" x14ac:dyDescent="0.35">
      <c r="A493" s="2" t="s">
        <v>245</v>
      </c>
      <c r="B493" s="2" t="s">
        <v>246</v>
      </c>
      <c r="C493" s="2" t="s">
        <v>1784</v>
      </c>
      <c r="D493" s="2">
        <v>847</v>
      </c>
      <c r="E493" s="2">
        <v>8470405</v>
      </c>
      <c r="F493" s="2" t="s">
        <v>1785</v>
      </c>
      <c r="G493" s="2">
        <v>1</v>
      </c>
      <c r="H493" s="276">
        <v>425510</v>
      </c>
      <c r="I493" s="2" t="s">
        <v>247</v>
      </c>
      <c r="J493" s="2" t="s">
        <v>60</v>
      </c>
      <c r="K493" s="2" t="s">
        <v>50</v>
      </c>
      <c r="L493" s="7">
        <v>847001</v>
      </c>
      <c r="M493" s="2" t="s">
        <v>61</v>
      </c>
      <c r="N493" s="2">
        <v>200179</v>
      </c>
      <c r="O493" s="3" t="s">
        <v>1792</v>
      </c>
      <c r="P493" s="2">
        <v>4400</v>
      </c>
      <c r="Q493" s="35">
        <v>15000</v>
      </c>
      <c r="R493" s="2">
        <v>15000</v>
      </c>
      <c r="S493" s="3" t="s">
        <v>615</v>
      </c>
      <c r="T493" s="2" t="s">
        <v>269</v>
      </c>
      <c r="U493" s="2">
        <v>1</v>
      </c>
      <c r="V493" s="2">
        <v>15000</v>
      </c>
      <c r="W493" s="3" t="s">
        <v>1787</v>
      </c>
      <c r="X493" s="36">
        <v>15000</v>
      </c>
      <c r="Y493" s="2" t="s">
        <v>55</v>
      </c>
      <c r="Z493" s="2" t="s">
        <v>56</v>
      </c>
      <c r="AA493" s="14">
        <f t="shared" si="23"/>
        <v>13500</v>
      </c>
      <c r="AB493" s="14">
        <f t="shared" si="24"/>
        <v>12000</v>
      </c>
      <c r="AC493" s="14">
        <f t="shared" si="25"/>
        <v>10500</v>
      </c>
      <c r="AD493" s="3" t="s">
        <v>1793</v>
      </c>
      <c r="AE493" s="3" t="s">
        <v>1793</v>
      </c>
      <c r="AF493" s="3" t="s">
        <v>1793</v>
      </c>
      <c r="AG493" s="43">
        <v>1000</v>
      </c>
      <c r="AH493" s="43">
        <v>1000</v>
      </c>
      <c r="AI493" s="43">
        <v>1000</v>
      </c>
      <c r="AJ493" s="43">
        <v>2000</v>
      </c>
      <c r="AK493" s="43">
        <v>2000</v>
      </c>
      <c r="AL493" s="43"/>
      <c r="AM493" s="43"/>
      <c r="AN493" s="43"/>
      <c r="AO493" s="43">
        <v>2000</v>
      </c>
      <c r="AP493" s="43">
        <v>2000</v>
      </c>
      <c r="AQ493" s="43">
        <v>2000</v>
      </c>
      <c r="AR493" s="43">
        <v>2000</v>
      </c>
      <c r="AS493" s="43">
        <v>15000</v>
      </c>
      <c r="AT493" s="3">
        <v>0</v>
      </c>
      <c r="AU493" s="272" t="s">
        <v>480</v>
      </c>
    </row>
    <row r="494" spans="1:47" ht="16.5" hidden="1" customHeight="1" x14ac:dyDescent="0.35">
      <c r="A494" s="2" t="s">
        <v>245</v>
      </c>
      <c r="B494" s="2" t="s">
        <v>58</v>
      </c>
      <c r="C494" s="2" t="s">
        <v>1784</v>
      </c>
      <c r="D494" s="2">
        <v>847</v>
      </c>
      <c r="E494" s="2">
        <v>8470405</v>
      </c>
      <c r="F494" s="2" t="s">
        <v>1785</v>
      </c>
      <c r="G494" s="2">
        <v>1</v>
      </c>
      <c r="H494" s="276">
        <v>425550</v>
      </c>
      <c r="I494" s="2" t="s">
        <v>253</v>
      </c>
      <c r="J494" s="2" t="s">
        <v>60</v>
      </c>
      <c r="K494" s="2" t="s">
        <v>50</v>
      </c>
      <c r="L494" s="7">
        <v>847001</v>
      </c>
      <c r="M494" s="2" t="s">
        <v>61</v>
      </c>
      <c r="N494" s="2">
        <v>200179</v>
      </c>
      <c r="O494" s="3" t="s">
        <v>1794</v>
      </c>
      <c r="P494" s="2" t="s">
        <v>46</v>
      </c>
      <c r="Q494" s="35">
        <v>15000</v>
      </c>
      <c r="R494" s="2" t="s">
        <v>46</v>
      </c>
      <c r="S494" s="3" t="s">
        <v>255</v>
      </c>
      <c r="T494" s="2" t="s">
        <v>269</v>
      </c>
      <c r="U494" s="2">
        <v>1</v>
      </c>
      <c r="V494" s="2">
        <v>15000</v>
      </c>
      <c r="W494" s="3" t="s">
        <v>1787</v>
      </c>
      <c r="X494" s="36">
        <v>15000</v>
      </c>
      <c r="Y494" s="2" t="s">
        <v>55</v>
      </c>
      <c r="Z494" s="2" t="s">
        <v>56</v>
      </c>
      <c r="AA494" s="14">
        <f t="shared" si="23"/>
        <v>13500</v>
      </c>
      <c r="AB494" s="14">
        <f t="shared" si="24"/>
        <v>12000</v>
      </c>
      <c r="AC494" s="14">
        <f t="shared" si="25"/>
        <v>10500</v>
      </c>
      <c r="AD494" s="3" t="s">
        <v>1795</v>
      </c>
      <c r="AE494" s="3" t="s">
        <v>1795</v>
      </c>
      <c r="AF494" s="3" t="s">
        <v>1796</v>
      </c>
      <c r="AG494" s="43">
        <v>1500</v>
      </c>
      <c r="AH494" s="43">
        <v>1500</v>
      </c>
      <c r="AI494" s="43">
        <v>1500</v>
      </c>
      <c r="AJ494" s="43">
        <v>1500</v>
      </c>
      <c r="AK494" s="43">
        <v>1500</v>
      </c>
      <c r="AL494" s="43">
        <v>0</v>
      </c>
      <c r="AM494" s="43">
        <v>0</v>
      </c>
      <c r="AN494" s="43">
        <v>0</v>
      </c>
      <c r="AO494" s="43">
        <v>2000</v>
      </c>
      <c r="AP494" s="43">
        <v>2000</v>
      </c>
      <c r="AQ494" s="43">
        <v>2000</v>
      </c>
      <c r="AR494" s="43">
        <v>1500</v>
      </c>
      <c r="AS494" s="43">
        <v>15000</v>
      </c>
      <c r="AT494" s="3">
        <v>0</v>
      </c>
      <c r="AU494" s="272" t="s">
        <v>618</v>
      </c>
    </row>
    <row r="495" spans="1:47" ht="16.5" hidden="1" customHeight="1" x14ac:dyDescent="0.35">
      <c r="A495" s="2" t="s">
        <v>222</v>
      </c>
      <c r="B495" s="2" t="s">
        <v>58</v>
      </c>
      <c r="C495" s="2" t="s">
        <v>1784</v>
      </c>
      <c r="D495" s="2">
        <v>847</v>
      </c>
      <c r="E495" s="2">
        <v>8470405</v>
      </c>
      <c r="F495" s="2" t="s">
        <v>1785</v>
      </c>
      <c r="G495" s="2">
        <v>1</v>
      </c>
      <c r="H495" s="276">
        <v>425770</v>
      </c>
      <c r="I495" s="2" t="s">
        <v>367</v>
      </c>
      <c r="J495" s="2" t="s">
        <v>60</v>
      </c>
      <c r="K495" s="2" t="s">
        <v>50</v>
      </c>
      <c r="L495" s="7">
        <v>847001</v>
      </c>
      <c r="M495" s="2" t="s">
        <v>61</v>
      </c>
      <c r="N495" s="2">
        <v>200179</v>
      </c>
      <c r="O495" s="3" t="s">
        <v>1797</v>
      </c>
      <c r="P495" s="2">
        <v>0</v>
      </c>
      <c r="Q495" s="35">
        <v>41825</v>
      </c>
      <c r="R495" s="2">
        <v>41825</v>
      </c>
      <c r="S495" s="3" t="s">
        <v>926</v>
      </c>
      <c r="T495" s="2" t="s">
        <v>269</v>
      </c>
      <c r="U495" s="2">
        <v>10</v>
      </c>
      <c r="V495" s="2">
        <v>5000</v>
      </c>
      <c r="W495" s="3" t="s">
        <v>1798</v>
      </c>
      <c r="X495" s="36">
        <v>50000</v>
      </c>
      <c r="Y495" s="2" t="s">
        <v>55</v>
      </c>
      <c r="Z495" s="2" t="s">
        <v>56</v>
      </c>
      <c r="AA495" s="14">
        <f t="shared" si="23"/>
        <v>45000</v>
      </c>
      <c r="AB495" s="14">
        <f t="shared" si="24"/>
        <v>40000</v>
      </c>
      <c r="AC495" s="14">
        <f t="shared" si="25"/>
        <v>35000</v>
      </c>
      <c r="AD495" s="3" t="s">
        <v>1795</v>
      </c>
      <c r="AE495" s="3" t="s">
        <v>1795</v>
      </c>
      <c r="AF495" s="3" t="s">
        <v>1796</v>
      </c>
      <c r="AG495" s="43">
        <v>5000</v>
      </c>
      <c r="AH495" s="43">
        <v>5000</v>
      </c>
      <c r="AI495" s="43">
        <v>5000</v>
      </c>
      <c r="AJ495" s="43">
        <v>4000</v>
      </c>
      <c r="AK495" s="43">
        <v>2000</v>
      </c>
      <c r="AL495" s="43">
        <v>2000</v>
      </c>
      <c r="AM495" s="43">
        <v>2000</v>
      </c>
      <c r="AN495" s="43">
        <v>5000</v>
      </c>
      <c r="AO495" s="43">
        <v>5000</v>
      </c>
      <c r="AP495" s="43">
        <v>5000</v>
      </c>
      <c r="AQ495" s="43">
        <v>5000</v>
      </c>
      <c r="AR495" s="43">
        <v>5000</v>
      </c>
      <c r="AS495" s="43">
        <v>50000</v>
      </c>
      <c r="AT495" s="3">
        <v>0</v>
      </c>
      <c r="AU495" s="272" t="s">
        <v>252</v>
      </c>
    </row>
    <row r="496" spans="1:47" ht="16.5" hidden="1" customHeight="1" x14ac:dyDescent="0.35">
      <c r="A496" s="2" t="s">
        <v>222</v>
      </c>
      <c r="B496" s="2" t="s">
        <v>58</v>
      </c>
      <c r="C496" s="2" t="s">
        <v>1784</v>
      </c>
      <c r="D496" s="2">
        <v>847</v>
      </c>
      <c r="E496" s="2">
        <v>8470405</v>
      </c>
      <c r="F496" s="2" t="s">
        <v>1785</v>
      </c>
      <c r="G496" s="2">
        <v>1</v>
      </c>
      <c r="H496" s="276">
        <v>427710</v>
      </c>
      <c r="I496" s="2" t="s">
        <v>1090</v>
      </c>
      <c r="J496" s="2" t="s">
        <v>60</v>
      </c>
      <c r="K496" s="2" t="s">
        <v>50</v>
      </c>
      <c r="L496" s="7">
        <v>847001</v>
      </c>
      <c r="M496" s="2" t="s">
        <v>61</v>
      </c>
      <c r="N496" s="2">
        <v>200179</v>
      </c>
      <c r="O496" s="3" t="s">
        <v>1799</v>
      </c>
      <c r="P496" s="2">
        <v>12539.46</v>
      </c>
      <c r="Q496" s="35">
        <v>20175</v>
      </c>
      <c r="R496" s="2">
        <v>20175</v>
      </c>
      <c r="S496" s="3" t="s">
        <v>1092</v>
      </c>
      <c r="T496" s="2" t="s">
        <v>269</v>
      </c>
      <c r="U496" s="2">
        <v>20</v>
      </c>
      <c r="V496" s="2">
        <v>1681</v>
      </c>
      <c r="W496" s="3" t="s">
        <v>1800</v>
      </c>
      <c r="X496" s="36">
        <v>33620</v>
      </c>
      <c r="Y496" s="2" t="s">
        <v>55</v>
      </c>
      <c r="Z496" s="2" t="s">
        <v>56</v>
      </c>
      <c r="AA496" s="14">
        <f t="shared" si="23"/>
        <v>30258</v>
      </c>
      <c r="AB496" s="14">
        <f t="shared" si="24"/>
        <v>26896</v>
      </c>
      <c r="AC496" s="14">
        <f t="shared" si="25"/>
        <v>23534</v>
      </c>
      <c r="AD496" s="3" t="s">
        <v>1801</v>
      </c>
      <c r="AE496" s="3" t="s">
        <v>1801</v>
      </c>
      <c r="AF496" s="3" t="s">
        <v>1802</v>
      </c>
      <c r="AG496" s="43">
        <v>2801.6666666666665</v>
      </c>
      <c r="AH496" s="43">
        <v>2801.6666666666665</v>
      </c>
      <c r="AI496" s="43">
        <v>2801.6666666666665</v>
      </c>
      <c r="AJ496" s="43">
        <v>2801.6666666666665</v>
      </c>
      <c r="AK496" s="43">
        <v>2801.6666666666665</v>
      </c>
      <c r="AL496" s="43">
        <v>2801.6666666666665</v>
      </c>
      <c r="AM496" s="43">
        <v>2801.6666666666665</v>
      </c>
      <c r="AN496" s="43">
        <v>2801.6666666666665</v>
      </c>
      <c r="AO496" s="43">
        <v>2801.6666666666665</v>
      </c>
      <c r="AP496" s="43">
        <v>2801.6666666666665</v>
      </c>
      <c r="AQ496" s="43">
        <v>2801.6666666666665</v>
      </c>
      <c r="AR496" s="43">
        <v>2801.6666666666665</v>
      </c>
      <c r="AS496" s="43">
        <v>33620</v>
      </c>
      <c r="AT496" s="3">
        <v>0</v>
      </c>
      <c r="AU496" s="272" t="s">
        <v>480</v>
      </c>
    </row>
    <row r="497" spans="1:47" ht="16.5" hidden="1" customHeight="1" x14ac:dyDescent="0.35">
      <c r="A497" s="2" t="s">
        <v>222</v>
      </c>
      <c r="B497" s="2" t="s">
        <v>220</v>
      </c>
      <c r="C497" s="2" t="s">
        <v>1784</v>
      </c>
      <c r="D497" s="2">
        <v>847</v>
      </c>
      <c r="E497" s="2">
        <v>8470405</v>
      </c>
      <c r="F497" s="2" t="s">
        <v>1785</v>
      </c>
      <c r="G497" s="2">
        <v>1</v>
      </c>
      <c r="H497" s="276">
        <v>435508</v>
      </c>
      <c r="I497" s="2" t="s">
        <v>405</v>
      </c>
      <c r="J497" s="2" t="s">
        <v>60</v>
      </c>
      <c r="K497" s="2" t="s">
        <v>50</v>
      </c>
      <c r="L497" s="7">
        <v>847001</v>
      </c>
      <c r="M497" s="2" t="s">
        <v>61</v>
      </c>
      <c r="N497" s="2">
        <v>200179</v>
      </c>
      <c r="O497" s="3" t="s">
        <v>1803</v>
      </c>
      <c r="P497" s="2">
        <v>152176</v>
      </c>
      <c r="Q497" s="35">
        <v>200000</v>
      </c>
      <c r="R497" s="2">
        <v>200000</v>
      </c>
      <c r="S497" s="3" t="s">
        <v>482</v>
      </c>
      <c r="T497" s="2" t="s">
        <v>269</v>
      </c>
      <c r="U497" s="2">
        <v>5</v>
      </c>
      <c r="V497" s="2">
        <v>40000</v>
      </c>
      <c r="W497" s="3" t="s">
        <v>1804</v>
      </c>
      <c r="X497" s="36">
        <v>200000</v>
      </c>
      <c r="Y497" s="2" t="s">
        <v>55</v>
      </c>
      <c r="Z497" s="2" t="s">
        <v>56</v>
      </c>
      <c r="AA497" s="14">
        <f t="shared" si="23"/>
        <v>180000</v>
      </c>
      <c r="AB497" s="14">
        <f t="shared" si="24"/>
        <v>160000</v>
      </c>
      <c r="AC497" s="14">
        <f t="shared" si="25"/>
        <v>140000</v>
      </c>
      <c r="AD497" s="3" t="s">
        <v>1805</v>
      </c>
      <c r="AE497" s="3" t="s">
        <v>1805</v>
      </c>
      <c r="AF497" s="3" t="s">
        <v>1806</v>
      </c>
      <c r="AG497" s="43"/>
      <c r="AH497" s="43"/>
      <c r="AI497" s="43">
        <v>50000</v>
      </c>
      <c r="AJ497" s="43"/>
      <c r="AK497" s="43"/>
      <c r="AL497" s="43">
        <v>50000</v>
      </c>
      <c r="AM497" s="43"/>
      <c r="AN497" s="43"/>
      <c r="AO497" s="43">
        <v>50000</v>
      </c>
      <c r="AP497" s="43"/>
      <c r="AQ497" s="43"/>
      <c r="AR497" s="43">
        <v>50000</v>
      </c>
      <c r="AS497" s="43">
        <v>200000</v>
      </c>
      <c r="AT497" s="3">
        <v>0</v>
      </c>
      <c r="AU497" s="272" t="s">
        <v>880</v>
      </c>
    </row>
    <row r="498" spans="1:47" ht="16.5" hidden="1" customHeight="1" x14ac:dyDescent="0.35">
      <c r="A498" s="2" t="s">
        <v>222</v>
      </c>
      <c r="B498" s="2" t="s">
        <v>58</v>
      </c>
      <c r="C498" s="2" t="s">
        <v>1784</v>
      </c>
      <c r="D498" s="2">
        <v>847</v>
      </c>
      <c r="E498" s="2">
        <v>8470405</v>
      </c>
      <c r="F498" s="2" t="s">
        <v>1785</v>
      </c>
      <c r="G498" s="2">
        <v>1</v>
      </c>
      <c r="H498" s="276">
        <v>435350</v>
      </c>
      <c r="I498" s="2" t="s">
        <v>399</v>
      </c>
      <c r="J498" s="2" t="s">
        <v>60</v>
      </c>
      <c r="K498" s="2" t="s">
        <v>50</v>
      </c>
      <c r="L498" s="7">
        <v>847001</v>
      </c>
      <c r="M498" s="2" t="s">
        <v>61</v>
      </c>
      <c r="N498" s="2">
        <v>200179</v>
      </c>
      <c r="O498" s="3" t="s">
        <v>1807</v>
      </c>
      <c r="P498" s="2">
        <v>65753.490000000005</v>
      </c>
      <c r="Q498" s="35">
        <v>30000</v>
      </c>
      <c r="R498" s="2">
        <v>30000</v>
      </c>
      <c r="S498" s="3" t="s">
        <v>401</v>
      </c>
      <c r="T498" s="2" t="s">
        <v>269</v>
      </c>
      <c r="U498" s="2">
        <v>20</v>
      </c>
      <c r="V498" s="2">
        <v>1500</v>
      </c>
      <c r="W498" s="3" t="s">
        <v>1808</v>
      </c>
      <c r="X498" s="36">
        <v>30000</v>
      </c>
      <c r="Y498" s="2" t="s">
        <v>55</v>
      </c>
      <c r="Z498" s="2" t="s">
        <v>56</v>
      </c>
      <c r="AA498" s="14">
        <f t="shared" si="23"/>
        <v>27000</v>
      </c>
      <c r="AB498" s="14">
        <f t="shared" si="24"/>
        <v>24000</v>
      </c>
      <c r="AC498" s="14">
        <f t="shared" si="25"/>
        <v>21000</v>
      </c>
      <c r="AD498" s="3" t="s">
        <v>1809</v>
      </c>
      <c r="AE498" s="3" t="s">
        <v>1809</v>
      </c>
      <c r="AF498" s="3" t="s">
        <v>1810</v>
      </c>
      <c r="AG498" s="43">
        <v>3000</v>
      </c>
      <c r="AH498" s="43">
        <v>3000</v>
      </c>
      <c r="AI498" s="43">
        <v>2000</v>
      </c>
      <c r="AJ498" s="43">
        <v>2000</v>
      </c>
      <c r="AK498" s="43">
        <v>2000</v>
      </c>
      <c r="AL498" s="43">
        <v>2000</v>
      </c>
      <c r="AM498" s="43">
        <v>2000</v>
      </c>
      <c r="AN498" s="43">
        <v>2000</v>
      </c>
      <c r="AO498" s="43">
        <v>3000</v>
      </c>
      <c r="AP498" s="43">
        <v>3000</v>
      </c>
      <c r="AQ498" s="43">
        <v>3000</v>
      </c>
      <c r="AR498" s="43">
        <v>3000</v>
      </c>
      <c r="AS498" s="43">
        <v>30000</v>
      </c>
      <c r="AT498" s="3">
        <v>0</v>
      </c>
      <c r="AU498" s="272" t="s">
        <v>480</v>
      </c>
    </row>
    <row r="499" spans="1:47" ht="16.5" hidden="1" customHeight="1" x14ac:dyDescent="0.35">
      <c r="A499" s="2" t="s">
        <v>258</v>
      </c>
      <c r="B499" s="2" t="s">
        <v>58</v>
      </c>
      <c r="C499" s="2" t="s">
        <v>1784</v>
      </c>
      <c r="D499" s="2">
        <v>847</v>
      </c>
      <c r="E499" s="2">
        <v>8470405</v>
      </c>
      <c r="F499" s="2" t="s">
        <v>1785</v>
      </c>
      <c r="G499" s="2">
        <v>1</v>
      </c>
      <c r="H499" s="276">
        <v>425720</v>
      </c>
      <c r="I499" s="2" t="s">
        <v>620</v>
      </c>
      <c r="J499" s="2" t="s">
        <v>60</v>
      </c>
      <c r="K499" s="2" t="s">
        <v>50</v>
      </c>
      <c r="L499" s="7">
        <v>847001</v>
      </c>
      <c r="M499" s="2" t="s">
        <v>61</v>
      </c>
      <c r="N499" s="2">
        <v>200179</v>
      </c>
      <c r="O499" s="3" t="s">
        <v>1811</v>
      </c>
      <c r="P499" s="2" t="s">
        <v>46</v>
      </c>
      <c r="Q499" s="35" t="s">
        <v>46</v>
      </c>
      <c r="R499" s="2"/>
      <c r="S499" s="3" t="s">
        <v>1812</v>
      </c>
      <c r="T499" s="2" t="s">
        <v>269</v>
      </c>
      <c r="U499" s="2">
        <v>30</v>
      </c>
      <c r="V499" s="2">
        <v>7000</v>
      </c>
      <c r="W499" s="3" t="s">
        <v>1813</v>
      </c>
      <c r="X499" s="36">
        <v>210000</v>
      </c>
      <c r="Y499" s="2" t="s">
        <v>55</v>
      </c>
      <c r="Z499" s="2" t="s">
        <v>56</v>
      </c>
      <c r="AA499" s="14">
        <f t="shared" si="23"/>
        <v>189000</v>
      </c>
      <c r="AB499" s="14">
        <f t="shared" si="24"/>
        <v>168000</v>
      </c>
      <c r="AC499" s="14">
        <f t="shared" si="25"/>
        <v>147000</v>
      </c>
      <c r="AD499" s="3" t="s">
        <v>1814</v>
      </c>
      <c r="AE499" s="3" t="s">
        <v>1814</v>
      </c>
      <c r="AF499" s="3" t="s">
        <v>1814</v>
      </c>
      <c r="AG499" s="43"/>
      <c r="AH499" s="43">
        <v>105000</v>
      </c>
      <c r="AI499" s="43">
        <v>105000</v>
      </c>
      <c r="AJ499" s="43"/>
      <c r="AK499" s="43"/>
      <c r="AL499" s="43"/>
      <c r="AM499" s="43"/>
      <c r="AN499" s="43"/>
      <c r="AO499" s="43"/>
      <c r="AP499" s="43"/>
      <c r="AQ499" s="43"/>
      <c r="AR499" s="43"/>
      <c r="AS499" s="43">
        <v>210000</v>
      </c>
      <c r="AT499" s="3">
        <v>0</v>
      </c>
      <c r="AU499" s="272" t="s">
        <v>1638</v>
      </c>
    </row>
    <row r="500" spans="1:47" ht="16.5" hidden="1" customHeight="1" x14ac:dyDescent="0.35">
      <c r="A500" s="2" t="s">
        <v>258</v>
      </c>
      <c r="B500" s="2" t="s">
        <v>58</v>
      </c>
      <c r="C500" s="2" t="s">
        <v>1784</v>
      </c>
      <c r="D500" s="2">
        <v>847</v>
      </c>
      <c r="E500" s="2">
        <v>8470405</v>
      </c>
      <c r="F500" s="2" t="s">
        <v>1785</v>
      </c>
      <c r="G500" s="2">
        <v>1</v>
      </c>
      <c r="H500" s="276">
        <v>425720</v>
      </c>
      <c r="I500" s="2" t="s">
        <v>620</v>
      </c>
      <c r="J500" s="2" t="s">
        <v>60</v>
      </c>
      <c r="K500" s="2" t="s">
        <v>50</v>
      </c>
      <c r="L500" s="7">
        <v>847001</v>
      </c>
      <c r="M500" s="2" t="s">
        <v>61</v>
      </c>
      <c r="N500" s="2">
        <v>200179</v>
      </c>
      <c r="O500" s="3" t="s">
        <v>1811</v>
      </c>
      <c r="P500" s="2"/>
      <c r="Q500" s="35" t="s">
        <v>46</v>
      </c>
      <c r="R500" s="2"/>
      <c r="S500" s="3" t="s">
        <v>1812</v>
      </c>
      <c r="T500" s="2" t="s">
        <v>269</v>
      </c>
      <c r="U500" s="2">
        <v>1</v>
      </c>
      <c r="V500" s="2">
        <v>40000</v>
      </c>
      <c r="W500" s="3" t="s">
        <v>1815</v>
      </c>
      <c r="X500" s="36">
        <v>40000</v>
      </c>
      <c r="Y500" s="2" t="s">
        <v>55</v>
      </c>
      <c r="Z500" s="2" t="s">
        <v>56</v>
      </c>
      <c r="AA500" s="14">
        <f t="shared" si="23"/>
        <v>36000</v>
      </c>
      <c r="AB500" s="14">
        <f t="shared" si="24"/>
        <v>32000</v>
      </c>
      <c r="AC500" s="14">
        <f t="shared" si="25"/>
        <v>28000</v>
      </c>
      <c r="AD500" s="3" t="s">
        <v>1816</v>
      </c>
      <c r="AE500" s="3" t="s">
        <v>1816</v>
      </c>
      <c r="AF500" s="3" t="s">
        <v>1816</v>
      </c>
      <c r="AG500" s="43">
        <v>0</v>
      </c>
      <c r="AH500" s="43">
        <v>40000</v>
      </c>
      <c r="AI500" s="43">
        <v>0</v>
      </c>
      <c r="AJ500" s="43">
        <v>0</v>
      </c>
      <c r="AK500" s="43">
        <v>0</v>
      </c>
      <c r="AL500" s="43">
        <v>0</v>
      </c>
      <c r="AM500" s="43">
        <v>0</v>
      </c>
      <c r="AN500" s="43">
        <v>0</v>
      </c>
      <c r="AO500" s="43">
        <v>0</v>
      </c>
      <c r="AP500" s="43">
        <v>0</v>
      </c>
      <c r="AQ500" s="43">
        <v>0</v>
      </c>
      <c r="AR500" s="43">
        <v>0</v>
      </c>
      <c r="AS500" s="43">
        <v>40000</v>
      </c>
      <c r="AT500" s="3">
        <v>0</v>
      </c>
      <c r="AU500" s="272" t="s">
        <v>244</v>
      </c>
    </row>
    <row r="501" spans="1:47" ht="16.5" hidden="1" customHeight="1" x14ac:dyDescent="0.35">
      <c r="A501" s="2" t="s">
        <v>258</v>
      </c>
      <c r="B501" s="2" t="s">
        <v>58</v>
      </c>
      <c r="C501" s="2" t="s">
        <v>1784</v>
      </c>
      <c r="D501" s="2">
        <v>847</v>
      </c>
      <c r="E501" s="2">
        <v>8470405</v>
      </c>
      <c r="F501" s="2" t="s">
        <v>1785</v>
      </c>
      <c r="G501" s="2">
        <v>1</v>
      </c>
      <c r="H501" s="276">
        <v>425763</v>
      </c>
      <c r="I501" s="2" t="s">
        <v>359</v>
      </c>
      <c r="J501" s="2" t="s">
        <v>60</v>
      </c>
      <c r="K501" s="2" t="s">
        <v>50</v>
      </c>
      <c r="L501" s="7">
        <v>847001</v>
      </c>
      <c r="M501" s="2" t="s">
        <v>61</v>
      </c>
      <c r="N501" s="2">
        <v>200179</v>
      </c>
      <c r="O501" s="3" t="s">
        <v>1817</v>
      </c>
      <c r="P501" s="2" t="s">
        <v>46</v>
      </c>
      <c r="Q501" s="35" t="s">
        <v>46</v>
      </c>
      <c r="R501" s="2"/>
      <c r="S501" s="3" t="s">
        <v>361</v>
      </c>
      <c r="T501" s="2" t="s">
        <v>269</v>
      </c>
      <c r="U501" s="2">
        <v>15</v>
      </c>
      <c r="V501" s="2">
        <v>10000</v>
      </c>
      <c r="W501" s="3" t="s">
        <v>1818</v>
      </c>
      <c r="X501" s="36">
        <v>150000</v>
      </c>
      <c r="Y501" s="2" t="s">
        <v>55</v>
      </c>
      <c r="Z501" s="2" t="s">
        <v>56</v>
      </c>
      <c r="AA501" s="14">
        <f t="shared" si="23"/>
        <v>135000</v>
      </c>
      <c r="AB501" s="14">
        <f t="shared" si="24"/>
        <v>120000</v>
      </c>
      <c r="AC501" s="14">
        <f t="shared" si="25"/>
        <v>105000</v>
      </c>
      <c r="AD501" s="3" t="s">
        <v>1819</v>
      </c>
      <c r="AE501" s="3" t="s">
        <v>1819</v>
      </c>
      <c r="AF501" s="3" t="s">
        <v>1819</v>
      </c>
      <c r="AG501" s="43">
        <v>0</v>
      </c>
      <c r="AH501" s="43">
        <v>0</v>
      </c>
      <c r="AI501" s="43">
        <v>50000</v>
      </c>
      <c r="AJ501" s="43">
        <v>50000</v>
      </c>
      <c r="AK501" s="43">
        <v>50000</v>
      </c>
      <c r="AL501" s="43">
        <v>0</v>
      </c>
      <c r="AM501" s="43">
        <v>0</v>
      </c>
      <c r="AN501" s="43">
        <v>0</v>
      </c>
      <c r="AO501" s="43">
        <v>0</v>
      </c>
      <c r="AP501" s="43">
        <v>0</v>
      </c>
      <c r="AQ501" s="43">
        <v>0</v>
      </c>
      <c r="AR501" s="43">
        <v>0</v>
      </c>
      <c r="AS501" s="43">
        <v>150000</v>
      </c>
      <c r="AT501" s="3">
        <v>0</v>
      </c>
      <c r="AU501" s="272" t="s">
        <v>689</v>
      </c>
    </row>
    <row r="502" spans="1:47" ht="16.5" hidden="1" customHeight="1" x14ac:dyDescent="0.35">
      <c r="A502" s="2" t="s">
        <v>258</v>
      </c>
      <c r="B502" s="2" t="s">
        <v>58</v>
      </c>
      <c r="C502" s="2" t="s">
        <v>1784</v>
      </c>
      <c r="D502" s="2">
        <v>847</v>
      </c>
      <c r="E502" s="2">
        <v>8470405</v>
      </c>
      <c r="F502" s="2" t="s">
        <v>1785</v>
      </c>
      <c r="G502" s="2">
        <v>1</v>
      </c>
      <c r="H502" s="276">
        <v>425720</v>
      </c>
      <c r="I502" s="2" t="s">
        <v>620</v>
      </c>
      <c r="J502" s="2" t="s">
        <v>60</v>
      </c>
      <c r="K502" s="2" t="s">
        <v>50</v>
      </c>
      <c r="L502" s="7">
        <v>847001</v>
      </c>
      <c r="M502" s="2" t="s">
        <v>61</v>
      </c>
      <c r="N502" s="2">
        <v>200179</v>
      </c>
      <c r="O502" s="3" t="s">
        <v>1811</v>
      </c>
      <c r="P502" s="2" t="s">
        <v>46</v>
      </c>
      <c r="Q502" s="35" t="s">
        <v>46</v>
      </c>
      <c r="R502" s="2"/>
      <c r="S502" s="3" t="s">
        <v>1812</v>
      </c>
      <c r="T502" s="2" t="s">
        <v>269</v>
      </c>
      <c r="U502" s="2">
        <v>1</v>
      </c>
      <c r="V502" s="2">
        <v>300000</v>
      </c>
      <c r="W502" s="3" t="s">
        <v>1820</v>
      </c>
      <c r="X502" s="36">
        <v>300000</v>
      </c>
      <c r="Y502" s="2" t="s">
        <v>55</v>
      </c>
      <c r="Z502" s="2" t="s">
        <v>56</v>
      </c>
      <c r="AA502" s="14">
        <f t="shared" si="23"/>
        <v>270000</v>
      </c>
      <c r="AB502" s="14">
        <f t="shared" si="24"/>
        <v>240000</v>
      </c>
      <c r="AC502" s="14">
        <f t="shared" si="25"/>
        <v>210000</v>
      </c>
      <c r="AD502" s="3" t="s">
        <v>1821</v>
      </c>
      <c r="AE502" s="3" t="s">
        <v>1821</v>
      </c>
      <c r="AF502" s="3" t="s">
        <v>1821</v>
      </c>
      <c r="AG502" s="43">
        <v>0</v>
      </c>
      <c r="AH502" s="43">
        <v>0</v>
      </c>
      <c r="AI502" s="43">
        <v>0</v>
      </c>
      <c r="AJ502" s="43">
        <v>0</v>
      </c>
      <c r="AK502" s="43">
        <v>300000</v>
      </c>
      <c r="AL502" s="43">
        <v>0</v>
      </c>
      <c r="AM502" s="43">
        <v>0</v>
      </c>
      <c r="AN502" s="43">
        <v>0</v>
      </c>
      <c r="AO502" s="43">
        <v>0</v>
      </c>
      <c r="AP502" s="43">
        <v>0</v>
      </c>
      <c r="AQ502" s="43">
        <v>0</v>
      </c>
      <c r="AR502" s="43">
        <v>0</v>
      </c>
      <c r="AS502" s="43">
        <v>300000</v>
      </c>
      <c r="AT502" s="3">
        <v>0</v>
      </c>
      <c r="AU502" s="272" t="s">
        <v>244</v>
      </c>
    </row>
    <row r="503" spans="1:47" ht="16.5" hidden="1" customHeight="1" x14ac:dyDescent="0.35">
      <c r="A503" s="2" t="s">
        <v>222</v>
      </c>
      <c r="B503" s="2" t="s">
        <v>58</v>
      </c>
      <c r="C503" s="2" t="s">
        <v>1784</v>
      </c>
      <c r="D503" s="2">
        <v>847</v>
      </c>
      <c r="E503" s="2">
        <v>8470410</v>
      </c>
      <c r="F503" s="2" t="s">
        <v>1822</v>
      </c>
      <c r="G503" s="2">
        <v>1</v>
      </c>
      <c r="H503" s="276">
        <v>425761</v>
      </c>
      <c r="I503" s="2" t="s">
        <v>1383</v>
      </c>
      <c r="J503" s="2" t="s">
        <v>60</v>
      </c>
      <c r="K503" s="2" t="s">
        <v>50</v>
      </c>
      <c r="L503" s="7">
        <v>847001</v>
      </c>
      <c r="M503" s="2" t="s">
        <v>61</v>
      </c>
      <c r="N503" s="2">
        <v>200179</v>
      </c>
      <c r="O503" s="3" t="s">
        <v>1823</v>
      </c>
      <c r="P503" s="2" t="s">
        <v>46</v>
      </c>
      <c r="Q503" s="35">
        <v>162000</v>
      </c>
      <c r="R503" s="2">
        <v>1000</v>
      </c>
      <c r="S503" s="3" t="s">
        <v>727</v>
      </c>
      <c r="T503" s="2" t="s">
        <v>68</v>
      </c>
      <c r="U503" s="2">
        <v>5</v>
      </c>
      <c r="V503" s="2">
        <v>200</v>
      </c>
      <c r="W503" s="3" t="s">
        <v>1824</v>
      </c>
      <c r="X503" s="36">
        <v>1000</v>
      </c>
      <c r="Y503" s="2" t="s">
        <v>55</v>
      </c>
      <c r="Z503" s="2" t="s">
        <v>197</v>
      </c>
      <c r="AA503" s="14">
        <f t="shared" si="23"/>
        <v>900</v>
      </c>
      <c r="AB503" s="14">
        <f t="shared" si="24"/>
        <v>800</v>
      </c>
      <c r="AC503" s="14">
        <f t="shared" si="25"/>
        <v>700</v>
      </c>
      <c r="AD503" s="3" t="s">
        <v>1825</v>
      </c>
      <c r="AE503" s="3" t="s">
        <v>1825</v>
      </c>
      <c r="AF503" s="3" t="s">
        <v>1825</v>
      </c>
      <c r="AG503" s="43">
        <v>0</v>
      </c>
      <c r="AH503" s="43">
        <v>500</v>
      </c>
      <c r="AI503" s="43"/>
      <c r="AJ503" s="43"/>
      <c r="AK503" s="43"/>
      <c r="AL503" s="43"/>
      <c r="AM503" s="43"/>
      <c r="AN503" s="43"/>
      <c r="AO503" s="43">
        <v>500</v>
      </c>
      <c r="AP503" s="43"/>
      <c r="AQ503" s="43"/>
      <c r="AR503" s="43"/>
      <c r="AS503" s="43">
        <v>1000</v>
      </c>
      <c r="AT503" s="3">
        <v>0</v>
      </c>
      <c r="AU503" s="272" t="s">
        <v>384</v>
      </c>
    </row>
    <row r="504" spans="1:47" ht="16.5" hidden="1" customHeight="1" x14ac:dyDescent="0.35">
      <c r="A504" s="2" t="s">
        <v>222</v>
      </c>
      <c r="B504" s="2" t="s">
        <v>58</v>
      </c>
      <c r="C504" s="2" t="s">
        <v>1784</v>
      </c>
      <c r="D504" s="2">
        <v>847</v>
      </c>
      <c r="E504" s="2">
        <v>8470410</v>
      </c>
      <c r="F504" s="2" t="s">
        <v>1822</v>
      </c>
      <c r="G504" s="2">
        <v>1</v>
      </c>
      <c r="H504" s="276">
        <v>425770</v>
      </c>
      <c r="I504" s="2" t="s">
        <v>367</v>
      </c>
      <c r="J504" s="2" t="s">
        <v>60</v>
      </c>
      <c r="K504" s="2" t="s">
        <v>50</v>
      </c>
      <c r="L504" s="7">
        <v>847001</v>
      </c>
      <c r="M504" s="2" t="s">
        <v>61</v>
      </c>
      <c r="N504" s="2">
        <v>200179</v>
      </c>
      <c r="O504" s="3" t="s">
        <v>1826</v>
      </c>
      <c r="P504" s="2">
        <v>2513.17</v>
      </c>
      <c r="Q504" s="35">
        <v>120000</v>
      </c>
      <c r="R504" s="2">
        <v>120000</v>
      </c>
      <c r="S504" s="3" t="s">
        <v>369</v>
      </c>
      <c r="T504" s="2" t="s">
        <v>157</v>
      </c>
      <c r="U504" s="2">
        <v>12</v>
      </c>
      <c r="V504" s="2">
        <v>12000</v>
      </c>
      <c r="W504" s="3" t="s">
        <v>1827</v>
      </c>
      <c r="X504" s="36">
        <v>144000</v>
      </c>
      <c r="Y504" s="2" t="s">
        <v>55</v>
      </c>
      <c r="Z504" s="2" t="s">
        <v>197</v>
      </c>
      <c r="AA504" s="14">
        <f t="shared" si="23"/>
        <v>129600</v>
      </c>
      <c r="AB504" s="14">
        <f t="shared" si="24"/>
        <v>115200</v>
      </c>
      <c r="AC504" s="14">
        <f t="shared" si="25"/>
        <v>100800</v>
      </c>
      <c r="AD504" s="3" t="s">
        <v>1828</v>
      </c>
      <c r="AE504" s="3" t="s">
        <v>1829</v>
      </c>
      <c r="AF504" s="3" t="s">
        <v>1830</v>
      </c>
      <c r="AG504" s="43"/>
      <c r="AH504" s="43"/>
      <c r="AI504" s="43">
        <v>12000</v>
      </c>
      <c r="AJ504" s="43">
        <v>12000</v>
      </c>
      <c r="AK504" s="43">
        <v>24000</v>
      </c>
      <c r="AL504" s="43">
        <v>24000</v>
      </c>
      <c r="AM504" s="43">
        <v>24000</v>
      </c>
      <c r="AN504" s="43"/>
      <c r="AO504" s="43">
        <v>12000</v>
      </c>
      <c r="AP504" s="43">
        <v>12000</v>
      </c>
      <c r="AQ504" s="43"/>
      <c r="AR504" s="43">
        <v>24000</v>
      </c>
      <c r="AS504" s="43">
        <v>144000</v>
      </c>
      <c r="AT504" s="3">
        <v>0</v>
      </c>
      <c r="AU504" s="272" t="s">
        <v>480</v>
      </c>
    </row>
    <row r="505" spans="1:47" ht="16.5" hidden="1" customHeight="1" x14ac:dyDescent="0.35">
      <c r="A505" s="2" t="s">
        <v>63</v>
      </c>
      <c r="B505" s="2" t="s">
        <v>64</v>
      </c>
      <c r="C505" s="2" t="s">
        <v>1784</v>
      </c>
      <c r="D505" s="2">
        <v>847</v>
      </c>
      <c r="E505" s="2">
        <v>8470410</v>
      </c>
      <c r="F505" s="2" t="s">
        <v>1822</v>
      </c>
      <c r="G505" s="2">
        <v>1</v>
      </c>
      <c r="H505" s="276">
        <v>426610</v>
      </c>
      <c r="I505" s="2" t="s">
        <v>74</v>
      </c>
      <c r="J505" s="2" t="s">
        <v>60</v>
      </c>
      <c r="K505" s="2" t="s">
        <v>50</v>
      </c>
      <c r="L505" s="7">
        <v>847001</v>
      </c>
      <c r="M505" s="2" t="s">
        <v>61</v>
      </c>
      <c r="N505" s="2">
        <v>200179</v>
      </c>
      <c r="O505" s="3" t="s">
        <v>1831</v>
      </c>
      <c r="P505" s="2">
        <v>346.48</v>
      </c>
      <c r="Q505" s="35">
        <v>5600</v>
      </c>
      <c r="R505" s="2">
        <v>5600</v>
      </c>
      <c r="S505" s="3" t="s">
        <v>274</v>
      </c>
      <c r="T505" s="2" t="s">
        <v>157</v>
      </c>
      <c r="U505" s="2">
        <v>1</v>
      </c>
      <c r="V505" s="2">
        <v>5600</v>
      </c>
      <c r="W505" s="3" t="s">
        <v>1832</v>
      </c>
      <c r="X505" s="36">
        <v>5600</v>
      </c>
      <c r="Y505" s="2" t="s">
        <v>55</v>
      </c>
      <c r="Z505" s="2" t="s">
        <v>56</v>
      </c>
      <c r="AA505" s="14">
        <f t="shared" si="23"/>
        <v>5040</v>
      </c>
      <c r="AB505" s="14">
        <f t="shared" si="24"/>
        <v>4480</v>
      </c>
      <c r="AC505" s="14">
        <f t="shared" si="25"/>
        <v>3919.9999999999995</v>
      </c>
      <c r="AD505" s="3" t="s">
        <v>1833</v>
      </c>
      <c r="AE505" s="3" t="s">
        <v>1833</v>
      </c>
      <c r="AF505" s="3" t="s">
        <v>1833</v>
      </c>
      <c r="AG505" s="43"/>
      <c r="AH505" s="43"/>
      <c r="AI505" s="43">
        <v>5600</v>
      </c>
      <c r="AJ505" s="43"/>
      <c r="AK505" s="43"/>
      <c r="AL505" s="43"/>
      <c r="AM505" s="43"/>
      <c r="AN505" s="43"/>
      <c r="AO505" s="43"/>
      <c r="AP505" s="43"/>
      <c r="AQ505" s="43"/>
      <c r="AR505" s="43"/>
      <c r="AS505" s="43">
        <v>5600</v>
      </c>
      <c r="AT505" s="3">
        <v>0</v>
      </c>
      <c r="AU505" s="272" t="s">
        <v>480</v>
      </c>
    </row>
    <row r="506" spans="1:47" ht="16.5" hidden="1" customHeight="1" x14ac:dyDescent="0.35">
      <c r="A506" s="2" t="s">
        <v>189</v>
      </c>
      <c r="B506" s="2" t="s">
        <v>58</v>
      </c>
      <c r="C506" s="2" t="s">
        <v>1784</v>
      </c>
      <c r="D506" s="2">
        <v>847</v>
      </c>
      <c r="E506" s="2">
        <v>8470410</v>
      </c>
      <c r="F506" s="2" t="s">
        <v>1822</v>
      </c>
      <c r="G506" s="2">
        <v>1</v>
      </c>
      <c r="H506" s="276">
        <v>435310</v>
      </c>
      <c r="I506" s="2" t="s">
        <v>1336</v>
      </c>
      <c r="J506" s="2" t="s">
        <v>60</v>
      </c>
      <c r="K506" s="2" t="s">
        <v>50</v>
      </c>
      <c r="L506" s="7">
        <v>847001</v>
      </c>
      <c r="M506" s="2" t="s">
        <v>61</v>
      </c>
      <c r="N506" s="2">
        <v>200179</v>
      </c>
      <c r="O506" s="3" t="s">
        <v>1834</v>
      </c>
      <c r="P506" s="2">
        <v>85229</v>
      </c>
      <c r="Q506" s="35">
        <v>85229</v>
      </c>
      <c r="R506" s="2">
        <v>85229</v>
      </c>
      <c r="S506" s="3" t="s">
        <v>1347</v>
      </c>
      <c r="T506" s="2" t="s">
        <v>157</v>
      </c>
      <c r="U506" s="2">
        <v>4</v>
      </c>
      <c r="V506" s="2">
        <v>21307</v>
      </c>
      <c r="W506" s="3" t="s">
        <v>1835</v>
      </c>
      <c r="X506" s="36">
        <v>85228</v>
      </c>
      <c r="Y506" s="2" t="s">
        <v>55</v>
      </c>
      <c r="Z506" s="2" t="s">
        <v>56</v>
      </c>
      <c r="AA506" s="14">
        <f t="shared" si="23"/>
        <v>76705.2</v>
      </c>
      <c r="AB506" s="14">
        <f t="shared" si="24"/>
        <v>68182.400000000009</v>
      </c>
      <c r="AC506" s="14">
        <f t="shared" si="25"/>
        <v>59659.6</v>
      </c>
      <c r="AD506" s="3" t="s">
        <v>1836</v>
      </c>
      <c r="AE506" s="3" t="s">
        <v>1836</v>
      </c>
      <c r="AF506" s="3" t="s">
        <v>1836</v>
      </c>
      <c r="AG506" s="43"/>
      <c r="AH506" s="43"/>
      <c r="AI506" s="43">
        <v>85228</v>
      </c>
      <c r="AJ506" s="43"/>
      <c r="AK506" s="43"/>
      <c r="AL506" s="43"/>
      <c r="AM506" s="43"/>
      <c r="AN506" s="43"/>
      <c r="AO506" s="43"/>
      <c r="AP506" s="43"/>
      <c r="AQ506" s="43"/>
      <c r="AR506" s="43"/>
      <c r="AS506" s="43">
        <v>85228</v>
      </c>
      <c r="AT506" s="3">
        <v>0</v>
      </c>
      <c r="AU506" s="272" t="s">
        <v>480</v>
      </c>
    </row>
    <row r="507" spans="1:47" ht="16.5" hidden="1" customHeight="1" x14ac:dyDescent="0.35">
      <c r="A507" s="2" t="s">
        <v>222</v>
      </c>
      <c r="B507" s="2" t="s">
        <v>58</v>
      </c>
      <c r="C507" s="2" t="s">
        <v>1784</v>
      </c>
      <c r="D507" s="2">
        <v>847</v>
      </c>
      <c r="E507" s="2">
        <v>8470410</v>
      </c>
      <c r="F507" s="2" t="s">
        <v>1822</v>
      </c>
      <c r="G507" s="2">
        <v>1</v>
      </c>
      <c r="H507" s="276">
        <v>435350</v>
      </c>
      <c r="I507" s="2" t="s">
        <v>399</v>
      </c>
      <c r="J507" s="2" t="s">
        <v>60</v>
      </c>
      <c r="K507" s="2" t="s">
        <v>50</v>
      </c>
      <c r="L507" s="7">
        <v>847001</v>
      </c>
      <c r="M507" s="2" t="s">
        <v>61</v>
      </c>
      <c r="N507" s="2">
        <v>200179</v>
      </c>
      <c r="O507" s="3" t="s">
        <v>1837</v>
      </c>
      <c r="P507" s="2">
        <v>4800</v>
      </c>
      <c r="Q507" s="35">
        <v>17900</v>
      </c>
      <c r="R507" s="2">
        <v>17900</v>
      </c>
      <c r="S507" s="3" t="s">
        <v>401</v>
      </c>
      <c r="T507" s="2" t="s">
        <v>157</v>
      </c>
      <c r="U507" s="2">
        <v>10</v>
      </c>
      <c r="V507" s="2">
        <v>10000</v>
      </c>
      <c r="W507" s="3" t="s">
        <v>1838</v>
      </c>
      <c r="X507" s="36">
        <v>100000</v>
      </c>
      <c r="Y507" s="2" t="s">
        <v>55</v>
      </c>
      <c r="Z507" s="2" t="s">
        <v>197</v>
      </c>
      <c r="AA507" s="14">
        <f t="shared" si="23"/>
        <v>90000</v>
      </c>
      <c r="AB507" s="14">
        <f t="shared" si="24"/>
        <v>80000</v>
      </c>
      <c r="AC507" s="14">
        <f t="shared" si="25"/>
        <v>70000</v>
      </c>
      <c r="AD507" s="3" t="s">
        <v>1839</v>
      </c>
      <c r="AE507" s="3" t="s">
        <v>1840</v>
      </c>
      <c r="AF507" s="3" t="s">
        <v>1841</v>
      </c>
      <c r="AG507" s="43"/>
      <c r="AH507" s="43"/>
      <c r="AI507" s="43">
        <v>30000</v>
      </c>
      <c r="AJ507" s="43"/>
      <c r="AK507" s="43"/>
      <c r="AL507" s="43"/>
      <c r="AM507" s="43">
        <v>30000</v>
      </c>
      <c r="AN507" s="43"/>
      <c r="AO507" s="43"/>
      <c r="AP507" s="43"/>
      <c r="AQ507" s="43">
        <v>40000</v>
      </c>
      <c r="AR507" s="43"/>
      <c r="AS507" s="43">
        <v>100000</v>
      </c>
      <c r="AT507" s="3">
        <v>0</v>
      </c>
      <c r="AU507" s="272" t="s">
        <v>480</v>
      </c>
    </row>
    <row r="508" spans="1:47" ht="16.5" hidden="1" customHeight="1" x14ac:dyDescent="0.35">
      <c r="A508" s="2" t="s">
        <v>222</v>
      </c>
      <c r="B508" s="2" t="s">
        <v>238</v>
      </c>
      <c r="C508" s="2" t="s">
        <v>1784</v>
      </c>
      <c r="D508" s="2">
        <v>847</v>
      </c>
      <c r="E508" s="2">
        <v>8470415</v>
      </c>
      <c r="F508" s="2" t="s">
        <v>1842</v>
      </c>
      <c r="G508" s="2">
        <v>1</v>
      </c>
      <c r="H508" s="276">
        <v>421700</v>
      </c>
      <c r="I508" s="2" t="s">
        <v>239</v>
      </c>
      <c r="J508" s="2" t="s">
        <v>60</v>
      </c>
      <c r="K508" s="2" t="s">
        <v>50</v>
      </c>
      <c r="L508" s="7">
        <v>847001</v>
      </c>
      <c r="M508" s="2" t="s">
        <v>61</v>
      </c>
      <c r="N508" s="2">
        <v>200179</v>
      </c>
      <c r="O508" s="3" t="s">
        <v>1843</v>
      </c>
      <c r="P508" s="2" t="s">
        <v>46</v>
      </c>
      <c r="Q508" s="35">
        <v>150000</v>
      </c>
      <c r="R508" s="2">
        <v>0</v>
      </c>
      <c r="S508" s="3" t="s">
        <v>1844</v>
      </c>
      <c r="T508" s="2" t="s">
        <v>269</v>
      </c>
      <c r="U508" s="2">
        <v>1</v>
      </c>
      <c r="V508" s="10">
        <v>150000</v>
      </c>
      <c r="W508" s="3" t="s">
        <v>1845</v>
      </c>
      <c r="X508" s="36">
        <v>150000</v>
      </c>
      <c r="Y508" s="2" t="s">
        <v>210</v>
      </c>
      <c r="Z508" s="2" t="s">
        <v>197</v>
      </c>
      <c r="AA508" s="14">
        <f t="shared" si="23"/>
        <v>135000</v>
      </c>
      <c r="AB508" s="14">
        <f t="shared" si="24"/>
        <v>120000</v>
      </c>
      <c r="AC508" s="14">
        <f t="shared" si="25"/>
        <v>105000</v>
      </c>
      <c r="AD508" s="3" t="s">
        <v>1846</v>
      </c>
      <c r="AE508" s="3" t="s">
        <v>1846</v>
      </c>
      <c r="AF508" s="3" t="s">
        <v>1846</v>
      </c>
      <c r="AG508" s="43"/>
      <c r="AH508" s="43"/>
      <c r="AI508" s="43"/>
      <c r="AJ508" s="43"/>
      <c r="AK508" s="43">
        <v>150000</v>
      </c>
      <c r="AL508" s="43"/>
      <c r="AM508" s="43"/>
      <c r="AN508" s="43"/>
      <c r="AO508" s="43"/>
      <c r="AP508" s="43"/>
      <c r="AQ508" s="43"/>
      <c r="AR508" s="43"/>
      <c r="AS508" s="43">
        <v>150000</v>
      </c>
      <c r="AT508" s="3">
        <v>0</v>
      </c>
      <c r="AU508" s="272" t="s">
        <v>230</v>
      </c>
    </row>
    <row r="509" spans="1:47" ht="16.5" hidden="1" customHeight="1" x14ac:dyDescent="0.35">
      <c r="A509" s="2" t="s">
        <v>245</v>
      </c>
      <c r="B509" s="2" t="s">
        <v>246</v>
      </c>
      <c r="C509" s="2" t="s">
        <v>1784</v>
      </c>
      <c r="D509" s="2">
        <v>847</v>
      </c>
      <c r="E509" s="2">
        <v>8470415</v>
      </c>
      <c r="F509" s="2" t="s">
        <v>1842</v>
      </c>
      <c r="G509" s="2">
        <v>1</v>
      </c>
      <c r="H509" s="276">
        <v>425510</v>
      </c>
      <c r="I509" s="2" t="s">
        <v>247</v>
      </c>
      <c r="J509" s="2" t="s">
        <v>60</v>
      </c>
      <c r="K509" s="2" t="s">
        <v>50</v>
      </c>
      <c r="L509" s="7">
        <v>847001</v>
      </c>
      <c r="M509" s="2" t="s">
        <v>61</v>
      </c>
      <c r="N509" s="2">
        <v>200179</v>
      </c>
      <c r="O509" s="3" t="s">
        <v>1847</v>
      </c>
      <c r="P509" s="2"/>
      <c r="Q509" s="35">
        <v>0</v>
      </c>
      <c r="R509" s="2"/>
      <c r="S509" s="3" t="s">
        <v>615</v>
      </c>
      <c r="T509" s="2" t="s">
        <v>269</v>
      </c>
      <c r="U509" s="2">
        <v>2</v>
      </c>
      <c r="V509" s="2">
        <v>50000</v>
      </c>
      <c r="W509" s="3" t="s">
        <v>1848</v>
      </c>
      <c r="X509" s="36">
        <v>100000</v>
      </c>
      <c r="Y509" s="2" t="s">
        <v>210</v>
      </c>
      <c r="Z509" s="2" t="s">
        <v>197</v>
      </c>
      <c r="AA509" s="14">
        <f t="shared" si="23"/>
        <v>90000</v>
      </c>
      <c r="AB509" s="14">
        <f t="shared" si="24"/>
        <v>80000</v>
      </c>
      <c r="AC509" s="14">
        <f t="shared" si="25"/>
        <v>70000</v>
      </c>
      <c r="AD509" s="3" t="s">
        <v>1849</v>
      </c>
      <c r="AE509" s="3" t="s">
        <v>1849</v>
      </c>
      <c r="AF509" s="3" t="s">
        <v>1850</v>
      </c>
      <c r="AG509" s="43"/>
      <c r="AH509" s="43"/>
      <c r="AI509" s="43"/>
      <c r="AJ509" s="43"/>
      <c r="AK509" s="43">
        <v>50000</v>
      </c>
      <c r="AL509" s="43"/>
      <c r="AM509" s="43"/>
      <c r="AN509" s="43"/>
      <c r="AO509" s="43">
        <v>50000</v>
      </c>
      <c r="AP509" s="43"/>
      <c r="AQ509" s="43"/>
      <c r="AR509" s="43"/>
      <c r="AS509" s="43">
        <v>100000</v>
      </c>
      <c r="AT509" s="3">
        <v>0</v>
      </c>
      <c r="AU509" s="272" t="s">
        <v>618</v>
      </c>
    </row>
    <row r="510" spans="1:47" ht="16.5" hidden="1" customHeight="1" x14ac:dyDescent="0.35">
      <c r="A510" s="2" t="s">
        <v>245</v>
      </c>
      <c r="B510" s="2" t="s">
        <v>246</v>
      </c>
      <c r="C510" s="2" t="s">
        <v>1784</v>
      </c>
      <c r="D510" s="2">
        <v>847</v>
      </c>
      <c r="E510" s="2">
        <v>8470415</v>
      </c>
      <c r="F510" s="2" t="s">
        <v>1842</v>
      </c>
      <c r="G510" s="2">
        <v>1</v>
      </c>
      <c r="H510" s="276">
        <v>425100</v>
      </c>
      <c r="I510" s="2" t="s">
        <v>1521</v>
      </c>
      <c r="J510" s="2" t="s">
        <v>60</v>
      </c>
      <c r="K510" s="2" t="s">
        <v>50</v>
      </c>
      <c r="L510" s="7">
        <v>847001</v>
      </c>
      <c r="M510" s="2" t="s">
        <v>61</v>
      </c>
      <c r="N510" s="2">
        <v>200179</v>
      </c>
      <c r="O510" s="3" t="s">
        <v>1851</v>
      </c>
      <c r="P510" s="2" t="s">
        <v>46</v>
      </c>
      <c r="Q510" s="35">
        <v>50000</v>
      </c>
      <c r="R510" s="2">
        <v>30000</v>
      </c>
      <c r="S510" s="3" t="s">
        <v>1185</v>
      </c>
      <c r="T510" s="2" t="s">
        <v>269</v>
      </c>
      <c r="U510" s="2">
        <v>1</v>
      </c>
      <c r="V510" s="2">
        <v>50000</v>
      </c>
      <c r="W510" s="3" t="s">
        <v>1852</v>
      </c>
      <c r="X510" s="36">
        <v>50000</v>
      </c>
      <c r="Y510" s="2" t="s">
        <v>55</v>
      </c>
      <c r="Z510" s="2" t="s">
        <v>56</v>
      </c>
      <c r="AA510" s="14">
        <f t="shared" si="23"/>
        <v>45000</v>
      </c>
      <c r="AB510" s="14">
        <f t="shared" si="24"/>
        <v>40000</v>
      </c>
      <c r="AC510" s="14">
        <f t="shared" si="25"/>
        <v>35000</v>
      </c>
      <c r="AD510" s="3" t="s">
        <v>1853</v>
      </c>
      <c r="AE510" s="3" t="s">
        <v>1853</v>
      </c>
      <c r="AF510" s="3" t="s">
        <v>1853</v>
      </c>
      <c r="AG510" s="43"/>
      <c r="AH510" s="43">
        <v>25000</v>
      </c>
      <c r="AI510" s="43"/>
      <c r="AJ510" s="43"/>
      <c r="AK510" s="43"/>
      <c r="AL510" s="43"/>
      <c r="AM510" s="43"/>
      <c r="AN510" s="43"/>
      <c r="AO510" s="43">
        <v>25000</v>
      </c>
      <c r="AP510" s="43"/>
      <c r="AQ510" s="43"/>
      <c r="AR510" s="43"/>
      <c r="AS510" s="43">
        <v>50000</v>
      </c>
      <c r="AT510" s="3">
        <v>0</v>
      </c>
      <c r="AU510" s="272" t="s">
        <v>834</v>
      </c>
    </row>
    <row r="511" spans="1:47" ht="16.5" hidden="1" customHeight="1" x14ac:dyDescent="0.35">
      <c r="A511" s="2" t="s">
        <v>153</v>
      </c>
      <c r="B511" s="2" t="s">
        <v>58</v>
      </c>
      <c r="C511" s="2" t="s">
        <v>1784</v>
      </c>
      <c r="D511" s="2">
        <v>847</v>
      </c>
      <c r="E511" s="2">
        <v>8470415</v>
      </c>
      <c r="F511" s="2" t="s">
        <v>1842</v>
      </c>
      <c r="G511" s="2">
        <v>1</v>
      </c>
      <c r="H511" s="276">
        <v>428090</v>
      </c>
      <c r="I511" s="2" t="s">
        <v>154</v>
      </c>
      <c r="J511" s="2" t="s">
        <v>60</v>
      </c>
      <c r="K511" s="2" t="s">
        <v>50</v>
      </c>
      <c r="L511" s="7">
        <v>847001</v>
      </c>
      <c r="M511" s="2" t="s">
        <v>61</v>
      </c>
      <c r="N511" s="2">
        <v>200179</v>
      </c>
      <c r="O511" s="3" t="s">
        <v>1854</v>
      </c>
      <c r="P511" s="2"/>
      <c r="Q511" s="35"/>
      <c r="R511" s="2"/>
      <c r="S511" s="3" t="s">
        <v>1855</v>
      </c>
      <c r="T511" s="2" t="s">
        <v>269</v>
      </c>
      <c r="U511" s="2">
        <v>10</v>
      </c>
      <c r="V511" s="2">
        <v>300</v>
      </c>
      <c r="W511" s="3" t="s">
        <v>1856</v>
      </c>
      <c r="X511" s="36">
        <v>3000</v>
      </c>
      <c r="Y511" s="2" t="s">
        <v>55</v>
      </c>
      <c r="Z511" s="2" t="s">
        <v>56</v>
      </c>
      <c r="AA511" s="14">
        <f t="shared" si="23"/>
        <v>2700</v>
      </c>
      <c r="AB511" s="14">
        <f t="shared" si="24"/>
        <v>2400</v>
      </c>
      <c r="AC511" s="14">
        <f t="shared" si="25"/>
        <v>2100</v>
      </c>
      <c r="AD511" s="3" t="s">
        <v>1857</v>
      </c>
      <c r="AE511" s="3" t="s">
        <v>1857</v>
      </c>
      <c r="AF511" s="3" t="s">
        <v>1857</v>
      </c>
      <c r="AG511" s="43"/>
      <c r="AH511" s="43">
        <v>300</v>
      </c>
      <c r="AI511" s="43">
        <v>300</v>
      </c>
      <c r="AJ511" s="43">
        <v>300</v>
      </c>
      <c r="AK511" s="43">
        <v>300</v>
      </c>
      <c r="AL511" s="43"/>
      <c r="AM511" s="43"/>
      <c r="AN511" s="43">
        <v>600</v>
      </c>
      <c r="AO511" s="43">
        <v>600</v>
      </c>
      <c r="AP511" s="43">
        <v>600</v>
      </c>
      <c r="AQ511" s="43"/>
      <c r="AR511" s="43"/>
      <c r="AS511" s="43">
        <v>3000</v>
      </c>
      <c r="AT511" s="3">
        <v>0</v>
      </c>
      <c r="AU511" s="272" t="s">
        <v>384</v>
      </c>
    </row>
    <row r="512" spans="1:47" ht="16.5" hidden="1" customHeight="1" x14ac:dyDescent="0.35">
      <c r="A512" s="2" t="s">
        <v>245</v>
      </c>
      <c r="B512" s="2" t="s">
        <v>58</v>
      </c>
      <c r="C512" s="2" t="s">
        <v>1784</v>
      </c>
      <c r="D512" s="2">
        <v>847</v>
      </c>
      <c r="E512" s="2">
        <v>8470415</v>
      </c>
      <c r="F512" s="2" t="s">
        <v>1842</v>
      </c>
      <c r="G512" s="2">
        <v>1</v>
      </c>
      <c r="H512" s="276">
        <v>427200</v>
      </c>
      <c r="I512" s="2" t="s">
        <v>1085</v>
      </c>
      <c r="J512" s="2" t="s">
        <v>60</v>
      </c>
      <c r="K512" s="2" t="s">
        <v>50</v>
      </c>
      <c r="L512" s="7">
        <v>847001</v>
      </c>
      <c r="M512" s="2" t="s">
        <v>61</v>
      </c>
      <c r="N512" s="2">
        <v>200179</v>
      </c>
      <c r="O512" s="3" t="s">
        <v>1858</v>
      </c>
      <c r="P512" s="2"/>
      <c r="Q512" s="35"/>
      <c r="R512" s="2"/>
      <c r="S512" s="3" t="s">
        <v>748</v>
      </c>
      <c r="T512" s="2" t="s">
        <v>269</v>
      </c>
      <c r="U512" s="2">
        <v>20</v>
      </c>
      <c r="V512" s="2">
        <v>500</v>
      </c>
      <c r="W512" s="3" t="s">
        <v>1859</v>
      </c>
      <c r="X512" s="36">
        <v>10000</v>
      </c>
      <c r="Y512" s="2" t="s">
        <v>55</v>
      </c>
      <c r="Z512" s="2" t="s">
        <v>56</v>
      </c>
      <c r="AA512" s="14">
        <f t="shared" si="23"/>
        <v>9000</v>
      </c>
      <c r="AB512" s="14">
        <f t="shared" si="24"/>
        <v>8000</v>
      </c>
      <c r="AC512" s="14">
        <f t="shared" si="25"/>
        <v>7000</v>
      </c>
      <c r="AD512" s="3" t="s">
        <v>1857</v>
      </c>
      <c r="AE512" s="3" t="s">
        <v>1857</v>
      </c>
      <c r="AF512" s="3" t="s">
        <v>1857</v>
      </c>
      <c r="AG512" s="43"/>
      <c r="AH512" s="43">
        <v>2000</v>
      </c>
      <c r="AI512" s="43">
        <v>1000</v>
      </c>
      <c r="AJ512" s="43"/>
      <c r="AK512" s="43"/>
      <c r="AL512" s="43">
        <v>2500</v>
      </c>
      <c r="AM512" s="43"/>
      <c r="AN512" s="43">
        <v>1500</v>
      </c>
      <c r="AO512" s="43"/>
      <c r="AP512" s="43">
        <v>2000</v>
      </c>
      <c r="AQ512" s="43">
        <v>1000</v>
      </c>
      <c r="AR512" s="43"/>
      <c r="AS512" s="43">
        <v>10000</v>
      </c>
      <c r="AT512" s="3">
        <v>0</v>
      </c>
      <c r="AU512" s="272" t="s">
        <v>237</v>
      </c>
    </row>
    <row r="513" spans="1:47" ht="16.5" hidden="1" customHeight="1" x14ac:dyDescent="0.35">
      <c r="A513" s="2" t="s">
        <v>258</v>
      </c>
      <c r="B513" s="2" t="s">
        <v>350</v>
      </c>
      <c r="C513" s="2" t="s">
        <v>1784</v>
      </c>
      <c r="D513" s="2">
        <v>847</v>
      </c>
      <c r="E513" s="2">
        <v>8470415</v>
      </c>
      <c r="F513" s="2" t="s">
        <v>1842</v>
      </c>
      <c r="G513" s="2">
        <v>1</v>
      </c>
      <c r="H513" s="276">
        <v>425760</v>
      </c>
      <c r="I513" s="2" t="s">
        <v>352</v>
      </c>
      <c r="J513" s="2" t="s">
        <v>60</v>
      </c>
      <c r="K513" s="2" t="s">
        <v>50</v>
      </c>
      <c r="L513" s="7">
        <v>847001</v>
      </c>
      <c r="M513" s="2" t="s">
        <v>61</v>
      </c>
      <c r="N513" s="2">
        <v>200179</v>
      </c>
      <c r="O513" s="3" t="s">
        <v>1860</v>
      </c>
      <c r="P513" s="2" t="s">
        <v>46</v>
      </c>
      <c r="Q513" s="35">
        <v>5000</v>
      </c>
      <c r="R513" s="2">
        <v>5000</v>
      </c>
      <c r="S513" s="3" t="s">
        <v>440</v>
      </c>
      <c r="T513" s="2" t="s">
        <v>441</v>
      </c>
      <c r="U513" s="2">
        <v>8</v>
      </c>
      <c r="V513" s="2">
        <v>2500</v>
      </c>
      <c r="W513" s="3" t="s">
        <v>1861</v>
      </c>
      <c r="X513" s="36">
        <v>20000</v>
      </c>
      <c r="Y513" s="2" t="s">
        <v>55</v>
      </c>
      <c r="Z513" s="2" t="s">
        <v>56</v>
      </c>
      <c r="AA513" s="14">
        <f t="shared" si="23"/>
        <v>18000</v>
      </c>
      <c r="AB513" s="14">
        <f t="shared" si="24"/>
        <v>16000</v>
      </c>
      <c r="AC513" s="14">
        <f t="shared" si="25"/>
        <v>14000</v>
      </c>
      <c r="AD513" s="3" t="s">
        <v>1862</v>
      </c>
      <c r="AE513" s="3" t="s">
        <v>1862</v>
      </c>
      <c r="AF513" s="3" t="s">
        <v>1862</v>
      </c>
      <c r="AG513" s="43"/>
      <c r="AH513" s="43">
        <v>5000</v>
      </c>
      <c r="AI513" s="43">
        <v>5000</v>
      </c>
      <c r="AJ513" s="43"/>
      <c r="AK513" s="43"/>
      <c r="AL513" s="43"/>
      <c r="AM513" s="43"/>
      <c r="AN513" s="43"/>
      <c r="AO513" s="43"/>
      <c r="AP513" s="43">
        <v>5000</v>
      </c>
      <c r="AQ513" s="43">
        <v>5000</v>
      </c>
      <c r="AR513" s="43"/>
      <c r="AS513" s="43">
        <v>20000</v>
      </c>
      <c r="AT513" s="3">
        <v>0</v>
      </c>
      <c r="AU513" s="272" t="s">
        <v>365</v>
      </c>
    </row>
    <row r="514" spans="1:47" ht="16.5" hidden="1" customHeight="1" x14ac:dyDescent="0.35">
      <c r="A514" s="2" t="s">
        <v>258</v>
      </c>
      <c r="B514" s="2" t="s">
        <v>58</v>
      </c>
      <c r="C514" s="2" t="s">
        <v>1784</v>
      </c>
      <c r="D514" s="2">
        <v>847</v>
      </c>
      <c r="E514" s="2">
        <v>8470415</v>
      </c>
      <c r="F514" s="2" t="s">
        <v>1842</v>
      </c>
      <c r="G514" s="2">
        <v>1</v>
      </c>
      <c r="H514" s="276">
        <v>425763</v>
      </c>
      <c r="I514" s="2" t="s">
        <v>359</v>
      </c>
      <c r="J514" s="2" t="s">
        <v>60</v>
      </c>
      <c r="K514" s="2" t="s">
        <v>50</v>
      </c>
      <c r="L514" s="7">
        <v>847001</v>
      </c>
      <c r="M514" s="2" t="s">
        <v>61</v>
      </c>
      <c r="N514" s="2">
        <v>200179</v>
      </c>
      <c r="O514" s="3" t="s">
        <v>1863</v>
      </c>
      <c r="P514" s="2" t="s">
        <v>46</v>
      </c>
      <c r="Q514" s="35">
        <v>80000</v>
      </c>
      <c r="R514" s="2">
        <v>75000</v>
      </c>
      <c r="S514" s="3" t="s">
        <v>1864</v>
      </c>
      <c r="T514" s="2" t="s">
        <v>157</v>
      </c>
      <c r="U514" s="2">
        <v>2</v>
      </c>
      <c r="V514" s="2">
        <v>12000</v>
      </c>
      <c r="W514" s="3" t="s">
        <v>1865</v>
      </c>
      <c r="X514" s="36">
        <v>24000</v>
      </c>
      <c r="Y514" s="2" t="s">
        <v>55</v>
      </c>
      <c r="Z514" s="2" t="s">
        <v>56</v>
      </c>
      <c r="AA514" s="14">
        <f t="shared" ref="AA514:AA577" si="26">X514*0.9</f>
        <v>21600</v>
      </c>
      <c r="AB514" s="14">
        <f t="shared" ref="AB514:AB577" si="27">X514*0.8</f>
        <v>19200</v>
      </c>
      <c r="AC514" s="14">
        <f t="shared" ref="AC514:AC577" si="28">X514*0.7</f>
        <v>16800</v>
      </c>
      <c r="AD514" s="3" t="s">
        <v>1866</v>
      </c>
      <c r="AE514" s="3" t="s">
        <v>1866</v>
      </c>
      <c r="AF514" s="3" t="s">
        <v>1866</v>
      </c>
      <c r="AG514" s="43">
        <v>2000</v>
      </c>
      <c r="AH514" s="43">
        <v>2000</v>
      </c>
      <c r="AI514" s="43">
        <v>2000</v>
      </c>
      <c r="AJ514" s="43">
        <v>2000</v>
      </c>
      <c r="AK514" s="43">
        <v>2000</v>
      </c>
      <c r="AL514" s="43">
        <v>2000</v>
      </c>
      <c r="AM514" s="43">
        <v>2000</v>
      </c>
      <c r="AN514" s="43">
        <v>2000</v>
      </c>
      <c r="AO514" s="43">
        <v>2000</v>
      </c>
      <c r="AP514" s="43">
        <v>2000</v>
      </c>
      <c r="AQ514" s="43">
        <v>2000</v>
      </c>
      <c r="AR514" s="43">
        <v>2000</v>
      </c>
      <c r="AS514" s="43">
        <v>24000</v>
      </c>
      <c r="AT514" s="3">
        <v>0</v>
      </c>
      <c r="AU514" s="272" t="s">
        <v>252</v>
      </c>
    </row>
    <row r="515" spans="1:47" ht="16.5" hidden="1" customHeight="1" x14ac:dyDescent="0.35">
      <c r="A515" s="2" t="s">
        <v>258</v>
      </c>
      <c r="B515" s="2" t="s">
        <v>58</v>
      </c>
      <c r="C515" s="2" t="s">
        <v>1784</v>
      </c>
      <c r="D515" s="2">
        <v>847</v>
      </c>
      <c r="E515" s="2">
        <v>8470415</v>
      </c>
      <c r="F515" s="2" t="s">
        <v>1842</v>
      </c>
      <c r="G515" s="2">
        <v>1</v>
      </c>
      <c r="H515" s="276">
        <v>425763</v>
      </c>
      <c r="I515" s="2" t="s">
        <v>359</v>
      </c>
      <c r="J515" s="2" t="s">
        <v>60</v>
      </c>
      <c r="K515" s="2" t="s">
        <v>50</v>
      </c>
      <c r="L515" s="7">
        <v>847001</v>
      </c>
      <c r="M515" s="2" t="s">
        <v>61</v>
      </c>
      <c r="N515" s="2">
        <v>200179</v>
      </c>
      <c r="O515" s="3" t="s">
        <v>1863</v>
      </c>
      <c r="P515" s="2"/>
      <c r="Q515" s="35"/>
      <c r="R515" s="2"/>
      <c r="S515" s="3" t="s">
        <v>958</v>
      </c>
      <c r="T515" s="2" t="s">
        <v>68</v>
      </c>
      <c r="U515" s="2">
        <v>20</v>
      </c>
      <c r="V515" s="2">
        <v>1000</v>
      </c>
      <c r="W515" s="3" t="s">
        <v>1867</v>
      </c>
      <c r="X515" s="36">
        <v>20000</v>
      </c>
      <c r="Y515" s="2" t="s">
        <v>55</v>
      </c>
      <c r="Z515" s="2" t="s">
        <v>56</v>
      </c>
      <c r="AA515" s="14">
        <f t="shared" si="26"/>
        <v>18000</v>
      </c>
      <c r="AB515" s="14">
        <f t="shared" si="27"/>
        <v>16000</v>
      </c>
      <c r="AC515" s="14">
        <f t="shared" si="28"/>
        <v>14000</v>
      </c>
      <c r="AD515" s="3" t="s">
        <v>1868</v>
      </c>
      <c r="AE515" s="3" t="s">
        <v>1868</v>
      </c>
      <c r="AF515" s="3" t="s">
        <v>1869</v>
      </c>
      <c r="AG515" s="43"/>
      <c r="AH515" s="43">
        <v>2000</v>
      </c>
      <c r="AI515" s="43">
        <v>2000</v>
      </c>
      <c r="AJ515" s="43">
        <v>2000</v>
      </c>
      <c r="AK515" s="43">
        <v>2000</v>
      </c>
      <c r="AL515" s="43">
        <v>2000</v>
      </c>
      <c r="AM515" s="43">
        <v>2000</v>
      </c>
      <c r="AN515" s="43">
        <v>2000</v>
      </c>
      <c r="AO515" s="43">
        <v>2000</v>
      </c>
      <c r="AP515" s="43">
        <v>2000</v>
      </c>
      <c r="AQ515" s="43"/>
      <c r="AR515" s="43">
        <v>2000</v>
      </c>
      <c r="AS515" s="43">
        <v>20000</v>
      </c>
      <c r="AT515" s="3">
        <v>0</v>
      </c>
      <c r="AU515" s="272" t="s">
        <v>252</v>
      </c>
    </row>
    <row r="516" spans="1:47" ht="16.5" hidden="1" customHeight="1" x14ac:dyDescent="0.35">
      <c r="A516" s="2" t="s">
        <v>258</v>
      </c>
      <c r="B516" s="2" t="s">
        <v>58</v>
      </c>
      <c r="C516" s="2" t="s">
        <v>1784</v>
      </c>
      <c r="D516" s="2">
        <v>847</v>
      </c>
      <c r="E516" s="2">
        <v>8470415</v>
      </c>
      <c r="F516" s="2" t="s">
        <v>1842</v>
      </c>
      <c r="G516" s="2">
        <v>1</v>
      </c>
      <c r="H516" s="276">
        <v>425763</v>
      </c>
      <c r="I516" s="2" t="s">
        <v>359</v>
      </c>
      <c r="J516" s="2" t="s">
        <v>60</v>
      </c>
      <c r="K516" s="2" t="s">
        <v>50</v>
      </c>
      <c r="L516" s="7">
        <v>847001</v>
      </c>
      <c r="M516" s="2" t="s">
        <v>61</v>
      </c>
      <c r="N516" s="2">
        <v>200179</v>
      </c>
      <c r="O516" s="3" t="s">
        <v>1863</v>
      </c>
      <c r="P516" s="2"/>
      <c r="Q516" s="35"/>
      <c r="R516" s="2"/>
      <c r="S516" s="3" t="s">
        <v>361</v>
      </c>
      <c r="T516" s="2" t="s">
        <v>68</v>
      </c>
      <c r="U516" s="2">
        <v>60</v>
      </c>
      <c r="V516" s="2">
        <v>1000</v>
      </c>
      <c r="W516" s="3" t="s">
        <v>1870</v>
      </c>
      <c r="X516" s="36">
        <v>60000</v>
      </c>
      <c r="Y516" s="2" t="s">
        <v>55</v>
      </c>
      <c r="Z516" s="2" t="s">
        <v>56</v>
      </c>
      <c r="AA516" s="14">
        <f t="shared" si="26"/>
        <v>54000</v>
      </c>
      <c r="AB516" s="14">
        <f t="shared" si="27"/>
        <v>48000</v>
      </c>
      <c r="AC516" s="14">
        <f t="shared" si="28"/>
        <v>42000</v>
      </c>
      <c r="AD516" s="3" t="s">
        <v>1871</v>
      </c>
      <c r="AE516" s="3" t="s">
        <v>1871</v>
      </c>
      <c r="AF516" s="3" t="s">
        <v>1871</v>
      </c>
      <c r="AG516" s="43"/>
      <c r="AH516" s="43">
        <v>15000</v>
      </c>
      <c r="AI516" s="43">
        <v>15000</v>
      </c>
      <c r="AJ516" s="43"/>
      <c r="AK516" s="43"/>
      <c r="AL516" s="43"/>
      <c r="AM516" s="43"/>
      <c r="AN516" s="43"/>
      <c r="AO516" s="43">
        <v>15000</v>
      </c>
      <c r="AP516" s="43">
        <v>15000</v>
      </c>
      <c r="AQ516" s="43"/>
      <c r="AR516" s="43"/>
      <c r="AS516" s="43">
        <v>60000</v>
      </c>
      <c r="AT516" s="3">
        <v>0</v>
      </c>
      <c r="AU516" s="272" t="s">
        <v>365</v>
      </c>
    </row>
    <row r="517" spans="1:47" ht="16.5" hidden="1" customHeight="1" x14ac:dyDescent="0.35">
      <c r="A517" s="2" t="s">
        <v>222</v>
      </c>
      <c r="B517" s="2" t="s">
        <v>58</v>
      </c>
      <c r="C517" s="2" t="s">
        <v>1784</v>
      </c>
      <c r="D517" s="2">
        <v>847</v>
      </c>
      <c r="E517" s="2">
        <v>8470415</v>
      </c>
      <c r="F517" s="2" t="s">
        <v>1842</v>
      </c>
      <c r="G517" s="2">
        <v>1</v>
      </c>
      <c r="H517" s="276">
        <v>425770</v>
      </c>
      <c r="I517" s="2" t="s">
        <v>367</v>
      </c>
      <c r="J517" s="2" t="s">
        <v>60</v>
      </c>
      <c r="K517" s="2" t="s">
        <v>50</v>
      </c>
      <c r="L517" s="7">
        <v>847001</v>
      </c>
      <c r="M517" s="2" t="s">
        <v>61</v>
      </c>
      <c r="N517" s="2">
        <v>200179</v>
      </c>
      <c r="O517" s="3" t="s">
        <v>1872</v>
      </c>
      <c r="P517" s="2">
        <v>6028.16</v>
      </c>
      <c r="Q517" s="35">
        <v>285000</v>
      </c>
      <c r="R517" s="2">
        <v>220000</v>
      </c>
      <c r="S517" s="3" t="s">
        <v>369</v>
      </c>
      <c r="T517" s="2" t="s">
        <v>157</v>
      </c>
      <c r="U517" s="2">
        <v>24</v>
      </c>
      <c r="V517" s="2">
        <v>15000</v>
      </c>
      <c r="W517" s="3" t="s">
        <v>1873</v>
      </c>
      <c r="X517" s="36">
        <v>360000</v>
      </c>
      <c r="Y517" s="2" t="s">
        <v>55</v>
      </c>
      <c r="Z517" s="2" t="s">
        <v>56</v>
      </c>
      <c r="AA517" s="14">
        <f t="shared" si="26"/>
        <v>324000</v>
      </c>
      <c r="AB517" s="14">
        <f t="shared" si="27"/>
        <v>288000</v>
      </c>
      <c r="AC517" s="14">
        <f t="shared" si="28"/>
        <v>251999.99999999997</v>
      </c>
      <c r="AD517" s="3" t="s">
        <v>1874</v>
      </c>
      <c r="AE517" s="3" t="s">
        <v>1875</v>
      </c>
      <c r="AF517" s="3" t="s">
        <v>1876</v>
      </c>
      <c r="AG517" s="43"/>
      <c r="AH517" s="43"/>
      <c r="AI517" s="43"/>
      <c r="AJ517" s="43">
        <v>30000</v>
      </c>
      <c r="AK517" s="43"/>
      <c r="AL517" s="43">
        <v>90000</v>
      </c>
      <c r="AM517" s="43">
        <v>120000</v>
      </c>
      <c r="AN517" s="43"/>
      <c r="AO517" s="43">
        <v>90000</v>
      </c>
      <c r="AP517" s="43"/>
      <c r="AQ517" s="43"/>
      <c r="AR517" s="43">
        <v>30000</v>
      </c>
      <c r="AS517" s="43">
        <v>360000</v>
      </c>
      <c r="AT517" s="3">
        <v>0</v>
      </c>
      <c r="AU517" s="272" t="s">
        <v>252</v>
      </c>
    </row>
    <row r="518" spans="1:47" ht="16.5" hidden="1" customHeight="1" x14ac:dyDescent="0.35">
      <c r="A518" s="2" t="s">
        <v>222</v>
      </c>
      <c r="B518" s="2" t="s">
        <v>58</v>
      </c>
      <c r="C518" s="2" t="s">
        <v>1784</v>
      </c>
      <c r="D518" s="2">
        <v>847</v>
      </c>
      <c r="E518" s="2">
        <v>8470415</v>
      </c>
      <c r="F518" s="2" t="s">
        <v>1842</v>
      </c>
      <c r="G518" s="2">
        <v>1</v>
      </c>
      <c r="H518" s="276">
        <v>425770</v>
      </c>
      <c r="I518" s="2" t="s">
        <v>367</v>
      </c>
      <c r="J518" s="2" t="s">
        <v>60</v>
      </c>
      <c r="K518" s="2" t="s">
        <v>50</v>
      </c>
      <c r="L518" s="7">
        <v>847001</v>
      </c>
      <c r="M518" s="2" t="s">
        <v>61</v>
      </c>
      <c r="N518" s="2">
        <v>200179</v>
      </c>
      <c r="O518" s="3" t="s">
        <v>1872</v>
      </c>
      <c r="P518" s="2"/>
      <c r="Q518" s="35"/>
      <c r="R518" s="2"/>
      <c r="S518" s="3" t="s">
        <v>926</v>
      </c>
      <c r="T518" s="2" t="s">
        <v>157</v>
      </c>
      <c r="U518" s="2">
        <v>5</v>
      </c>
      <c r="V518" s="2">
        <v>15000</v>
      </c>
      <c r="W518" s="3" t="s">
        <v>1877</v>
      </c>
      <c r="X518" s="36">
        <v>75000</v>
      </c>
      <c r="Y518" s="2" t="s">
        <v>55</v>
      </c>
      <c r="Z518" s="2" t="s">
        <v>56</v>
      </c>
      <c r="AA518" s="14">
        <f t="shared" si="26"/>
        <v>67500</v>
      </c>
      <c r="AB518" s="14">
        <f t="shared" si="27"/>
        <v>60000</v>
      </c>
      <c r="AC518" s="14">
        <f t="shared" si="28"/>
        <v>52500</v>
      </c>
      <c r="AD518" s="3" t="s">
        <v>1878</v>
      </c>
      <c r="AE518" s="3" t="s">
        <v>1878</v>
      </c>
      <c r="AF518" s="3" t="s">
        <v>1878</v>
      </c>
      <c r="AG518" s="43"/>
      <c r="AH518" s="43"/>
      <c r="AI518" s="43">
        <v>15000</v>
      </c>
      <c r="AJ518" s="43"/>
      <c r="AK518" s="43"/>
      <c r="AL518" s="43">
        <v>30000</v>
      </c>
      <c r="AM518" s="43"/>
      <c r="AN518" s="43"/>
      <c r="AO518" s="43"/>
      <c r="AP518" s="43"/>
      <c r="AQ518" s="43"/>
      <c r="AR518" s="43">
        <v>30000</v>
      </c>
      <c r="AS518" s="43">
        <v>75000</v>
      </c>
      <c r="AT518" s="3">
        <v>0</v>
      </c>
      <c r="AU518" s="272" t="s">
        <v>237</v>
      </c>
    </row>
    <row r="519" spans="1:47" ht="16.5" hidden="1" customHeight="1" x14ac:dyDescent="0.35">
      <c r="A519" s="2" t="s">
        <v>189</v>
      </c>
      <c r="B519" s="2" t="s">
        <v>265</v>
      </c>
      <c r="C519" s="2" t="s">
        <v>1784</v>
      </c>
      <c r="D519" s="2">
        <v>847</v>
      </c>
      <c r="E519" s="2">
        <v>8470415</v>
      </c>
      <c r="F519" s="2" t="s">
        <v>1842</v>
      </c>
      <c r="G519" s="2">
        <v>1</v>
      </c>
      <c r="H519" s="276">
        <v>425900</v>
      </c>
      <c r="I519" s="2" t="s">
        <v>266</v>
      </c>
      <c r="J519" s="2" t="s">
        <v>60</v>
      </c>
      <c r="K519" s="2"/>
      <c r="L519" s="7">
        <v>847001</v>
      </c>
      <c r="M519" s="2" t="s">
        <v>61</v>
      </c>
      <c r="N519" s="2">
        <v>200179</v>
      </c>
      <c r="O519" s="3" t="s">
        <v>1879</v>
      </c>
      <c r="P519" s="2"/>
      <c r="Q519" s="35"/>
      <c r="R519" s="2"/>
      <c r="S519" s="3" t="s">
        <v>268</v>
      </c>
      <c r="T519" s="2" t="s">
        <v>269</v>
      </c>
      <c r="U519" s="2">
        <v>8</v>
      </c>
      <c r="V519" s="2">
        <v>12000</v>
      </c>
      <c r="W519" s="3" t="s">
        <v>1880</v>
      </c>
      <c r="X519" s="36">
        <v>96000</v>
      </c>
      <c r="Y519" s="2" t="s">
        <v>55</v>
      </c>
      <c r="Z519" s="2" t="s">
        <v>56</v>
      </c>
      <c r="AA519" s="14">
        <f t="shared" si="26"/>
        <v>86400</v>
      </c>
      <c r="AB519" s="14">
        <f t="shared" si="27"/>
        <v>76800</v>
      </c>
      <c r="AC519" s="14">
        <f t="shared" si="28"/>
        <v>67200</v>
      </c>
      <c r="AD519" s="3" t="s">
        <v>1881</v>
      </c>
      <c r="AE519" s="3" t="s">
        <v>1881</v>
      </c>
      <c r="AF519" s="3" t="s">
        <v>1881</v>
      </c>
      <c r="AG519" s="43"/>
      <c r="AH519" s="43">
        <v>12000</v>
      </c>
      <c r="AI519" s="43">
        <v>12000</v>
      </c>
      <c r="AJ519" s="43">
        <v>12000</v>
      </c>
      <c r="AK519" s="43">
        <v>12000</v>
      </c>
      <c r="AL519" s="43"/>
      <c r="AM519" s="43"/>
      <c r="AN519" s="43"/>
      <c r="AO519" s="43">
        <v>12000</v>
      </c>
      <c r="AP519" s="43">
        <v>12000</v>
      </c>
      <c r="AQ519" s="43">
        <v>12000</v>
      </c>
      <c r="AR519" s="43">
        <v>12000</v>
      </c>
      <c r="AS519" s="43">
        <v>96000</v>
      </c>
      <c r="AT519" s="3">
        <v>0</v>
      </c>
      <c r="AU519" s="272" t="s">
        <v>237</v>
      </c>
    </row>
    <row r="520" spans="1:47" ht="16.5" hidden="1" customHeight="1" x14ac:dyDescent="0.35">
      <c r="A520" s="2" t="s">
        <v>189</v>
      </c>
      <c r="B520" s="2" t="s">
        <v>265</v>
      </c>
      <c r="C520" s="2" t="s">
        <v>1784</v>
      </c>
      <c r="D520" s="2">
        <v>847</v>
      </c>
      <c r="E520" s="2">
        <v>8470415</v>
      </c>
      <c r="F520" s="2" t="s">
        <v>1842</v>
      </c>
      <c r="G520" s="2">
        <v>1</v>
      </c>
      <c r="H520" s="276">
        <v>425900</v>
      </c>
      <c r="I520" s="2" t="s">
        <v>266</v>
      </c>
      <c r="J520" s="2" t="s">
        <v>60</v>
      </c>
      <c r="K520" s="2" t="s">
        <v>50</v>
      </c>
      <c r="L520" s="7">
        <v>847001</v>
      </c>
      <c r="M520" s="2" t="s">
        <v>61</v>
      </c>
      <c r="N520" s="2">
        <v>200179</v>
      </c>
      <c r="O520" s="3" t="s">
        <v>1879</v>
      </c>
      <c r="P520" s="2">
        <v>0</v>
      </c>
      <c r="Q520" s="35">
        <v>140000</v>
      </c>
      <c r="R520" s="2">
        <v>0</v>
      </c>
      <c r="S520" s="3" t="s">
        <v>268</v>
      </c>
      <c r="T520" s="2" t="s">
        <v>269</v>
      </c>
      <c r="U520" s="2">
        <v>1</v>
      </c>
      <c r="V520" s="2">
        <v>140000</v>
      </c>
      <c r="W520" s="3" t="s">
        <v>1882</v>
      </c>
      <c r="X520" s="36">
        <v>140000</v>
      </c>
      <c r="Y520" s="2" t="s">
        <v>55</v>
      </c>
      <c r="Z520" s="2" t="s">
        <v>56</v>
      </c>
      <c r="AA520" s="14">
        <f t="shared" si="26"/>
        <v>126000</v>
      </c>
      <c r="AB520" s="14">
        <f t="shared" si="27"/>
        <v>112000</v>
      </c>
      <c r="AC520" s="14">
        <f t="shared" si="28"/>
        <v>98000</v>
      </c>
      <c r="AD520" s="3" t="s">
        <v>1883</v>
      </c>
      <c r="AE520" s="3" t="s">
        <v>1883</v>
      </c>
      <c r="AF520" s="3" t="s">
        <v>1883</v>
      </c>
      <c r="AG520" s="43"/>
      <c r="AH520" s="43"/>
      <c r="AI520" s="43">
        <v>140000</v>
      </c>
      <c r="AJ520" s="43"/>
      <c r="AK520" s="43"/>
      <c r="AL520" s="43"/>
      <c r="AM520" s="43"/>
      <c r="AN520" s="43"/>
      <c r="AO520" s="43"/>
      <c r="AP520" s="43"/>
      <c r="AQ520" s="43"/>
      <c r="AR520" s="43"/>
      <c r="AS520" s="43">
        <v>140000</v>
      </c>
      <c r="AT520" s="3">
        <v>0</v>
      </c>
      <c r="AU520" s="272" t="s">
        <v>230</v>
      </c>
    </row>
    <row r="521" spans="1:47" ht="16.5" hidden="1" customHeight="1" x14ac:dyDescent="0.35">
      <c r="A521" s="2" t="s">
        <v>189</v>
      </c>
      <c r="B521" s="2" t="s">
        <v>265</v>
      </c>
      <c r="C521" s="2" t="s">
        <v>1784</v>
      </c>
      <c r="D521" s="2">
        <v>847</v>
      </c>
      <c r="E521" s="2">
        <v>8470415</v>
      </c>
      <c r="F521" s="2" t="s">
        <v>1842</v>
      </c>
      <c r="G521" s="2">
        <v>1</v>
      </c>
      <c r="H521" s="276">
        <v>425900</v>
      </c>
      <c r="I521" s="2" t="s">
        <v>266</v>
      </c>
      <c r="J521" s="2" t="s">
        <v>60</v>
      </c>
      <c r="K521" s="2" t="s">
        <v>50</v>
      </c>
      <c r="L521" s="7">
        <v>847001</v>
      </c>
      <c r="M521" s="2" t="s">
        <v>61</v>
      </c>
      <c r="N521" s="2">
        <v>200179</v>
      </c>
      <c r="O521" s="3" t="s">
        <v>1879</v>
      </c>
      <c r="P521" s="2"/>
      <c r="Q521" s="35"/>
      <c r="R521" s="2"/>
      <c r="S521" s="3" t="s">
        <v>268</v>
      </c>
      <c r="T521" s="2" t="s">
        <v>269</v>
      </c>
      <c r="U521" s="2">
        <v>1</v>
      </c>
      <c r="V521" s="2">
        <v>140000</v>
      </c>
      <c r="W521" s="3" t="s">
        <v>1884</v>
      </c>
      <c r="X521" s="36">
        <v>140000</v>
      </c>
      <c r="Y521" s="2" t="s">
        <v>55</v>
      </c>
      <c r="Z521" s="2" t="s">
        <v>56</v>
      </c>
      <c r="AA521" s="14">
        <f t="shared" si="26"/>
        <v>126000</v>
      </c>
      <c r="AB521" s="14">
        <f t="shared" si="27"/>
        <v>112000</v>
      </c>
      <c r="AC521" s="14">
        <f t="shared" si="28"/>
        <v>98000</v>
      </c>
      <c r="AD521" s="3" t="s">
        <v>1883</v>
      </c>
      <c r="AE521" s="3" t="s">
        <v>1883</v>
      </c>
      <c r="AF521" s="3" t="s">
        <v>1883</v>
      </c>
      <c r="AG521" s="43"/>
      <c r="AH521" s="43">
        <v>140000</v>
      </c>
      <c r="AI521" s="43"/>
      <c r="AJ521" s="43"/>
      <c r="AK521" s="43"/>
      <c r="AL521" s="43"/>
      <c r="AM521" s="43"/>
      <c r="AN521" s="43"/>
      <c r="AO521" s="43"/>
      <c r="AP521" s="43"/>
      <c r="AQ521" s="43"/>
      <c r="AR521" s="43"/>
      <c r="AS521" s="43">
        <v>140000</v>
      </c>
      <c r="AT521" s="3">
        <v>0</v>
      </c>
      <c r="AU521" s="272" t="s">
        <v>480</v>
      </c>
    </row>
    <row r="522" spans="1:47" ht="16.5" hidden="1" customHeight="1" x14ac:dyDescent="0.35">
      <c r="A522" s="2" t="s">
        <v>63</v>
      </c>
      <c r="B522" s="2" t="s">
        <v>64</v>
      </c>
      <c r="C522" s="2" t="s">
        <v>1784</v>
      </c>
      <c r="D522" s="2">
        <v>847</v>
      </c>
      <c r="E522" s="2">
        <v>8470415</v>
      </c>
      <c r="F522" s="2" t="s">
        <v>1842</v>
      </c>
      <c r="G522" s="2">
        <v>1</v>
      </c>
      <c r="H522" s="276">
        <v>426610</v>
      </c>
      <c r="I522" s="2" t="s">
        <v>74</v>
      </c>
      <c r="J522" s="2" t="s">
        <v>60</v>
      </c>
      <c r="K522" s="2" t="s">
        <v>50</v>
      </c>
      <c r="L522" s="7">
        <v>847001</v>
      </c>
      <c r="M522" s="2" t="s">
        <v>61</v>
      </c>
      <c r="N522" s="2">
        <v>200179</v>
      </c>
      <c r="O522" s="3" t="s">
        <v>1885</v>
      </c>
      <c r="P522" s="2">
        <v>35235.129999999997</v>
      </c>
      <c r="Q522" s="35">
        <v>229511</v>
      </c>
      <c r="R522" s="2">
        <v>165000</v>
      </c>
      <c r="S522" s="3" t="s">
        <v>274</v>
      </c>
      <c r="T522" s="2" t="s">
        <v>157</v>
      </c>
      <c r="U522" s="2">
        <v>1</v>
      </c>
      <c r="V522" s="2">
        <v>97617</v>
      </c>
      <c r="W522" s="3" t="s">
        <v>1886</v>
      </c>
      <c r="X522" s="36">
        <v>97617</v>
      </c>
      <c r="Y522" s="2" t="s">
        <v>55</v>
      </c>
      <c r="Z522" s="2" t="s">
        <v>56</v>
      </c>
      <c r="AA522" s="14">
        <f t="shared" si="26"/>
        <v>87855.3</v>
      </c>
      <c r="AB522" s="14">
        <f t="shared" si="27"/>
        <v>78093.600000000006</v>
      </c>
      <c r="AC522" s="14">
        <f t="shared" si="28"/>
        <v>68331.899999999994</v>
      </c>
      <c r="AD522" s="3" t="s">
        <v>1887</v>
      </c>
      <c r="AE522" s="3" t="s">
        <v>1887</v>
      </c>
      <c r="AF522" s="3" t="s">
        <v>1888</v>
      </c>
      <c r="AG522" s="43"/>
      <c r="AH522" s="43">
        <v>97617</v>
      </c>
      <c r="AI522" s="43"/>
      <c r="AJ522" s="43"/>
      <c r="AK522" s="43"/>
      <c r="AL522" s="43"/>
      <c r="AM522" s="43"/>
      <c r="AN522" s="43"/>
      <c r="AO522" s="43"/>
      <c r="AP522" s="43"/>
      <c r="AQ522" s="43" t="s">
        <v>1889</v>
      </c>
      <c r="AR522" s="43"/>
      <c r="AS522" s="43">
        <v>97617</v>
      </c>
      <c r="AT522" s="3">
        <v>0</v>
      </c>
      <c r="AU522" s="272" t="s">
        <v>230</v>
      </c>
    </row>
    <row r="523" spans="1:47" ht="16.5" hidden="1" customHeight="1" x14ac:dyDescent="0.35">
      <c r="A523" s="2" t="s">
        <v>63</v>
      </c>
      <c r="B523" s="2" t="s">
        <v>64</v>
      </c>
      <c r="C523" s="2" t="s">
        <v>1784</v>
      </c>
      <c r="D523" s="2">
        <v>847</v>
      </c>
      <c r="E523" s="2">
        <v>8470415</v>
      </c>
      <c r="F523" s="2" t="s">
        <v>1842</v>
      </c>
      <c r="G523" s="2">
        <v>1</v>
      </c>
      <c r="H523" s="276">
        <v>426610</v>
      </c>
      <c r="I523" s="2" t="s">
        <v>74</v>
      </c>
      <c r="J523" s="2" t="s">
        <v>60</v>
      </c>
      <c r="K523" s="2" t="s">
        <v>50</v>
      </c>
      <c r="L523" s="7">
        <v>847001</v>
      </c>
      <c r="M523" s="2" t="s">
        <v>61</v>
      </c>
      <c r="N523" s="2">
        <v>200179</v>
      </c>
      <c r="O523" s="3" t="s">
        <v>1885</v>
      </c>
      <c r="P523" s="2"/>
      <c r="Q523" s="35"/>
      <c r="R523" s="2"/>
      <c r="S523" s="3" t="s">
        <v>274</v>
      </c>
      <c r="T523" s="2" t="s">
        <v>157</v>
      </c>
      <c r="U523" s="2">
        <v>1</v>
      </c>
      <c r="V523" s="2">
        <v>30000</v>
      </c>
      <c r="W523" s="3" t="s">
        <v>1890</v>
      </c>
      <c r="X523" s="36">
        <v>30000</v>
      </c>
      <c r="Y523" s="2" t="s">
        <v>55</v>
      </c>
      <c r="Z523" s="2" t="s">
        <v>56</v>
      </c>
      <c r="AA523" s="14">
        <f t="shared" si="26"/>
        <v>27000</v>
      </c>
      <c r="AB523" s="14">
        <f t="shared" si="27"/>
        <v>24000</v>
      </c>
      <c r="AC523" s="14">
        <f t="shared" si="28"/>
        <v>21000</v>
      </c>
      <c r="AD523" s="3" t="s">
        <v>1891</v>
      </c>
      <c r="AE523" s="3" t="s">
        <v>1891</v>
      </c>
      <c r="AF523" s="3" t="s">
        <v>1892</v>
      </c>
      <c r="AG523" s="43"/>
      <c r="AH523" s="43"/>
      <c r="AI523" s="43">
        <v>30000</v>
      </c>
      <c r="AJ523" s="43"/>
      <c r="AK523" s="43"/>
      <c r="AL523" s="43"/>
      <c r="AM523" s="43"/>
      <c r="AN523" s="43"/>
      <c r="AO523" s="43"/>
      <c r="AP523" s="43"/>
      <c r="AQ523" s="43"/>
      <c r="AR523" s="43"/>
      <c r="AS523" s="43">
        <v>30000</v>
      </c>
      <c r="AT523" s="3">
        <v>0</v>
      </c>
      <c r="AU523" s="272" t="s">
        <v>480</v>
      </c>
    </row>
    <row r="524" spans="1:47" ht="16.5" hidden="1" customHeight="1" x14ac:dyDescent="0.35">
      <c r="A524" s="2" t="s">
        <v>63</v>
      </c>
      <c r="B524" s="2" t="s">
        <v>64</v>
      </c>
      <c r="C524" s="2" t="s">
        <v>1784</v>
      </c>
      <c r="D524" s="2">
        <v>847</v>
      </c>
      <c r="E524" s="2">
        <v>8470415</v>
      </c>
      <c r="F524" s="2" t="s">
        <v>1842</v>
      </c>
      <c r="G524" s="2">
        <v>1</v>
      </c>
      <c r="H524" s="276">
        <v>426610</v>
      </c>
      <c r="I524" s="2" t="s">
        <v>74</v>
      </c>
      <c r="J524" s="2" t="s">
        <v>60</v>
      </c>
      <c r="K524" s="2" t="s">
        <v>50</v>
      </c>
      <c r="L524" s="7">
        <v>847001</v>
      </c>
      <c r="M524" s="2" t="s">
        <v>61</v>
      </c>
      <c r="N524" s="2">
        <v>200179</v>
      </c>
      <c r="O524" s="3" t="s">
        <v>1885</v>
      </c>
      <c r="P524" s="2"/>
      <c r="Q524" s="35"/>
      <c r="R524" s="2"/>
      <c r="S524" s="3" t="s">
        <v>274</v>
      </c>
      <c r="T524" s="2" t="s">
        <v>157</v>
      </c>
      <c r="U524" s="2">
        <v>1</v>
      </c>
      <c r="V524" s="2">
        <v>31195</v>
      </c>
      <c r="W524" s="3" t="s">
        <v>1893</v>
      </c>
      <c r="X524" s="36">
        <v>31195</v>
      </c>
      <c r="Y524" s="2" t="s">
        <v>55</v>
      </c>
      <c r="Z524" s="2" t="s">
        <v>56</v>
      </c>
      <c r="AA524" s="14">
        <f t="shared" si="26"/>
        <v>28075.5</v>
      </c>
      <c r="AB524" s="14">
        <f t="shared" si="27"/>
        <v>24956</v>
      </c>
      <c r="AC524" s="14">
        <f t="shared" si="28"/>
        <v>21836.5</v>
      </c>
      <c r="AD524" s="3" t="s">
        <v>1894</v>
      </c>
      <c r="AE524" s="3" t="s">
        <v>1894</v>
      </c>
      <c r="AF524" s="3" t="s">
        <v>1894</v>
      </c>
      <c r="AG524" s="43"/>
      <c r="AH524" s="43"/>
      <c r="AI524" s="43"/>
      <c r="AJ524" s="43"/>
      <c r="AK524" s="43"/>
      <c r="AL524" s="43"/>
      <c r="AM524" s="43">
        <v>31195</v>
      </c>
      <c r="AN524" s="43"/>
      <c r="AO524" s="43"/>
      <c r="AP524" s="43"/>
      <c r="AQ524" s="43"/>
      <c r="AR524" s="43"/>
      <c r="AS524" s="43">
        <v>31195</v>
      </c>
      <c r="AT524" s="3">
        <v>0</v>
      </c>
      <c r="AU524" s="272" t="s">
        <v>230</v>
      </c>
    </row>
    <row r="525" spans="1:47" ht="16.5" hidden="1" customHeight="1" x14ac:dyDescent="0.35">
      <c r="A525" s="2" t="s">
        <v>63</v>
      </c>
      <c r="B525" s="2" t="s">
        <v>64</v>
      </c>
      <c r="C525" s="2" t="s">
        <v>1784</v>
      </c>
      <c r="D525" s="2">
        <v>847</v>
      </c>
      <c r="E525" s="2">
        <v>8470415</v>
      </c>
      <c r="F525" s="2" t="s">
        <v>1842</v>
      </c>
      <c r="G525" s="2">
        <v>1</v>
      </c>
      <c r="H525" s="276">
        <v>426610</v>
      </c>
      <c r="I525" s="2" t="s">
        <v>74</v>
      </c>
      <c r="J525" s="2" t="s">
        <v>60</v>
      </c>
      <c r="K525" s="2" t="s">
        <v>50</v>
      </c>
      <c r="L525" s="7">
        <v>847001</v>
      </c>
      <c r="M525" s="2" t="s">
        <v>61</v>
      </c>
      <c r="N525" s="2">
        <v>200179</v>
      </c>
      <c r="O525" s="3" t="s">
        <v>1885</v>
      </c>
      <c r="P525" s="2"/>
      <c r="Q525" s="35"/>
      <c r="R525" s="2"/>
      <c r="S525" s="3" t="s">
        <v>274</v>
      </c>
      <c r="T525" s="2" t="s">
        <v>157</v>
      </c>
      <c r="U525" s="2">
        <v>1</v>
      </c>
      <c r="V525" s="2">
        <v>25323</v>
      </c>
      <c r="W525" s="3" t="s">
        <v>1895</v>
      </c>
      <c r="X525" s="36">
        <v>25323</v>
      </c>
      <c r="Y525" s="2" t="s">
        <v>210</v>
      </c>
      <c r="Z525" s="2" t="s">
        <v>197</v>
      </c>
      <c r="AA525" s="14">
        <f t="shared" si="26"/>
        <v>22790.7</v>
      </c>
      <c r="AB525" s="14">
        <f t="shared" si="27"/>
        <v>20258.400000000001</v>
      </c>
      <c r="AC525" s="14">
        <f t="shared" si="28"/>
        <v>17726.099999999999</v>
      </c>
      <c r="AD525" s="3" t="s">
        <v>1891</v>
      </c>
      <c r="AE525" s="3" t="s">
        <v>1891</v>
      </c>
      <c r="AF525" s="3" t="s">
        <v>1892</v>
      </c>
      <c r="AG525" s="43"/>
      <c r="AH525" s="43">
        <v>25323</v>
      </c>
      <c r="AI525" s="43"/>
      <c r="AJ525" s="43"/>
      <c r="AK525" s="43"/>
      <c r="AL525" s="43"/>
      <c r="AM525" s="43"/>
      <c r="AN525" s="43"/>
      <c r="AO525" s="43"/>
      <c r="AP525" s="43"/>
      <c r="AQ525" s="43"/>
      <c r="AR525" s="43"/>
      <c r="AS525" s="43">
        <v>25323</v>
      </c>
      <c r="AT525" s="3">
        <v>0</v>
      </c>
      <c r="AU525" s="272" t="s">
        <v>480</v>
      </c>
    </row>
    <row r="526" spans="1:47" ht="16.5" hidden="1" customHeight="1" x14ac:dyDescent="0.35">
      <c r="A526" s="2" t="s">
        <v>63</v>
      </c>
      <c r="B526" s="2" t="s">
        <v>64</v>
      </c>
      <c r="C526" s="2" t="s">
        <v>1784</v>
      </c>
      <c r="D526" s="2">
        <v>847</v>
      </c>
      <c r="E526" s="2">
        <v>8470415</v>
      </c>
      <c r="F526" s="2" t="s">
        <v>1842</v>
      </c>
      <c r="G526" s="2">
        <v>1</v>
      </c>
      <c r="H526" s="276">
        <v>426610</v>
      </c>
      <c r="I526" s="2" t="s">
        <v>74</v>
      </c>
      <c r="J526" s="2" t="s">
        <v>60</v>
      </c>
      <c r="K526" s="2" t="s">
        <v>50</v>
      </c>
      <c r="L526" s="7">
        <v>847001</v>
      </c>
      <c r="M526" s="2" t="s">
        <v>61</v>
      </c>
      <c r="N526" s="2">
        <v>200179</v>
      </c>
      <c r="O526" s="3" t="s">
        <v>1885</v>
      </c>
      <c r="P526" s="2"/>
      <c r="Q526" s="35"/>
      <c r="R526" s="2"/>
      <c r="S526" s="3" t="s">
        <v>274</v>
      </c>
      <c r="T526" s="2" t="s">
        <v>157</v>
      </c>
      <c r="U526" s="2">
        <v>1</v>
      </c>
      <c r="V526" s="2">
        <v>10827</v>
      </c>
      <c r="W526" s="3" t="s">
        <v>1896</v>
      </c>
      <c r="X526" s="36">
        <v>10827</v>
      </c>
      <c r="Y526" s="2" t="s">
        <v>210</v>
      </c>
      <c r="Z526" s="2" t="s">
        <v>197</v>
      </c>
      <c r="AA526" s="14">
        <f t="shared" si="26"/>
        <v>9744.3000000000011</v>
      </c>
      <c r="AB526" s="14">
        <f t="shared" si="27"/>
        <v>8661.6</v>
      </c>
      <c r="AC526" s="14">
        <f t="shared" si="28"/>
        <v>7578.9</v>
      </c>
      <c r="AD526" s="3" t="s">
        <v>1891</v>
      </c>
      <c r="AE526" s="3" t="s">
        <v>1891</v>
      </c>
      <c r="AF526" s="3" t="s">
        <v>1892</v>
      </c>
      <c r="AG526" s="43"/>
      <c r="AH526" s="43">
        <v>10827</v>
      </c>
      <c r="AI526" s="43"/>
      <c r="AJ526" s="43"/>
      <c r="AK526" s="43"/>
      <c r="AL526" s="43"/>
      <c r="AM526" s="43"/>
      <c r="AN526" s="43"/>
      <c r="AO526" s="43"/>
      <c r="AP526" s="43"/>
      <c r="AQ526" s="43"/>
      <c r="AR526" s="43"/>
      <c r="AS526" s="43">
        <v>10827</v>
      </c>
      <c r="AT526" s="3">
        <v>0</v>
      </c>
      <c r="AU526" s="272" t="s">
        <v>480</v>
      </c>
    </row>
    <row r="527" spans="1:47" ht="16.5" hidden="1" customHeight="1" x14ac:dyDescent="0.35">
      <c r="A527" s="2" t="s">
        <v>245</v>
      </c>
      <c r="B527" s="2" t="s">
        <v>246</v>
      </c>
      <c r="C527" s="2" t="s">
        <v>1784</v>
      </c>
      <c r="D527" s="2">
        <v>847</v>
      </c>
      <c r="E527" s="2">
        <v>8470415</v>
      </c>
      <c r="F527" s="2" t="s">
        <v>1842</v>
      </c>
      <c r="G527" s="2">
        <v>1</v>
      </c>
      <c r="H527" s="276">
        <v>428640</v>
      </c>
      <c r="I527" s="2" t="s">
        <v>279</v>
      </c>
      <c r="J527" s="2" t="s">
        <v>60</v>
      </c>
      <c r="K527" s="2" t="s">
        <v>50</v>
      </c>
      <c r="L527" s="7">
        <v>847001</v>
      </c>
      <c r="M527" s="2" t="s">
        <v>61</v>
      </c>
      <c r="N527" s="2">
        <v>200179</v>
      </c>
      <c r="O527" s="3" t="s">
        <v>1897</v>
      </c>
      <c r="P527" s="2" t="s">
        <v>46</v>
      </c>
      <c r="Q527" s="35">
        <v>15000</v>
      </c>
      <c r="R527" s="2">
        <v>10000</v>
      </c>
      <c r="S527" s="3" t="s">
        <v>645</v>
      </c>
      <c r="T527" s="2" t="s">
        <v>269</v>
      </c>
      <c r="U527" s="2">
        <v>1</v>
      </c>
      <c r="V527" s="10">
        <v>20000</v>
      </c>
      <c r="W527" s="3" t="s">
        <v>1898</v>
      </c>
      <c r="X527" s="36">
        <v>20000</v>
      </c>
      <c r="Y527" s="2" t="s">
        <v>55</v>
      </c>
      <c r="Z527" s="2" t="s">
        <v>56</v>
      </c>
      <c r="AA527" s="14">
        <f t="shared" si="26"/>
        <v>18000</v>
      </c>
      <c r="AB527" s="14">
        <f t="shared" si="27"/>
        <v>16000</v>
      </c>
      <c r="AC527" s="14">
        <f t="shared" si="28"/>
        <v>14000</v>
      </c>
      <c r="AD527" s="3" t="s">
        <v>1899</v>
      </c>
      <c r="AE527" s="3" t="s">
        <v>1899</v>
      </c>
      <c r="AF527" s="3" t="s">
        <v>1899</v>
      </c>
      <c r="AG527" s="43"/>
      <c r="AH527" s="43">
        <v>2000</v>
      </c>
      <c r="AI527" s="43"/>
      <c r="AJ527" s="43">
        <v>5000</v>
      </c>
      <c r="AK527" s="43"/>
      <c r="AL527" s="43">
        <v>5000</v>
      </c>
      <c r="AM527" s="43"/>
      <c r="AN527" s="43"/>
      <c r="AO527" s="43">
        <v>3000</v>
      </c>
      <c r="AP527" s="43"/>
      <c r="AQ527" s="43"/>
      <c r="AR527" s="43">
        <v>5000</v>
      </c>
      <c r="AS527" s="43">
        <v>20000</v>
      </c>
      <c r="AT527" s="3">
        <v>0</v>
      </c>
      <c r="AU527" s="272" t="s">
        <v>379</v>
      </c>
    </row>
    <row r="528" spans="1:47" ht="16.5" hidden="1" customHeight="1" x14ac:dyDescent="0.35">
      <c r="A528" s="2" t="s">
        <v>222</v>
      </c>
      <c r="B528" s="2" t="s">
        <v>58</v>
      </c>
      <c r="C528" s="2" t="s">
        <v>1784</v>
      </c>
      <c r="D528" s="2">
        <v>847</v>
      </c>
      <c r="E528" s="2">
        <v>8470415</v>
      </c>
      <c r="F528" s="2" t="s">
        <v>1842</v>
      </c>
      <c r="G528" s="2">
        <v>1</v>
      </c>
      <c r="H528" s="276">
        <v>432209</v>
      </c>
      <c r="I528" s="2" t="s">
        <v>393</v>
      </c>
      <c r="J528" s="2" t="s">
        <v>60</v>
      </c>
      <c r="K528" s="2" t="s">
        <v>50</v>
      </c>
      <c r="L528" s="7">
        <v>847001</v>
      </c>
      <c r="M528" s="2" t="s">
        <v>61</v>
      </c>
      <c r="N528" s="2">
        <v>200179</v>
      </c>
      <c r="O528" s="3" t="s">
        <v>1900</v>
      </c>
      <c r="P528" s="2">
        <v>85887.1</v>
      </c>
      <c r="Q528" s="35">
        <v>301000</v>
      </c>
      <c r="R528" s="2">
        <v>300000</v>
      </c>
      <c r="S528" s="3" t="s">
        <v>470</v>
      </c>
      <c r="T528" s="2" t="s">
        <v>157</v>
      </c>
      <c r="U528" s="2">
        <v>1</v>
      </c>
      <c r="V528" s="2">
        <v>435000</v>
      </c>
      <c r="W528" s="3" t="s">
        <v>1901</v>
      </c>
      <c r="X528" s="36">
        <v>435000</v>
      </c>
      <c r="Y528" s="2" t="s">
        <v>55</v>
      </c>
      <c r="Z528" s="2" t="s">
        <v>56</v>
      </c>
      <c r="AA528" s="14">
        <f t="shared" si="26"/>
        <v>391500</v>
      </c>
      <c r="AB528" s="14">
        <f t="shared" si="27"/>
        <v>348000</v>
      </c>
      <c r="AC528" s="14">
        <f t="shared" si="28"/>
        <v>304500</v>
      </c>
      <c r="AD528" s="3" t="s">
        <v>1902</v>
      </c>
      <c r="AE528" s="3" t="s">
        <v>1903</v>
      </c>
      <c r="AF528" s="3" t="s">
        <v>1904</v>
      </c>
      <c r="AG528" s="43"/>
      <c r="AH528" s="43"/>
      <c r="AI528" s="43">
        <v>50000</v>
      </c>
      <c r="AJ528" s="43"/>
      <c r="AK528" s="43">
        <v>150000</v>
      </c>
      <c r="AL528" s="43"/>
      <c r="AM528" s="43"/>
      <c r="AN528" s="43">
        <v>200000</v>
      </c>
      <c r="AO528" s="43"/>
      <c r="AP528" s="43"/>
      <c r="AQ528" s="43"/>
      <c r="AR528" s="43">
        <v>35000</v>
      </c>
      <c r="AS528" s="43">
        <v>435000</v>
      </c>
      <c r="AT528" s="3">
        <v>0</v>
      </c>
      <c r="AU528" s="272" t="s">
        <v>230</v>
      </c>
    </row>
    <row r="529" spans="1:47" ht="16.5" hidden="1" customHeight="1" x14ac:dyDescent="0.35">
      <c r="A529" s="2" t="s">
        <v>222</v>
      </c>
      <c r="B529" s="2" t="s">
        <v>58</v>
      </c>
      <c r="C529" s="2" t="s">
        <v>1784</v>
      </c>
      <c r="D529" s="2">
        <v>847</v>
      </c>
      <c r="E529" s="2">
        <v>8470415</v>
      </c>
      <c r="F529" s="2" t="s">
        <v>1842</v>
      </c>
      <c r="G529" s="2">
        <v>1</v>
      </c>
      <c r="H529" s="276">
        <v>432209</v>
      </c>
      <c r="I529" s="2" t="s">
        <v>393</v>
      </c>
      <c r="J529" s="2" t="s">
        <v>60</v>
      </c>
      <c r="K529" s="2" t="s">
        <v>50</v>
      </c>
      <c r="L529" s="7">
        <v>847001</v>
      </c>
      <c r="M529" s="2" t="s">
        <v>61</v>
      </c>
      <c r="N529" s="2">
        <v>200179</v>
      </c>
      <c r="O529" s="3" t="s">
        <v>1900</v>
      </c>
      <c r="P529" s="2"/>
      <c r="Q529" s="35"/>
      <c r="R529" s="2"/>
      <c r="S529" s="3" t="s">
        <v>288</v>
      </c>
      <c r="T529" s="2" t="s">
        <v>157</v>
      </c>
      <c r="U529" s="2">
        <v>6</v>
      </c>
      <c r="V529" s="2">
        <v>75000</v>
      </c>
      <c r="W529" s="3" t="s">
        <v>1905</v>
      </c>
      <c r="X529" s="36">
        <v>450000</v>
      </c>
      <c r="Y529" s="2" t="s">
        <v>210</v>
      </c>
      <c r="Z529" s="2" t="s">
        <v>197</v>
      </c>
      <c r="AA529" s="14">
        <f t="shared" si="26"/>
        <v>405000</v>
      </c>
      <c r="AB529" s="14">
        <f t="shared" si="27"/>
        <v>360000</v>
      </c>
      <c r="AC529" s="14">
        <f t="shared" si="28"/>
        <v>315000</v>
      </c>
      <c r="AD529" s="3" t="s">
        <v>1906</v>
      </c>
      <c r="AE529" s="3" t="s">
        <v>1906</v>
      </c>
      <c r="AF529" s="3" t="s">
        <v>1906</v>
      </c>
      <c r="AG529" s="43"/>
      <c r="AH529" s="43"/>
      <c r="AI529" s="43">
        <v>150000</v>
      </c>
      <c r="AJ529" s="43"/>
      <c r="AK529" s="43">
        <v>150000</v>
      </c>
      <c r="AL529" s="43"/>
      <c r="AM529" s="43"/>
      <c r="AN529" s="43">
        <v>150000</v>
      </c>
      <c r="AO529" s="43"/>
      <c r="AP529" s="43"/>
      <c r="AQ529" s="43"/>
      <c r="AR529" s="43"/>
      <c r="AS529" s="43">
        <v>450000</v>
      </c>
      <c r="AT529" s="3">
        <v>0</v>
      </c>
      <c r="AU529" s="272" t="s">
        <v>252</v>
      </c>
    </row>
    <row r="530" spans="1:47" ht="16.5" hidden="1" customHeight="1" x14ac:dyDescent="0.35">
      <c r="A530" s="2" t="s">
        <v>222</v>
      </c>
      <c r="B530" s="2" t="s">
        <v>58</v>
      </c>
      <c r="C530" s="2" t="s">
        <v>1784</v>
      </c>
      <c r="D530" s="2">
        <v>847</v>
      </c>
      <c r="E530" s="2">
        <v>8470415</v>
      </c>
      <c r="F530" s="2" t="s">
        <v>1842</v>
      </c>
      <c r="G530" s="2">
        <v>1</v>
      </c>
      <c r="H530" s="276">
        <v>432209</v>
      </c>
      <c r="I530" s="2" t="s">
        <v>393</v>
      </c>
      <c r="J530" s="2" t="s">
        <v>60</v>
      </c>
      <c r="K530" s="2" t="s">
        <v>50</v>
      </c>
      <c r="L530" s="7">
        <v>847001</v>
      </c>
      <c r="M530" s="2" t="s">
        <v>61</v>
      </c>
      <c r="N530" s="2">
        <v>200179</v>
      </c>
      <c r="O530" s="3" t="s">
        <v>1900</v>
      </c>
      <c r="P530" s="2"/>
      <c r="Q530" s="35"/>
      <c r="R530" s="2"/>
      <c r="S530" s="3" t="s">
        <v>288</v>
      </c>
      <c r="T530" s="2" t="s">
        <v>157</v>
      </c>
      <c r="U530" s="2">
        <v>1</v>
      </c>
      <c r="V530" s="2">
        <v>95000</v>
      </c>
      <c r="W530" s="3" t="s">
        <v>1907</v>
      </c>
      <c r="X530" s="36">
        <v>95000</v>
      </c>
      <c r="Y530" s="2" t="s">
        <v>210</v>
      </c>
      <c r="Z530" s="2" t="s">
        <v>197</v>
      </c>
      <c r="AA530" s="14">
        <f t="shared" si="26"/>
        <v>85500</v>
      </c>
      <c r="AB530" s="14">
        <f t="shared" si="27"/>
        <v>76000</v>
      </c>
      <c r="AC530" s="14">
        <f t="shared" si="28"/>
        <v>66500</v>
      </c>
      <c r="AD530" s="3" t="s">
        <v>1908</v>
      </c>
      <c r="AE530" s="3" t="s">
        <v>1908</v>
      </c>
      <c r="AF530" s="3" t="s">
        <v>1909</v>
      </c>
      <c r="AG530" s="43"/>
      <c r="AH530" s="43">
        <v>95000</v>
      </c>
      <c r="AI530" s="43"/>
      <c r="AJ530" s="43"/>
      <c r="AK530" s="43"/>
      <c r="AL530" s="43"/>
      <c r="AM530" s="43"/>
      <c r="AN530" s="43"/>
      <c r="AO530" s="43"/>
      <c r="AP530" s="43"/>
      <c r="AQ530" s="43"/>
      <c r="AR530" s="43"/>
      <c r="AS530" s="43">
        <v>95000</v>
      </c>
      <c r="AT530" s="3">
        <v>0</v>
      </c>
      <c r="AU530" s="272" t="s">
        <v>480</v>
      </c>
    </row>
    <row r="531" spans="1:47" ht="16.5" hidden="1" customHeight="1" x14ac:dyDescent="0.35">
      <c r="A531" s="2" t="s">
        <v>222</v>
      </c>
      <c r="B531" s="2" t="s">
        <v>58</v>
      </c>
      <c r="C531" s="2" t="s">
        <v>1784</v>
      </c>
      <c r="D531" s="2">
        <v>847</v>
      </c>
      <c r="E531" s="2">
        <v>8470415</v>
      </c>
      <c r="F531" s="2" t="s">
        <v>1842</v>
      </c>
      <c r="G531" s="2">
        <v>1</v>
      </c>
      <c r="H531" s="276">
        <v>435350</v>
      </c>
      <c r="I531" s="2" t="s">
        <v>399</v>
      </c>
      <c r="J531" s="2" t="s">
        <v>60</v>
      </c>
      <c r="K531" s="2" t="s">
        <v>50</v>
      </c>
      <c r="L531" s="7">
        <v>847001</v>
      </c>
      <c r="M531" s="2" t="s">
        <v>61</v>
      </c>
      <c r="N531" s="2">
        <v>200179</v>
      </c>
      <c r="O531" s="3" t="s">
        <v>1910</v>
      </c>
      <c r="P531" s="2">
        <v>15797.82</v>
      </c>
      <c r="Q531" s="35">
        <v>70000</v>
      </c>
      <c r="R531" s="2">
        <v>50000</v>
      </c>
      <c r="S531" s="3" t="s">
        <v>401</v>
      </c>
      <c r="T531" s="2" t="s">
        <v>157</v>
      </c>
      <c r="U531" s="2">
        <v>15</v>
      </c>
      <c r="V531" s="2">
        <v>12000</v>
      </c>
      <c r="W531" s="3" t="s">
        <v>1911</v>
      </c>
      <c r="X531" s="36">
        <v>180000</v>
      </c>
      <c r="Y531" s="2" t="s">
        <v>55</v>
      </c>
      <c r="Z531" s="2" t="s">
        <v>56</v>
      </c>
      <c r="AA531" s="14">
        <f t="shared" si="26"/>
        <v>162000</v>
      </c>
      <c r="AB531" s="14">
        <f t="shared" si="27"/>
        <v>144000</v>
      </c>
      <c r="AC531" s="14">
        <f t="shared" si="28"/>
        <v>125999.99999999999</v>
      </c>
      <c r="AD531" s="3" t="s">
        <v>1912</v>
      </c>
      <c r="AE531" s="3" t="s">
        <v>1912</v>
      </c>
      <c r="AF531" s="3" t="s">
        <v>1912</v>
      </c>
      <c r="AG531" s="43"/>
      <c r="AH531" s="43">
        <v>36000</v>
      </c>
      <c r="AI531" s="43"/>
      <c r="AJ531" s="43">
        <v>36000</v>
      </c>
      <c r="AK531" s="43"/>
      <c r="AL531" s="43" t="s">
        <v>1889</v>
      </c>
      <c r="AM531" s="43">
        <v>36000</v>
      </c>
      <c r="AN531" s="43" t="s">
        <v>1889</v>
      </c>
      <c r="AO531" s="43">
        <v>36000</v>
      </c>
      <c r="AP531" s="43"/>
      <c r="AQ531" s="43">
        <v>36000</v>
      </c>
      <c r="AR531" s="43"/>
      <c r="AS531" s="43">
        <v>180000</v>
      </c>
      <c r="AT531" s="3">
        <v>0</v>
      </c>
      <c r="AU531" s="272" t="s">
        <v>480</v>
      </c>
    </row>
    <row r="532" spans="1:47" ht="16.5" hidden="1" customHeight="1" x14ac:dyDescent="0.35">
      <c r="A532" s="2" t="s">
        <v>222</v>
      </c>
      <c r="B532" s="2" t="s">
        <v>220</v>
      </c>
      <c r="C532" s="2" t="s">
        <v>1784</v>
      </c>
      <c r="D532" s="2">
        <v>847</v>
      </c>
      <c r="E532" s="2">
        <v>8470415</v>
      </c>
      <c r="F532" s="2" t="s">
        <v>1842</v>
      </c>
      <c r="G532" s="2">
        <v>1</v>
      </c>
      <c r="H532" s="276">
        <v>435508</v>
      </c>
      <c r="I532" s="2" t="s">
        <v>405</v>
      </c>
      <c r="J532" s="2" t="s">
        <v>60</v>
      </c>
      <c r="K532" s="2" t="s">
        <v>50</v>
      </c>
      <c r="L532" s="7">
        <v>847001</v>
      </c>
      <c r="M532" s="2" t="s">
        <v>61</v>
      </c>
      <c r="N532" s="2">
        <v>200179</v>
      </c>
      <c r="O532" s="3" t="s">
        <v>1913</v>
      </c>
      <c r="P532" s="2">
        <v>146217.29999999999</v>
      </c>
      <c r="Q532" s="35">
        <v>525000</v>
      </c>
      <c r="R532" s="2">
        <v>500000</v>
      </c>
      <c r="S532" s="3" t="s">
        <v>482</v>
      </c>
      <c r="T532" s="2" t="s">
        <v>157</v>
      </c>
      <c r="U532" s="2">
        <v>1</v>
      </c>
      <c r="V532" s="2">
        <v>750000</v>
      </c>
      <c r="W532" s="3" t="s">
        <v>1914</v>
      </c>
      <c r="X532" s="36">
        <v>750000</v>
      </c>
      <c r="Y532" s="2" t="s">
        <v>55</v>
      </c>
      <c r="Z532" s="2" t="s">
        <v>56</v>
      </c>
      <c r="AA532" s="14">
        <f t="shared" si="26"/>
        <v>675000</v>
      </c>
      <c r="AB532" s="14">
        <f t="shared" si="27"/>
        <v>600000</v>
      </c>
      <c r="AC532" s="14">
        <f t="shared" si="28"/>
        <v>525000</v>
      </c>
      <c r="AD532" s="3" t="s">
        <v>1915</v>
      </c>
      <c r="AE532" s="3" t="s">
        <v>1916</v>
      </c>
      <c r="AF532" s="3" t="s">
        <v>1917</v>
      </c>
      <c r="AG532" s="43"/>
      <c r="AH532" s="43">
        <v>150000</v>
      </c>
      <c r="AI532" s="43"/>
      <c r="AJ532" s="43"/>
      <c r="AK532" s="43">
        <v>200000</v>
      </c>
      <c r="AL532" s="43"/>
      <c r="AM532" s="43"/>
      <c r="AN532" s="43">
        <v>200000</v>
      </c>
      <c r="AO532" s="43"/>
      <c r="AP532" s="43"/>
      <c r="AQ532" s="43">
        <v>200000</v>
      </c>
      <c r="AR532" s="43"/>
      <c r="AS532" s="43">
        <v>750000</v>
      </c>
      <c r="AT532" s="3">
        <v>0</v>
      </c>
      <c r="AU532" s="272" t="s">
        <v>230</v>
      </c>
    </row>
    <row r="533" spans="1:47" ht="16.5" hidden="1" customHeight="1" x14ac:dyDescent="0.35">
      <c r="A533" s="2" t="s">
        <v>222</v>
      </c>
      <c r="B533" s="2" t="s">
        <v>220</v>
      </c>
      <c r="C533" s="2" t="s">
        <v>1784</v>
      </c>
      <c r="D533" s="2">
        <v>847</v>
      </c>
      <c r="E533" s="2">
        <v>8470415</v>
      </c>
      <c r="F533" s="2" t="s">
        <v>1842</v>
      </c>
      <c r="G533" s="2">
        <v>1</v>
      </c>
      <c r="H533" s="276">
        <v>435508</v>
      </c>
      <c r="I533" s="2" t="s">
        <v>405</v>
      </c>
      <c r="J533" s="2" t="s">
        <v>60</v>
      </c>
      <c r="K533" s="2" t="s">
        <v>50</v>
      </c>
      <c r="L533" s="7">
        <v>847001</v>
      </c>
      <c r="M533" s="2" t="s">
        <v>61</v>
      </c>
      <c r="N533" s="2">
        <v>200179</v>
      </c>
      <c r="O533" s="3" t="s">
        <v>1913</v>
      </c>
      <c r="P533" s="2"/>
      <c r="Q533" s="35"/>
      <c r="R533" s="2"/>
      <c r="S533" s="3" t="s">
        <v>482</v>
      </c>
      <c r="T533" s="2" t="s">
        <v>157</v>
      </c>
      <c r="U533" s="2">
        <v>1</v>
      </c>
      <c r="V533" s="2">
        <v>250000</v>
      </c>
      <c r="W533" s="3" t="s">
        <v>1918</v>
      </c>
      <c r="X533" s="36">
        <v>250000</v>
      </c>
      <c r="Y533" s="2" t="s">
        <v>210</v>
      </c>
      <c r="Z533" s="2" t="s">
        <v>197</v>
      </c>
      <c r="AA533" s="14">
        <f t="shared" si="26"/>
        <v>225000</v>
      </c>
      <c r="AB533" s="14">
        <f t="shared" si="27"/>
        <v>200000</v>
      </c>
      <c r="AC533" s="14">
        <f t="shared" si="28"/>
        <v>175000</v>
      </c>
      <c r="AD533" s="3" t="s">
        <v>1919</v>
      </c>
      <c r="AE533" s="3" t="s">
        <v>1920</v>
      </c>
      <c r="AF533" s="3" t="s">
        <v>1920</v>
      </c>
      <c r="AG533" s="43"/>
      <c r="AH533" s="43">
        <v>200000</v>
      </c>
      <c r="AI533" s="43"/>
      <c r="AJ533" s="43"/>
      <c r="AK533" s="43">
        <v>50000</v>
      </c>
      <c r="AL533" s="43"/>
      <c r="AM533" s="43"/>
      <c r="AN533" s="43"/>
      <c r="AO533" s="43"/>
      <c r="AP533" s="43"/>
      <c r="AQ533" s="43"/>
      <c r="AR533" s="43"/>
      <c r="AS533" s="43">
        <v>250000</v>
      </c>
      <c r="AT533" s="3">
        <v>0</v>
      </c>
      <c r="AU533" s="272" t="s">
        <v>252</v>
      </c>
    </row>
    <row r="534" spans="1:47" ht="16.5" hidden="1" customHeight="1" x14ac:dyDescent="0.35">
      <c r="A534" s="2" t="s">
        <v>222</v>
      </c>
      <c r="B534" s="2" t="s">
        <v>220</v>
      </c>
      <c r="C534" s="2" t="s">
        <v>1784</v>
      </c>
      <c r="D534" s="2">
        <v>847</v>
      </c>
      <c r="E534" s="2">
        <v>8470415</v>
      </c>
      <c r="F534" s="2" t="s">
        <v>1842</v>
      </c>
      <c r="G534" s="2">
        <v>1</v>
      </c>
      <c r="H534" s="276">
        <v>435508</v>
      </c>
      <c r="I534" s="2" t="s">
        <v>405</v>
      </c>
      <c r="J534" s="2" t="s">
        <v>60</v>
      </c>
      <c r="K534" s="2" t="s">
        <v>50</v>
      </c>
      <c r="L534" s="7">
        <v>847001</v>
      </c>
      <c r="M534" s="2" t="s">
        <v>61</v>
      </c>
      <c r="N534" s="2">
        <v>200179</v>
      </c>
      <c r="O534" s="3" t="s">
        <v>1913</v>
      </c>
      <c r="P534" s="2"/>
      <c r="Q534" s="35"/>
      <c r="R534" s="2"/>
      <c r="S534" s="3" t="s">
        <v>407</v>
      </c>
      <c r="T534" s="2" t="s">
        <v>157</v>
      </c>
      <c r="U534" s="2">
        <v>6</v>
      </c>
      <c r="V534" s="2">
        <v>25000</v>
      </c>
      <c r="W534" s="3" t="s">
        <v>1905</v>
      </c>
      <c r="X534" s="36">
        <v>150000</v>
      </c>
      <c r="Y534" s="2" t="s">
        <v>210</v>
      </c>
      <c r="Z534" s="2" t="s">
        <v>197</v>
      </c>
      <c r="AA534" s="14">
        <f t="shared" si="26"/>
        <v>135000</v>
      </c>
      <c r="AB534" s="14">
        <f t="shared" si="27"/>
        <v>120000</v>
      </c>
      <c r="AC534" s="14">
        <f t="shared" si="28"/>
        <v>105000</v>
      </c>
      <c r="AD534" s="3" t="s">
        <v>1906</v>
      </c>
      <c r="AE534" s="3" t="s">
        <v>1906</v>
      </c>
      <c r="AF534" s="3" t="s">
        <v>1906</v>
      </c>
      <c r="AG534" s="43"/>
      <c r="AH534" s="43" t="s">
        <v>1889</v>
      </c>
      <c r="AI534" s="43">
        <v>50000</v>
      </c>
      <c r="AJ534" s="43"/>
      <c r="AK534" s="43">
        <v>50000</v>
      </c>
      <c r="AL534" s="43"/>
      <c r="AM534" s="43"/>
      <c r="AN534" s="43">
        <v>50000</v>
      </c>
      <c r="AO534" s="43"/>
      <c r="AP534" s="43"/>
      <c r="AQ534" s="43"/>
      <c r="AR534" s="43"/>
      <c r="AS534" s="43">
        <v>150000</v>
      </c>
      <c r="AT534" s="3">
        <v>0</v>
      </c>
      <c r="AU534" s="272" t="s">
        <v>230</v>
      </c>
    </row>
    <row r="535" spans="1:47" ht="16.5" hidden="1" customHeight="1" x14ac:dyDescent="0.35">
      <c r="A535" s="2" t="s">
        <v>222</v>
      </c>
      <c r="B535" s="2" t="s">
        <v>220</v>
      </c>
      <c r="C535" s="2" t="s">
        <v>1784</v>
      </c>
      <c r="D535" s="2">
        <v>847</v>
      </c>
      <c r="E535" s="2">
        <v>8470415</v>
      </c>
      <c r="F535" s="2" t="s">
        <v>1842</v>
      </c>
      <c r="G535" s="2">
        <v>1</v>
      </c>
      <c r="H535" s="276">
        <v>435508</v>
      </c>
      <c r="I535" s="2" t="s">
        <v>405</v>
      </c>
      <c r="J535" s="2" t="s">
        <v>60</v>
      </c>
      <c r="K535" s="2" t="s">
        <v>50</v>
      </c>
      <c r="L535" s="7">
        <v>847001</v>
      </c>
      <c r="M535" s="2" t="s">
        <v>61</v>
      </c>
      <c r="N535" s="2">
        <v>200179</v>
      </c>
      <c r="O535" s="3" t="s">
        <v>1913</v>
      </c>
      <c r="P535" s="2"/>
      <c r="Q535" s="35"/>
      <c r="R535" s="2"/>
      <c r="S535" s="3" t="s">
        <v>407</v>
      </c>
      <c r="T535" s="2" t="s">
        <v>157</v>
      </c>
      <c r="U535" s="2">
        <v>1</v>
      </c>
      <c r="V535" s="2">
        <v>50000</v>
      </c>
      <c r="W535" s="3" t="s">
        <v>1921</v>
      </c>
      <c r="X535" s="36">
        <v>50000</v>
      </c>
      <c r="Y535" s="2" t="s">
        <v>210</v>
      </c>
      <c r="Z535" s="2" t="s">
        <v>197</v>
      </c>
      <c r="AA535" s="14">
        <f t="shared" si="26"/>
        <v>45000</v>
      </c>
      <c r="AB535" s="14">
        <f t="shared" si="27"/>
        <v>40000</v>
      </c>
      <c r="AC535" s="14">
        <f t="shared" si="28"/>
        <v>35000</v>
      </c>
      <c r="AD535" s="3" t="s">
        <v>1922</v>
      </c>
      <c r="AE535" s="3" t="s">
        <v>1922</v>
      </c>
      <c r="AF535" s="3" t="s">
        <v>1923</v>
      </c>
      <c r="AG535" s="43"/>
      <c r="AH535" s="43"/>
      <c r="AI535" s="43">
        <v>20000</v>
      </c>
      <c r="AJ535" s="43"/>
      <c r="AK535" s="43"/>
      <c r="AL535" s="43"/>
      <c r="AM535" s="43">
        <v>20000</v>
      </c>
      <c r="AN535" s="43"/>
      <c r="AO535" s="43"/>
      <c r="AP535" s="43"/>
      <c r="AQ535" s="43">
        <v>10000</v>
      </c>
      <c r="AR535" s="43"/>
      <c r="AS535" s="43">
        <v>50000</v>
      </c>
      <c r="AT535" s="3">
        <v>0</v>
      </c>
      <c r="AU535" s="272" t="s">
        <v>480</v>
      </c>
    </row>
    <row r="536" spans="1:47" ht="16.5" hidden="1" customHeight="1" x14ac:dyDescent="0.35">
      <c r="A536" s="2" t="s">
        <v>161</v>
      </c>
      <c r="B536" s="2" t="s">
        <v>220</v>
      </c>
      <c r="C536" s="2" t="s">
        <v>1784</v>
      </c>
      <c r="D536" s="2">
        <v>847</v>
      </c>
      <c r="E536" s="2">
        <v>8470415</v>
      </c>
      <c r="F536" s="2" t="s">
        <v>1842</v>
      </c>
      <c r="G536" s="2">
        <v>1</v>
      </c>
      <c r="H536" s="276">
        <v>492316</v>
      </c>
      <c r="I536" s="2" t="s">
        <v>221</v>
      </c>
      <c r="J536" s="2" t="s">
        <v>60</v>
      </c>
      <c r="K536" s="2" t="s">
        <v>50</v>
      </c>
      <c r="L536" s="7">
        <v>847001</v>
      </c>
      <c r="M536" s="2" t="s">
        <v>192</v>
      </c>
      <c r="N536" s="2">
        <v>300180</v>
      </c>
      <c r="O536" s="3" t="s">
        <v>1924</v>
      </c>
      <c r="P536" s="2">
        <v>751050</v>
      </c>
      <c r="Q536" s="35">
        <v>1891417</v>
      </c>
      <c r="R536" s="2">
        <v>1891400</v>
      </c>
      <c r="S536" s="3" t="s">
        <v>422</v>
      </c>
      <c r="T536" s="2" t="s">
        <v>157</v>
      </c>
      <c r="U536" s="2">
        <v>1</v>
      </c>
      <c r="V536" s="2">
        <v>115395</v>
      </c>
      <c r="W536" s="3" t="s">
        <v>1925</v>
      </c>
      <c r="X536" s="36">
        <v>115395</v>
      </c>
      <c r="Y536" s="2" t="s">
        <v>210</v>
      </c>
      <c r="Z536" s="2" t="s">
        <v>197</v>
      </c>
      <c r="AA536" s="14">
        <f t="shared" si="26"/>
        <v>103855.5</v>
      </c>
      <c r="AB536" s="14">
        <f t="shared" si="27"/>
        <v>92316</v>
      </c>
      <c r="AC536" s="14">
        <f t="shared" si="28"/>
        <v>80776.5</v>
      </c>
      <c r="AD536" s="3" t="s">
        <v>1926</v>
      </c>
      <c r="AE536" s="3" t="s">
        <v>1927</v>
      </c>
      <c r="AF536" s="3" t="s">
        <v>1928</v>
      </c>
      <c r="AG536" s="43"/>
      <c r="AH536" s="43"/>
      <c r="AI536" s="43"/>
      <c r="AJ536" s="43"/>
      <c r="AK536" s="43"/>
      <c r="AL536" s="43"/>
      <c r="AM536" s="43"/>
      <c r="AN536" s="43">
        <v>115395</v>
      </c>
      <c r="AO536" s="43"/>
      <c r="AP536" s="43"/>
      <c r="AQ536" s="43"/>
      <c r="AR536" s="43"/>
      <c r="AS536" s="43">
        <v>115395</v>
      </c>
      <c r="AT536" s="3">
        <v>0</v>
      </c>
      <c r="AU536" s="272" t="s">
        <v>230</v>
      </c>
    </row>
    <row r="537" spans="1:47" ht="16.5" hidden="1" customHeight="1" x14ac:dyDescent="0.35">
      <c r="A537" s="2" t="s">
        <v>161</v>
      </c>
      <c r="B537" s="2" t="s">
        <v>220</v>
      </c>
      <c r="C537" s="2" t="s">
        <v>1784</v>
      </c>
      <c r="D537" s="2">
        <v>847</v>
      </c>
      <c r="E537" s="2">
        <v>8470415</v>
      </c>
      <c r="F537" s="2" t="s">
        <v>1842</v>
      </c>
      <c r="G537" s="2">
        <v>1</v>
      </c>
      <c r="H537" s="276">
        <v>492316</v>
      </c>
      <c r="I537" s="2" t="s">
        <v>221</v>
      </c>
      <c r="J537" s="2" t="s">
        <v>60</v>
      </c>
      <c r="K537" s="2" t="s">
        <v>50</v>
      </c>
      <c r="L537" s="7">
        <v>847001</v>
      </c>
      <c r="M537" s="2" t="s">
        <v>192</v>
      </c>
      <c r="N537" s="2">
        <v>300180</v>
      </c>
      <c r="O537" s="3" t="s">
        <v>1924</v>
      </c>
      <c r="P537" s="2"/>
      <c r="Q537" s="35"/>
      <c r="R537" s="2"/>
      <c r="S537" s="3" t="s">
        <v>422</v>
      </c>
      <c r="T537" s="2" t="s">
        <v>157</v>
      </c>
      <c r="U537" s="2">
        <v>1</v>
      </c>
      <c r="V537" s="2">
        <v>138600</v>
      </c>
      <c r="W537" s="3" t="s">
        <v>1929</v>
      </c>
      <c r="X537" s="36">
        <v>138600</v>
      </c>
      <c r="Y537" s="2" t="s">
        <v>210</v>
      </c>
      <c r="Z537" s="2" t="s">
        <v>197</v>
      </c>
      <c r="AA537" s="14">
        <f t="shared" si="26"/>
        <v>124740</v>
      </c>
      <c r="AB537" s="14">
        <f t="shared" si="27"/>
        <v>110880</v>
      </c>
      <c r="AC537" s="14">
        <f t="shared" si="28"/>
        <v>97020</v>
      </c>
      <c r="AD537" s="3" t="s">
        <v>1926</v>
      </c>
      <c r="AE537" s="3" t="s">
        <v>1927</v>
      </c>
      <c r="AF537" s="3" t="s">
        <v>1928</v>
      </c>
      <c r="AG537" s="43"/>
      <c r="AH537" s="43"/>
      <c r="AI537" s="43"/>
      <c r="AJ537" s="43"/>
      <c r="AK537" s="43"/>
      <c r="AL537" s="43"/>
      <c r="AM537" s="43"/>
      <c r="AN537" s="43">
        <v>138600</v>
      </c>
      <c r="AO537" s="43"/>
      <c r="AP537" s="43"/>
      <c r="AQ537" s="43"/>
      <c r="AR537" s="43"/>
      <c r="AS537" s="43">
        <v>138600</v>
      </c>
      <c r="AT537" s="3">
        <v>0</v>
      </c>
      <c r="AU537" s="272" t="s">
        <v>480</v>
      </c>
    </row>
    <row r="538" spans="1:47" ht="16.5" hidden="1" customHeight="1" x14ac:dyDescent="0.35">
      <c r="A538" s="2" t="s">
        <v>161</v>
      </c>
      <c r="B538" s="2" t="s">
        <v>220</v>
      </c>
      <c r="C538" s="2" t="s">
        <v>1784</v>
      </c>
      <c r="D538" s="2">
        <v>847</v>
      </c>
      <c r="E538" s="2">
        <v>8470415</v>
      </c>
      <c r="F538" s="2" t="s">
        <v>1842</v>
      </c>
      <c r="G538" s="2">
        <v>1</v>
      </c>
      <c r="H538" s="276">
        <v>492316</v>
      </c>
      <c r="I538" s="2" t="s">
        <v>221</v>
      </c>
      <c r="J538" s="2" t="s">
        <v>60</v>
      </c>
      <c r="K538" s="2" t="s">
        <v>50</v>
      </c>
      <c r="L538" s="7">
        <v>847001</v>
      </c>
      <c r="M538" s="2" t="s">
        <v>192</v>
      </c>
      <c r="N538" s="2">
        <v>300180</v>
      </c>
      <c r="O538" s="3" t="s">
        <v>1924</v>
      </c>
      <c r="P538" s="2"/>
      <c r="Q538" s="35"/>
      <c r="R538" s="2"/>
      <c r="S538" s="3" t="s">
        <v>422</v>
      </c>
      <c r="T538" s="2" t="s">
        <v>157</v>
      </c>
      <c r="U538" s="2">
        <v>1</v>
      </c>
      <c r="V538" s="2">
        <v>391000</v>
      </c>
      <c r="W538" s="3" t="s">
        <v>1930</v>
      </c>
      <c r="X538" s="36">
        <v>391000</v>
      </c>
      <c r="Y538" s="2" t="s">
        <v>210</v>
      </c>
      <c r="Z538" s="2" t="s">
        <v>197</v>
      </c>
      <c r="AA538" s="14">
        <f t="shared" si="26"/>
        <v>351900</v>
      </c>
      <c r="AB538" s="14">
        <f t="shared" si="27"/>
        <v>312800</v>
      </c>
      <c r="AC538" s="14">
        <f t="shared" si="28"/>
        <v>273700</v>
      </c>
      <c r="AD538" s="3" t="s">
        <v>1926</v>
      </c>
      <c r="AE538" s="3" t="s">
        <v>1927</v>
      </c>
      <c r="AF538" s="3" t="s">
        <v>1928</v>
      </c>
      <c r="AG538" s="43"/>
      <c r="AH538" s="43"/>
      <c r="AI538" s="43"/>
      <c r="AJ538" s="43"/>
      <c r="AK538" s="43"/>
      <c r="AL538" s="43"/>
      <c r="AM538" s="43"/>
      <c r="AN538" s="43">
        <v>391000</v>
      </c>
      <c r="AO538" s="43"/>
      <c r="AP538" s="43"/>
      <c r="AQ538" s="43"/>
      <c r="AR538" s="43"/>
      <c r="AS538" s="43">
        <v>391000</v>
      </c>
      <c r="AT538" s="3">
        <v>0</v>
      </c>
      <c r="AU538" s="272" t="s">
        <v>480</v>
      </c>
    </row>
    <row r="539" spans="1:47" ht="16.5" hidden="1" customHeight="1" x14ac:dyDescent="0.35">
      <c r="A539" s="2" t="s">
        <v>161</v>
      </c>
      <c r="B539" s="2" t="s">
        <v>220</v>
      </c>
      <c r="C539" s="2" t="s">
        <v>1784</v>
      </c>
      <c r="D539" s="2">
        <v>847</v>
      </c>
      <c r="E539" s="2">
        <v>8470415</v>
      </c>
      <c r="F539" s="2" t="s">
        <v>1842</v>
      </c>
      <c r="G539" s="2">
        <v>1</v>
      </c>
      <c r="H539" s="276">
        <v>492316</v>
      </c>
      <c r="I539" s="2" t="s">
        <v>221</v>
      </c>
      <c r="J539" s="2" t="s">
        <v>60</v>
      </c>
      <c r="K539" s="2" t="s">
        <v>50</v>
      </c>
      <c r="L539" s="7">
        <v>847001</v>
      </c>
      <c r="M539" s="2" t="s">
        <v>192</v>
      </c>
      <c r="N539" s="2">
        <v>300180</v>
      </c>
      <c r="O539" s="3" t="s">
        <v>1924</v>
      </c>
      <c r="P539" s="2"/>
      <c r="Q539" s="35"/>
      <c r="R539" s="2"/>
      <c r="S539" s="3" t="s">
        <v>422</v>
      </c>
      <c r="T539" s="2" t="s">
        <v>157</v>
      </c>
      <c r="U539" s="2">
        <v>1</v>
      </c>
      <c r="V539" s="2">
        <v>567000</v>
      </c>
      <c r="W539" s="3" t="s">
        <v>1931</v>
      </c>
      <c r="X539" s="36">
        <v>567000</v>
      </c>
      <c r="Y539" s="2" t="s">
        <v>210</v>
      </c>
      <c r="Z539" s="2" t="s">
        <v>197</v>
      </c>
      <c r="AA539" s="14">
        <f t="shared" si="26"/>
        <v>510300</v>
      </c>
      <c r="AB539" s="14">
        <f t="shared" si="27"/>
        <v>453600</v>
      </c>
      <c r="AC539" s="14">
        <f t="shared" si="28"/>
        <v>396900</v>
      </c>
      <c r="AD539" s="3" t="s">
        <v>1926</v>
      </c>
      <c r="AE539" s="3" t="s">
        <v>1927</v>
      </c>
      <c r="AF539" s="3" t="s">
        <v>1928</v>
      </c>
      <c r="AG539" s="43"/>
      <c r="AH539" s="43"/>
      <c r="AI539" s="43"/>
      <c r="AJ539" s="43"/>
      <c r="AK539" s="43"/>
      <c r="AL539" s="43"/>
      <c r="AM539" s="43"/>
      <c r="AN539" s="43">
        <v>567000</v>
      </c>
      <c r="AO539" s="43"/>
      <c r="AP539" s="43"/>
      <c r="AQ539" s="43"/>
      <c r="AR539" s="43"/>
      <c r="AS539" s="43">
        <v>567000</v>
      </c>
      <c r="AT539" s="3">
        <v>0</v>
      </c>
      <c r="AU539" s="272" t="s">
        <v>230</v>
      </c>
    </row>
    <row r="540" spans="1:47" ht="16.5" hidden="1" customHeight="1" x14ac:dyDescent="0.35">
      <c r="A540" s="2" t="s">
        <v>161</v>
      </c>
      <c r="B540" s="2" t="s">
        <v>220</v>
      </c>
      <c r="C540" s="2" t="s">
        <v>1784</v>
      </c>
      <c r="D540" s="2">
        <v>847</v>
      </c>
      <c r="E540" s="2">
        <v>8470415</v>
      </c>
      <c r="F540" s="2" t="s">
        <v>1842</v>
      </c>
      <c r="G540" s="2">
        <v>1</v>
      </c>
      <c r="H540" s="276">
        <v>492316</v>
      </c>
      <c r="I540" s="2" t="s">
        <v>221</v>
      </c>
      <c r="J540" s="2" t="s">
        <v>60</v>
      </c>
      <c r="K540" s="2" t="s">
        <v>50</v>
      </c>
      <c r="L540" s="7">
        <v>847001</v>
      </c>
      <c r="M540" s="2" t="s">
        <v>192</v>
      </c>
      <c r="N540" s="2">
        <v>300180</v>
      </c>
      <c r="O540" s="3" t="s">
        <v>1924</v>
      </c>
      <c r="P540" s="2"/>
      <c r="Q540" s="35"/>
      <c r="R540" s="2"/>
      <c r="S540" s="3" t="s">
        <v>422</v>
      </c>
      <c r="T540" s="2" t="s">
        <v>157</v>
      </c>
      <c r="U540" s="2">
        <v>1</v>
      </c>
      <c r="V540" s="2">
        <v>376771</v>
      </c>
      <c r="W540" s="3" t="s">
        <v>1932</v>
      </c>
      <c r="X540" s="36">
        <v>376771</v>
      </c>
      <c r="Y540" s="2" t="s">
        <v>210</v>
      </c>
      <c r="Z540" s="2" t="s">
        <v>197</v>
      </c>
      <c r="AA540" s="14">
        <f t="shared" si="26"/>
        <v>339093.9</v>
      </c>
      <c r="AB540" s="14">
        <f t="shared" si="27"/>
        <v>301416.8</v>
      </c>
      <c r="AC540" s="14">
        <f t="shared" si="28"/>
        <v>263739.7</v>
      </c>
      <c r="AD540" s="3" t="s">
        <v>1926</v>
      </c>
      <c r="AE540" s="3" t="s">
        <v>1927</v>
      </c>
      <c r="AF540" s="3" t="s">
        <v>1928</v>
      </c>
      <c r="AG540" s="43"/>
      <c r="AH540" s="43"/>
      <c r="AI540" s="43"/>
      <c r="AJ540" s="43"/>
      <c r="AK540" s="43"/>
      <c r="AL540" s="43"/>
      <c r="AM540" s="43"/>
      <c r="AN540" s="43">
        <v>376771</v>
      </c>
      <c r="AO540" s="43"/>
      <c r="AP540" s="43"/>
      <c r="AQ540" s="43"/>
      <c r="AR540" s="43"/>
      <c r="AS540" s="43">
        <v>376771</v>
      </c>
      <c r="AT540" s="3">
        <v>0</v>
      </c>
      <c r="AU540" s="272" t="s">
        <v>480</v>
      </c>
    </row>
    <row r="541" spans="1:47" ht="16.5" hidden="1" customHeight="1" x14ac:dyDescent="0.35">
      <c r="A541" s="2" t="s">
        <v>161</v>
      </c>
      <c r="B541" s="2" t="s">
        <v>220</v>
      </c>
      <c r="C541" s="2" t="s">
        <v>1784</v>
      </c>
      <c r="D541" s="2">
        <v>847</v>
      </c>
      <c r="E541" s="2">
        <v>8470415</v>
      </c>
      <c r="F541" s="2" t="s">
        <v>1842</v>
      </c>
      <c r="G541" s="2">
        <v>1</v>
      </c>
      <c r="H541" s="276">
        <v>492316</v>
      </c>
      <c r="I541" s="2" t="s">
        <v>221</v>
      </c>
      <c r="J541" s="2" t="s">
        <v>60</v>
      </c>
      <c r="K541" s="2" t="s">
        <v>50</v>
      </c>
      <c r="L541" s="7">
        <v>847001</v>
      </c>
      <c r="M541" s="2" t="s">
        <v>192</v>
      </c>
      <c r="N541" s="2">
        <v>300180</v>
      </c>
      <c r="O541" s="3" t="s">
        <v>1924</v>
      </c>
      <c r="P541" s="2"/>
      <c r="Q541" s="35"/>
      <c r="R541" s="2"/>
      <c r="S541" s="3" t="s">
        <v>422</v>
      </c>
      <c r="T541" s="2" t="s">
        <v>157</v>
      </c>
      <c r="U541" s="2">
        <v>1</v>
      </c>
      <c r="V541" s="2">
        <v>27914</v>
      </c>
      <c r="W541" s="3" t="s">
        <v>1933</v>
      </c>
      <c r="X541" s="36">
        <v>27914</v>
      </c>
      <c r="Y541" s="2" t="s">
        <v>210</v>
      </c>
      <c r="Z541" s="2" t="s">
        <v>197</v>
      </c>
      <c r="AA541" s="14">
        <f t="shared" si="26"/>
        <v>25122.600000000002</v>
      </c>
      <c r="AB541" s="14">
        <f t="shared" si="27"/>
        <v>22331.200000000001</v>
      </c>
      <c r="AC541" s="14">
        <f t="shared" si="28"/>
        <v>19539.8</v>
      </c>
      <c r="AD541" s="3" t="s">
        <v>1926</v>
      </c>
      <c r="AE541" s="3" t="s">
        <v>1927</v>
      </c>
      <c r="AF541" s="3" t="s">
        <v>1928</v>
      </c>
      <c r="AG541" s="43"/>
      <c r="AH541" s="43"/>
      <c r="AI541" s="43"/>
      <c r="AJ541" s="43"/>
      <c r="AK541" s="43"/>
      <c r="AL541" s="43"/>
      <c r="AM541" s="43"/>
      <c r="AN541" s="43">
        <v>27914</v>
      </c>
      <c r="AO541" s="43"/>
      <c r="AP541" s="43"/>
      <c r="AQ541" s="43"/>
      <c r="AR541" s="43"/>
      <c r="AS541" s="43">
        <v>27914</v>
      </c>
      <c r="AT541" s="3">
        <v>0</v>
      </c>
      <c r="AU541" s="272" t="s">
        <v>480</v>
      </c>
    </row>
    <row r="542" spans="1:47" ht="16.5" hidden="1" customHeight="1" x14ac:dyDescent="0.35">
      <c r="A542" s="2" t="s">
        <v>161</v>
      </c>
      <c r="B542" s="2" t="s">
        <v>220</v>
      </c>
      <c r="C542" s="2" t="s">
        <v>1784</v>
      </c>
      <c r="D542" s="2">
        <v>847</v>
      </c>
      <c r="E542" s="2">
        <v>8470415</v>
      </c>
      <c r="F542" s="2" t="s">
        <v>1842</v>
      </c>
      <c r="G542" s="2">
        <v>1</v>
      </c>
      <c r="H542" s="276">
        <v>492316</v>
      </c>
      <c r="I542" s="2" t="s">
        <v>221</v>
      </c>
      <c r="J542" s="2" t="s">
        <v>60</v>
      </c>
      <c r="K542" s="2" t="s">
        <v>50</v>
      </c>
      <c r="L542" s="7">
        <v>847001</v>
      </c>
      <c r="M542" s="2" t="s">
        <v>192</v>
      </c>
      <c r="N542" s="2">
        <v>300180</v>
      </c>
      <c r="O542" s="3" t="s">
        <v>1924</v>
      </c>
      <c r="P542" s="2"/>
      <c r="Q542" s="35"/>
      <c r="R542" s="2"/>
      <c r="S542" s="3" t="s">
        <v>422</v>
      </c>
      <c r="T542" s="2" t="s">
        <v>157</v>
      </c>
      <c r="U542" s="2">
        <v>1</v>
      </c>
      <c r="V542" s="2">
        <v>139734</v>
      </c>
      <c r="W542" s="3" t="s">
        <v>1934</v>
      </c>
      <c r="X542" s="36">
        <v>139734</v>
      </c>
      <c r="Y542" s="2" t="s">
        <v>210</v>
      </c>
      <c r="Z542" s="2" t="s">
        <v>197</v>
      </c>
      <c r="AA542" s="14">
        <f t="shared" si="26"/>
        <v>125760.6</v>
      </c>
      <c r="AB542" s="14">
        <f t="shared" si="27"/>
        <v>111787.20000000001</v>
      </c>
      <c r="AC542" s="14">
        <f t="shared" si="28"/>
        <v>97813.799999999988</v>
      </c>
      <c r="AD542" s="3" t="s">
        <v>1926</v>
      </c>
      <c r="AE542" s="3" t="s">
        <v>1927</v>
      </c>
      <c r="AF542" s="3" t="s">
        <v>1928</v>
      </c>
      <c r="AG542" s="43"/>
      <c r="AH542" s="43"/>
      <c r="AI542" s="43"/>
      <c r="AJ542" s="43"/>
      <c r="AK542" s="43"/>
      <c r="AL542" s="43"/>
      <c r="AM542" s="43"/>
      <c r="AN542" s="43">
        <v>139734</v>
      </c>
      <c r="AO542" s="43"/>
      <c r="AP542" s="43"/>
      <c r="AQ542" s="43"/>
      <c r="AR542" s="43"/>
      <c r="AS542" s="43">
        <v>139734</v>
      </c>
      <c r="AT542" s="3">
        <v>0</v>
      </c>
      <c r="AU542" s="272" t="s">
        <v>480</v>
      </c>
    </row>
    <row r="543" spans="1:47" ht="16.5" hidden="1" customHeight="1" x14ac:dyDescent="0.35">
      <c r="A543" s="2" t="s">
        <v>161</v>
      </c>
      <c r="B543" s="2" t="s">
        <v>220</v>
      </c>
      <c r="C543" s="2" t="s">
        <v>1784</v>
      </c>
      <c r="D543" s="2">
        <v>847</v>
      </c>
      <c r="E543" s="2">
        <v>8470415</v>
      </c>
      <c r="F543" s="2" t="s">
        <v>1842</v>
      </c>
      <c r="G543" s="2">
        <v>1</v>
      </c>
      <c r="H543" s="276">
        <v>492316</v>
      </c>
      <c r="I543" s="2" t="s">
        <v>221</v>
      </c>
      <c r="J543" s="2" t="s">
        <v>60</v>
      </c>
      <c r="K543" s="2" t="s">
        <v>50</v>
      </c>
      <c r="L543" s="7">
        <v>847001</v>
      </c>
      <c r="M543" s="2" t="s">
        <v>192</v>
      </c>
      <c r="N543" s="2">
        <v>300180</v>
      </c>
      <c r="O543" s="3" t="s">
        <v>1924</v>
      </c>
      <c r="P543" s="2"/>
      <c r="Q543" s="35"/>
      <c r="R543" s="2"/>
      <c r="S543" s="3" t="s">
        <v>422</v>
      </c>
      <c r="T543" s="2" t="s">
        <v>157</v>
      </c>
      <c r="U543" s="2">
        <v>2</v>
      </c>
      <c r="V543" s="2">
        <v>357704</v>
      </c>
      <c r="W543" s="3" t="s">
        <v>1935</v>
      </c>
      <c r="X543" s="36">
        <v>715408</v>
      </c>
      <c r="Y543" s="2" t="s">
        <v>210</v>
      </c>
      <c r="Z543" s="2" t="s">
        <v>197</v>
      </c>
      <c r="AA543" s="14">
        <f t="shared" si="26"/>
        <v>643867.20000000007</v>
      </c>
      <c r="AB543" s="14">
        <f t="shared" si="27"/>
        <v>572326.40000000002</v>
      </c>
      <c r="AC543" s="14">
        <f t="shared" si="28"/>
        <v>500785.6</v>
      </c>
      <c r="AD543" s="3" t="s">
        <v>1926</v>
      </c>
      <c r="AE543" s="3" t="s">
        <v>1927</v>
      </c>
      <c r="AF543" s="3" t="s">
        <v>1928</v>
      </c>
      <c r="AG543" s="43"/>
      <c r="AH543" s="43"/>
      <c r="AI543" s="43"/>
      <c r="AJ543" s="43"/>
      <c r="AK543" s="43"/>
      <c r="AL543" s="43"/>
      <c r="AM543" s="43"/>
      <c r="AN543" s="43">
        <v>715408</v>
      </c>
      <c r="AO543" s="43"/>
      <c r="AP543" s="43"/>
      <c r="AQ543" s="43"/>
      <c r="AR543" s="43"/>
      <c r="AS543" s="43">
        <v>715408</v>
      </c>
      <c r="AT543" s="3">
        <v>0</v>
      </c>
      <c r="AU543" s="272" t="s">
        <v>480</v>
      </c>
    </row>
    <row r="544" spans="1:47" ht="16.5" hidden="1" customHeight="1" x14ac:dyDescent="0.35">
      <c r="A544" s="2" t="s">
        <v>161</v>
      </c>
      <c r="B544" s="2" t="s">
        <v>220</v>
      </c>
      <c r="C544" s="2" t="s">
        <v>1784</v>
      </c>
      <c r="D544" s="2">
        <v>847</v>
      </c>
      <c r="E544" s="2">
        <v>8470415</v>
      </c>
      <c r="F544" s="2" t="s">
        <v>1842</v>
      </c>
      <c r="G544" s="2">
        <v>1</v>
      </c>
      <c r="H544" s="276">
        <v>492316</v>
      </c>
      <c r="I544" s="2" t="s">
        <v>221</v>
      </c>
      <c r="J544" s="2" t="s">
        <v>60</v>
      </c>
      <c r="K544" s="2" t="s">
        <v>50</v>
      </c>
      <c r="L544" s="7">
        <v>847001</v>
      </c>
      <c r="M544" s="2" t="s">
        <v>192</v>
      </c>
      <c r="N544" s="2">
        <v>300180</v>
      </c>
      <c r="O544" s="3" t="s">
        <v>1924</v>
      </c>
      <c r="P544" s="2"/>
      <c r="Q544" s="35"/>
      <c r="R544" s="2"/>
      <c r="S544" s="3" t="s">
        <v>422</v>
      </c>
      <c r="T544" s="2" t="s">
        <v>157</v>
      </c>
      <c r="U544" s="2">
        <v>1</v>
      </c>
      <c r="V544" s="2">
        <v>41177</v>
      </c>
      <c r="W544" s="3" t="s">
        <v>1936</v>
      </c>
      <c r="X544" s="36">
        <v>41177</v>
      </c>
      <c r="Y544" s="2" t="s">
        <v>210</v>
      </c>
      <c r="Z544" s="2" t="s">
        <v>197</v>
      </c>
      <c r="AA544" s="14">
        <f t="shared" si="26"/>
        <v>37059.300000000003</v>
      </c>
      <c r="AB544" s="14">
        <f t="shared" si="27"/>
        <v>32941.599999999999</v>
      </c>
      <c r="AC544" s="14">
        <f t="shared" si="28"/>
        <v>28823.899999999998</v>
      </c>
      <c r="AD544" s="3" t="s">
        <v>1926</v>
      </c>
      <c r="AE544" s="3" t="s">
        <v>1927</v>
      </c>
      <c r="AF544" s="3" t="s">
        <v>1928</v>
      </c>
      <c r="AG544" s="43"/>
      <c r="AH544" s="43"/>
      <c r="AI544" s="43"/>
      <c r="AJ544" s="43"/>
      <c r="AK544" s="43"/>
      <c r="AL544" s="43"/>
      <c r="AM544" s="43">
        <v>41177</v>
      </c>
      <c r="AN544" s="43"/>
      <c r="AO544" s="43"/>
      <c r="AP544" s="43"/>
      <c r="AQ544" s="43"/>
      <c r="AR544" s="43"/>
      <c r="AS544" s="43">
        <v>41177</v>
      </c>
      <c r="AT544" s="3">
        <v>0</v>
      </c>
      <c r="AU544" s="272" t="s">
        <v>480</v>
      </c>
    </row>
    <row r="545" spans="1:47" ht="16.5" hidden="1" customHeight="1" x14ac:dyDescent="0.35">
      <c r="A545" s="2" t="s">
        <v>161</v>
      </c>
      <c r="B545" s="2" t="s">
        <v>220</v>
      </c>
      <c r="C545" s="2" t="s">
        <v>1784</v>
      </c>
      <c r="D545" s="2">
        <v>847</v>
      </c>
      <c r="E545" s="2">
        <v>8470415</v>
      </c>
      <c r="F545" s="2" t="s">
        <v>1842</v>
      </c>
      <c r="G545" s="2">
        <v>1</v>
      </c>
      <c r="H545" s="276">
        <v>492316</v>
      </c>
      <c r="I545" s="2" t="s">
        <v>221</v>
      </c>
      <c r="J545" s="2" t="s">
        <v>60</v>
      </c>
      <c r="K545" s="2" t="s">
        <v>50</v>
      </c>
      <c r="L545" s="7">
        <v>847001</v>
      </c>
      <c r="M545" s="2" t="s">
        <v>192</v>
      </c>
      <c r="N545" s="2">
        <v>300180</v>
      </c>
      <c r="O545" s="3" t="s">
        <v>1924</v>
      </c>
      <c r="P545" s="2" t="s">
        <v>46</v>
      </c>
      <c r="Q545" s="35" t="s">
        <v>46</v>
      </c>
      <c r="R545" s="2"/>
      <c r="S545" s="3" t="s">
        <v>422</v>
      </c>
      <c r="T545" s="2" t="s">
        <v>157</v>
      </c>
      <c r="U545" s="2">
        <v>1</v>
      </c>
      <c r="V545" s="2">
        <v>85027</v>
      </c>
      <c r="W545" s="3" t="s">
        <v>1937</v>
      </c>
      <c r="X545" s="36">
        <v>85027</v>
      </c>
      <c r="Y545" s="2" t="s">
        <v>210</v>
      </c>
      <c r="Z545" s="2" t="s">
        <v>197</v>
      </c>
      <c r="AA545" s="14">
        <f t="shared" si="26"/>
        <v>76524.3</v>
      </c>
      <c r="AB545" s="14">
        <f t="shared" si="27"/>
        <v>68021.600000000006</v>
      </c>
      <c r="AC545" s="14">
        <f t="shared" si="28"/>
        <v>59518.899999999994</v>
      </c>
      <c r="AD545" s="3" t="s">
        <v>1926</v>
      </c>
      <c r="AE545" s="3" t="s">
        <v>1927</v>
      </c>
      <c r="AF545" s="3" t="s">
        <v>1928</v>
      </c>
      <c r="AG545" s="43"/>
      <c r="AH545" s="43"/>
      <c r="AI545" s="43"/>
      <c r="AJ545" s="43"/>
      <c r="AK545" s="43"/>
      <c r="AL545" s="43"/>
      <c r="AM545" s="43">
        <v>85027</v>
      </c>
      <c r="AN545" s="43"/>
      <c r="AO545" s="43"/>
      <c r="AP545" s="43"/>
      <c r="AQ545" s="43"/>
      <c r="AR545" s="43"/>
      <c r="AS545" s="43">
        <v>85027</v>
      </c>
      <c r="AT545" s="3">
        <v>0</v>
      </c>
      <c r="AU545" s="272" t="s">
        <v>480</v>
      </c>
    </row>
    <row r="546" spans="1:47" ht="16.5" hidden="1" customHeight="1" x14ac:dyDescent="0.35">
      <c r="A546" s="2" t="s">
        <v>161</v>
      </c>
      <c r="B546" s="2" t="s">
        <v>220</v>
      </c>
      <c r="C546" s="2" t="s">
        <v>1784</v>
      </c>
      <c r="D546" s="2">
        <v>847</v>
      </c>
      <c r="E546" s="2">
        <v>8470415</v>
      </c>
      <c r="F546" s="2" t="s">
        <v>1842</v>
      </c>
      <c r="G546" s="2">
        <v>1</v>
      </c>
      <c r="H546" s="276">
        <v>492316</v>
      </c>
      <c r="I546" s="2" t="s">
        <v>221</v>
      </c>
      <c r="J546" s="2" t="s">
        <v>60</v>
      </c>
      <c r="K546" s="2" t="s">
        <v>50</v>
      </c>
      <c r="L546" s="7">
        <v>847001</v>
      </c>
      <c r="M546" s="2" t="s">
        <v>192</v>
      </c>
      <c r="N546" s="2">
        <v>300180</v>
      </c>
      <c r="O546" s="3" t="s">
        <v>1924</v>
      </c>
      <c r="P546" s="2"/>
      <c r="Q546" s="35"/>
      <c r="R546" s="2"/>
      <c r="S546" s="3" t="s">
        <v>422</v>
      </c>
      <c r="T546" s="2" t="s">
        <v>157</v>
      </c>
      <c r="U546" s="2">
        <v>2</v>
      </c>
      <c r="V546" s="2">
        <v>136371</v>
      </c>
      <c r="W546" s="3" t="s">
        <v>1938</v>
      </c>
      <c r="X546" s="36">
        <v>272742</v>
      </c>
      <c r="Y546" s="2" t="s">
        <v>210</v>
      </c>
      <c r="Z546" s="2" t="s">
        <v>197</v>
      </c>
      <c r="AA546" s="14">
        <f t="shared" si="26"/>
        <v>245467.80000000002</v>
      </c>
      <c r="AB546" s="14">
        <f t="shared" si="27"/>
        <v>218193.6</v>
      </c>
      <c r="AC546" s="14">
        <f t="shared" si="28"/>
        <v>190919.4</v>
      </c>
      <c r="AD546" s="3" t="s">
        <v>1926</v>
      </c>
      <c r="AE546" s="3" t="s">
        <v>1927</v>
      </c>
      <c r="AF546" s="3" t="s">
        <v>1928</v>
      </c>
      <c r="AG546" s="43"/>
      <c r="AH546" s="43"/>
      <c r="AI546" s="43"/>
      <c r="AJ546" s="43"/>
      <c r="AK546" s="43"/>
      <c r="AL546" s="43"/>
      <c r="AM546" s="43">
        <v>272742</v>
      </c>
      <c r="AN546" s="43"/>
      <c r="AO546" s="43"/>
      <c r="AP546" s="43"/>
      <c r="AQ546" s="43"/>
      <c r="AR546" s="43"/>
      <c r="AS546" s="43">
        <v>272742</v>
      </c>
      <c r="AT546" s="3">
        <v>0</v>
      </c>
      <c r="AU546" s="272" t="s">
        <v>230</v>
      </c>
    </row>
    <row r="547" spans="1:47" ht="16.5" hidden="1" customHeight="1" x14ac:dyDescent="0.35">
      <c r="A547" s="2" t="s">
        <v>161</v>
      </c>
      <c r="B547" s="2" t="s">
        <v>220</v>
      </c>
      <c r="C547" s="2" t="s">
        <v>1784</v>
      </c>
      <c r="D547" s="2">
        <v>847</v>
      </c>
      <c r="E547" s="2">
        <v>8470415</v>
      </c>
      <c r="F547" s="2" t="s">
        <v>1842</v>
      </c>
      <c r="G547" s="2">
        <v>1</v>
      </c>
      <c r="H547" s="276">
        <v>492316</v>
      </c>
      <c r="I547" s="2" t="s">
        <v>221</v>
      </c>
      <c r="J547" s="2" t="s">
        <v>60</v>
      </c>
      <c r="K547" s="2" t="s">
        <v>50</v>
      </c>
      <c r="L547" s="7">
        <v>847001</v>
      </c>
      <c r="M547" s="2" t="s">
        <v>192</v>
      </c>
      <c r="N547" s="2">
        <v>300180</v>
      </c>
      <c r="O547" s="3" t="s">
        <v>1924</v>
      </c>
      <c r="P547" s="2" t="s">
        <v>46</v>
      </c>
      <c r="Q547" s="35" t="s">
        <v>46</v>
      </c>
      <c r="R547" s="2"/>
      <c r="S547" s="3" t="s">
        <v>422</v>
      </c>
      <c r="T547" s="2" t="s">
        <v>157</v>
      </c>
      <c r="U547" s="2">
        <v>1</v>
      </c>
      <c r="V547" s="2">
        <v>142462</v>
      </c>
      <c r="W547" s="3" t="s">
        <v>1939</v>
      </c>
      <c r="X547" s="36">
        <v>142462</v>
      </c>
      <c r="Y547" s="2" t="s">
        <v>210</v>
      </c>
      <c r="Z547" s="2" t="s">
        <v>197</v>
      </c>
      <c r="AA547" s="14">
        <f t="shared" si="26"/>
        <v>128215.8</v>
      </c>
      <c r="AB547" s="14">
        <f t="shared" si="27"/>
        <v>113969.60000000001</v>
      </c>
      <c r="AC547" s="14">
        <f t="shared" si="28"/>
        <v>99723.4</v>
      </c>
      <c r="AD547" s="3" t="s">
        <v>1926</v>
      </c>
      <c r="AE547" s="3" t="s">
        <v>1927</v>
      </c>
      <c r="AF547" s="3" t="s">
        <v>1928</v>
      </c>
      <c r="AG547" s="43"/>
      <c r="AH547" s="43"/>
      <c r="AI547" s="43"/>
      <c r="AJ547" s="43"/>
      <c r="AK547" s="43"/>
      <c r="AL547" s="43"/>
      <c r="AM547" s="43">
        <v>142462</v>
      </c>
      <c r="AN547" s="43"/>
      <c r="AO547" s="43"/>
      <c r="AP547" s="43"/>
      <c r="AQ547" s="43"/>
      <c r="AR547" s="43"/>
      <c r="AS547" s="43">
        <v>142462</v>
      </c>
      <c r="AT547" s="3">
        <v>0</v>
      </c>
      <c r="AU547" s="272" t="s">
        <v>480</v>
      </c>
    </row>
    <row r="548" spans="1:47" ht="16.5" hidden="1" customHeight="1" x14ac:dyDescent="0.35">
      <c r="A548" s="2" t="s">
        <v>161</v>
      </c>
      <c r="B548" s="2" t="s">
        <v>220</v>
      </c>
      <c r="C548" s="2" t="s">
        <v>1784</v>
      </c>
      <c r="D548" s="2">
        <v>847</v>
      </c>
      <c r="E548" s="2">
        <v>8470415</v>
      </c>
      <c r="F548" s="2" t="s">
        <v>1842</v>
      </c>
      <c r="G548" s="2">
        <v>1</v>
      </c>
      <c r="H548" s="276">
        <v>492316</v>
      </c>
      <c r="I548" s="2" t="s">
        <v>221</v>
      </c>
      <c r="J548" s="2" t="s">
        <v>60</v>
      </c>
      <c r="K548" s="2" t="s">
        <v>50</v>
      </c>
      <c r="L548" s="7">
        <v>847001</v>
      </c>
      <c r="M548" s="2" t="s">
        <v>192</v>
      </c>
      <c r="N548" s="2">
        <v>300180</v>
      </c>
      <c r="O548" s="3" t="s">
        <v>1924</v>
      </c>
      <c r="P548" s="2"/>
      <c r="Q548" s="35"/>
      <c r="R548" s="2"/>
      <c r="S548" s="3" t="s">
        <v>422</v>
      </c>
      <c r="T548" s="2" t="s">
        <v>157</v>
      </c>
      <c r="U548" s="2">
        <v>1</v>
      </c>
      <c r="V548" s="2">
        <v>36272</v>
      </c>
      <c r="W548" s="3" t="s">
        <v>1940</v>
      </c>
      <c r="X548" s="36">
        <v>36272</v>
      </c>
      <c r="Y548" s="2" t="s">
        <v>210</v>
      </c>
      <c r="Z548" s="2" t="s">
        <v>197</v>
      </c>
      <c r="AA548" s="14">
        <f t="shared" si="26"/>
        <v>32644.799999999999</v>
      </c>
      <c r="AB548" s="14">
        <f t="shared" si="27"/>
        <v>29017.600000000002</v>
      </c>
      <c r="AC548" s="14">
        <f t="shared" si="28"/>
        <v>25390.399999999998</v>
      </c>
      <c r="AD548" s="3" t="s">
        <v>1926</v>
      </c>
      <c r="AE548" s="3" t="s">
        <v>1927</v>
      </c>
      <c r="AF548" s="3" t="s">
        <v>1928</v>
      </c>
      <c r="AG548" s="43"/>
      <c r="AH548" s="43"/>
      <c r="AI548" s="43"/>
      <c r="AJ548" s="43"/>
      <c r="AK548" s="43"/>
      <c r="AL548" s="43"/>
      <c r="AM548" s="43">
        <v>36272</v>
      </c>
      <c r="AN548" s="43"/>
      <c r="AO548" s="43"/>
      <c r="AP548" s="43"/>
      <c r="AQ548" s="43"/>
      <c r="AR548" s="43"/>
      <c r="AS548" s="43">
        <v>36272</v>
      </c>
      <c r="AT548" s="3">
        <v>0</v>
      </c>
      <c r="AU548" s="272" t="s">
        <v>480</v>
      </c>
    </row>
    <row r="549" spans="1:47" ht="16.5" hidden="1" customHeight="1" x14ac:dyDescent="0.35">
      <c r="A549" s="2" t="s">
        <v>161</v>
      </c>
      <c r="B549" s="2" t="s">
        <v>220</v>
      </c>
      <c r="C549" s="2" t="s">
        <v>1784</v>
      </c>
      <c r="D549" s="2">
        <v>847</v>
      </c>
      <c r="E549" s="2">
        <v>8470415</v>
      </c>
      <c r="F549" s="2" t="s">
        <v>1842</v>
      </c>
      <c r="G549" s="2">
        <v>1</v>
      </c>
      <c r="H549" s="276">
        <v>492316</v>
      </c>
      <c r="I549" s="2" t="s">
        <v>221</v>
      </c>
      <c r="J549" s="2" t="s">
        <v>60</v>
      </c>
      <c r="K549" s="2" t="s">
        <v>50</v>
      </c>
      <c r="L549" s="7">
        <v>847001</v>
      </c>
      <c r="M549" s="2" t="s">
        <v>192</v>
      </c>
      <c r="N549" s="2">
        <v>300180</v>
      </c>
      <c r="O549" s="3" t="s">
        <v>1924</v>
      </c>
      <c r="P549" s="2"/>
      <c r="Q549" s="35"/>
      <c r="R549" s="2"/>
      <c r="S549" s="3" t="s">
        <v>422</v>
      </c>
      <c r="T549" s="2" t="s">
        <v>157</v>
      </c>
      <c r="U549" s="2">
        <v>1</v>
      </c>
      <c r="V549" s="2">
        <v>32778</v>
      </c>
      <c r="W549" s="3" t="s">
        <v>1941</v>
      </c>
      <c r="X549" s="36">
        <v>32778</v>
      </c>
      <c r="Y549" s="2" t="s">
        <v>210</v>
      </c>
      <c r="Z549" s="2" t="s">
        <v>197</v>
      </c>
      <c r="AA549" s="14">
        <f t="shared" si="26"/>
        <v>29500.2</v>
      </c>
      <c r="AB549" s="14">
        <f t="shared" si="27"/>
        <v>26222.400000000001</v>
      </c>
      <c r="AC549" s="14">
        <f t="shared" si="28"/>
        <v>22944.6</v>
      </c>
      <c r="AD549" s="3" t="s">
        <v>1926</v>
      </c>
      <c r="AE549" s="3" t="s">
        <v>1927</v>
      </c>
      <c r="AF549" s="3" t="s">
        <v>1928</v>
      </c>
      <c r="AG549" s="43"/>
      <c r="AH549" s="43"/>
      <c r="AI549" s="43"/>
      <c r="AJ549" s="43"/>
      <c r="AK549" s="43"/>
      <c r="AL549" s="43"/>
      <c r="AM549" s="43">
        <v>32778</v>
      </c>
      <c r="AN549" s="43"/>
      <c r="AO549" s="43"/>
      <c r="AP549" s="43"/>
      <c r="AQ549" s="43"/>
      <c r="AR549" s="43"/>
      <c r="AS549" s="43">
        <v>32778</v>
      </c>
      <c r="AT549" s="3">
        <v>0</v>
      </c>
      <c r="AU549" s="272" t="s">
        <v>480</v>
      </c>
    </row>
    <row r="550" spans="1:47" ht="16.5" hidden="1" customHeight="1" x14ac:dyDescent="0.35">
      <c r="A550" s="2" t="s">
        <v>161</v>
      </c>
      <c r="B550" s="2" t="s">
        <v>220</v>
      </c>
      <c r="C550" s="2" t="s">
        <v>1784</v>
      </c>
      <c r="D550" s="2">
        <v>847</v>
      </c>
      <c r="E550" s="2">
        <v>8470415</v>
      </c>
      <c r="F550" s="2" t="s">
        <v>1842</v>
      </c>
      <c r="G550" s="2">
        <v>1</v>
      </c>
      <c r="H550" s="276">
        <v>492316</v>
      </c>
      <c r="I550" s="2" t="s">
        <v>221</v>
      </c>
      <c r="J550" s="2" t="s">
        <v>60</v>
      </c>
      <c r="K550" s="2" t="s">
        <v>50</v>
      </c>
      <c r="L550" s="7">
        <v>847001</v>
      </c>
      <c r="M550" s="2" t="s">
        <v>192</v>
      </c>
      <c r="N550" s="2">
        <v>300180</v>
      </c>
      <c r="O550" s="3" t="s">
        <v>1924</v>
      </c>
      <c r="P550" s="2"/>
      <c r="Q550" s="35"/>
      <c r="R550" s="2"/>
      <c r="S550" s="3" t="s">
        <v>422</v>
      </c>
      <c r="T550" s="2" t="s">
        <v>157</v>
      </c>
      <c r="U550" s="2">
        <v>1</v>
      </c>
      <c r="V550" s="2">
        <v>304500</v>
      </c>
      <c r="W550" s="3" t="s">
        <v>1942</v>
      </c>
      <c r="X550" s="36">
        <v>304500</v>
      </c>
      <c r="Y550" s="2" t="s">
        <v>210</v>
      </c>
      <c r="Z550" s="2" t="s">
        <v>197</v>
      </c>
      <c r="AA550" s="14">
        <f t="shared" si="26"/>
        <v>274050</v>
      </c>
      <c r="AB550" s="14">
        <f t="shared" si="27"/>
        <v>243600</v>
      </c>
      <c r="AC550" s="14">
        <f t="shared" si="28"/>
        <v>213150</v>
      </c>
      <c r="AD550" s="3" t="s">
        <v>1926</v>
      </c>
      <c r="AE550" s="3" t="s">
        <v>1927</v>
      </c>
      <c r="AF550" s="3" t="s">
        <v>1928</v>
      </c>
      <c r="AG550" s="43"/>
      <c r="AH550" s="43"/>
      <c r="AI550" s="43"/>
      <c r="AJ550" s="43"/>
      <c r="AK550" s="43"/>
      <c r="AL550" s="43"/>
      <c r="AM550" s="43">
        <v>304500</v>
      </c>
      <c r="AN550" s="43"/>
      <c r="AO550" s="43"/>
      <c r="AP550" s="43"/>
      <c r="AQ550" s="43"/>
      <c r="AR550" s="43"/>
      <c r="AS550" s="43">
        <v>304500</v>
      </c>
      <c r="AT550" s="3">
        <v>0</v>
      </c>
      <c r="AU550" s="272" t="s">
        <v>480</v>
      </c>
    </row>
    <row r="551" spans="1:47" ht="16.5" hidden="1" customHeight="1" x14ac:dyDescent="0.35">
      <c r="A551" s="2" t="s">
        <v>245</v>
      </c>
      <c r="B551" s="2" t="s">
        <v>246</v>
      </c>
      <c r="C551" s="2" t="s">
        <v>1784</v>
      </c>
      <c r="D551" s="2">
        <v>847</v>
      </c>
      <c r="E551" s="2">
        <v>8470425</v>
      </c>
      <c r="F551" s="2" t="s">
        <v>1943</v>
      </c>
      <c r="G551" s="2">
        <v>1</v>
      </c>
      <c r="H551" s="276">
        <v>425510</v>
      </c>
      <c r="I551" s="2" t="s">
        <v>247</v>
      </c>
      <c r="J551" s="2" t="s">
        <v>60</v>
      </c>
      <c r="K551" s="2" t="s">
        <v>50</v>
      </c>
      <c r="L551" s="7">
        <v>847001</v>
      </c>
      <c r="M551" s="2" t="s">
        <v>61</v>
      </c>
      <c r="N551" s="2">
        <v>200179</v>
      </c>
      <c r="O551" s="3" t="s">
        <v>1944</v>
      </c>
      <c r="P551" s="2">
        <v>0</v>
      </c>
      <c r="Q551" s="35">
        <v>45000</v>
      </c>
      <c r="R551" s="2"/>
      <c r="S551" s="3" t="s">
        <v>1405</v>
      </c>
      <c r="T551" s="2" t="s">
        <v>269</v>
      </c>
      <c r="U551" s="2">
        <v>9</v>
      </c>
      <c r="V551" s="2">
        <v>5000</v>
      </c>
      <c r="W551" s="3" t="s">
        <v>1945</v>
      </c>
      <c r="X551" s="36">
        <v>45000</v>
      </c>
      <c r="Y551" s="2" t="s">
        <v>55</v>
      </c>
      <c r="Z551" s="2" t="s">
        <v>56</v>
      </c>
      <c r="AA551" s="14">
        <f t="shared" si="26"/>
        <v>40500</v>
      </c>
      <c r="AB551" s="14">
        <f t="shared" si="27"/>
        <v>36000</v>
      </c>
      <c r="AC551" s="14">
        <f t="shared" si="28"/>
        <v>31499.999999999996</v>
      </c>
      <c r="AD551" s="3" t="s">
        <v>1857</v>
      </c>
      <c r="AE551" s="3" t="s">
        <v>1857</v>
      </c>
      <c r="AF551" s="3" t="s">
        <v>1857</v>
      </c>
      <c r="AG551" s="43">
        <v>5000</v>
      </c>
      <c r="AH551" s="43"/>
      <c r="AI551" s="43">
        <v>10000</v>
      </c>
      <c r="AJ551" s="43"/>
      <c r="AK551" s="43"/>
      <c r="AL551" s="43"/>
      <c r="AM551" s="43">
        <v>10000</v>
      </c>
      <c r="AN551" s="43"/>
      <c r="AO551" s="43"/>
      <c r="AP551" s="43"/>
      <c r="AQ551" s="43">
        <v>5000</v>
      </c>
      <c r="AR551" s="43">
        <v>15000</v>
      </c>
      <c r="AS551" s="43">
        <v>45000</v>
      </c>
      <c r="AT551" s="3">
        <v>0</v>
      </c>
      <c r="AU551" s="272" t="s">
        <v>348</v>
      </c>
    </row>
    <row r="552" spans="1:47" ht="16.5" hidden="1" customHeight="1" x14ac:dyDescent="0.35">
      <c r="A552" s="2" t="s">
        <v>245</v>
      </c>
      <c r="B552" s="2" t="s">
        <v>246</v>
      </c>
      <c r="C552" s="2" t="s">
        <v>1784</v>
      </c>
      <c r="D552" s="2">
        <v>847</v>
      </c>
      <c r="E552" s="2">
        <v>8470425</v>
      </c>
      <c r="F552" s="2" t="s">
        <v>1943</v>
      </c>
      <c r="G552" s="2">
        <v>1</v>
      </c>
      <c r="H552" s="276">
        <v>425510</v>
      </c>
      <c r="I552" s="2" t="s">
        <v>247</v>
      </c>
      <c r="J552" s="2" t="s">
        <v>60</v>
      </c>
      <c r="K552" s="2" t="s">
        <v>50</v>
      </c>
      <c r="L552" s="7">
        <v>847001</v>
      </c>
      <c r="M552" s="2" t="s">
        <v>61</v>
      </c>
      <c r="N552" s="2">
        <v>200179</v>
      </c>
      <c r="O552" s="3" t="s">
        <v>1944</v>
      </c>
      <c r="P552" s="2"/>
      <c r="Q552" s="35"/>
      <c r="R552" s="2"/>
      <c r="S552" s="3" t="s">
        <v>344</v>
      </c>
      <c r="T552" s="2" t="s">
        <v>256</v>
      </c>
      <c r="U552" s="2">
        <v>1</v>
      </c>
      <c r="V552" s="2">
        <v>245000</v>
      </c>
      <c r="W552" s="3" t="s">
        <v>1946</v>
      </c>
      <c r="X552" s="36">
        <v>245000</v>
      </c>
      <c r="Y552" s="2" t="s">
        <v>210</v>
      </c>
      <c r="Z552" s="2" t="s">
        <v>197</v>
      </c>
      <c r="AA552" s="14">
        <f t="shared" si="26"/>
        <v>220500</v>
      </c>
      <c r="AB552" s="14">
        <f t="shared" si="27"/>
        <v>196000</v>
      </c>
      <c r="AC552" s="14">
        <f t="shared" si="28"/>
        <v>171500</v>
      </c>
      <c r="AD552" s="3" t="s">
        <v>1857</v>
      </c>
      <c r="AE552" s="3" t="s">
        <v>1857</v>
      </c>
      <c r="AF552" s="3" t="s">
        <v>1857</v>
      </c>
      <c r="AG552" s="43"/>
      <c r="AH552" s="43"/>
      <c r="AI552" s="43">
        <v>245000</v>
      </c>
      <c r="AJ552" s="43"/>
      <c r="AK552" s="43"/>
      <c r="AL552" s="43"/>
      <c r="AM552" s="43"/>
      <c r="AN552" s="43"/>
      <c r="AO552" s="43"/>
      <c r="AP552" s="43"/>
      <c r="AQ552" s="43"/>
      <c r="AR552" s="43"/>
      <c r="AS552" s="43">
        <v>245000</v>
      </c>
      <c r="AT552" s="3">
        <v>0</v>
      </c>
      <c r="AU552" s="272" t="s">
        <v>618</v>
      </c>
    </row>
    <row r="553" spans="1:47" ht="16.5" hidden="1" customHeight="1" x14ac:dyDescent="0.35">
      <c r="A553" s="2" t="s">
        <v>245</v>
      </c>
      <c r="B553" s="2" t="s">
        <v>58</v>
      </c>
      <c r="C553" s="2" t="s">
        <v>1784</v>
      </c>
      <c r="D553" s="2">
        <v>847</v>
      </c>
      <c r="E553" s="2">
        <v>8470425</v>
      </c>
      <c r="F553" s="2" t="s">
        <v>1943</v>
      </c>
      <c r="G553" s="2">
        <v>1</v>
      </c>
      <c r="H553" s="276">
        <v>425550</v>
      </c>
      <c r="I553" s="2" t="s">
        <v>253</v>
      </c>
      <c r="J553" s="2" t="s">
        <v>60</v>
      </c>
      <c r="K553" s="2" t="s">
        <v>50</v>
      </c>
      <c r="L553" s="7">
        <v>847001</v>
      </c>
      <c r="M553" s="2" t="s">
        <v>61</v>
      </c>
      <c r="N553" s="2">
        <v>200179</v>
      </c>
      <c r="O553" s="3" t="s">
        <v>1947</v>
      </c>
      <c r="P553" s="2" t="s">
        <v>46</v>
      </c>
      <c r="Q553" s="35">
        <v>225000</v>
      </c>
      <c r="R553" s="2"/>
      <c r="S553" s="3" t="s">
        <v>255</v>
      </c>
      <c r="T553" s="2" t="s">
        <v>269</v>
      </c>
      <c r="U553" s="2">
        <v>11</v>
      </c>
      <c r="V553" s="2">
        <v>22500</v>
      </c>
      <c r="W553" s="3" t="s">
        <v>1948</v>
      </c>
      <c r="X553" s="36">
        <v>247500</v>
      </c>
      <c r="Y553" s="2" t="s">
        <v>55</v>
      </c>
      <c r="Z553" s="2" t="s">
        <v>56</v>
      </c>
      <c r="AA553" s="14">
        <f t="shared" si="26"/>
        <v>222750</v>
      </c>
      <c r="AB553" s="14">
        <f t="shared" si="27"/>
        <v>198000</v>
      </c>
      <c r="AC553" s="14">
        <f t="shared" si="28"/>
        <v>173250</v>
      </c>
      <c r="AD553" s="3" t="s">
        <v>1857</v>
      </c>
      <c r="AE553" s="3" t="s">
        <v>1857</v>
      </c>
      <c r="AF553" s="3" t="s">
        <v>1857</v>
      </c>
      <c r="AG553" s="43">
        <v>45000</v>
      </c>
      <c r="AH553" s="43"/>
      <c r="AI553" s="43">
        <v>45000</v>
      </c>
      <c r="AJ553" s="43"/>
      <c r="AK553" s="43"/>
      <c r="AL553" s="43"/>
      <c r="AM553" s="43">
        <v>60000</v>
      </c>
      <c r="AN553" s="43"/>
      <c r="AO553" s="43"/>
      <c r="AP553" s="43">
        <v>30000</v>
      </c>
      <c r="AQ553" s="43"/>
      <c r="AR553" s="43">
        <v>67500</v>
      </c>
      <c r="AS553" s="43">
        <v>247500</v>
      </c>
      <c r="AT553" s="3">
        <v>0</v>
      </c>
      <c r="AU553" s="272" t="s">
        <v>348</v>
      </c>
    </row>
    <row r="554" spans="1:47" ht="16.5" hidden="1" customHeight="1" x14ac:dyDescent="0.35">
      <c r="A554" s="2" t="s">
        <v>222</v>
      </c>
      <c r="B554" s="2" t="s">
        <v>58</v>
      </c>
      <c r="C554" s="2" t="s">
        <v>1784</v>
      </c>
      <c r="D554" s="2">
        <v>847</v>
      </c>
      <c r="E554" s="2">
        <v>8470425</v>
      </c>
      <c r="F554" s="2" t="s">
        <v>1943</v>
      </c>
      <c r="G554" s="2">
        <v>1</v>
      </c>
      <c r="H554" s="276">
        <v>425770</v>
      </c>
      <c r="I554" s="2" t="s">
        <v>367</v>
      </c>
      <c r="J554" s="2" t="s">
        <v>60</v>
      </c>
      <c r="K554" s="2" t="s">
        <v>50</v>
      </c>
      <c r="L554" s="7">
        <v>847001</v>
      </c>
      <c r="M554" s="2" t="s">
        <v>61</v>
      </c>
      <c r="N554" s="2">
        <v>200179</v>
      </c>
      <c r="O554" s="3" t="s">
        <v>1949</v>
      </c>
      <c r="P554" s="2">
        <v>717</v>
      </c>
      <c r="Q554" s="35">
        <v>60000</v>
      </c>
      <c r="R554" s="2"/>
      <c r="S554" s="3" t="s">
        <v>926</v>
      </c>
      <c r="T554" s="2" t="s">
        <v>157</v>
      </c>
      <c r="U554" s="2">
        <v>3</v>
      </c>
      <c r="V554" s="2">
        <v>22500</v>
      </c>
      <c r="W554" s="3" t="s">
        <v>1950</v>
      </c>
      <c r="X554" s="36">
        <v>67500</v>
      </c>
      <c r="Y554" s="2" t="s">
        <v>55</v>
      </c>
      <c r="Z554" s="2" t="s">
        <v>56</v>
      </c>
      <c r="AA554" s="14">
        <f t="shared" si="26"/>
        <v>60750</v>
      </c>
      <c r="AB554" s="14">
        <f t="shared" si="27"/>
        <v>54000</v>
      </c>
      <c r="AC554" s="14">
        <f t="shared" si="28"/>
        <v>47250</v>
      </c>
      <c r="AD554" s="3" t="s">
        <v>1857</v>
      </c>
      <c r="AE554" s="3" t="s">
        <v>1857</v>
      </c>
      <c r="AF554" s="3" t="s">
        <v>1857</v>
      </c>
      <c r="AG554" s="43">
        <v>22500</v>
      </c>
      <c r="AH554" s="43"/>
      <c r="AI554" s="43"/>
      <c r="AJ554" s="43"/>
      <c r="AK554" s="43"/>
      <c r="AL554" s="43"/>
      <c r="AM554" s="43">
        <v>22500</v>
      </c>
      <c r="AN554" s="43"/>
      <c r="AO554" s="43"/>
      <c r="AP554" s="43"/>
      <c r="AQ554" s="43"/>
      <c r="AR554" s="43">
        <v>22500</v>
      </c>
      <c r="AS554" s="43">
        <v>67500</v>
      </c>
      <c r="AT554" s="3">
        <v>0</v>
      </c>
      <c r="AU554" s="272" t="s">
        <v>379</v>
      </c>
    </row>
    <row r="555" spans="1:47" ht="16.5" hidden="1" customHeight="1" x14ac:dyDescent="0.35">
      <c r="A555" s="2" t="s">
        <v>189</v>
      </c>
      <c r="B555" s="2" t="s">
        <v>265</v>
      </c>
      <c r="C555" s="2" t="s">
        <v>1784</v>
      </c>
      <c r="D555" s="2">
        <v>847</v>
      </c>
      <c r="E555" s="2">
        <v>8470425</v>
      </c>
      <c r="F555" s="2" t="s">
        <v>1943</v>
      </c>
      <c r="G555" s="2">
        <v>1</v>
      </c>
      <c r="H555" s="276">
        <v>425900</v>
      </c>
      <c r="I555" s="2" t="s">
        <v>266</v>
      </c>
      <c r="J555" s="2" t="s">
        <v>60</v>
      </c>
      <c r="K555" s="2" t="s">
        <v>50</v>
      </c>
      <c r="L555" s="7">
        <v>847001</v>
      </c>
      <c r="M555" s="2" t="s">
        <v>61</v>
      </c>
      <c r="N555" s="2">
        <v>200179</v>
      </c>
      <c r="O555" s="3" t="s">
        <v>1951</v>
      </c>
      <c r="P555" s="2"/>
      <c r="Q555" s="35"/>
      <c r="R555" s="2"/>
      <c r="S555" s="3" t="s">
        <v>268</v>
      </c>
      <c r="T555" s="2" t="s">
        <v>269</v>
      </c>
      <c r="U555" s="2">
        <v>5</v>
      </c>
      <c r="V555" s="2">
        <v>25000</v>
      </c>
      <c r="W555" s="3" t="s">
        <v>1952</v>
      </c>
      <c r="X555" s="36">
        <v>125000</v>
      </c>
      <c r="Y555" s="2" t="s">
        <v>55</v>
      </c>
      <c r="Z555" s="2" t="s">
        <v>56</v>
      </c>
      <c r="AA555" s="14">
        <f t="shared" si="26"/>
        <v>112500</v>
      </c>
      <c r="AB555" s="14">
        <f t="shared" si="27"/>
        <v>100000</v>
      </c>
      <c r="AC555" s="14">
        <f t="shared" si="28"/>
        <v>87500</v>
      </c>
      <c r="AD555" s="3" t="s">
        <v>1857</v>
      </c>
      <c r="AE555" s="3" t="s">
        <v>1857</v>
      </c>
      <c r="AF555" s="3" t="s">
        <v>1857</v>
      </c>
      <c r="AG555" s="43"/>
      <c r="AH555" s="43">
        <v>50000</v>
      </c>
      <c r="AI555" s="43"/>
      <c r="AJ555" s="43"/>
      <c r="AK555" s="43">
        <v>25000</v>
      </c>
      <c r="AL555" s="43"/>
      <c r="AM555" s="43"/>
      <c r="AN555" s="43"/>
      <c r="AO555" s="43">
        <v>50000</v>
      </c>
      <c r="AP555" s="43"/>
      <c r="AQ555" s="43"/>
      <c r="AR555" s="43"/>
      <c r="AS555" s="43">
        <v>125000</v>
      </c>
      <c r="AT555" s="3">
        <v>0</v>
      </c>
      <c r="AU555" s="272" t="s">
        <v>379</v>
      </c>
    </row>
    <row r="556" spans="1:47" ht="16.5" hidden="1" customHeight="1" x14ac:dyDescent="0.35">
      <c r="A556" s="2" t="s">
        <v>189</v>
      </c>
      <c r="B556" s="2" t="s">
        <v>265</v>
      </c>
      <c r="C556" s="2" t="s">
        <v>1784</v>
      </c>
      <c r="D556" s="2">
        <v>847</v>
      </c>
      <c r="E556" s="2">
        <v>8470425</v>
      </c>
      <c r="F556" s="2" t="s">
        <v>1943</v>
      </c>
      <c r="G556" s="2">
        <v>1</v>
      </c>
      <c r="H556" s="276">
        <v>425900</v>
      </c>
      <c r="I556" s="2" t="s">
        <v>266</v>
      </c>
      <c r="J556" s="2" t="s">
        <v>60</v>
      </c>
      <c r="K556" s="2" t="s">
        <v>50</v>
      </c>
      <c r="L556" s="7">
        <v>847001</v>
      </c>
      <c r="M556" s="2" t="s">
        <v>61</v>
      </c>
      <c r="N556" s="2">
        <v>200179</v>
      </c>
      <c r="O556" s="3" t="s">
        <v>1951</v>
      </c>
      <c r="P556" s="2" t="s">
        <v>46</v>
      </c>
      <c r="Q556" s="35">
        <v>10116</v>
      </c>
      <c r="R556" s="2"/>
      <c r="S556" s="3" t="s">
        <v>268</v>
      </c>
      <c r="T556" s="2" t="s">
        <v>269</v>
      </c>
      <c r="U556" s="2">
        <v>2</v>
      </c>
      <c r="V556" s="2">
        <v>10000</v>
      </c>
      <c r="W556" s="3" t="s">
        <v>1953</v>
      </c>
      <c r="X556" s="36">
        <v>20000</v>
      </c>
      <c r="Y556" s="2" t="s">
        <v>55</v>
      </c>
      <c r="Z556" s="2" t="s">
        <v>56</v>
      </c>
      <c r="AA556" s="14">
        <f t="shared" si="26"/>
        <v>18000</v>
      </c>
      <c r="AB556" s="14">
        <f t="shared" si="27"/>
        <v>16000</v>
      </c>
      <c r="AC556" s="14">
        <f t="shared" si="28"/>
        <v>14000</v>
      </c>
      <c r="AD556" s="3" t="s">
        <v>1857</v>
      </c>
      <c r="AE556" s="3" t="s">
        <v>1857</v>
      </c>
      <c r="AF556" s="3" t="s">
        <v>1857</v>
      </c>
      <c r="AG556" s="43">
        <v>10000</v>
      </c>
      <c r="AH556" s="43"/>
      <c r="AI556" s="43"/>
      <c r="AJ556" s="43"/>
      <c r="AK556" s="43"/>
      <c r="AL556" s="43"/>
      <c r="AM556" s="43"/>
      <c r="AN556" s="43">
        <v>10000</v>
      </c>
      <c r="AO556" s="43"/>
      <c r="AP556" s="43"/>
      <c r="AQ556" s="43"/>
      <c r="AR556" s="43"/>
      <c r="AS556" s="43">
        <v>20000</v>
      </c>
      <c r="AT556" s="3">
        <v>0</v>
      </c>
      <c r="AU556" s="272" t="s">
        <v>264</v>
      </c>
    </row>
    <row r="557" spans="1:47" ht="16.5" hidden="1" customHeight="1" x14ac:dyDescent="0.35">
      <c r="A557" s="2" t="s">
        <v>63</v>
      </c>
      <c r="B557" s="2" t="s">
        <v>64</v>
      </c>
      <c r="C557" s="2" t="s">
        <v>1784</v>
      </c>
      <c r="D557" s="2">
        <v>847</v>
      </c>
      <c r="E557" s="2">
        <v>8470425</v>
      </c>
      <c r="F557" s="2" t="s">
        <v>1943</v>
      </c>
      <c r="G557" s="2">
        <v>1</v>
      </c>
      <c r="H557" s="276">
        <v>426610</v>
      </c>
      <c r="I557" s="2" t="s">
        <v>74</v>
      </c>
      <c r="J557" s="2" t="s">
        <v>60</v>
      </c>
      <c r="K557" s="2" t="s">
        <v>50</v>
      </c>
      <c r="L557" s="7">
        <v>847001</v>
      </c>
      <c r="M557" s="2" t="s">
        <v>61</v>
      </c>
      <c r="N557" s="2">
        <v>200179</v>
      </c>
      <c r="O557" s="3" t="s">
        <v>1954</v>
      </c>
      <c r="P557" s="2">
        <v>0</v>
      </c>
      <c r="Q557" s="35">
        <v>212000</v>
      </c>
      <c r="R557" s="2"/>
      <c r="S557" s="3" t="s">
        <v>274</v>
      </c>
      <c r="T557" s="2" t="s">
        <v>157</v>
      </c>
      <c r="U557" s="2">
        <v>5</v>
      </c>
      <c r="V557" s="2">
        <v>40000</v>
      </c>
      <c r="W557" s="3" t="s">
        <v>1955</v>
      </c>
      <c r="X557" s="36">
        <v>200000</v>
      </c>
      <c r="Y557" s="2" t="s">
        <v>55</v>
      </c>
      <c r="Z557" s="2" t="s">
        <v>56</v>
      </c>
      <c r="AA557" s="14">
        <f t="shared" si="26"/>
        <v>180000</v>
      </c>
      <c r="AB557" s="14">
        <f t="shared" si="27"/>
        <v>160000</v>
      </c>
      <c r="AC557" s="14">
        <f t="shared" si="28"/>
        <v>140000</v>
      </c>
      <c r="AD557" s="3" t="s">
        <v>1857</v>
      </c>
      <c r="AE557" s="3" t="s">
        <v>1857</v>
      </c>
      <c r="AF557" s="3" t="s">
        <v>1857</v>
      </c>
      <c r="AG557" s="43">
        <v>50000</v>
      </c>
      <c r="AH557" s="43"/>
      <c r="AI557" s="43"/>
      <c r="AJ557" s="43">
        <v>50000</v>
      </c>
      <c r="AK557" s="43">
        <v>50000</v>
      </c>
      <c r="AL557" s="43"/>
      <c r="AM557" s="43">
        <v>50000</v>
      </c>
      <c r="AN557" s="43"/>
      <c r="AO557" s="43"/>
      <c r="AP557" s="43"/>
      <c r="AQ557" s="43"/>
      <c r="AR557" s="43"/>
      <c r="AS557" s="43">
        <v>200000</v>
      </c>
      <c r="AT557" s="3">
        <v>0</v>
      </c>
      <c r="AU557" s="272" t="s">
        <v>834</v>
      </c>
    </row>
    <row r="558" spans="1:47" ht="16.5" hidden="1" customHeight="1" x14ac:dyDescent="0.35">
      <c r="A558" s="2" t="s">
        <v>153</v>
      </c>
      <c r="B558" s="2" t="s">
        <v>58</v>
      </c>
      <c r="C558" s="2" t="s">
        <v>1784</v>
      </c>
      <c r="D558" s="2">
        <v>847</v>
      </c>
      <c r="E558" s="2">
        <v>8470425</v>
      </c>
      <c r="F558" s="2" t="s">
        <v>1943</v>
      </c>
      <c r="G558" s="2">
        <v>1</v>
      </c>
      <c r="H558" s="276">
        <v>428090</v>
      </c>
      <c r="I558" s="2" t="s">
        <v>154</v>
      </c>
      <c r="J558" s="2" t="s">
        <v>60</v>
      </c>
      <c r="K558" s="2" t="s">
        <v>50</v>
      </c>
      <c r="L558" s="7">
        <v>847001</v>
      </c>
      <c r="M558" s="2" t="s">
        <v>61</v>
      </c>
      <c r="N558" s="2">
        <v>200179</v>
      </c>
      <c r="O558" s="3" t="s">
        <v>1956</v>
      </c>
      <c r="P558" s="2" t="s">
        <v>46</v>
      </c>
      <c r="Q558" s="35">
        <v>128000</v>
      </c>
      <c r="R558" s="2"/>
      <c r="S558" s="3" t="s">
        <v>387</v>
      </c>
      <c r="T558" s="2" t="s">
        <v>157</v>
      </c>
      <c r="U558" s="2">
        <v>2</v>
      </c>
      <c r="V558" s="2">
        <v>64000</v>
      </c>
      <c r="W558" s="3" t="s">
        <v>1957</v>
      </c>
      <c r="X558" s="36">
        <v>128000</v>
      </c>
      <c r="Y558" s="2" t="s">
        <v>55</v>
      </c>
      <c r="Z558" s="2" t="s">
        <v>56</v>
      </c>
      <c r="AA558" s="14">
        <f t="shared" si="26"/>
        <v>115200</v>
      </c>
      <c r="AB558" s="14">
        <f t="shared" si="27"/>
        <v>102400</v>
      </c>
      <c r="AC558" s="14">
        <f t="shared" si="28"/>
        <v>89600</v>
      </c>
      <c r="AD558" s="3" t="s">
        <v>1857</v>
      </c>
      <c r="AE558" s="3" t="s">
        <v>1857</v>
      </c>
      <c r="AF558" s="3" t="s">
        <v>1857</v>
      </c>
      <c r="AG558" s="43">
        <v>64000</v>
      </c>
      <c r="AH558" s="43"/>
      <c r="AI558" s="43"/>
      <c r="AJ558" s="43"/>
      <c r="AK558" s="43"/>
      <c r="AL558" s="43"/>
      <c r="AM558" s="43"/>
      <c r="AN558" s="43"/>
      <c r="AO558" s="43">
        <v>64000</v>
      </c>
      <c r="AP558" s="43"/>
      <c r="AQ558" s="43"/>
      <c r="AR558" s="43"/>
      <c r="AS558" s="43">
        <v>128000</v>
      </c>
      <c r="AT558" s="3">
        <v>0</v>
      </c>
      <c r="AU558" s="272" t="s">
        <v>379</v>
      </c>
    </row>
    <row r="559" spans="1:47" ht="16.5" hidden="1" customHeight="1" x14ac:dyDescent="0.35">
      <c r="A559" s="2" t="s">
        <v>222</v>
      </c>
      <c r="B559" s="2" t="s">
        <v>58</v>
      </c>
      <c r="C559" s="2" t="s">
        <v>1784</v>
      </c>
      <c r="D559" s="2">
        <v>847</v>
      </c>
      <c r="E559" s="2">
        <v>8470425</v>
      </c>
      <c r="F559" s="2" t="s">
        <v>1943</v>
      </c>
      <c r="G559" s="2">
        <v>1</v>
      </c>
      <c r="H559" s="276">
        <v>435350</v>
      </c>
      <c r="I559" s="2" t="s">
        <v>399</v>
      </c>
      <c r="J559" s="2" t="s">
        <v>60</v>
      </c>
      <c r="K559" s="2" t="s">
        <v>50</v>
      </c>
      <c r="L559" s="7">
        <v>847001</v>
      </c>
      <c r="M559" s="2" t="s">
        <v>61</v>
      </c>
      <c r="N559" s="2">
        <v>200179</v>
      </c>
      <c r="O559" s="3" t="s">
        <v>1958</v>
      </c>
      <c r="P559" s="2">
        <v>31871.4</v>
      </c>
      <c r="Q559" s="35">
        <v>120000</v>
      </c>
      <c r="R559" s="2"/>
      <c r="S559" s="3" t="s">
        <v>401</v>
      </c>
      <c r="T559" s="2" t="s">
        <v>157</v>
      </c>
      <c r="U559" s="2">
        <v>15</v>
      </c>
      <c r="V559" s="2">
        <v>10000</v>
      </c>
      <c r="W559" s="3" t="s">
        <v>1959</v>
      </c>
      <c r="X559" s="36">
        <v>150000</v>
      </c>
      <c r="Y559" s="2" t="s">
        <v>55</v>
      </c>
      <c r="Z559" s="2" t="s">
        <v>56</v>
      </c>
      <c r="AA559" s="14">
        <f t="shared" si="26"/>
        <v>135000</v>
      </c>
      <c r="AB559" s="14">
        <f t="shared" si="27"/>
        <v>120000</v>
      </c>
      <c r="AC559" s="14">
        <f t="shared" si="28"/>
        <v>105000</v>
      </c>
      <c r="AD559" s="3" t="s">
        <v>1857</v>
      </c>
      <c r="AE559" s="3" t="s">
        <v>1857</v>
      </c>
      <c r="AF559" s="3" t="s">
        <v>1857</v>
      </c>
      <c r="AG559" s="43">
        <v>10000</v>
      </c>
      <c r="AH559" s="43">
        <v>10000</v>
      </c>
      <c r="AI559" s="43">
        <v>10000</v>
      </c>
      <c r="AJ559" s="43">
        <v>10000</v>
      </c>
      <c r="AK559" s="43">
        <v>10000</v>
      </c>
      <c r="AL559" s="43">
        <v>10000</v>
      </c>
      <c r="AM559" s="43">
        <v>10000</v>
      </c>
      <c r="AN559" s="43">
        <v>20000</v>
      </c>
      <c r="AO559" s="43">
        <v>10000</v>
      </c>
      <c r="AP559" s="43">
        <v>20000</v>
      </c>
      <c r="AQ559" s="43">
        <v>10000</v>
      </c>
      <c r="AR559" s="43">
        <v>20000</v>
      </c>
      <c r="AS559" s="43">
        <v>150000</v>
      </c>
      <c r="AT559" s="3">
        <v>0</v>
      </c>
      <c r="AU559" s="272" t="s">
        <v>480</v>
      </c>
    </row>
    <row r="560" spans="1:47" ht="16.5" hidden="1" customHeight="1" x14ac:dyDescent="0.35">
      <c r="A560" s="2" t="s">
        <v>222</v>
      </c>
      <c r="B560" s="2" t="s">
        <v>220</v>
      </c>
      <c r="C560" s="2" t="s">
        <v>1784</v>
      </c>
      <c r="D560" s="2">
        <v>847</v>
      </c>
      <c r="E560" s="2">
        <v>8470425</v>
      </c>
      <c r="F560" s="2" t="s">
        <v>1943</v>
      </c>
      <c r="G560" s="2">
        <v>1</v>
      </c>
      <c r="H560" s="276">
        <v>435508</v>
      </c>
      <c r="I560" s="2" t="s">
        <v>405</v>
      </c>
      <c r="J560" s="2" t="s">
        <v>60</v>
      </c>
      <c r="K560" s="2" t="s">
        <v>50</v>
      </c>
      <c r="L560" s="7">
        <v>847001</v>
      </c>
      <c r="M560" s="2" t="s">
        <v>61</v>
      </c>
      <c r="N560" s="2">
        <v>200179</v>
      </c>
      <c r="O560" s="3" t="s">
        <v>1960</v>
      </c>
      <c r="P560" s="2"/>
      <c r="Q560" s="35"/>
      <c r="R560" s="2"/>
      <c r="S560" s="3" t="s">
        <v>407</v>
      </c>
      <c r="T560" s="2" t="s">
        <v>157</v>
      </c>
      <c r="U560" s="2">
        <v>1</v>
      </c>
      <c r="V560" s="2">
        <v>39000</v>
      </c>
      <c r="W560" s="3" t="s">
        <v>1961</v>
      </c>
      <c r="X560" s="36">
        <v>39000</v>
      </c>
      <c r="Y560" s="2" t="s">
        <v>55</v>
      </c>
      <c r="Z560" s="2" t="s">
        <v>56</v>
      </c>
      <c r="AA560" s="14">
        <f t="shared" si="26"/>
        <v>35100</v>
      </c>
      <c r="AB560" s="14">
        <f t="shared" si="27"/>
        <v>31200</v>
      </c>
      <c r="AC560" s="14">
        <f t="shared" si="28"/>
        <v>27300</v>
      </c>
      <c r="AD560" s="3" t="s">
        <v>1857</v>
      </c>
      <c r="AE560" s="3" t="s">
        <v>1857</v>
      </c>
      <c r="AF560" s="3" t="s">
        <v>1857</v>
      </c>
      <c r="AG560" s="43"/>
      <c r="AH560" s="43"/>
      <c r="AI560" s="43">
        <v>39000</v>
      </c>
      <c r="AJ560" s="43"/>
      <c r="AK560" s="43"/>
      <c r="AL560" s="43"/>
      <c r="AM560" s="43"/>
      <c r="AN560" s="43"/>
      <c r="AO560" s="43"/>
      <c r="AP560" s="43"/>
      <c r="AQ560" s="43"/>
      <c r="AR560" s="43"/>
      <c r="AS560" s="43">
        <v>39000</v>
      </c>
      <c r="AT560" s="3">
        <v>0</v>
      </c>
      <c r="AU560" s="272" t="s">
        <v>834</v>
      </c>
    </row>
    <row r="561" spans="1:47" ht="16.5" hidden="1" customHeight="1" x14ac:dyDescent="0.35">
      <c r="A561" s="2" t="s">
        <v>222</v>
      </c>
      <c r="B561" s="2" t="s">
        <v>220</v>
      </c>
      <c r="C561" s="2" t="s">
        <v>1784</v>
      </c>
      <c r="D561" s="2">
        <v>847</v>
      </c>
      <c r="E561" s="2">
        <v>8470425</v>
      </c>
      <c r="F561" s="2" t="s">
        <v>1943</v>
      </c>
      <c r="G561" s="2">
        <v>1</v>
      </c>
      <c r="H561" s="276">
        <v>435508</v>
      </c>
      <c r="I561" s="2" t="s">
        <v>405</v>
      </c>
      <c r="J561" s="2" t="s">
        <v>60</v>
      </c>
      <c r="K561" s="2" t="s">
        <v>50</v>
      </c>
      <c r="L561" s="7">
        <v>847001</v>
      </c>
      <c r="M561" s="2" t="s">
        <v>61</v>
      </c>
      <c r="N561" s="2">
        <v>200179</v>
      </c>
      <c r="O561" s="3" t="s">
        <v>1960</v>
      </c>
      <c r="P561" s="2"/>
      <c r="Q561" s="35"/>
      <c r="R561" s="2"/>
      <c r="S561" s="3" t="s">
        <v>407</v>
      </c>
      <c r="T561" s="2" t="s">
        <v>157</v>
      </c>
      <c r="U561" s="2">
        <v>1</v>
      </c>
      <c r="V561" s="2">
        <v>5700</v>
      </c>
      <c r="W561" s="3" t="s">
        <v>1962</v>
      </c>
      <c r="X561" s="36">
        <v>5700</v>
      </c>
      <c r="Y561" s="2" t="s">
        <v>55</v>
      </c>
      <c r="Z561" s="2" t="s">
        <v>56</v>
      </c>
      <c r="AA561" s="14">
        <f t="shared" si="26"/>
        <v>5130</v>
      </c>
      <c r="AB561" s="14">
        <f t="shared" si="27"/>
        <v>4560</v>
      </c>
      <c r="AC561" s="14">
        <f t="shared" si="28"/>
        <v>3989.9999999999995</v>
      </c>
      <c r="AD561" s="3" t="s">
        <v>1857</v>
      </c>
      <c r="AE561" s="3" t="s">
        <v>1857</v>
      </c>
      <c r="AF561" s="3" t="s">
        <v>1857</v>
      </c>
      <c r="AG561" s="43"/>
      <c r="AH561" s="43"/>
      <c r="AI561" s="43"/>
      <c r="AJ561" s="43"/>
      <c r="AK561" s="43">
        <v>5700</v>
      </c>
      <c r="AL561" s="43"/>
      <c r="AM561" s="43"/>
      <c r="AN561" s="43"/>
      <c r="AO561" s="43"/>
      <c r="AP561" s="43"/>
      <c r="AQ561" s="43"/>
      <c r="AR561" s="43"/>
      <c r="AS561" s="43">
        <v>5700</v>
      </c>
      <c r="AT561" s="3">
        <v>0</v>
      </c>
      <c r="AU561" s="272" t="s">
        <v>834</v>
      </c>
    </row>
    <row r="562" spans="1:47" ht="16.5" hidden="1" customHeight="1" x14ac:dyDescent="0.35">
      <c r="A562" s="2" t="s">
        <v>222</v>
      </c>
      <c r="B562" s="2" t="s">
        <v>220</v>
      </c>
      <c r="C562" s="2" t="s">
        <v>1784</v>
      </c>
      <c r="D562" s="2">
        <v>847</v>
      </c>
      <c r="E562" s="2">
        <v>8470425</v>
      </c>
      <c r="F562" s="2" t="s">
        <v>1943</v>
      </c>
      <c r="G562" s="2">
        <v>1</v>
      </c>
      <c r="H562" s="276">
        <v>435508</v>
      </c>
      <c r="I562" s="2" t="s">
        <v>405</v>
      </c>
      <c r="J562" s="2" t="s">
        <v>60</v>
      </c>
      <c r="K562" s="2" t="s">
        <v>50</v>
      </c>
      <c r="L562" s="7">
        <v>847001</v>
      </c>
      <c r="M562" s="2" t="s">
        <v>61</v>
      </c>
      <c r="N562" s="2">
        <v>200179</v>
      </c>
      <c r="O562" s="3" t="s">
        <v>1960</v>
      </c>
      <c r="P562" s="2"/>
      <c r="Q562" s="35"/>
      <c r="R562" s="2"/>
      <c r="S562" s="3" t="s">
        <v>407</v>
      </c>
      <c r="T562" s="2" t="s">
        <v>157</v>
      </c>
      <c r="U562" s="2">
        <v>1</v>
      </c>
      <c r="V562" s="2">
        <v>15000</v>
      </c>
      <c r="W562" s="3" t="s">
        <v>1963</v>
      </c>
      <c r="X562" s="36">
        <v>15000</v>
      </c>
      <c r="Y562" s="2" t="s">
        <v>55</v>
      </c>
      <c r="Z562" s="2" t="s">
        <v>56</v>
      </c>
      <c r="AA562" s="14">
        <f t="shared" si="26"/>
        <v>13500</v>
      </c>
      <c r="AB562" s="14">
        <f t="shared" si="27"/>
        <v>12000</v>
      </c>
      <c r="AC562" s="14">
        <f t="shared" si="28"/>
        <v>10500</v>
      </c>
      <c r="AD562" s="3" t="s">
        <v>1857</v>
      </c>
      <c r="AE562" s="3" t="s">
        <v>1857</v>
      </c>
      <c r="AF562" s="3" t="s">
        <v>1857</v>
      </c>
      <c r="AG562" s="43"/>
      <c r="AH562" s="43"/>
      <c r="AI562" s="43"/>
      <c r="AJ562" s="43">
        <v>15000</v>
      </c>
      <c r="AK562" s="43"/>
      <c r="AL562" s="43"/>
      <c r="AM562" s="43"/>
      <c r="AN562" s="43"/>
      <c r="AO562" s="43"/>
      <c r="AP562" s="43"/>
      <c r="AQ562" s="43"/>
      <c r="AR562" s="43"/>
      <c r="AS562" s="43">
        <v>15000</v>
      </c>
      <c r="AT562" s="3">
        <v>0</v>
      </c>
      <c r="AU562" s="272" t="s">
        <v>834</v>
      </c>
    </row>
    <row r="563" spans="1:47" ht="16.5" hidden="1" customHeight="1" x14ac:dyDescent="0.35">
      <c r="A563" s="2" t="s">
        <v>222</v>
      </c>
      <c r="B563" s="2" t="s">
        <v>220</v>
      </c>
      <c r="C563" s="2" t="s">
        <v>1784</v>
      </c>
      <c r="D563" s="2">
        <v>847</v>
      </c>
      <c r="E563" s="2">
        <v>8470425</v>
      </c>
      <c r="F563" s="2" t="s">
        <v>1943</v>
      </c>
      <c r="G563" s="2">
        <v>1</v>
      </c>
      <c r="H563" s="276">
        <v>435508</v>
      </c>
      <c r="I563" s="2" t="s">
        <v>405</v>
      </c>
      <c r="J563" s="2" t="s">
        <v>60</v>
      </c>
      <c r="K563" s="2" t="s">
        <v>50</v>
      </c>
      <c r="L563" s="7">
        <v>847001</v>
      </c>
      <c r="M563" s="2" t="s">
        <v>61</v>
      </c>
      <c r="N563" s="2">
        <v>200179</v>
      </c>
      <c r="O563" s="3" t="s">
        <v>1960</v>
      </c>
      <c r="P563" s="2"/>
      <c r="Q563" s="35"/>
      <c r="R563" s="2"/>
      <c r="S563" s="3" t="s">
        <v>482</v>
      </c>
      <c r="T563" s="2" t="s">
        <v>157</v>
      </c>
      <c r="U563" s="2">
        <v>4</v>
      </c>
      <c r="V563" s="2">
        <v>30000</v>
      </c>
      <c r="W563" s="3" t="s">
        <v>1964</v>
      </c>
      <c r="X563" s="36">
        <v>120000</v>
      </c>
      <c r="Y563" s="2" t="s">
        <v>55</v>
      </c>
      <c r="Z563" s="2" t="s">
        <v>56</v>
      </c>
      <c r="AA563" s="14">
        <f t="shared" si="26"/>
        <v>108000</v>
      </c>
      <c r="AB563" s="14">
        <f t="shared" si="27"/>
        <v>96000</v>
      </c>
      <c r="AC563" s="14">
        <f t="shared" si="28"/>
        <v>84000</v>
      </c>
      <c r="AD563" s="3" t="s">
        <v>1857</v>
      </c>
      <c r="AE563" s="3" t="s">
        <v>1857</v>
      </c>
      <c r="AF563" s="3" t="s">
        <v>1857</v>
      </c>
      <c r="AG563" s="43"/>
      <c r="AH563" s="43"/>
      <c r="AI563" s="43">
        <v>30000</v>
      </c>
      <c r="AJ563" s="43">
        <v>60000</v>
      </c>
      <c r="AK563" s="43"/>
      <c r="AL563" s="43">
        <v>30000</v>
      </c>
      <c r="AM563" s="43"/>
      <c r="AN563" s="43"/>
      <c r="AO563" s="43"/>
      <c r="AP563" s="43"/>
      <c r="AQ563" s="43"/>
      <c r="AR563" s="43"/>
      <c r="AS563" s="43">
        <v>120000</v>
      </c>
      <c r="AT563" s="3">
        <v>0</v>
      </c>
      <c r="AU563" s="272" t="s">
        <v>834</v>
      </c>
    </row>
    <row r="564" spans="1:47" ht="16.5" hidden="1" customHeight="1" x14ac:dyDescent="0.35">
      <c r="A564" s="2" t="s">
        <v>222</v>
      </c>
      <c r="B564" s="2" t="s">
        <v>220</v>
      </c>
      <c r="C564" s="2" t="s">
        <v>1784</v>
      </c>
      <c r="D564" s="2">
        <v>847</v>
      </c>
      <c r="E564" s="2">
        <v>8470425</v>
      </c>
      <c r="F564" s="2" t="s">
        <v>1943</v>
      </c>
      <c r="G564" s="2">
        <v>1</v>
      </c>
      <c r="H564" s="276">
        <v>435508</v>
      </c>
      <c r="I564" s="2" t="s">
        <v>405</v>
      </c>
      <c r="J564" s="2" t="s">
        <v>60</v>
      </c>
      <c r="K564" s="2" t="s">
        <v>50</v>
      </c>
      <c r="L564" s="7">
        <v>847001</v>
      </c>
      <c r="M564" s="2" t="s">
        <v>61</v>
      </c>
      <c r="N564" s="2">
        <v>200179</v>
      </c>
      <c r="O564" s="3" t="s">
        <v>1960</v>
      </c>
      <c r="P564" s="2"/>
      <c r="Q564" s="35"/>
      <c r="R564" s="2"/>
      <c r="S564" s="3" t="s">
        <v>482</v>
      </c>
      <c r="T564" s="2" t="s">
        <v>157</v>
      </c>
      <c r="U564" s="2">
        <v>3</v>
      </c>
      <c r="V564" s="2">
        <v>25000</v>
      </c>
      <c r="W564" s="3" t="s">
        <v>1965</v>
      </c>
      <c r="X564" s="36">
        <v>75000</v>
      </c>
      <c r="Y564" s="2" t="s">
        <v>55</v>
      </c>
      <c r="Z564" s="2" t="s">
        <v>56</v>
      </c>
      <c r="AA564" s="14">
        <f t="shared" si="26"/>
        <v>67500</v>
      </c>
      <c r="AB564" s="14">
        <f t="shared" si="27"/>
        <v>60000</v>
      </c>
      <c r="AC564" s="14">
        <f t="shared" si="28"/>
        <v>52500</v>
      </c>
      <c r="AD564" s="3" t="s">
        <v>1857</v>
      </c>
      <c r="AE564" s="3" t="s">
        <v>1857</v>
      </c>
      <c r="AF564" s="3" t="s">
        <v>1857</v>
      </c>
      <c r="AG564" s="43"/>
      <c r="AH564" s="43"/>
      <c r="AI564" s="43"/>
      <c r="AJ564" s="43">
        <v>50000</v>
      </c>
      <c r="AK564" s="43">
        <v>25000</v>
      </c>
      <c r="AL564" s="43"/>
      <c r="AM564" s="43"/>
      <c r="AN564" s="43"/>
      <c r="AO564" s="43"/>
      <c r="AP564" s="43"/>
      <c r="AQ564" s="43"/>
      <c r="AR564" s="43"/>
      <c r="AS564" s="43">
        <v>75000</v>
      </c>
      <c r="AT564" s="3">
        <v>0</v>
      </c>
      <c r="AU564" s="272" t="s">
        <v>834</v>
      </c>
    </row>
    <row r="565" spans="1:47" ht="16.5" hidden="1" customHeight="1" x14ac:dyDescent="0.35">
      <c r="A565" s="2" t="s">
        <v>222</v>
      </c>
      <c r="B565" s="2" t="s">
        <v>220</v>
      </c>
      <c r="C565" s="2" t="s">
        <v>1784</v>
      </c>
      <c r="D565" s="2">
        <v>847</v>
      </c>
      <c r="E565" s="2">
        <v>8470425</v>
      </c>
      <c r="F565" s="2" t="s">
        <v>1943</v>
      </c>
      <c r="G565" s="2">
        <v>1</v>
      </c>
      <c r="H565" s="276">
        <v>435508</v>
      </c>
      <c r="I565" s="2" t="s">
        <v>405</v>
      </c>
      <c r="J565" s="2" t="s">
        <v>60</v>
      </c>
      <c r="K565" s="2" t="s">
        <v>50</v>
      </c>
      <c r="L565" s="7">
        <v>847001</v>
      </c>
      <c r="M565" s="2" t="s">
        <v>61</v>
      </c>
      <c r="N565" s="2">
        <v>200179</v>
      </c>
      <c r="O565" s="3" t="s">
        <v>1960</v>
      </c>
      <c r="P565" s="2">
        <v>227.28</v>
      </c>
      <c r="Q565" s="35">
        <v>551566</v>
      </c>
      <c r="R565" s="2"/>
      <c r="S565" s="3" t="s">
        <v>407</v>
      </c>
      <c r="T565" s="2" t="s">
        <v>157</v>
      </c>
      <c r="U565" s="2">
        <v>12</v>
      </c>
      <c r="V565" s="2">
        <v>50000</v>
      </c>
      <c r="W565" s="3" t="s">
        <v>1966</v>
      </c>
      <c r="X565" s="36">
        <v>600000</v>
      </c>
      <c r="Y565" s="2" t="s">
        <v>55</v>
      </c>
      <c r="Z565" s="2" t="s">
        <v>56</v>
      </c>
      <c r="AA565" s="14">
        <f t="shared" si="26"/>
        <v>540000</v>
      </c>
      <c r="AB565" s="14">
        <f t="shared" si="27"/>
        <v>480000</v>
      </c>
      <c r="AC565" s="14">
        <f t="shared" si="28"/>
        <v>420000</v>
      </c>
      <c r="AD565" s="3" t="s">
        <v>1857</v>
      </c>
      <c r="AE565" s="3" t="s">
        <v>1857</v>
      </c>
      <c r="AF565" s="3" t="s">
        <v>1857</v>
      </c>
      <c r="AG565" s="43"/>
      <c r="AH565" s="43">
        <v>200000</v>
      </c>
      <c r="AI565" s="43"/>
      <c r="AJ565" s="43">
        <v>200000</v>
      </c>
      <c r="AK565" s="43"/>
      <c r="AL565" s="43">
        <v>200000</v>
      </c>
      <c r="AM565" s="43"/>
      <c r="AN565" s="43"/>
      <c r="AO565" s="43"/>
      <c r="AP565" s="43"/>
      <c r="AQ565" s="43"/>
      <c r="AR565" s="43"/>
      <c r="AS565" s="43">
        <v>600000</v>
      </c>
      <c r="AT565" s="3">
        <v>0</v>
      </c>
      <c r="AU565" s="272" t="s">
        <v>834</v>
      </c>
    </row>
    <row r="566" spans="1:47" ht="16.5" hidden="1" customHeight="1" x14ac:dyDescent="0.35">
      <c r="A566" s="2" t="s">
        <v>63</v>
      </c>
      <c r="B566" s="2" t="s">
        <v>64</v>
      </c>
      <c r="C566" s="2" t="s">
        <v>1784</v>
      </c>
      <c r="D566" s="2">
        <v>847</v>
      </c>
      <c r="E566" s="2">
        <v>8470425</v>
      </c>
      <c r="F566" s="2" t="s">
        <v>1943</v>
      </c>
      <c r="G566" s="2">
        <v>1</v>
      </c>
      <c r="H566" s="276">
        <v>492310</v>
      </c>
      <c r="I566" s="2" t="s">
        <v>191</v>
      </c>
      <c r="J566" s="2" t="s">
        <v>60</v>
      </c>
      <c r="K566" s="2" t="s">
        <v>50</v>
      </c>
      <c r="L566" s="7">
        <v>847001</v>
      </c>
      <c r="M566" s="2" t="s">
        <v>192</v>
      </c>
      <c r="N566" s="2">
        <v>300180</v>
      </c>
      <c r="O566" s="3" t="s">
        <v>1967</v>
      </c>
      <c r="P566" s="2" t="s">
        <v>46</v>
      </c>
      <c r="Q566" s="35">
        <v>151348</v>
      </c>
      <c r="R566" s="2"/>
      <c r="S566" s="3" t="s">
        <v>1614</v>
      </c>
      <c r="T566" s="2" t="s">
        <v>68</v>
      </c>
      <c r="U566" s="2">
        <v>10</v>
      </c>
      <c r="V566" s="2">
        <v>80000</v>
      </c>
      <c r="W566" s="3" t="s">
        <v>1968</v>
      </c>
      <c r="X566" s="36">
        <v>800000</v>
      </c>
      <c r="Y566" s="2" t="s">
        <v>55</v>
      </c>
      <c r="Z566" s="2" t="s">
        <v>56</v>
      </c>
      <c r="AA566" s="14">
        <f t="shared" si="26"/>
        <v>720000</v>
      </c>
      <c r="AB566" s="14">
        <f t="shared" si="27"/>
        <v>640000</v>
      </c>
      <c r="AC566" s="14">
        <f t="shared" si="28"/>
        <v>560000</v>
      </c>
      <c r="AD566" s="3" t="s">
        <v>1857</v>
      </c>
      <c r="AE566" s="3" t="s">
        <v>1857</v>
      </c>
      <c r="AF566" s="3" t="s">
        <v>1857</v>
      </c>
      <c r="AG566" s="43"/>
      <c r="AH566" s="43">
        <v>400000</v>
      </c>
      <c r="AI566" s="43"/>
      <c r="AJ566" s="43"/>
      <c r="AK566" s="43">
        <v>400000</v>
      </c>
      <c r="AL566" s="43"/>
      <c r="AM566" s="43"/>
      <c r="AN566" s="43"/>
      <c r="AO566" s="43"/>
      <c r="AP566" s="43"/>
      <c r="AQ566" s="43"/>
      <c r="AR566" s="43"/>
      <c r="AS566" s="43">
        <v>800000</v>
      </c>
      <c r="AT566" s="3">
        <v>0</v>
      </c>
      <c r="AU566" s="272" t="s">
        <v>834</v>
      </c>
    </row>
    <row r="567" spans="1:47" ht="16.5" hidden="1" customHeight="1" x14ac:dyDescent="0.35">
      <c r="A567" s="2" t="s">
        <v>161</v>
      </c>
      <c r="B567" s="2" t="s">
        <v>220</v>
      </c>
      <c r="C567" s="2" t="s">
        <v>1784</v>
      </c>
      <c r="D567" s="2">
        <v>847</v>
      </c>
      <c r="E567" s="2">
        <v>8470425</v>
      </c>
      <c r="F567" s="2" t="s">
        <v>1943</v>
      </c>
      <c r="G567" s="2">
        <v>1</v>
      </c>
      <c r="H567" s="276">
        <v>492316</v>
      </c>
      <c r="I567" s="2" t="s">
        <v>221</v>
      </c>
      <c r="J567" s="2" t="s">
        <v>60</v>
      </c>
      <c r="K567" s="2" t="s">
        <v>50</v>
      </c>
      <c r="L567" s="7">
        <v>847001</v>
      </c>
      <c r="M567" s="2" t="s">
        <v>192</v>
      </c>
      <c r="N567" s="2">
        <v>300180</v>
      </c>
      <c r="O567" s="3" t="s">
        <v>1969</v>
      </c>
      <c r="P567" s="2">
        <v>1788235.67</v>
      </c>
      <c r="Q567" s="35">
        <v>1551340</v>
      </c>
      <c r="R567" s="2"/>
      <c r="S567" s="3" t="s">
        <v>422</v>
      </c>
      <c r="T567" s="2" t="s">
        <v>157</v>
      </c>
      <c r="U567" s="2">
        <v>6</v>
      </c>
      <c r="V567" s="2">
        <v>250000</v>
      </c>
      <c r="W567" s="3" t="s">
        <v>1966</v>
      </c>
      <c r="X567" s="36">
        <v>1500000</v>
      </c>
      <c r="Y567" s="2" t="s">
        <v>55</v>
      </c>
      <c r="Z567" s="2" t="s">
        <v>56</v>
      </c>
      <c r="AA567" s="14">
        <f t="shared" si="26"/>
        <v>1350000</v>
      </c>
      <c r="AB567" s="14">
        <f t="shared" si="27"/>
        <v>1200000</v>
      </c>
      <c r="AC567" s="14">
        <f t="shared" si="28"/>
        <v>1050000</v>
      </c>
      <c r="AD567" s="3" t="s">
        <v>1857</v>
      </c>
      <c r="AE567" s="3" t="s">
        <v>1857</v>
      </c>
      <c r="AF567" s="3" t="s">
        <v>1857</v>
      </c>
      <c r="AG567" s="43"/>
      <c r="AH567" s="43"/>
      <c r="AI567" s="43">
        <v>250000</v>
      </c>
      <c r="AJ567" s="43">
        <v>250000</v>
      </c>
      <c r="AK567" s="43">
        <v>500000</v>
      </c>
      <c r="AL567" s="43">
        <v>500000</v>
      </c>
      <c r="AM567" s="43"/>
      <c r="AN567" s="43"/>
      <c r="AO567" s="43"/>
      <c r="AP567" s="43"/>
      <c r="AQ567" s="43"/>
      <c r="AR567" s="43"/>
      <c r="AS567" s="43">
        <v>1500000</v>
      </c>
      <c r="AT567" s="3">
        <v>0</v>
      </c>
      <c r="AU567" s="272" t="s">
        <v>834</v>
      </c>
    </row>
    <row r="568" spans="1:47" ht="16.5" hidden="1" customHeight="1" x14ac:dyDescent="0.35">
      <c r="A568" s="2" t="s">
        <v>161</v>
      </c>
      <c r="B568" s="2" t="s">
        <v>220</v>
      </c>
      <c r="C568" s="2" t="s">
        <v>1784</v>
      </c>
      <c r="D568" s="2">
        <v>847</v>
      </c>
      <c r="E568" s="2">
        <v>8470425</v>
      </c>
      <c r="F568" s="2" t="s">
        <v>1943</v>
      </c>
      <c r="G568" s="2">
        <v>1</v>
      </c>
      <c r="H568" s="276">
        <v>492316</v>
      </c>
      <c r="I568" s="2" t="s">
        <v>221</v>
      </c>
      <c r="J568" s="2" t="s">
        <v>60</v>
      </c>
      <c r="K568" s="2" t="s">
        <v>50</v>
      </c>
      <c r="L568" s="7">
        <v>847001</v>
      </c>
      <c r="M568" s="2" t="s">
        <v>192</v>
      </c>
      <c r="N568" s="2">
        <v>300180</v>
      </c>
      <c r="O568" s="3" t="s">
        <v>1969</v>
      </c>
      <c r="P568" s="2" t="s">
        <v>46</v>
      </c>
      <c r="Q568" s="35" t="s">
        <v>46</v>
      </c>
      <c r="R568" s="2"/>
      <c r="S568" s="3" t="s">
        <v>422</v>
      </c>
      <c r="T568" s="2" t="s">
        <v>269</v>
      </c>
      <c r="U568" s="2">
        <v>1</v>
      </c>
      <c r="V568" s="2">
        <v>250000</v>
      </c>
      <c r="W568" s="3" t="s">
        <v>1970</v>
      </c>
      <c r="X568" s="36">
        <v>250000</v>
      </c>
      <c r="Y568" s="2" t="s">
        <v>55</v>
      </c>
      <c r="Z568" s="2" t="s">
        <v>56</v>
      </c>
      <c r="AA568" s="14">
        <f t="shared" si="26"/>
        <v>225000</v>
      </c>
      <c r="AB568" s="14">
        <f t="shared" si="27"/>
        <v>200000</v>
      </c>
      <c r="AC568" s="14">
        <f t="shared" si="28"/>
        <v>175000</v>
      </c>
      <c r="AD568" s="3" t="s">
        <v>1857</v>
      </c>
      <c r="AE568" s="3" t="s">
        <v>1857</v>
      </c>
      <c r="AF568" s="3" t="s">
        <v>1857</v>
      </c>
      <c r="AG568" s="43"/>
      <c r="AH568" s="43"/>
      <c r="AI568" s="43"/>
      <c r="AJ568" s="43">
        <v>250000</v>
      </c>
      <c r="AK568" s="43"/>
      <c r="AL568" s="43"/>
      <c r="AM568" s="43"/>
      <c r="AN568" s="43"/>
      <c r="AO568" s="43"/>
      <c r="AP568" s="43"/>
      <c r="AQ568" s="43"/>
      <c r="AR568" s="43"/>
      <c r="AS568" s="43">
        <v>250000</v>
      </c>
      <c r="AT568" s="3">
        <v>0</v>
      </c>
      <c r="AU568" s="272" t="s">
        <v>834</v>
      </c>
    </row>
    <row r="569" spans="1:47" ht="16.5" hidden="1" customHeight="1" x14ac:dyDescent="0.35">
      <c r="A569" s="2" t="s">
        <v>161</v>
      </c>
      <c r="B569" s="2" t="s">
        <v>220</v>
      </c>
      <c r="C569" s="2" t="s">
        <v>1784</v>
      </c>
      <c r="D569" s="2">
        <v>847</v>
      </c>
      <c r="E569" s="2">
        <v>8470425</v>
      </c>
      <c r="F569" s="2" t="s">
        <v>1943</v>
      </c>
      <c r="G569" s="2">
        <v>1</v>
      </c>
      <c r="H569" s="276">
        <v>492316</v>
      </c>
      <c r="I569" s="2" t="s">
        <v>221</v>
      </c>
      <c r="J569" s="2" t="s">
        <v>60</v>
      </c>
      <c r="K569" s="2" t="s">
        <v>50</v>
      </c>
      <c r="L569" s="7">
        <v>847001</v>
      </c>
      <c r="M569" s="2" t="s">
        <v>192</v>
      </c>
      <c r="N569" s="2">
        <v>300180</v>
      </c>
      <c r="O569" s="3" t="s">
        <v>1969</v>
      </c>
      <c r="P569" s="2"/>
      <c r="Q569" s="35"/>
      <c r="R569" s="2"/>
      <c r="S569" s="3" t="s">
        <v>422</v>
      </c>
      <c r="T569" s="2" t="s">
        <v>157</v>
      </c>
      <c r="U569" s="2">
        <v>1</v>
      </c>
      <c r="V569" s="2">
        <v>135000</v>
      </c>
      <c r="W569" s="3" t="s">
        <v>1971</v>
      </c>
      <c r="X569" s="36">
        <v>135000</v>
      </c>
      <c r="Y569" s="2" t="s">
        <v>55</v>
      </c>
      <c r="Z569" s="2" t="s">
        <v>56</v>
      </c>
      <c r="AA569" s="14">
        <f t="shared" si="26"/>
        <v>121500</v>
      </c>
      <c r="AB569" s="14">
        <f t="shared" si="27"/>
        <v>108000</v>
      </c>
      <c r="AC569" s="14">
        <f t="shared" si="28"/>
        <v>94500</v>
      </c>
      <c r="AD569" s="3" t="s">
        <v>1857</v>
      </c>
      <c r="AE569" s="3" t="s">
        <v>1857</v>
      </c>
      <c r="AF569" s="3" t="s">
        <v>1857</v>
      </c>
      <c r="AG569" s="43"/>
      <c r="AH569" s="43"/>
      <c r="AI569" s="43"/>
      <c r="AJ569" s="43"/>
      <c r="AK569" s="43">
        <v>135000</v>
      </c>
      <c r="AL569" s="43"/>
      <c r="AM569" s="43"/>
      <c r="AN569" s="43"/>
      <c r="AO569" s="43"/>
      <c r="AP569" s="43"/>
      <c r="AQ569" s="43"/>
      <c r="AR569" s="43"/>
      <c r="AS569" s="43">
        <v>135000</v>
      </c>
      <c r="AT569" s="3">
        <v>0</v>
      </c>
      <c r="AU569" s="272" t="s">
        <v>834</v>
      </c>
    </row>
    <row r="570" spans="1:47" ht="16.5" hidden="1" customHeight="1" x14ac:dyDescent="0.35">
      <c r="A570" s="2" t="s">
        <v>161</v>
      </c>
      <c r="B570" s="2" t="s">
        <v>220</v>
      </c>
      <c r="C570" s="2" t="s">
        <v>1784</v>
      </c>
      <c r="D570" s="2">
        <v>847</v>
      </c>
      <c r="E570" s="2">
        <v>8470425</v>
      </c>
      <c r="F570" s="2" t="s">
        <v>1943</v>
      </c>
      <c r="G570" s="2">
        <v>1</v>
      </c>
      <c r="H570" s="276">
        <v>492316</v>
      </c>
      <c r="I570" s="2" t="s">
        <v>221</v>
      </c>
      <c r="J570" s="2" t="s">
        <v>60</v>
      </c>
      <c r="K570" s="2" t="s">
        <v>50</v>
      </c>
      <c r="L570" s="7">
        <v>847001</v>
      </c>
      <c r="M570" s="2" t="s">
        <v>192</v>
      </c>
      <c r="N570" s="2">
        <v>300180</v>
      </c>
      <c r="O570" s="3" t="s">
        <v>1969</v>
      </c>
      <c r="P570" s="2" t="s">
        <v>46</v>
      </c>
      <c r="Q570" s="35" t="s">
        <v>46</v>
      </c>
      <c r="R570" s="2"/>
      <c r="S570" s="3" t="s">
        <v>422</v>
      </c>
      <c r="T570" s="2" t="s">
        <v>157</v>
      </c>
      <c r="U570" s="2">
        <v>1</v>
      </c>
      <c r="V570" s="2">
        <v>250000</v>
      </c>
      <c r="W570" s="3" t="s">
        <v>1972</v>
      </c>
      <c r="X570" s="36">
        <v>250000</v>
      </c>
      <c r="Y570" s="2" t="s">
        <v>55</v>
      </c>
      <c r="Z570" s="2" t="s">
        <v>56</v>
      </c>
      <c r="AA570" s="14">
        <f t="shared" si="26"/>
        <v>225000</v>
      </c>
      <c r="AB570" s="14">
        <f t="shared" si="27"/>
        <v>200000</v>
      </c>
      <c r="AC570" s="14">
        <f t="shared" si="28"/>
        <v>175000</v>
      </c>
      <c r="AD570" s="3" t="s">
        <v>1857</v>
      </c>
      <c r="AE570" s="3" t="s">
        <v>1857</v>
      </c>
      <c r="AF570" s="3" t="s">
        <v>1857</v>
      </c>
      <c r="AG570" s="43"/>
      <c r="AH570" s="43"/>
      <c r="AI570" s="43"/>
      <c r="AJ570" s="43">
        <v>250000</v>
      </c>
      <c r="AK570" s="43"/>
      <c r="AL570" s="43"/>
      <c r="AM570" s="43"/>
      <c r="AN570" s="43"/>
      <c r="AO570" s="43"/>
      <c r="AP570" s="43"/>
      <c r="AQ570" s="43"/>
      <c r="AR570" s="43"/>
      <c r="AS570" s="43">
        <v>250000</v>
      </c>
      <c r="AT570" s="3">
        <v>0</v>
      </c>
      <c r="AU570" s="272" t="s">
        <v>834</v>
      </c>
    </row>
    <row r="571" spans="1:47" ht="16.5" hidden="1" customHeight="1" x14ac:dyDescent="0.35">
      <c r="A571" s="2" t="s">
        <v>161</v>
      </c>
      <c r="B571" s="2" t="s">
        <v>220</v>
      </c>
      <c r="C571" s="2" t="s">
        <v>1784</v>
      </c>
      <c r="D571" s="2">
        <v>847</v>
      </c>
      <c r="E571" s="2">
        <v>8470425</v>
      </c>
      <c r="F571" s="2" t="s">
        <v>1943</v>
      </c>
      <c r="G571" s="2">
        <v>1</v>
      </c>
      <c r="H571" s="276">
        <v>492316</v>
      </c>
      <c r="I571" s="2" t="s">
        <v>221</v>
      </c>
      <c r="J571" s="2" t="s">
        <v>60</v>
      </c>
      <c r="K571" s="2" t="s">
        <v>50</v>
      </c>
      <c r="L571" s="7">
        <v>847001</v>
      </c>
      <c r="M571" s="2" t="s">
        <v>192</v>
      </c>
      <c r="N571" s="2">
        <v>300180</v>
      </c>
      <c r="O571" s="3" t="s">
        <v>1969</v>
      </c>
      <c r="P571" s="2" t="s">
        <v>46</v>
      </c>
      <c r="Q571" s="35" t="s">
        <v>46</v>
      </c>
      <c r="R571" s="2"/>
      <c r="S571" s="3" t="s">
        <v>422</v>
      </c>
      <c r="T571" s="2" t="s">
        <v>157</v>
      </c>
      <c r="U571" s="2">
        <v>1</v>
      </c>
      <c r="V571" s="2">
        <v>100000</v>
      </c>
      <c r="W571" s="3" t="s">
        <v>1973</v>
      </c>
      <c r="X571" s="36">
        <v>100000</v>
      </c>
      <c r="Y571" s="2" t="s">
        <v>55</v>
      </c>
      <c r="Z571" s="2" t="s">
        <v>56</v>
      </c>
      <c r="AA571" s="14">
        <f t="shared" si="26"/>
        <v>90000</v>
      </c>
      <c r="AB571" s="14">
        <f t="shared" si="27"/>
        <v>80000</v>
      </c>
      <c r="AC571" s="14">
        <f t="shared" si="28"/>
        <v>70000</v>
      </c>
      <c r="AD571" s="3" t="s">
        <v>1857</v>
      </c>
      <c r="AE571" s="3" t="s">
        <v>1857</v>
      </c>
      <c r="AF571" s="3" t="s">
        <v>1857</v>
      </c>
      <c r="AG571" s="43"/>
      <c r="AH571" s="43"/>
      <c r="AI571" s="43"/>
      <c r="AJ571" s="43"/>
      <c r="AK571" s="43">
        <v>100000</v>
      </c>
      <c r="AL571" s="43"/>
      <c r="AM571" s="43"/>
      <c r="AN571" s="43"/>
      <c r="AO571" s="43"/>
      <c r="AP571" s="43"/>
      <c r="AQ571" s="43"/>
      <c r="AR571" s="43"/>
      <c r="AS571" s="43">
        <v>100000</v>
      </c>
      <c r="AT571" s="3">
        <v>0</v>
      </c>
      <c r="AU571" s="272" t="s">
        <v>834</v>
      </c>
    </row>
    <row r="572" spans="1:47" ht="16.5" hidden="1" customHeight="1" x14ac:dyDescent="0.35">
      <c r="A572" s="2" t="s">
        <v>222</v>
      </c>
      <c r="B572" s="2" t="s">
        <v>58</v>
      </c>
      <c r="C572" s="2" t="s">
        <v>1784</v>
      </c>
      <c r="D572" s="2">
        <v>847</v>
      </c>
      <c r="E572" s="2">
        <v>8470430</v>
      </c>
      <c r="F572" s="2" t="s">
        <v>1974</v>
      </c>
      <c r="G572" s="2">
        <v>1</v>
      </c>
      <c r="H572" s="276">
        <v>425761</v>
      </c>
      <c r="I572" s="2" t="s">
        <v>1383</v>
      </c>
      <c r="J572" s="2" t="s">
        <v>60</v>
      </c>
      <c r="K572" s="2" t="s">
        <v>50</v>
      </c>
      <c r="L572" s="7">
        <v>847001</v>
      </c>
      <c r="M572" s="2" t="s">
        <v>61</v>
      </c>
      <c r="N572" s="2">
        <v>200179</v>
      </c>
      <c r="O572" s="3" t="s">
        <v>1975</v>
      </c>
      <c r="P572" s="2" t="s">
        <v>46</v>
      </c>
      <c r="Q572" s="35">
        <v>8500</v>
      </c>
      <c r="R572" s="2">
        <v>8500</v>
      </c>
      <c r="S572" s="3" t="s">
        <v>727</v>
      </c>
      <c r="T572" s="2" t="s">
        <v>68</v>
      </c>
      <c r="U572" s="2">
        <v>2</v>
      </c>
      <c r="V572" s="2">
        <v>4250</v>
      </c>
      <c r="W572" s="3" t="s">
        <v>1976</v>
      </c>
      <c r="X572" s="36">
        <v>8500</v>
      </c>
      <c r="Y572" s="2" t="s">
        <v>55</v>
      </c>
      <c r="Z572" s="2" t="s">
        <v>56</v>
      </c>
      <c r="AA572" s="14">
        <f t="shared" si="26"/>
        <v>7650</v>
      </c>
      <c r="AB572" s="14">
        <f t="shared" si="27"/>
        <v>6800</v>
      </c>
      <c r="AC572" s="14">
        <f t="shared" si="28"/>
        <v>5950</v>
      </c>
      <c r="AD572" s="3" t="s">
        <v>1977</v>
      </c>
      <c r="AE572" s="3" t="s">
        <v>1857</v>
      </c>
      <c r="AF572" s="3" t="s">
        <v>1977</v>
      </c>
      <c r="AG572" s="43"/>
      <c r="AH572" s="43">
        <v>4250</v>
      </c>
      <c r="AI572" s="43"/>
      <c r="AJ572" s="43"/>
      <c r="AK572" s="43"/>
      <c r="AL572" s="43"/>
      <c r="AM572" s="43"/>
      <c r="AN572" s="43"/>
      <c r="AO572" s="43"/>
      <c r="AP572" s="43">
        <v>4250</v>
      </c>
      <c r="AQ572" s="43"/>
      <c r="AR572" s="43"/>
      <c r="AS572" s="43">
        <v>8500</v>
      </c>
      <c r="AT572" s="3">
        <v>0</v>
      </c>
      <c r="AU572" s="272" t="s">
        <v>384</v>
      </c>
    </row>
    <row r="573" spans="1:47" ht="16.5" hidden="1" customHeight="1" x14ac:dyDescent="0.35">
      <c r="A573" s="2" t="s">
        <v>222</v>
      </c>
      <c r="B573" s="2" t="s">
        <v>58</v>
      </c>
      <c r="C573" s="2" t="s">
        <v>1784</v>
      </c>
      <c r="D573" s="2">
        <v>847</v>
      </c>
      <c r="E573" s="2">
        <v>8470430</v>
      </c>
      <c r="F573" s="2" t="s">
        <v>1974</v>
      </c>
      <c r="G573" s="2">
        <v>1</v>
      </c>
      <c r="H573" s="276">
        <v>425770</v>
      </c>
      <c r="I573" s="2" t="s">
        <v>367</v>
      </c>
      <c r="J573" s="2" t="s">
        <v>60</v>
      </c>
      <c r="K573" s="2" t="s">
        <v>50</v>
      </c>
      <c r="L573" s="7">
        <v>847001</v>
      </c>
      <c r="M573" s="2" t="s">
        <v>61</v>
      </c>
      <c r="N573" s="2">
        <v>200179</v>
      </c>
      <c r="O573" s="3" t="s">
        <v>1978</v>
      </c>
      <c r="P573" s="2">
        <v>-3393</v>
      </c>
      <c r="Q573" s="35">
        <v>373425</v>
      </c>
      <c r="R573" s="2">
        <v>150000</v>
      </c>
      <c r="S573" s="3" t="s">
        <v>369</v>
      </c>
      <c r="T573" s="2" t="s">
        <v>157</v>
      </c>
      <c r="U573" s="2">
        <v>10</v>
      </c>
      <c r="V573" s="2">
        <v>37342.5</v>
      </c>
      <c r="W573" s="3" t="s">
        <v>1979</v>
      </c>
      <c r="X573" s="36">
        <v>373425</v>
      </c>
      <c r="Y573" s="2" t="s">
        <v>55</v>
      </c>
      <c r="Z573" s="2" t="s">
        <v>56</v>
      </c>
      <c r="AA573" s="14">
        <f t="shared" si="26"/>
        <v>336082.5</v>
      </c>
      <c r="AB573" s="14">
        <f t="shared" si="27"/>
        <v>298740</v>
      </c>
      <c r="AC573" s="14">
        <f t="shared" si="28"/>
        <v>261397.49999999997</v>
      </c>
      <c r="AD573" s="3" t="s">
        <v>1980</v>
      </c>
      <c r="AE573" s="3" t="s">
        <v>1980</v>
      </c>
      <c r="AF573" s="3" t="s">
        <v>1980</v>
      </c>
      <c r="AG573" s="43">
        <v>37342.5</v>
      </c>
      <c r="AH573" s="43"/>
      <c r="AI573" s="43">
        <v>37342.5</v>
      </c>
      <c r="AJ573" s="43">
        <v>37342.5</v>
      </c>
      <c r="AK573" s="43">
        <v>37342.5</v>
      </c>
      <c r="AL573" s="43">
        <v>37342.5</v>
      </c>
      <c r="AM573" s="43">
        <v>37342.5</v>
      </c>
      <c r="AN573" s="43"/>
      <c r="AO573" s="43">
        <v>74685</v>
      </c>
      <c r="AP573" s="43">
        <v>74685</v>
      </c>
      <c r="AQ573" s="43"/>
      <c r="AR573" s="43"/>
      <c r="AS573" s="43">
        <v>373425</v>
      </c>
      <c r="AT573" s="3">
        <v>0</v>
      </c>
      <c r="AU573" s="272" t="s">
        <v>480</v>
      </c>
    </row>
    <row r="574" spans="1:47" ht="16.5" hidden="1" customHeight="1" x14ac:dyDescent="0.35">
      <c r="A574" s="2" t="s">
        <v>189</v>
      </c>
      <c r="B574" s="2" t="s">
        <v>265</v>
      </c>
      <c r="C574" s="2" t="s">
        <v>1784</v>
      </c>
      <c r="D574" s="2">
        <v>847</v>
      </c>
      <c r="E574" s="2">
        <v>8470430</v>
      </c>
      <c r="F574" s="2" t="s">
        <v>1974</v>
      </c>
      <c r="G574" s="2">
        <v>1</v>
      </c>
      <c r="H574" s="276">
        <v>425900</v>
      </c>
      <c r="I574" s="2" t="s">
        <v>266</v>
      </c>
      <c r="J574" s="2" t="s">
        <v>60</v>
      </c>
      <c r="K574" s="2" t="s">
        <v>50</v>
      </c>
      <c r="L574" s="7">
        <v>847001</v>
      </c>
      <c r="M574" s="2" t="s">
        <v>61</v>
      </c>
      <c r="N574" s="2">
        <v>200179</v>
      </c>
      <c r="O574" s="3" t="s">
        <v>1981</v>
      </c>
      <c r="P574" s="2" t="s">
        <v>46</v>
      </c>
      <c r="Q574" s="35">
        <v>12000</v>
      </c>
      <c r="R574" s="2">
        <v>12000</v>
      </c>
      <c r="S574" s="3" t="s">
        <v>268</v>
      </c>
      <c r="T574" s="2" t="s">
        <v>269</v>
      </c>
      <c r="U574" s="2">
        <v>4</v>
      </c>
      <c r="V574" s="2">
        <v>3000</v>
      </c>
      <c r="W574" s="3" t="s">
        <v>1982</v>
      </c>
      <c r="X574" s="36">
        <v>12000</v>
      </c>
      <c r="Y574" s="2" t="s">
        <v>55</v>
      </c>
      <c r="Z574" s="2" t="s">
        <v>56</v>
      </c>
      <c r="AA574" s="14">
        <f t="shared" si="26"/>
        <v>10800</v>
      </c>
      <c r="AB574" s="14">
        <f t="shared" si="27"/>
        <v>9600</v>
      </c>
      <c r="AC574" s="14">
        <f t="shared" si="28"/>
        <v>8400</v>
      </c>
      <c r="AD574" s="3" t="s">
        <v>1983</v>
      </c>
      <c r="AE574" s="3" t="s">
        <v>1983</v>
      </c>
      <c r="AF574" s="3" t="s">
        <v>1983</v>
      </c>
      <c r="AG574" s="43">
        <v>3000</v>
      </c>
      <c r="AH574" s="43"/>
      <c r="AI574" s="43"/>
      <c r="AJ574" s="43"/>
      <c r="AK574" s="43">
        <v>3000</v>
      </c>
      <c r="AL574" s="43"/>
      <c r="AM574" s="43"/>
      <c r="AN574" s="43">
        <v>3000</v>
      </c>
      <c r="AO574" s="43"/>
      <c r="AP574" s="43"/>
      <c r="AQ574" s="43"/>
      <c r="AR574" s="43">
        <v>3000</v>
      </c>
      <c r="AS574" s="43">
        <v>12000</v>
      </c>
      <c r="AT574" s="3">
        <v>0</v>
      </c>
      <c r="AU574" s="272" t="s">
        <v>816</v>
      </c>
    </row>
    <row r="575" spans="1:47" ht="16.5" hidden="1" customHeight="1" x14ac:dyDescent="0.35">
      <c r="A575" s="2" t="s">
        <v>63</v>
      </c>
      <c r="B575" s="2" t="s">
        <v>64</v>
      </c>
      <c r="C575" s="2" t="s">
        <v>1784</v>
      </c>
      <c r="D575" s="2">
        <v>847</v>
      </c>
      <c r="E575" s="2">
        <v>8470430</v>
      </c>
      <c r="F575" s="2" t="s">
        <v>1974</v>
      </c>
      <c r="G575" s="2">
        <v>1</v>
      </c>
      <c r="H575" s="276">
        <v>426610</v>
      </c>
      <c r="I575" s="2" t="s">
        <v>74</v>
      </c>
      <c r="J575" s="2" t="s">
        <v>60</v>
      </c>
      <c r="K575" s="2" t="s">
        <v>50</v>
      </c>
      <c r="L575" s="7">
        <v>847001</v>
      </c>
      <c r="M575" s="2" t="s">
        <v>61</v>
      </c>
      <c r="N575" s="2">
        <v>200179</v>
      </c>
      <c r="O575" s="3" t="s">
        <v>1984</v>
      </c>
      <c r="P575" s="2">
        <v>21822.22</v>
      </c>
      <c r="Q575" s="35">
        <v>26152</v>
      </c>
      <c r="R575" s="2">
        <v>26152</v>
      </c>
      <c r="S575" s="3" t="s">
        <v>274</v>
      </c>
      <c r="T575" s="2" t="s">
        <v>157</v>
      </c>
      <c r="U575" s="2">
        <v>3</v>
      </c>
      <c r="V575" s="2">
        <v>8717.33</v>
      </c>
      <c r="W575" s="3" t="s">
        <v>1985</v>
      </c>
      <c r="X575" s="36">
        <v>26152</v>
      </c>
      <c r="Y575" s="2" t="s">
        <v>55</v>
      </c>
      <c r="Z575" s="2" t="s">
        <v>56</v>
      </c>
      <c r="AA575" s="14">
        <f t="shared" si="26"/>
        <v>23536.799999999999</v>
      </c>
      <c r="AB575" s="14">
        <f t="shared" si="27"/>
        <v>20921.600000000002</v>
      </c>
      <c r="AC575" s="14">
        <f t="shared" si="28"/>
        <v>18306.399999999998</v>
      </c>
      <c r="AD575" s="3" t="s">
        <v>1986</v>
      </c>
      <c r="AE575" s="3" t="s">
        <v>1986</v>
      </c>
      <c r="AF575" s="3" t="s">
        <v>1986</v>
      </c>
      <c r="AG575" s="43">
        <v>13076</v>
      </c>
      <c r="AH575" s="43"/>
      <c r="AI575" s="43"/>
      <c r="AJ575" s="43"/>
      <c r="AK575" s="43"/>
      <c r="AL575" s="43"/>
      <c r="AM575" s="43"/>
      <c r="AN575" s="43">
        <v>13076</v>
      </c>
      <c r="AO575" s="43"/>
      <c r="AP575" s="43"/>
      <c r="AQ575" s="43"/>
      <c r="AR575" s="43" t="s">
        <v>1889</v>
      </c>
      <c r="AS575" s="43">
        <v>26152</v>
      </c>
      <c r="AT575" s="3">
        <v>0</v>
      </c>
      <c r="AU575" s="272" t="s">
        <v>816</v>
      </c>
    </row>
    <row r="576" spans="1:47" ht="16.5" hidden="1" customHeight="1" x14ac:dyDescent="0.35">
      <c r="A576" s="2" t="s">
        <v>222</v>
      </c>
      <c r="B576" s="2" t="s">
        <v>58</v>
      </c>
      <c r="C576" s="2" t="s">
        <v>1784</v>
      </c>
      <c r="D576" s="2">
        <v>847</v>
      </c>
      <c r="E576" s="2">
        <v>8470430</v>
      </c>
      <c r="F576" s="2" t="s">
        <v>1974</v>
      </c>
      <c r="G576" s="2">
        <v>1</v>
      </c>
      <c r="H576" s="276">
        <v>432209</v>
      </c>
      <c r="I576" s="2" t="s">
        <v>393</v>
      </c>
      <c r="J576" s="2" t="s">
        <v>60</v>
      </c>
      <c r="K576" s="2" t="s">
        <v>50</v>
      </c>
      <c r="L576" s="7">
        <v>847001</v>
      </c>
      <c r="M576" s="2" t="s">
        <v>61</v>
      </c>
      <c r="N576" s="2">
        <v>200179</v>
      </c>
      <c r="O576" s="3" t="s">
        <v>1987</v>
      </c>
      <c r="P576" s="2" t="s">
        <v>46</v>
      </c>
      <c r="Q576" s="35">
        <v>1575</v>
      </c>
      <c r="R576" s="2">
        <v>1575</v>
      </c>
      <c r="S576" s="3" t="s">
        <v>470</v>
      </c>
      <c r="T576" s="2" t="s">
        <v>157</v>
      </c>
      <c r="U576" s="2">
        <v>1</v>
      </c>
      <c r="V576" s="2">
        <v>1575</v>
      </c>
      <c r="W576" s="3" t="s">
        <v>1988</v>
      </c>
      <c r="X576" s="36">
        <v>1575</v>
      </c>
      <c r="Y576" s="2" t="s">
        <v>55</v>
      </c>
      <c r="Z576" s="2" t="s">
        <v>56</v>
      </c>
      <c r="AA576" s="14">
        <f t="shared" si="26"/>
        <v>1417.5</v>
      </c>
      <c r="AB576" s="14">
        <f t="shared" si="27"/>
        <v>1260</v>
      </c>
      <c r="AC576" s="14">
        <f t="shared" si="28"/>
        <v>1102.5</v>
      </c>
      <c r="AD576" s="3" t="s">
        <v>1989</v>
      </c>
      <c r="AE576" s="3" t="s">
        <v>1989</v>
      </c>
      <c r="AF576" s="3" t="s">
        <v>1989</v>
      </c>
      <c r="AG576" s="43"/>
      <c r="AH576" s="43"/>
      <c r="AI576" s="43"/>
      <c r="AJ576" s="43"/>
      <c r="AK576" s="43"/>
      <c r="AL576" s="43"/>
      <c r="AM576" s="43"/>
      <c r="AN576" s="43">
        <v>1575</v>
      </c>
      <c r="AO576" s="43"/>
      <c r="AP576" s="43"/>
      <c r="AQ576" s="43"/>
      <c r="AR576" s="43"/>
      <c r="AS576" s="43">
        <v>1575</v>
      </c>
      <c r="AT576" s="3">
        <v>0</v>
      </c>
      <c r="AU576" s="272" t="s">
        <v>70</v>
      </c>
    </row>
    <row r="577" spans="1:47" ht="16.5" hidden="1" customHeight="1" x14ac:dyDescent="0.35">
      <c r="A577" s="2" t="s">
        <v>222</v>
      </c>
      <c r="B577" s="2" t="s">
        <v>220</v>
      </c>
      <c r="C577" s="2" t="s">
        <v>1784</v>
      </c>
      <c r="D577" s="2">
        <v>847</v>
      </c>
      <c r="E577" s="2">
        <v>8470430</v>
      </c>
      <c r="F577" s="2" t="s">
        <v>1974</v>
      </c>
      <c r="G577" s="2">
        <v>1</v>
      </c>
      <c r="H577" s="276">
        <v>435508</v>
      </c>
      <c r="I577" s="2" t="s">
        <v>405</v>
      </c>
      <c r="J577" s="2" t="s">
        <v>60</v>
      </c>
      <c r="K577" s="2" t="s">
        <v>50</v>
      </c>
      <c r="L577" s="7">
        <v>847001</v>
      </c>
      <c r="M577" s="2" t="s">
        <v>61</v>
      </c>
      <c r="N577" s="2">
        <v>200179</v>
      </c>
      <c r="O577" s="3" t="s">
        <v>1990</v>
      </c>
      <c r="P577" s="2">
        <v>0</v>
      </c>
      <c r="Q577" s="35">
        <v>84600</v>
      </c>
      <c r="R577" s="2">
        <v>42000</v>
      </c>
      <c r="S577" s="3" t="s">
        <v>482</v>
      </c>
      <c r="T577" s="2" t="s">
        <v>157</v>
      </c>
      <c r="U577" s="2">
        <v>2</v>
      </c>
      <c r="V577" s="2">
        <v>42300</v>
      </c>
      <c r="W577" s="3" t="s">
        <v>1991</v>
      </c>
      <c r="X577" s="36">
        <v>84600</v>
      </c>
      <c r="Y577" s="2" t="s">
        <v>55</v>
      </c>
      <c r="Z577" s="2" t="s">
        <v>56</v>
      </c>
      <c r="AA577" s="14">
        <f t="shared" si="26"/>
        <v>76140</v>
      </c>
      <c r="AB577" s="14">
        <f t="shared" si="27"/>
        <v>67680</v>
      </c>
      <c r="AC577" s="14">
        <f t="shared" si="28"/>
        <v>59219.999999999993</v>
      </c>
      <c r="AD577" s="3" t="s">
        <v>1992</v>
      </c>
      <c r="AE577" s="3" t="s">
        <v>1992</v>
      </c>
      <c r="AF577" s="3" t="s">
        <v>1992</v>
      </c>
      <c r="AG577" s="43">
        <v>42300</v>
      </c>
      <c r="AH577" s="43"/>
      <c r="AI577" s="43"/>
      <c r="AJ577" s="43"/>
      <c r="AK577" s="43"/>
      <c r="AL577" s="43"/>
      <c r="AM577" s="43"/>
      <c r="AN577" s="43">
        <v>42300</v>
      </c>
      <c r="AO577" s="43"/>
      <c r="AP577" s="43"/>
      <c r="AQ577" s="43"/>
      <c r="AR577" s="43"/>
      <c r="AS577" s="43">
        <v>84600</v>
      </c>
      <c r="AT577" s="3">
        <v>0</v>
      </c>
      <c r="AU577" s="272" t="s">
        <v>816</v>
      </c>
    </row>
    <row r="578" spans="1:47" ht="16.5" hidden="1" customHeight="1" x14ac:dyDescent="0.35">
      <c r="A578" s="2" t="s">
        <v>189</v>
      </c>
      <c r="B578" s="2" t="s">
        <v>265</v>
      </c>
      <c r="C578" s="2" t="s">
        <v>1784</v>
      </c>
      <c r="D578" s="2">
        <v>847</v>
      </c>
      <c r="E578" s="2">
        <v>8470435</v>
      </c>
      <c r="F578" s="2" t="s">
        <v>1993</v>
      </c>
      <c r="G578" s="2">
        <v>1</v>
      </c>
      <c r="H578" s="276">
        <v>425900</v>
      </c>
      <c r="I578" s="2" t="s">
        <v>266</v>
      </c>
      <c r="J578" s="2" t="s">
        <v>60</v>
      </c>
      <c r="K578" s="2" t="s">
        <v>50</v>
      </c>
      <c r="L578" s="7">
        <v>847001</v>
      </c>
      <c r="M578" s="2" t="s">
        <v>61</v>
      </c>
      <c r="N578" s="2">
        <v>200179</v>
      </c>
      <c r="O578" s="3" t="s">
        <v>1994</v>
      </c>
      <c r="P578" s="2"/>
      <c r="Q578" s="35"/>
      <c r="R578" s="2"/>
      <c r="S578" s="3" t="s">
        <v>268</v>
      </c>
      <c r="T578" s="2" t="s">
        <v>269</v>
      </c>
      <c r="U578" s="2">
        <v>20</v>
      </c>
      <c r="V578" s="2">
        <v>5000</v>
      </c>
      <c r="W578" s="3" t="s">
        <v>1982</v>
      </c>
      <c r="X578" s="36">
        <v>100000</v>
      </c>
      <c r="Y578" s="2" t="s">
        <v>55</v>
      </c>
      <c r="Z578" s="2" t="s">
        <v>56</v>
      </c>
      <c r="AA578" s="14">
        <f t="shared" ref="AA578:AA641" si="29">X578*0.9</f>
        <v>90000</v>
      </c>
      <c r="AB578" s="14">
        <f t="shared" ref="AB578:AB641" si="30">X578*0.8</f>
        <v>80000</v>
      </c>
      <c r="AC578" s="14">
        <f t="shared" ref="AC578:AC641" si="31">X578*0.7</f>
        <v>70000</v>
      </c>
      <c r="AD578" s="3" t="s">
        <v>1857</v>
      </c>
      <c r="AE578" s="3" t="s">
        <v>1857</v>
      </c>
      <c r="AF578" s="3" t="s">
        <v>1857</v>
      </c>
      <c r="AG578" s="43"/>
      <c r="AH578" s="43">
        <v>50000</v>
      </c>
      <c r="AI578" s="43"/>
      <c r="AJ578" s="43"/>
      <c r="AK578" s="43"/>
      <c r="AL578" s="43"/>
      <c r="AM578" s="43"/>
      <c r="AN578" s="43">
        <v>50000</v>
      </c>
      <c r="AO578" s="43"/>
      <c r="AP578" s="43"/>
      <c r="AQ578" s="43"/>
      <c r="AR578" s="43"/>
      <c r="AS578" s="49">
        <f t="shared" ref="AS578:AS581" si="32">SUM(AG578:AR578)</f>
        <v>100000</v>
      </c>
      <c r="AT578" s="3">
        <v>0</v>
      </c>
      <c r="AU578" s="272" t="s">
        <v>230</v>
      </c>
    </row>
    <row r="579" spans="1:47" ht="16.5" hidden="1" customHeight="1" x14ac:dyDescent="0.35">
      <c r="A579" s="2" t="s">
        <v>63</v>
      </c>
      <c r="B579" s="2" t="s">
        <v>64</v>
      </c>
      <c r="C579" s="2" t="s">
        <v>1784</v>
      </c>
      <c r="D579" s="2">
        <v>847</v>
      </c>
      <c r="E579" s="2">
        <v>8470435</v>
      </c>
      <c r="F579" s="2" t="s">
        <v>1993</v>
      </c>
      <c r="G579" s="2">
        <v>1</v>
      </c>
      <c r="H579" s="276">
        <v>427710</v>
      </c>
      <c r="I579" s="2" t="s">
        <v>1090</v>
      </c>
      <c r="J579" s="2" t="s">
        <v>60</v>
      </c>
      <c r="K579" s="2" t="s">
        <v>50</v>
      </c>
      <c r="L579" s="7">
        <v>847001</v>
      </c>
      <c r="M579" s="2" t="s">
        <v>61</v>
      </c>
      <c r="N579" s="2">
        <v>200179</v>
      </c>
      <c r="O579" s="3" t="s">
        <v>1995</v>
      </c>
      <c r="P579" s="2"/>
      <c r="Q579" s="35"/>
      <c r="R579" s="2"/>
      <c r="S579" s="3" t="s">
        <v>1996</v>
      </c>
      <c r="T579" s="2" t="s">
        <v>157</v>
      </c>
      <c r="U579" s="2">
        <v>12</v>
      </c>
      <c r="V579" s="2">
        <v>2500</v>
      </c>
      <c r="W579" s="3" t="s">
        <v>1985</v>
      </c>
      <c r="X579" s="36">
        <v>30000</v>
      </c>
      <c r="Y579" s="2" t="s">
        <v>55</v>
      </c>
      <c r="Z579" s="2" t="s">
        <v>56</v>
      </c>
      <c r="AA579" s="14">
        <f t="shared" si="29"/>
        <v>27000</v>
      </c>
      <c r="AB579" s="14">
        <f t="shared" si="30"/>
        <v>24000</v>
      </c>
      <c r="AC579" s="14">
        <f t="shared" si="31"/>
        <v>21000</v>
      </c>
      <c r="AD579" s="3" t="s">
        <v>1857</v>
      </c>
      <c r="AE579" s="3" t="s">
        <v>1857</v>
      </c>
      <c r="AF579" s="3" t="s">
        <v>1857</v>
      </c>
      <c r="AG579" s="43"/>
      <c r="AH579" s="43"/>
      <c r="AI579" s="43">
        <v>15000</v>
      </c>
      <c r="AJ579" s="43"/>
      <c r="AK579" s="43"/>
      <c r="AL579" s="43"/>
      <c r="AM579" s="43"/>
      <c r="AN579" s="43">
        <v>15000</v>
      </c>
      <c r="AO579" s="43"/>
      <c r="AP579" s="43"/>
      <c r="AQ579" s="43"/>
      <c r="AR579" s="43"/>
      <c r="AS579" s="49">
        <f t="shared" si="32"/>
        <v>30000</v>
      </c>
      <c r="AT579" s="3">
        <v>0</v>
      </c>
      <c r="AU579" s="272" t="s">
        <v>230</v>
      </c>
    </row>
    <row r="580" spans="1:47" ht="16.5" hidden="1" customHeight="1" x14ac:dyDescent="0.35">
      <c r="A580" s="2" t="s">
        <v>222</v>
      </c>
      <c r="B580" s="2" t="s">
        <v>58</v>
      </c>
      <c r="C580" s="2" t="s">
        <v>1784</v>
      </c>
      <c r="D580" s="2">
        <v>847</v>
      </c>
      <c r="E580" s="2">
        <v>8470435</v>
      </c>
      <c r="F580" s="2" t="s">
        <v>1993</v>
      </c>
      <c r="G580" s="2">
        <v>1</v>
      </c>
      <c r="H580" s="276">
        <v>436600</v>
      </c>
      <c r="I580" s="2" t="s">
        <v>1997</v>
      </c>
      <c r="J580" s="2" t="s">
        <v>60</v>
      </c>
      <c r="K580" s="2" t="s">
        <v>50</v>
      </c>
      <c r="L580" s="7">
        <v>847001</v>
      </c>
      <c r="M580" s="2" t="s">
        <v>61</v>
      </c>
      <c r="N580" s="2">
        <v>200179</v>
      </c>
      <c r="O580" s="3" t="s">
        <v>1998</v>
      </c>
      <c r="P580" s="2"/>
      <c r="Q580" s="35"/>
      <c r="R580" s="2"/>
      <c r="S580" s="3" t="s">
        <v>1999</v>
      </c>
      <c r="T580" s="2" t="s">
        <v>157</v>
      </c>
      <c r="U580" s="2">
        <v>14</v>
      </c>
      <c r="V580" s="2">
        <v>2500</v>
      </c>
      <c r="W580" s="3" t="s">
        <v>1988</v>
      </c>
      <c r="X580" s="36">
        <v>35000</v>
      </c>
      <c r="Y580" s="2" t="s">
        <v>55</v>
      </c>
      <c r="Z580" s="2" t="s">
        <v>56</v>
      </c>
      <c r="AA580" s="14">
        <f t="shared" si="29"/>
        <v>31500</v>
      </c>
      <c r="AB580" s="14">
        <f t="shared" si="30"/>
        <v>28000</v>
      </c>
      <c r="AC580" s="14">
        <f t="shared" si="31"/>
        <v>24500</v>
      </c>
      <c r="AD580" s="3" t="s">
        <v>1857</v>
      </c>
      <c r="AE580" s="3" t="s">
        <v>1857</v>
      </c>
      <c r="AF580" s="3" t="s">
        <v>1857</v>
      </c>
      <c r="AG580" s="43">
        <v>5000</v>
      </c>
      <c r="AH580" s="43"/>
      <c r="AI580" s="43">
        <v>15000</v>
      </c>
      <c r="AJ580" s="43"/>
      <c r="AK580" s="43"/>
      <c r="AL580" s="43"/>
      <c r="AM580" s="43"/>
      <c r="AN580" s="43"/>
      <c r="AO580" s="43"/>
      <c r="AP580" s="43">
        <v>15000</v>
      </c>
      <c r="AQ580" s="43"/>
      <c r="AR580" s="43"/>
      <c r="AS580" s="49">
        <f t="shared" si="32"/>
        <v>35000</v>
      </c>
      <c r="AT580" s="3">
        <v>0</v>
      </c>
      <c r="AU580" s="272" t="s">
        <v>230</v>
      </c>
    </row>
    <row r="581" spans="1:47" ht="16.5" hidden="1" customHeight="1" x14ac:dyDescent="0.35">
      <c r="A581" s="2" t="s">
        <v>222</v>
      </c>
      <c r="B581" s="2" t="s">
        <v>220</v>
      </c>
      <c r="C581" s="2" t="s">
        <v>1784</v>
      </c>
      <c r="D581" s="2">
        <v>847</v>
      </c>
      <c r="E581" s="2">
        <v>8470435</v>
      </c>
      <c r="F581" s="2" t="s">
        <v>1993</v>
      </c>
      <c r="G581" s="2">
        <v>1</v>
      </c>
      <c r="H581" s="276">
        <v>435508</v>
      </c>
      <c r="I581" s="2" t="s">
        <v>405</v>
      </c>
      <c r="J581" s="2" t="s">
        <v>60</v>
      </c>
      <c r="K581" s="2" t="s">
        <v>50</v>
      </c>
      <c r="L581" s="7">
        <v>847001</v>
      </c>
      <c r="M581" s="2" t="s">
        <v>61</v>
      </c>
      <c r="N581" s="2">
        <v>200179</v>
      </c>
      <c r="O581" s="3" t="s">
        <v>2000</v>
      </c>
      <c r="P581" s="2"/>
      <c r="Q581" s="35"/>
      <c r="R581" s="2"/>
      <c r="S581" s="3" t="s">
        <v>482</v>
      </c>
      <c r="T581" s="2" t="s">
        <v>157</v>
      </c>
      <c r="U581" s="2">
        <v>12</v>
      </c>
      <c r="V581" s="2">
        <v>2500</v>
      </c>
      <c r="W581" s="3" t="s">
        <v>1991</v>
      </c>
      <c r="X581" s="36">
        <v>30000</v>
      </c>
      <c r="Y581" s="2" t="s">
        <v>55</v>
      </c>
      <c r="Z581" s="2" t="s">
        <v>56</v>
      </c>
      <c r="AA581" s="14">
        <f t="shared" si="29"/>
        <v>27000</v>
      </c>
      <c r="AB581" s="14">
        <f t="shared" si="30"/>
        <v>24000</v>
      </c>
      <c r="AC581" s="14">
        <f t="shared" si="31"/>
        <v>21000</v>
      </c>
      <c r="AD581" s="3" t="s">
        <v>1857</v>
      </c>
      <c r="AE581" s="3" t="s">
        <v>1857</v>
      </c>
      <c r="AF581" s="3" t="s">
        <v>1857</v>
      </c>
      <c r="AG581" s="43">
        <v>5000</v>
      </c>
      <c r="AH581" s="43"/>
      <c r="AI581" s="43"/>
      <c r="AJ581" s="43">
        <v>5000</v>
      </c>
      <c r="AK581" s="43"/>
      <c r="AL581" s="43">
        <v>5000</v>
      </c>
      <c r="AM581" s="43"/>
      <c r="AN581" s="43">
        <v>5000</v>
      </c>
      <c r="AO581" s="43">
        <v>5000</v>
      </c>
      <c r="AP581" s="43"/>
      <c r="AQ581" s="43">
        <v>5000</v>
      </c>
      <c r="AR581" s="43"/>
      <c r="AS581" s="49">
        <f t="shared" si="32"/>
        <v>30000</v>
      </c>
      <c r="AT581" s="3">
        <v>0</v>
      </c>
      <c r="AU581" s="272" t="s">
        <v>230</v>
      </c>
    </row>
    <row r="582" spans="1:47" ht="16.5" hidden="1" customHeight="1" x14ac:dyDescent="0.35">
      <c r="A582" s="2" t="s">
        <v>222</v>
      </c>
      <c r="B582" s="2" t="s">
        <v>58</v>
      </c>
      <c r="C582" s="2" t="s">
        <v>1784</v>
      </c>
      <c r="D582" s="2">
        <v>847</v>
      </c>
      <c r="E582" s="2">
        <v>8470440</v>
      </c>
      <c r="F582" s="2" t="s">
        <v>2001</v>
      </c>
      <c r="G582" s="2">
        <v>1</v>
      </c>
      <c r="H582" s="276">
        <v>420550</v>
      </c>
      <c r="I582" s="2" t="s">
        <v>225</v>
      </c>
      <c r="J582" s="2" t="s">
        <v>60</v>
      </c>
      <c r="K582" s="2" t="s">
        <v>50</v>
      </c>
      <c r="L582" s="7">
        <v>847001</v>
      </c>
      <c r="M582" s="2" t="s">
        <v>61</v>
      </c>
      <c r="N582" s="2">
        <v>200179</v>
      </c>
      <c r="O582" s="3" t="s">
        <v>2002</v>
      </c>
      <c r="P582" s="2" t="s">
        <v>46</v>
      </c>
      <c r="Q582" s="35">
        <v>560000</v>
      </c>
      <c r="R582" s="2">
        <v>560000</v>
      </c>
      <c r="S582" s="3" t="s">
        <v>227</v>
      </c>
      <c r="T582" s="2"/>
      <c r="U582" s="2">
        <v>4</v>
      </c>
      <c r="V582" s="2">
        <v>140000</v>
      </c>
      <c r="W582" s="3" t="s">
        <v>2003</v>
      </c>
      <c r="X582" s="36">
        <v>560000</v>
      </c>
      <c r="Y582" s="2" t="s">
        <v>1483</v>
      </c>
      <c r="Z582" s="2" t="s">
        <v>56</v>
      </c>
      <c r="AA582" s="14">
        <f t="shared" si="29"/>
        <v>504000</v>
      </c>
      <c r="AB582" s="14">
        <f t="shared" si="30"/>
        <v>448000</v>
      </c>
      <c r="AC582" s="14">
        <f t="shared" si="31"/>
        <v>392000</v>
      </c>
      <c r="AD582" s="3" t="s">
        <v>2004</v>
      </c>
      <c r="AE582" s="3" t="s">
        <v>2004</v>
      </c>
      <c r="AF582" s="3" t="s">
        <v>2005</v>
      </c>
      <c r="AG582" s="43"/>
      <c r="AH582" s="43">
        <v>140000</v>
      </c>
      <c r="AI582" s="43">
        <v>0</v>
      </c>
      <c r="AJ582" s="43"/>
      <c r="AK582" s="43">
        <v>140000</v>
      </c>
      <c r="AL582" s="43"/>
      <c r="AM582" s="43"/>
      <c r="AN582" s="43"/>
      <c r="AO582" s="43">
        <v>140000</v>
      </c>
      <c r="AP582" s="43"/>
      <c r="AQ582" s="43"/>
      <c r="AR582" s="43">
        <v>140000</v>
      </c>
      <c r="AS582" s="43">
        <v>560000</v>
      </c>
      <c r="AT582" s="3">
        <v>0</v>
      </c>
      <c r="AU582" s="272" t="s">
        <v>230</v>
      </c>
    </row>
    <row r="583" spans="1:47" ht="16.5" hidden="1" customHeight="1" x14ac:dyDescent="0.35">
      <c r="A583" s="2" t="s">
        <v>222</v>
      </c>
      <c r="B583" s="2" t="s">
        <v>58</v>
      </c>
      <c r="C583" s="2" t="s">
        <v>1784</v>
      </c>
      <c r="D583" s="2">
        <v>847</v>
      </c>
      <c r="E583" s="2">
        <v>8470440</v>
      </c>
      <c r="F583" s="2" t="s">
        <v>2001</v>
      </c>
      <c r="G583" s="2">
        <v>1</v>
      </c>
      <c r="H583" s="276">
        <v>420570</v>
      </c>
      <c r="I583" s="2" t="s">
        <v>231</v>
      </c>
      <c r="J583" s="2" t="s">
        <v>60</v>
      </c>
      <c r="K583" s="2" t="s">
        <v>50</v>
      </c>
      <c r="L583" s="7">
        <v>847001</v>
      </c>
      <c r="M583" s="2" t="s">
        <v>61</v>
      </c>
      <c r="N583" s="2">
        <v>200179</v>
      </c>
      <c r="O583" s="3" t="s">
        <v>2006</v>
      </c>
      <c r="P583" s="2" t="s">
        <v>46</v>
      </c>
      <c r="Q583" s="35">
        <v>150000</v>
      </c>
      <c r="R583" s="2">
        <v>150000</v>
      </c>
      <c r="S583" s="3" t="s">
        <v>3363</v>
      </c>
      <c r="T583" s="2"/>
      <c r="U583" s="2">
        <v>10</v>
      </c>
      <c r="V583" s="2">
        <v>15000</v>
      </c>
      <c r="W583" s="3" t="s">
        <v>2007</v>
      </c>
      <c r="X583" s="36">
        <v>150000</v>
      </c>
      <c r="Y583" s="2" t="s">
        <v>1483</v>
      </c>
      <c r="Z583" s="2" t="s">
        <v>56</v>
      </c>
      <c r="AA583" s="14">
        <f t="shared" si="29"/>
        <v>135000</v>
      </c>
      <c r="AB583" s="14">
        <f t="shared" si="30"/>
        <v>120000</v>
      </c>
      <c r="AC583" s="14">
        <f t="shared" si="31"/>
        <v>105000</v>
      </c>
      <c r="AD583" s="3" t="s">
        <v>2008</v>
      </c>
      <c r="AE583" s="3" t="s">
        <v>2008</v>
      </c>
      <c r="AF583" s="3" t="s">
        <v>2008</v>
      </c>
      <c r="AG583" s="43">
        <v>0</v>
      </c>
      <c r="AH583" s="43">
        <v>0</v>
      </c>
      <c r="AI583" s="43">
        <v>0</v>
      </c>
      <c r="AJ583" s="43">
        <v>0</v>
      </c>
      <c r="AK583" s="43">
        <v>0</v>
      </c>
      <c r="AL583" s="43">
        <v>20000</v>
      </c>
      <c r="AM583" s="43">
        <v>20000</v>
      </c>
      <c r="AN583" s="43">
        <v>20000</v>
      </c>
      <c r="AO583" s="43">
        <v>25000</v>
      </c>
      <c r="AP583" s="43">
        <v>25000</v>
      </c>
      <c r="AQ583" s="43">
        <v>15000</v>
      </c>
      <c r="AR583" s="43">
        <v>25000</v>
      </c>
      <c r="AS583" s="43">
        <v>150000</v>
      </c>
      <c r="AT583" s="3">
        <v>0</v>
      </c>
      <c r="AU583" s="272" t="s">
        <v>230</v>
      </c>
    </row>
    <row r="584" spans="1:47" ht="16.5" hidden="1" customHeight="1" x14ac:dyDescent="0.35">
      <c r="A584" s="2" t="s">
        <v>222</v>
      </c>
      <c r="B584" s="2" t="s">
        <v>238</v>
      </c>
      <c r="C584" s="2" t="s">
        <v>1784</v>
      </c>
      <c r="D584" s="2">
        <v>847</v>
      </c>
      <c r="E584" s="2">
        <v>8470440</v>
      </c>
      <c r="F584" s="2" t="s">
        <v>2001</v>
      </c>
      <c r="G584" s="2">
        <v>1</v>
      </c>
      <c r="H584" s="276">
        <v>421700</v>
      </c>
      <c r="I584" s="2" t="s">
        <v>239</v>
      </c>
      <c r="J584" s="2" t="s">
        <v>60</v>
      </c>
      <c r="K584" s="2" t="s">
        <v>50</v>
      </c>
      <c r="L584" s="7">
        <v>847001</v>
      </c>
      <c r="M584" s="2" t="s">
        <v>61</v>
      </c>
      <c r="N584" s="2">
        <v>200179</v>
      </c>
      <c r="O584" s="3" t="s">
        <v>2009</v>
      </c>
      <c r="P584" s="2" t="s">
        <v>46</v>
      </c>
      <c r="Q584" s="35">
        <v>280000</v>
      </c>
      <c r="R584" s="2">
        <v>280000</v>
      </c>
      <c r="S584" s="3" t="s">
        <v>1017</v>
      </c>
      <c r="T584" s="2"/>
      <c r="U584" s="2">
        <v>2</v>
      </c>
      <c r="V584" s="10">
        <v>140000</v>
      </c>
      <c r="W584" s="3" t="s">
        <v>2010</v>
      </c>
      <c r="X584" s="36">
        <v>280000</v>
      </c>
      <c r="Y584" s="2" t="s">
        <v>1483</v>
      </c>
      <c r="Z584" s="2" t="s">
        <v>197</v>
      </c>
      <c r="AA584" s="14">
        <f t="shared" si="29"/>
        <v>252000</v>
      </c>
      <c r="AB584" s="14">
        <f t="shared" si="30"/>
        <v>224000</v>
      </c>
      <c r="AC584" s="14">
        <f t="shared" si="31"/>
        <v>196000</v>
      </c>
      <c r="AD584" s="3" t="s">
        <v>2011</v>
      </c>
      <c r="AE584" s="3" t="s">
        <v>2011</v>
      </c>
      <c r="AF584" s="3" t="s">
        <v>2012</v>
      </c>
      <c r="AG584" s="43">
        <v>0</v>
      </c>
      <c r="AH584" s="43"/>
      <c r="AI584" s="43"/>
      <c r="AJ584" s="43">
        <v>0</v>
      </c>
      <c r="AK584" s="43"/>
      <c r="AL584" s="43"/>
      <c r="AM584" s="43"/>
      <c r="AN584" s="43"/>
      <c r="AO584" s="43">
        <v>140000</v>
      </c>
      <c r="AP584" s="43"/>
      <c r="AQ584" s="43"/>
      <c r="AR584" s="43">
        <v>140000</v>
      </c>
      <c r="AS584" s="43">
        <v>280000</v>
      </c>
      <c r="AT584" s="3">
        <v>0</v>
      </c>
      <c r="AU584" s="272" t="s">
        <v>230</v>
      </c>
    </row>
    <row r="585" spans="1:47" ht="16.5" hidden="1" customHeight="1" x14ac:dyDescent="0.35">
      <c r="A585" s="2" t="s">
        <v>245</v>
      </c>
      <c r="B585" s="2" t="s">
        <v>246</v>
      </c>
      <c r="C585" s="2" t="s">
        <v>1784</v>
      </c>
      <c r="D585" s="2">
        <v>847</v>
      </c>
      <c r="E585" s="2">
        <v>8470440</v>
      </c>
      <c r="F585" s="2" t="s">
        <v>2001</v>
      </c>
      <c r="G585" s="2">
        <v>1</v>
      </c>
      <c r="H585" s="276">
        <v>425100</v>
      </c>
      <c r="I585" s="2" t="s">
        <v>1521</v>
      </c>
      <c r="J585" s="2" t="s">
        <v>60</v>
      </c>
      <c r="K585" s="2" t="s">
        <v>50</v>
      </c>
      <c r="L585" s="7">
        <v>847001</v>
      </c>
      <c r="M585" s="2" t="s">
        <v>61</v>
      </c>
      <c r="N585" s="2">
        <v>200179</v>
      </c>
      <c r="O585" s="3" t="s">
        <v>2013</v>
      </c>
      <c r="P585" s="2" t="s">
        <v>46</v>
      </c>
      <c r="Q585" s="35">
        <v>10000</v>
      </c>
      <c r="R585" s="2">
        <v>10000</v>
      </c>
      <c r="S585" s="3" t="s">
        <v>1148</v>
      </c>
      <c r="T585" s="2"/>
      <c r="U585" s="2">
        <v>2</v>
      </c>
      <c r="V585" s="2">
        <v>5000</v>
      </c>
      <c r="W585" s="3" t="s">
        <v>2014</v>
      </c>
      <c r="X585" s="36">
        <v>10000</v>
      </c>
      <c r="Y585" s="2" t="s">
        <v>1483</v>
      </c>
      <c r="Z585" s="2" t="s">
        <v>56</v>
      </c>
      <c r="AA585" s="14">
        <f t="shared" si="29"/>
        <v>9000</v>
      </c>
      <c r="AB585" s="14">
        <f t="shared" si="30"/>
        <v>8000</v>
      </c>
      <c r="AC585" s="14">
        <f t="shared" si="31"/>
        <v>7000</v>
      </c>
      <c r="AD585" s="3" t="s">
        <v>2015</v>
      </c>
      <c r="AE585" s="3" t="s">
        <v>2015</v>
      </c>
      <c r="AF585" s="3" t="s">
        <v>2016</v>
      </c>
      <c r="AG585" s="43">
        <v>5000</v>
      </c>
      <c r="AH585" s="43"/>
      <c r="AI585" s="43"/>
      <c r="AJ585" s="43"/>
      <c r="AK585" s="43"/>
      <c r="AL585" s="43"/>
      <c r="AM585" s="43">
        <v>5000</v>
      </c>
      <c r="AN585" s="43"/>
      <c r="AO585" s="43"/>
      <c r="AP585" s="43"/>
      <c r="AQ585" s="43"/>
      <c r="AR585" s="43"/>
      <c r="AS585" s="43">
        <v>10000</v>
      </c>
      <c r="AT585" s="3">
        <v>0</v>
      </c>
      <c r="AU585" s="272" t="s">
        <v>230</v>
      </c>
    </row>
    <row r="586" spans="1:47" ht="16.5" hidden="1" customHeight="1" x14ac:dyDescent="0.35">
      <c r="A586" s="2" t="s">
        <v>245</v>
      </c>
      <c r="B586" s="2" t="s">
        <v>246</v>
      </c>
      <c r="C586" s="2" t="s">
        <v>1784</v>
      </c>
      <c r="D586" s="2">
        <v>847</v>
      </c>
      <c r="E586" s="2">
        <v>8470440</v>
      </c>
      <c r="F586" s="2" t="s">
        <v>2001</v>
      </c>
      <c r="G586" s="2">
        <v>1</v>
      </c>
      <c r="H586" s="276">
        <v>425510</v>
      </c>
      <c r="I586" s="2" t="s">
        <v>247</v>
      </c>
      <c r="J586" s="2" t="s">
        <v>60</v>
      </c>
      <c r="K586" s="2" t="s">
        <v>50</v>
      </c>
      <c r="L586" s="7">
        <v>847001</v>
      </c>
      <c r="M586" s="2" t="s">
        <v>61</v>
      </c>
      <c r="N586" s="2">
        <v>200179</v>
      </c>
      <c r="O586" s="3" t="s">
        <v>2017</v>
      </c>
      <c r="P586" s="2" t="s">
        <v>46</v>
      </c>
      <c r="Q586" s="35">
        <v>225000</v>
      </c>
      <c r="R586" s="2">
        <v>225000</v>
      </c>
      <c r="S586" s="3" t="s">
        <v>565</v>
      </c>
      <c r="T586" s="2"/>
      <c r="U586" s="2">
        <v>15</v>
      </c>
      <c r="V586" s="2">
        <v>15000</v>
      </c>
      <c r="W586" s="3" t="s">
        <v>2018</v>
      </c>
      <c r="X586" s="36">
        <v>225000</v>
      </c>
      <c r="Y586" s="2" t="s">
        <v>1483</v>
      </c>
      <c r="Z586" s="2" t="s">
        <v>56</v>
      </c>
      <c r="AA586" s="14">
        <f t="shared" si="29"/>
        <v>202500</v>
      </c>
      <c r="AB586" s="14">
        <f t="shared" si="30"/>
        <v>180000</v>
      </c>
      <c r="AC586" s="14">
        <f t="shared" si="31"/>
        <v>157500</v>
      </c>
      <c r="AD586" s="3" t="s">
        <v>2019</v>
      </c>
      <c r="AE586" s="3" t="s">
        <v>2019</v>
      </c>
      <c r="AF586" s="3" t="s">
        <v>2020</v>
      </c>
      <c r="AG586" s="43">
        <v>18750</v>
      </c>
      <c r="AH586" s="43">
        <v>18750</v>
      </c>
      <c r="AI586" s="43">
        <v>18750</v>
      </c>
      <c r="AJ586" s="43">
        <v>18750</v>
      </c>
      <c r="AK586" s="43">
        <v>18750</v>
      </c>
      <c r="AL586" s="43">
        <v>18750</v>
      </c>
      <c r="AM586" s="43">
        <v>18750</v>
      </c>
      <c r="AN586" s="43">
        <v>18750</v>
      </c>
      <c r="AO586" s="43">
        <v>18750</v>
      </c>
      <c r="AP586" s="43">
        <v>18750</v>
      </c>
      <c r="AQ586" s="43">
        <v>18750</v>
      </c>
      <c r="AR586" s="43">
        <v>18750</v>
      </c>
      <c r="AS586" s="43">
        <v>225000</v>
      </c>
      <c r="AT586" s="3">
        <v>0</v>
      </c>
      <c r="AU586" s="272" t="s">
        <v>230</v>
      </c>
    </row>
    <row r="587" spans="1:47" ht="16.5" hidden="1" customHeight="1" x14ac:dyDescent="0.35">
      <c r="A587" s="2" t="s">
        <v>245</v>
      </c>
      <c r="B587" s="2" t="s">
        <v>58</v>
      </c>
      <c r="C587" s="2" t="s">
        <v>1784</v>
      </c>
      <c r="D587" s="2">
        <v>847</v>
      </c>
      <c r="E587" s="2">
        <v>8470440</v>
      </c>
      <c r="F587" s="2" t="s">
        <v>2001</v>
      </c>
      <c r="G587" s="2">
        <v>1</v>
      </c>
      <c r="H587" s="276">
        <v>425550</v>
      </c>
      <c r="I587" s="2" t="s">
        <v>253</v>
      </c>
      <c r="J587" s="2" t="s">
        <v>60</v>
      </c>
      <c r="K587" s="2" t="s">
        <v>50</v>
      </c>
      <c r="L587" s="7">
        <v>847001</v>
      </c>
      <c r="M587" s="2" t="s">
        <v>61</v>
      </c>
      <c r="N587" s="2">
        <v>200179</v>
      </c>
      <c r="O587" s="3" t="s">
        <v>2021</v>
      </c>
      <c r="P587" s="2" t="s">
        <v>46</v>
      </c>
      <c r="Q587" s="35">
        <v>225000</v>
      </c>
      <c r="R587" s="2">
        <v>225000</v>
      </c>
      <c r="S587" s="3" t="s">
        <v>2022</v>
      </c>
      <c r="T587" s="2"/>
      <c r="U587" s="2">
        <v>15</v>
      </c>
      <c r="V587" s="2">
        <v>15000</v>
      </c>
      <c r="W587" s="3" t="s">
        <v>2023</v>
      </c>
      <c r="X587" s="36">
        <v>225000</v>
      </c>
      <c r="Y587" s="2" t="s">
        <v>1483</v>
      </c>
      <c r="Z587" s="2" t="s">
        <v>56</v>
      </c>
      <c r="AA587" s="14">
        <f t="shared" si="29"/>
        <v>202500</v>
      </c>
      <c r="AB587" s="14">
        <f t="shared" si="30"/>
        <v>180000</v>
      </c>
      <c r="AC587" s="14">
        <f t="shared" si="31"/>
        <v>157500</v>
      </c>
      <c r="AD587" s="3" t="s">
        <v>2019</v>
      </c>
      <c r="AE587" s="3" t="s">
        <v>2019</v>
      </c>
      <c r="AF587" s="3" t="s">
        <v>2024</v>
      </c>
      <c r="AG587" s="43">
        <v>18750</v>
      </c>
      <c r="AH587" s="43">
        <v>18750</v>
      </c>
      <c r="AI587" s="43">
        <v>18750</v>
      </c>
      <c r="AJ587" s="43">
        <v>18750</v>
      </c>
      <c r="AK587" s="43">
        <v>18750</v>
      </c>
      <c r="AL587" s="43">
        <v>18750</v>
      </c>
      <c r="AM587" s="43">
        <v>18750</v>
      </c>
      <c r="AN587" s="43">
        <v>18750</v>
      </c>
      <c r="AO587" s="43">
        <v>18750</v>
      </c>
      <c r="AP587" s="43">
        <v>18750</v>
      </c>
      <c r="AQ587" s="43">
        <v>18750</v>
      </c>
      <c r="AR587" s="43">
        <v>18750</v>
      </c>
      <c r="AS587" s="43">
        <v>225000</v>
      </c>
      <c r="AT587" s="3">
        <v>0</v>
      </c>
      <c r="AU587" s="272" t="s">
        <v>230</v>
      </c>
    </row>
    <row r="588" spans="1:47" ht="16.5" hidden="1" customHeight="1" x14ac:dyDescent="0.35">
      <c r="A588" s="2" t="s">
        <v>222</v>
      </c>
      <c r="B588" s="2" t="s">
        <v>58</v>
      </c>
      <c r="C588" s="2" t="s">
        <v>1784</v>
      </c>
      <c r="D588" s="2">
        <v>847</v>
      </c>
      <c r="E588" s="2">
        <v>8470440</v>
      </c>
      <c r="F588" s="2" t="s">
        <v>2001</v>
      </c>
      <c r="G588" s="2">
        <v>1</v>
      </c>
      <c r="H588" s="276">
        <v>425761</v>
      </c>
      <c r="I588" s="2" t="s">
        <v>1383</v>
      </c>
      <c r="J588" s="2" t="s">
        <v>60</v>
      </c>
      <c r="K588" s="2" t="s">
        <v>50</v>
      </c>
      <c r="L588" s="7">
        <v>847001</v>
      </c>
      <c r="M588" s="2" t="s">
        <v>61</v>
      </c>
      <c r="N588" s="2">
        <v>200179</v>
      </c>
      <c r="O588" s="3" t="s">
        <v>2025</v>
      </c>
      <c r="P588" s="2">
        <v>0</v>
      </c>
      <c r="Q588" s="35">
        <v>750000</v>
      </c>
      <c r="R588" s="2">
        <v>750000</v>
      </c>
      <c r="S588" s="3" t="s">
        <v>727</v>
      </c>
      <c r="T588" s="2"/>
      <c r="U588" s="2">
        <v>300</v>
      </c>
      <c r="V588" s="2">
        <v>2500</v>
      </c>
      <c r="W588" s="3" t="s">
        <v>2026</v>
      </c>
      <c r="X588" s="36">
        <v>750000</v>
      </c>
      <c r="Y588" s="2" t="s">
        <v>2027</v>
      </c>
      <c r="Z588" s="2" t="s">
        <v>56</v>
      </c>
      <c r="AA588" s="14">
        <f t="shared" si="29"/>
        <v>675000</v>
      </c>
      <c r="AB588" s="14">
        <f t="shared" si="30"/>
        <v>600000</v>
      </c>
      <c r="AC588" s="14">
        <f t="shared" si="31"/>
        <v>525000</v>
      </c>
      <c r="AD588" s="3" t="s">
        <v>2008</v>
      </c>
      <c r="AE588" s="3" t="s">
        <v>2008</v>
      </c>
      <c r="AF588" s="3" t="s">
        <v>2008</v>
      </c>
      <c r="AG588" s="43"/>
      <c r="AH588" s="43">
        <v>75000</v>
      </c>
      <c r="AI588" s="43">
        <v>150000</v>
      </c>
      <c r="AJ588" s="43"/>
      <c r="AK588" s="43"/>
      <c r="AL588" s="43">
        <v>150000</v>
      </c>
      <c r="AM588" s="43"/>
      <c r="AN588" s="43"/>
      <c r="AO588" s="43">
        <v>75000</v>
      </c>
      <c r="AP588" s="43">
        <v>150000</v>
      </c>
      <c r="AQ588" s="43"/>
      <c r="AR588" s="43">
        <v>150000</v>
      </c>
      <c r="AS588" s="43">
        <v>750000</v>
      </c>
      <c r="AT588" s="3">
        <v>0</v>
      </c>
      <c r="AU588" s="272" t="s">
        <v>230</v>
      </c>
    </row>
    <row r="589" spans="1:47" ht="16.5" hidden="1" customHeight="1" x14ac:dyDescent="0.35">
      <c r="A589" s="2" t="s">
        <v>222</v>
      </c>
      <c r="B589" s="2" t="s">
        <v>58</v>
      </c>
      <c r="C589" s="2" t="s">
        <v>1784</v>
      </c>
      <c r="D589" s="2">
        <v>847</v>
      </c>
      <c r="E589" s="2">
        <v>8470440</v>
      </c>
      <c r="F589" s="2" t="s">
        <v>2001</v>
      </c>
      <c r="G589" s="2">
        <v>1</v>
      </c>
      <c r="H589" s="276">
        <v>425770</v>
      </c>
      <c r="I589" s="2" t="s">
        <v>367</v>
      </c>
      <c r="J589" s="2" t="s">
        <v>60</v>
      </c>
      <c r="K589" s="2" t="s">
        <v>50</v>
      </c>
      <c r="L589" s="7">
        <v>847001</v>
      </c>
      <c r="M589" s="2" t="s">
        <v>61</v>
      </c>
      <c r="N589" s="2">
        <v>200179</v>
      </c>
      <c r="O589" s="3" t="s">
        <v>2028</v>
      </c>
      <c r="P589" s="2">
        <v>16120.02</v>
      </c>
      <c r="Q589" s="35">
        <v>300000</v>
      </c>
      <c r="R589" s="2">
        <v>300000</v>
      </c>
      <c r="S589" s="3" t="s">
        <v>926</v>
      </c>
      <c r="T589" s="2"/>
      <c r="U589" s="2">
        <v>15</v>
      </c>
      <c r="V589" s="2">
        <v>20000</v>
      </c>
      <c r="W589" s="3" t="s">
        <v>2029</v>
      </c>
      <c r="X589" s="36">
        <v>300000</v>
      </c>
      <c r="Y589" s="2" t="s">
        <v>1483</v>
      </c>
      <c r="Z589" s="2" t="s">
        <v>56</v>
      </c>
      <c r="AA589" s="14">
        <f t="shared" si="29"/>
        <v>270000</v>
      </c>
      <c r="AB589" s="14">
        <f t="shared" si="30"/>
        <v>240000</v>
      </c>
      <c r="AC589" s="14">
        <f t="shared" si="31"/>
        <v>210000</v>
      </c>
      <c r="AD589" s="3" t="s">
        <v>2019</v>
      </c>
      <c r="AE589" s="3" t="s">
        <v>2030</v>
      </c>
      <c r="AF589" s="3" t="s">
        <v>2031</v>
      </c>
      <c r="AG589" s="43">
        <v>10000</v>
      </c>
      <c r="AH589" s="43">
        <v>10000</v>
      </c>
      <c r="AI589" s="43">
        <v>10000</v>
      </c>
      <c r="AJ589" s="43">
        <v>10000</v>
      </c>
      <c r="AK589" s="43">
        <v>10000</v>
      </c>
      <c r="AL589" s="43">
        <v>30000</v>
      </c>
      <c r="AM589" s="43">
        <v>30000</v>
      </c>
      <c r="AN589" s="43">
        <v>30000</v>
      </c>
      <c r="AO589" s="43">
        <v>40000</v>
      </c>
      <c r="AP589" s="43">
        <v>40000</v>
      </c>
      <c r="AQ589" s="43">
        <v>40000</v>
      </c>
      <c r="AR589" s="43">
        <v>40000</v>
      </c>
      <c r="AS589" s="43">
        <v>300000</v>
      </c>
      <c r="AT589" s="3">
        <v>0</v>
      </c>
      <c r="AU589" s="272" t="s">
        <v>230</v>
      </c>
    </row>
    <row r="590" spans="1:47" ht="16.5" hidden="1" customHeight="1" x14ac:dyDescent="0.35">
      <c r="A590" s="2" t="s">
        <v>189</v>
      </c>
      <c r="B590" s="2" t="s">
        <v>265</v>
      </c>
      <c r="C590" s="2" t="s">
        <v>1784</v>
      </c>
      <c r="D590" s="2">
        <v>847</v>
      </c>
      <c r="E590" s="2">
        <v>8470440</v>
      </c>
      <c r="F590" s="2" t="s">
        <v>2001</v>
      </c>
      <c r="G590" s="2">
        <v>1</v>
      </c>
      <c r="H590" s="276">
        <v>425900</v>
      </c>
      <c r="I590" s="2" t="s">
        <v>266</v>
      </c>
      <c r="J590" s="2" t="s">
        <v>60</v>
      </c>
      <c r="K590" s="2" t="s">
        <v>50</v>
      </c>
      <c r="L590" s="7">
        <v>847001</v>
      </c>
      <c r="M590" s="2" t="s">
        <v>61</v>
      </c>
      <c r="N590" s="2">
        <v>200179</v>
      </c>
      <c r="O590" s="3" t="s">
        <v>2032</v>
      </c>
      <c r="P590" s="2" t="s">
        <v>46</v>
      </c>
      <c r="Q590" s="35">
        <v>24000</v>
      </c>
      <c r="R590" s="2">
        <v>24000</v>
      </c>
      <c r="S590" s="3" t="s">
        <v>268</v>
      </c>
      <c r="T590" s="2"/>
      <c r="U590" s="2">
        <v>4</v>
      </c>
      <c r="V590" s="2">
        <v>6000</v>
      </c>
      <c r="W590" s="3" t="s">
        <v>2033</v>
      </c>
      <c r="X590" s="36">
        <v>24000</v>
      </c>
      <c r="Y590" s="2" t="s">
        <v>1483</v>
      </c>
      <c r="Z590" s="2" t="s">
        <v>56</v>
      </c>
      <c r="AA590" s="14">
        <f t="shared" si="29"/>
        <v>21600</v>
      </c>
      <c r="AB590" s="14">
        <f t="shared" si="30"/>
        <v>19200</v>
      </c>
      <c r="AC590" s="14">
        <f t="shared" si="31"/>
        <v>16800</v>
      </c>
      <c r="AD590" s="3" t="s">
        <v>2034</v>
      </c>
      <c r="AE590" s="3" t="s">
        <v>2034</v>
      </c>
      <c r="AF590" s="3" t="s">
        <v>2034</v>
      </c>
      <c r="AG590" s="43">
        <v>0</v>
      </c>
      <c r="AH590" s="43">
        <v>6000</v>
      </c>
      <c r="AI590" s="43"/>
      <c r="AJ590" s="43"/>
      <c r="AK590" s="43"/>
      <c r="AL590" s="43">
        <v>6000</v>
      </c>
      <c r="AM590" s="43"/>
      <c r="AN590" s="43"/>
      <c r="AO590" s="43">
        <v>6000</v>
      </c>
      <c r="AP590" s="43"/>
      <c r="AQ590" s="43"/>
      <c r="AR590" s="43">
        <v>6000</v>
      </c>
      <c r="AS590" s="43">
        <v>24000</v>
      </c>
      <c r="AT590" s="3">
        <v>0</v>
      </c>
      <c r="AU590" s="272" t="s">
        <v>230</v>
      </c>
    </row>
    <row r="591" spans="1:47" ht="16.5" hidden="1" customHeight="1" x14ac:dyDescent="0.35">
      <c r="A591" s="2" t="s">
        <v>63</v>
      </c>
      <c r="B591" s="2" t="s">
        <v>64</v>
      </c>
      <c r="C591" s="2" t="s">
        <v>1784</v>
      </c>
      <c r="D591" s="2">
        <v>847</v>
      </c>
      <c r="E591" s="2">
        <v>8470440</v>
      </c>
      <c r="F591" s="2" t="s">
        <v>2001</v>
      </c>
      <c r="G591" s="2">
        <v>1</v>
      </c>
      <c r="H591" s="276">
        <v>426610</v>
      </c>
      <c r="I591" s="2" t="s">
        <v>74</v>
      </c>
      <c r="J591" s="2" t="s">
        <v>60</v>
      </c>
      <c r="K591" s="2" t="s">
        <v>50</v>
      </c>
      <c r="L591" s="7">
        <v>847001</v>
      </c>
      <c r="M591" s="2" t="s">
        <v>61</v>
      </c>
      <c r="N591" s="2">
        <v>200179</v>
      </c>
      <c r="O591" s="3" t="s">
        <v>2035</v>
      </c>
      <c r="P591" s="2">
        <v>6398.78</v>
      </c>
      <c r="Q591" s="35">
        <v>120000</v>
      </c>
      <c r="R591" s="2">
        <v>120000</v>
      </c>
      <c r="S591" s="3" t="s">
        <v>274</v>
      </c>
      <c r="T591" s="2"/>
      <c r="U591" s="2">
        <v>4</v>
      </c>
      <c r="V591" s="2">
        <v>30000</v>
      </c>
      <c r="W591" s="3" t="s">
        <v>2036</v>
      </c>
      <c r="X591" s="36">
        <v>120000</v>
      </c>
      <c r="Y591" s="2" t="s">
        <v>1483</v>
      </c>
      <c r="Z591" s="2" t="s">
        <v>56</v>
      </c>
      <c r="AA591" s="14">
        <f t="shared" si="29"/>
        <v>108000</v>
      </c>
      <c r="AB591" s="14">
        <f t="shared" si="30"/>
        <v>96000</v>
      </c>
      <c r="AC591" s="14">
        <f t="shared" si="31"/>
        <v>84000</v>
      </c>
      <c r="AD591" s="3" t="s">
        <v>2037</v>
      </c>
      <c r="AE591" s="3" t="s">
        <v>2037</v>
      </c>
      <c r="AF591" s="3" t="s">
        <v>2038</v>
      </c>
      <c r="AG591" s="43">
        <v>5000</v>
      </c>
      <c r="AH591" s="43">
        <v>5000</v>
      </c>
      <c r="AI591" s="43">
        <v>5000</v>
      </c>
      <c r="AJ591" s="43">
        <v>5000</v>
      </c>
      <c r="AK591" s="43">
        <v>5000</v>
      </c>
      <c r="AL591" s="43">
        <v>10000</v>
      </c>
      <c r="AM591" s="43">
        <v>10000</v>
      </c>
      <c r="AN591" s="43">
        <v>15000</v>
      </c>
      <c r="AO591" s="43">
        <v>15000</v>
      </c>
      <c r="AP591" s="43">
        <v>15000</v>
      </c>
      <c r="AQ591" s="43">
        <v>15000</v>
      </c>
      <c r="AR591" s="43">
        <v>15000</v>
      </c>
      <c r="AS591" s="43">
        <v>120000</v>
      </c>
      <c r="AT591" s="3">
        <v>0</v>
      </c>
      <c r="AU591" s="272" t="s">
        <v>230</v>
      </c>
    </row>
    <row r="592" spans="1:47" ht="16.5" hidden="1" customHeight="1" x14ac:dyDescent="0.35">
      <c r="A592" s="2" t="s">
        <v>222</v>
      </c>
      <c r="B592" s="2" t="s">
        <v>58</v>
      </c>
      <c r="C592" s="2" t="s">
        <v>1784</v>
      </c>
      <c r="D592" s="2">
        <v>847</v>
      </c>
      <c r="E592" s="2">
        <v>8470440</v>
      </c>
      <c r="F592" s="2" t="s">
        <v>2001</v>
      </c>
      <c r="G592" s="2">
        <v>1</v>
      </c>
      <c r="H592" s="276">
        <v>427710</v>
      </c>
      <c r="I592" s="2" t="s">
        <v>1090</v>
      </c>
      <c r="J592" s="2" t="s">
        <v>60</v>
      </c>
      <c r="K592" s="2" t="s">
        <v>50</v>
      </c>
      <c r="L592" s="7">
        <v>847001</v>
      </c>
      <c r="M592" s="2" t="s">
        <v>61</v>
      </c>
      <c r="N592" s="2">
        <v>200179</v>
      </c>
      <c r="O592" s="3" t="s">
        <v>2039</v>
      </c>
      <c r="P592" s="2" t="s">
        <v>46</v>
      </c>
      <c r="Q592" s="35">
        <v>15000</v>
      </c>
      <c r="R592" s="2">
        <v>15000</v>
      </c>
      <c r="S592" s="3" t="s">
        <v>1092</v>
      </c>
      <c r="T592" s="2"/>
      <c r="U592" s="2">
        <v>15</v>
      </c>
      <c r="V592" s="2">
        <v>1000</v>
      </c>
      <c r="W592" s="3" t="s">
        <v>2040</v>
      </c>
      <c r="X592" s="36">
        <v>15000</v>
      </c>
      <c r="Y592" s="2" t="s">
        <v>1483</v>
      </c>
      <c r="Z592" s="2" t="s">
        <v>56</v>
      </c>
      <c r="AA592" s="14">
        <f t="shared" si="29"/>
        <v>13500</v>
      </c>
      <c r="AB592" s="14">
        <f t="shared" si="30"/>
        <v>12000</v>
      </c>
      <c r="AC592" s="14">
        <f t="shared" si="31"/>
        <v>10500</v>
      </c>
      <c r="AD592" s="3" t="s">
        <v>1857</v>
      </c>
      <c r="AE592" s="3" t="s">
        <v>1857</v>
      </c>
      <c r="AF592" s="3" t="s">
        <v>1857</v>
      </c>
      <c r="AG592" s="43">
        <v>5000</v>
      </c>
      <c r="AH592" s="43"/>
      <c r="AI592" s="43"/>
      <c r="AJ592" s="43"/>
      <c r="AK592" s="43">
        <v>2500</v>
      </c>
      <c r="AL592" s="43"/>
      <c r="AM592" s="43"/>
      <c r="AN592" s="43"/>
      <c r="AO592" s="43">
        <v>2500</v>
      </c>
      <c r="AP592" s="43"/>
      <c r="AQ592" s="43"/>
      <c r="AR592" s="43">
        <v>5000</v>
      </c>
      <c r="AS592" s="43">
        <v>15000</v>
      </c>
      <c r="AT592" s="3">
        <v>0</v>
      </c>
      <c r="AU592" s="272" t="s">
        <v>230</v>
      </c>
    </row>
    <row r="593" spans="1:47" ht="16.5" hidden="1" customHeight="1" x14ac:dyDescent="0.35">
      <c r="A593" s="2" t="s">
        <v>153</v>
      </c>
      <c r="B593" s="2" t="s">
        <v>58</v>
      </c>
      <c r="C593" s="2" t="s">
        <v>1784</v>
      </c>
      <c r="D593" s="2">
        <v>847</v>
      </c>
      <c r="E593" s="2">
        <v>8470440</v>
      </c>
      <c r="F593" s="2" t="s">
        <v>2001</v>
      </c>
      <c r="G593" s="2">
        <v>1</v>
      </c>
      <c r="H593" s="276">
        <v>428090</v>
      </c>
      <c r="I593" s="2" t="s">
        <v>154</v>
      </c>
      <c r="J593" s="2" t="s">
        <v>60</v>
      </c>
      <c r="K593" s="2" t="s">
        <v>50</v>
      </c>
      <c r="L593" s="7">
        <v>847001</v>
      </c>
      <c r="M593" s="2" t="s">
        <v>61</v>
      </c>
      <c r="N593" s="2">
        <v>200179</v>
      </c>
      <c r="O593" s="3" t="s">
        <v>2041</v>
      </c>
      <c r="P593" s="2" t="s">
        <v>46</v>
      </c>
      <c r="Q593" s="35">
        <v>225000</v>
      </c>
      <c r="R593" s="2">
        <v>225000</v>
      </c>
      <c r="S593" s="3" t="s">
        <v>387</v>
      </c>
      <c r="T593" s="2"/>
      <c r="U593" s="2">
        <v>15</v>
      </c>
      <c r="V593" s="2">
        <v>15000</v>
      </c>
      <c r="W593" s="3" t="s">
        <v>2042</v>
      </c>
      <c r="X593" s="36">
        <v>225000</v>
      </c>
      <c r="Y593" s="2" t="s">
        <v>1483</v>
      </c>
      <c r="Z593" s="2" t="s">
        <v>56</v>
      </c>
      <c r="AA593" s="14">
        <f t="shared" si="29"/>
        <v>202500</v>
      </c>
      <c r="AB593" s="14">
        <f t="shared" si="30"/>
        <v>180000</v>
      </c>
      <c r="AC593" s="14">
        <f t="shared" si="31"/>
        <v>157500</v>
      </c>
      <c r="AD593" s="3" t="s">
        <v>2043</v>
      </c>
      <c r="AE593" s="3" t="s">
        <v>2043</v>
      </c>
      <c r="AF593" s="3" t="s">
        <v>2044</v>
      </c>
      <c r="AG593" s="43">
        <v>25000</v>
      </c>
      <c r="AH593" s="43"/>
      <c r="AI593" s="43"/>
      <c r="AJ593" s="43">
        <v>25000</v>
      </c>
      <c r="AK593" s="43"/>
      <c r="AL593" s="43">
        <v>25000</v>
      </c>
      <c r="AM593" s="43">
        <v>25000</v>
      </c>
      <c r="AN593" s="43"/>
      <c r="AO593" s="43">
        <v>25000</v>
      </c>
      <c r="AP593" s="43">
        <v>50000</v>
      </c>
      <c r="AQ593" s="43">
        <v>25000</v>
      </c>
      <c r="AR593" s="43">
        <v>25000</v>
      </c>
      <c r="AS593" s="43">
        <v>225000</v>
      </c>
      <c r="AT593" s="3">
        <v>0</v>
      </c>
      <c r="AU593" s="272" t="s">
        <v>230</v>
      </c>
    </row>
    <row r="594" spans="1:47" ht="16.5" hidden="1" customHeight="1" x14ac:dyDescent="0.35">
      <c r="A594" s="2" t="s">
        <v>245</v>
      </c>
      <c r="B594" s="2" t="s">
        <v>246</v>
      </c>
      <c r="C594" s="2" t="s">
        <v>1784</v>
      </c>
      <c r="D594" s="2">
        <v>847</v>
      </c>
      <c r="E594" s="2">
        <v>8470440</v>
      </c>
      <c r="F594" s="2" t="s">
        <v>2001</v>
      </c>
      <c r="G594" s="2">
        <v>1</v>
      </c>
      <c r="H594" s="276">
        <v>428640</v>
      </c>
      <c r="I594" s="2" t="s">
        <v>279</v>
      </c>
      <c r="J594" s="2" t="s">
        <v>60</v>
      </c>
      <c r="K594" s="2" t="s">
        <v>50</v>
      </c>
      <c r="L594" s="7">
        <v>847001</v>
      </c>
      <c r="M594" s="2" t="s">
        <v>61</v>
      </c>
      <c r="N594" s="2">
        <v>200179</v>
      </c>
      <c r="O594" s="3" t="s">
        <v>2045</v>
      </c>
      <c r="P594" s="2" t="s">
        <v>46</v>
      </c>
      <c r="Q594" s="35">
        <v>100000</v>
      </c>
      <c r="R594" s="2">
        <v>100000</v>
      </c>
      <c r="S594" s="3" t="s">
        <v>645</v>
      </c>
      <c r="T594" s="2"/>
      <c r="U594" s="2">
        <v>20</v>
      </c>
      <c r="V594" s="10">
        <v>5000</v>
      </c>
      <c r="W594" s="3" t="s">
        <v>2046</v>
      </c>
      <c r="X594" s="36">
        <v>100000</v>
      </c>
      <c r="Y594" s="2" t="s">
        <v>1483</v>
      </c>
      <c r="Z594" s="2" t="s">
        <v>56</v>
      </c>
      <c r="AA594" s="14">
        <f t="shared" si="29"/>
        <v>90000</v>
      </c>
      <c r="AB594" s="14">
        <f t="shared" si="30"/>
        <v>80000</v>
      </c>
      <c r="AC594" s="14">
        <f t="shared" si="31"/>
        <v>70000</v>
      </c>
      <c r="AD594" s="3" t="s">
        <v>2047</v>
      </c>
      <c r="AE594" s="3" t="s">
        <v>2047</v>
      </c>
      <c r="AF594" s="3" t="s">
        <v>2048</v>
      </c>
      <c r="AG594" s="43">
        <v>25000</v>
      </c>
      <c r="AH594" s="43"/>
      <c r="AI594" s="43"/>
      <c r="AJ594" s="43">
        <v>25000</v>
      </c>
      <c r="AK594" s="43"/>
      <c r="AL594" s="43"/>
      <c r="AM594" s="43"/>
      <c r="AN594" s="43">
        <v>25000</v>
      </c>
      <c r="AO594" s="43"/>
      <c r="AP594" s="43"/>
      <c r="AQ594" s="43"/>
      <c r="AR594" s="43">
        <v>25000</v>
      </c>
      <c r="AS594" s="43">
        <v>100000</v>
      </c>
      <c r="AT594" s="3">
        <v>0</v>
      </c>
      <c r="AU594" s="272" t="s">
        <v>230</v>
      </c>
    </row>
    <row r="595" spans="1:47" ht="16.5" hidden="1" customHeight="1" x14ac:dyDescent="0.35">
      <c r="A595" s="2" t="s">
        <v>222</v>
      </c>
      <c r="B595" s="2" t="s">
        <v>58</v>
      </c>
      <c r="C595" s="2" t="s">
        <v>1784</v>
      </c>
      <c r="D595" s="2">
        <v>847</v>
      </c>
      <c r="E595" s="2">
        <v>8470440</v>
      </c>
      <c r="F595" s="2" t="s">
        <v>2001</v>
      </c>
      <c r="G595" s="2">
        <v>1</v>
      </c>
      <c r="H595" s="276">
        <v>435340</v>
      </c>
      <c r="I595" s="2" t="s">
        <v>655</v>
      </c>
      <c r="J595" s="2" t="s">
        <v>60</v>
      </c>
      <c r="K595" s="2" t="s">
        <v>50</v>
      </c>
      <c r="L595" s="7">
        <v>847001</v>
      </c>
      <c r="M595" s="2" t="s">
        <v>61</v>
      </c>
      <c r="N595" s="2">
        <v>200179</v>
      </c>
      <c r="O595" s="3" t="s">
        <v>2049</v>
      </c>
      <c r="P595" s="2">
        <v>0</v>
      </c>
      <c r="Q595" s="35">
        <v>120000</v>
      </c>
      <c r="R595" s="2">
        <v>120000</v>
      </c>
      <c r="S595" s="3" t="s">
        <v>882</v>
      </c>
      <c r="T595" s="2"/>
      <c r="U595" s="2">
        <v>4</v>
      </c>
      <c r="V595" s="2">
        <v>30000</v>
      </c>
      <c r="W595" s="3" t="s">
        <v>2050</v>
      </c>
      <c r="X595" s="36">
        <v>120000</v>
      </c>
      <c r="Y595" s="2" t="s">
        <v>1483</v>
      </c>
      <c r="Z595" s="2" t="s">
        <v>56</v>
      </c>
      <c r="AA595" s="14">
        <f t="shared" si="29"/>
        <v>108000</v>
      </c>
      <c r="AB595" s="14">
        <f t="shared" si="30"/>
        <v>96000</v>
      </c>
      <c r="AC595" s="14">
        <f t="shared" si="31"/>
        <v>84000</v>
      </c>
      <c r="AD595" s="3" t="s">
        <v>2051</v>
      </c>
      <c r="AE595" s="3" t="s">
        <v>2051</v>
      </c>
      <c r="AF595" s="3" t="s">
        <v>2051</v>
      </c>
      <c r="AG595" s="43">
        <v>10000</v>
      </c>
      <c r="AH595" s="43">
        <v>10000</v>
      </c>
      <c r="AI595" s="43">
        <v>10000</v>
      </c>
      <c r="AJ595" s="43">
        <v>10000</v>
      </c>
      <c r="AK595" s="43">
        <v>10000</v>
      </c>
      <c r="AL595" s="43">
        <v>10000</v>
      </c>
      <c r="AM595" s="43">
        <v>10000</v>
      </c>
      <c r="AN595" s="43">
        <v>10000</v>
      </c>
      <c r="AO595" s="43">
        <v>10000</v>
      </c>
      <c r="AP595" s="43">
        <v>10000</v>
      </c>
      <c r="AQ595" s="43">
        <v>10000</v>
      </c>
      <c r="AR595" s="43">
        <v>10000</v>
      </c>
      <c r="AS595" s="43">
        <v>120000</v>
      </c>
      <c r="AT595" s="3">
        <v>0</v>
      </c>
      <c r="AU595" s="272" t="s">
        <v>230</v>
      </c>
    </row>
    <row r="596" spans="1:47" ht="16.5" hidden="1" customHeight="1" x14ac:dyDescent="0.35">
      <c r="A596" s="2" t="s">
        <v>222</v>
      </c>
      <c r="B596" s="2" t="s">
        <v>58</v>
      </c>
      <c r="C596" s="2" t="s">
        <v>1784</v>
      </c>
      <c r="D596" s="2">
        <v>847</v>
      </c>
      <c r="E596" s="2">
        <v>8470440</v>
      </c>
      <c r="F596" s="2" t="s">
        <v>2001</v>
      </c>
      <c r="G596" s="2">
        <v>1</v>
      </c>
      <c r="H596" s="276">
        <v>435350</v>
      </c>
      <c r="I596" s="2" t="s">
        <v>399</v>
      </c>
      <c r="J596" s="2" t="s">
        <v>60</v>
      </c>
      <c r="K596" s="2" t="s">
        <v>50</v>
      </c>
      <c r="L596" s="7">
        <v>847001</v>
      </c>
      <c r="M596" s="2" t="s">
        <v>61</v>
      </c>
      <c r="N596" s="2">
        <v>200179</v>
      </c>
      <c r="O596" s="3" t="s">
        <v>2052</v>
      </c>
      <c r="P596" s="2">
        <v>11000.64</v>
      </c>
      <c r="Q596" s="35">
        <v>40000</v>
      </c>
      <c r="R596" s="2">
        <v>40000</v>
      </c>
      <c r="S596" s="3" t="s">
        <v>401</v>
      </c>
      <c r="T596" s="2"/>
      <c r="U596" s="2">
        <v>20</v>
      </c>
      <c r="V596" s="2">
        <v>2000</v>
      </c>
      <c r="W596" s="3" t="s">
        <v>2053</v>
      </c>
      <c r="X596" s="36">
        <v>40000</v>
      </c>
      <c r="Y596" s="2" t="s">
        <v>1483</v>
      </c>
      <c r="Z596" s="2" t="s">
        <v>56</v>
      </c>
      <c r="AA596" s="14">
        <f t="shared" si="29"/>
        <v>36000</v>
      </c>
      <c r="AB596" s="14">
        <f t="shared" si="30"/>
        <v>32000</v>
      </c>
      <c r="AC596" s="14">
        <f t="shared" si="31"/>
        <v>28000</v>
      </c>
      <c r="AD596" s="3" t="s">
        <v>2051</v>
      </c>
      <c r="AE596" s="3" t="s">
        <v>2051</v>
      </c>
      <c r="AF596" s="3" t="s">
        <v>2051</v>
      </c>
      <c r="AG596" s="43">
        <v>3000</v>
      </c>
      <c r="AH596" s="43">
        <v>3000</v>
      </c>
      <c r="AI596" s="43">
        <v>3000</v>
      </c>
      <c r="AJ596" s="43">
        <v>3000</v>
      </c>
      <c r="AK596" s="43">
        <v>3000</v>
      </c>
      <c r="AL596" s="43">
        <v>3000</v>
      </c>
      <c r="AM596" s="43">
        <v>3000</v>
      </c>
      <c r="AN596" s="43">
        <v>3000</v>
      </c>
      <c r="AO596" s="43">
        <v>5000</v>
      </c>
      <c r="AP596" s="43">
        <v>5000</v>
      </c>
      <c r="AQ596" s="43">
        <v>3000</v>
      </c>
      <c r="AR596" s="43">
        <v>3000</v>
      </c>
      <c r="AS596" s="43">
        <v>40000</v>
      </c>
      <c r="AT596" s="3">
        <v>0</v>
      </c>
      <c r="AU596" s="272" t="s">
        <v>230</v>
      </c>
    </row>
    <row r="597" spans="1:47" ht="16.5" hidden="1" customHeight="1" x14ac:dyDescent="0.35">
      <c r="A597" s="2" t="s">
        <v>222</v>
      </c>
      <c r="B597" s="2" t="s">
        <v>58</v>
      </c>
      <c r="C597" s="2" t="s">
        <v>1784</v>
      </c>
      <c r="D597" s="2">
        <v>847</v>
      </c>
      <c r="E597" s="2">
        <v>8470440</v>
      </c>
      <c r="F597" s="2" t="s">
        <v>2001</v>
      </c>
      <c r="G597" s="2">
        <v>1</v>
      </c>
      <c r="H597" s="276">
        <v>436600</v>
      </c>
      <c r="I597" s="2" t="s">
        <v>416</v>
      </c>
      <c r="J597" s="2" t="s">
        <v>60</v>
      </c>
      <c r="K597" s="2" t="s">
        <v>50</v>
      </c>
      <c r="L597" s="7">
        <v>847001</v>
      </c>
      <c r="M597" s="2" t="s">
        <v>61</v>
      </c>
      <c r="N597" s="2">
        <v>200179</v>
      </c>
      <c r="O597" s="3" t="s">
        <v>2054</v>
      </c>
      <c r="P597" s="2">
        <v>0</v>
      </c>
      <c r="Q597" s="35">
        <v>22500</v>
      </c>
      <c r="R597" s="2">
        <v>22500</v>
      </c>
      <c r="S597" s="3" t="s">
        <v>418</v>
      </c>
      <c r="T597" s="2"/>
      <c r="U597" s="2">
        <v>15</v>
      </c>
      <c r="V597" s="2">
        <v>1500</v>
      </c>
      <c r="W597" s="3" t="s">
        <v>2055</v>
      </c>
      <c r="X597" s="36">
        <v>22500</v>
      </c>
      <c r="Y597" s="2" t="s">
        <v>1483</v>
      </c>
      <c r="Z597" s="2" t="s">
        <v>56</v>
      </c>
      <c r="AA597" s="14">
        <f t="shared" si="29"/>
        <v>20250</v>
      </c>
      <c r="AB597" s="14">
        <f t="shared" si="30"/>
        <v>18000</v>
      </c>
      <c r="AC597" s="14">
        <f t="shared" si="31"/>
        <v>15749.999999999998</v>
      </c>
      <c r="AD597" s="3" t="s">
        <v>2051</v>
      </c>
      <c r="AE597" s="3" t="s">
        <v>2051</v>
      </c>
      <c r="AF597" s="3" t="s">
        <v>2051</v>
      </c>
      <c r="AG597" s="43">
        <v>5000</v>
      </c>
      <c r="AH597" s="43"/>
      <c r="AI597" s="43"/>
      <c r="AJ597" s="43">
        <v>5000</v>
      </c>
      <c r="AK597" s="43"/>
      <c r="AL597" s="43"/>
      <c r="AM597" s="43"/>
      <c r="AN597" s="43"/>
      <c r="AO597" s="43">
        <v>5000</v>
      </c>
      <c r="AP597" s="43"/>
      <c r="AQ597" s="43"/>
      <c r="AR597" s="43">
        <v>7500</v>
      </c>
      <c r="AS597" s="43">
        <v>22500</v>
      </c>
      <c r="AT597" s="3">
        <v>0</v>
      </c>
      <c r="AU597" s="272" t="s">
        <v>230</v>
      </c>
    </row>
    <row r="598" spans="1:47" ht="16.5" hidden="1" customHeight="1" x14ac:dyDescent="0.35">
      <c r="A598" s="2" t="s">
        <v>245</v>
      </c>
      <c r="B598" s="2" t="s">
        <v>246</v>
      </c>
      <c r="C598" s="2" t="s">
        <v>1784</v>
      </c>
      <c r="D598" s="2">
        <v>847</v>
      </c>
      <c r="E598" s="2">
        <v>8470445</v>
      </c>
      <c r="F598" s="2" t="s">
        <v>2056</v>
      </c>
      <c r="G598" s="2">
        <v>1</v>
      </c>
      <c r="H598" s="276">
        <v>425100</v>
      </c>
      <c r="I598" s="2" t="s">
        <v>1521</v>
      </c>
      <c r="J598" s="2" t="s">
        <v>60</v>
      </c>
      <c r="K598" s="2" t="s">
        <v>50</v>
      </c>
      <c r="L598" s="7">
        <v>847001</v>
      </c>
      <c r="M598" s="2" t="s">
        <v>61</v>
      </c>
      <c r="N598" s="2">
        <v>200179</v>
      </c>
      <c r="O598" s="3" t="s">
        <v>2057</v>
      </c>
      <c r="P598" s="2" t="s">
        <v>46</v>
      </c>
      <c r="Q598" s="35">
        <v>150000</v>
      </c>
      <c r="R598" s="2">
        <v>150000</v>
      </c>
      <c r="S598" s="3" t="s">
        <v>1185</v>
      </c>
      <c r="T598" s="2" t="s">
        <v>269</v>
      </c>
      <c r="U598" s="2">
        <v>1</v>
      </c>
      <c r="V598" s="2">
        <v>100000</v>
      </c>
      <c r="W598" s="3" t="s">
        <v>2058</v>
      </c>
      <c r="X598" s="36">
        <v>100000</v>
      </c>
      <c r="Y598" s="2" t="s">
        <v>210</v>
      </c>
      <c r="Z598" s="2" t="s">
        <v>56</v>
      </c>
      <c r="AA598" s="14">
        <f t="shared" si="29"/>
        <v>90000</v>
      </c>
      <c r="AB598" s="14">
        <f t="shared" si="30"/>
        <v>80000</v>
      </c>
      <c r="AC598" s="14">
        <f t="shared" si="31"/>
        <v>70000</v>
      </c>
      <c r="AD598" s="3" t="s">
        <v>2059</v>
      </c>
      <c r="AE598" s="3" t="s">
        <v>2060</v>
      </c>
      <c r="AF598" s="3" t="s">
        <v>2061</v>
      </c>
      <c r="AG598" s="43"/>
      <c r="AH598" s="43"/>
      <c r="AI598" s="43"/>
      <c r="AJ598" s="43">
        <v>100000</v>
      </c>
      <c r="AK598" s="43"/>
      <c r="AL598" s="43"/>
      <c r="AM598" s="43"/>
      <c r="AN598" s="43"/>
      <c r="AO598" s="43"/>
      <c r="AP598" s="43"/>
      <c r="AQ598" s="43"/>
      <c r="AR598" s="43"/>
      <c r="AS598" s="43">
        <v>100000</v>
      </c>
      <c r="AT598" s="3">
        <v>0</v>
      </c>
      <c r="AU598" s="272" t="s">
        <v>252</v>
      </c>
    </row>
    <row r="599" spans="1:47" ht="16.5" hidden="1" customHeight="1" x14ac:dyDescent="0.35">
      <c r="A599" s="2" t="s">
        <v>258</v>
      </c>
      <c r="B599" s="2" t="s">
        <v>58</v>
      </c>
      <c r="C599" s="2" t="s">
        <v>1784</v>
      </c>
      <c r="D599" s="2">
        <v>847</v>
      </c>
      <c r="E599" s="2">
        <v>8470445</v>
      </c>
      <c r="F599" s="2" t="s">
        <v>2056</v>
      </c>
      <c r="G599" s="2">
        <v>1</v>
      </c>
      <c r="H599" s="276">
        <v>425720</v>
      </c>
      <c r="I599" s="2" t="s">
        <v>620</v>
      </c>
      <c r="J599" s="2" t="s">
        <v>60</v>
      </c>
      <c r="K599" s="2" t="s">
        <v>50</v>
      </c>
      <c r="L599" s="7">
        <v>847001</v>
      </c>
      <c r="M599" s="2" t="s">
        <v>61</v>
      </c>
      <c r="N599" s="2">
        <v>200179</v>
      </c>
      <c r="O599" s="3" t="s">
        <v>2062</v>
      </c>
      <c r="P599" s="2" t="s">
        <v>46</v>
      </c>
      <c r="Q599" s="35">
        <v>18350</v>
      </c>
      <c r="R599" s="2">
        <v>18350</v>
      </c>
      <c r="S599" s="3" t="s">
        <v>622</v>
      </c>
      <c r="T599" s="2" t="s">
        <v>623</v>
      </c>
      <c r="U599" s="2">
        <v>1</v>
      </c>
      <c r="V599" s="2">
        <v>36730</v>
      </c>
      <c r="W599" s="3" t="s">
        <v>2063</v>
      </c>
      <c r="X599" s="36">
        <v>36730</v>
      </c>
      <c r="Y599" s="2" t="s">
        <v>210</v>
      </c>
      <c r="Z599" s="2" t="s">
        <v>56</v>
      </c>
      <c r="AA599" s="14">
        <f t="shared" si="29"/>
        <v>33057</v>
      </c>
      <c r="AB599" s="14">
        <f t="shared" si="30"/>
        <v>29384</v>
      </c>
      <c r="AC599" s="14">
        <f t="shared" si="31"/>
        <v>25711</v>
      </c>
      <c r="AD599" s="3" t="s">
        <v>2064</v>
      </c>
      <c r="AE599" s="3" t="s">
        <v>2064</v>
      </c>
      <c r="AF599" s="3" t="s">
        <v>2064</v>
      </c>
      <c r="AG599" s="43"/>
      <c r="AH599" s="43"/>
      <c r="AI599" s="43">
        <v>36730</v>
      </c>
      <c r="AJ599" s="43"/>
      <c r="AK599" s="43"/>
      <c r="AL599" s="43"/>
      <c r="AM599" s="43"/>
      <c r="AN599" s="43"/>
      <c r="AO599" s="43"/>
      <c r="AP599" s="43"/>
      <c r="AQ599" s="43"/>
      <c r="AR599" s="43"/>
      <c r="AS599" s="43">
        <v>36730</v>
      </c>
      <c r="AT599" s="3">
        <v>0</v>
      </c>
      <c r="AU599" s="272" t="s">
        <v>70</v>
      </c>
    </row>
    <row r="600" spans="1:47" ht="16.5" hidden="1" customHeight="1" x14ac:dyDescent="0.35">
      <c r="A600" s="2" t="s">
        <v>258</v>
      </c>
      <c r="B600" s="2" t="s">
        <v>350</v>
      </c>
      <c r="C600" s="2" t="s">
        <v>1784</v>
      </c>
      <c r="D600" s="2">
        <v>847</v>
      </c>
      <c r="E600" s="2">
        <v>8470445</v>
      </c>
      <c r="F600" s="2" t="s">
        <v>2056</v>
      </c>
      <c r="G600" s="2">
        <v>1</v>
      </c>
      <c r="H600" s="276">
        <v>425760</v>
      </c>
      <c r="I600" s="2" t="s">
        <v>352</v>
      </c>
      <c r="J600" s="2" t="s">
        <v>60</v>
      </c>
      <c r="K600" s="2" t="s">
        <v>50</v>
      </c>
      <c r="L600" s="7">
        <v>847001</v>
      </c>
      <c r="M600" s="2" t="s">
        <v>61</v>
      </c>
      <c r="N600" s="2">
        <v>200179</v>
      </c>
      <c r="O600" s="3" t="s">
        <v>2065</v>
      </c>
      <c r="P600" s="2" t="s">
        <v>46</v>
      </c>
      <c r="Q600" s="35">
        <v>36630</v>
      </c>
      <c r="R600" s="2">
        <v>15000</v>
      </c>
      <c r="S600" s="3" t="s">
        <v>440</v>
      </c>
      <c r="T600" s="2" t="s">
        <v>441</v>
      </c>
      <c r="U600" s="2">
        <v>1</v>
      </c>
      <c r="V600" s="2">
        <v>106850</v>
      </c>
      <c r="W600" s="3" t="s">
        <v>2066</v>
      </c>
      <c r="X600" s="36">
        <v>106850</v>
      </c>
      <c r="Y600" s="2" t="s">
        <v>210</v>
      </c>
      <c r="Z600" s="2" t="s">
        <v>56</v>
      </c>
      <c r="AA600" s="14">
        <f t="shared" si="29"/>
        <v>96165</v>
      </c>
      <c r="AB600" s="14">
        <f t="shared" si="30"/>
        <v>85480</v>
      </c>
      <c r="AC600" s="14">
        <f t="shared" si="31"/>
        <v>74795</v>
      </c>
      <c r="AD600" s="3" t="s">
        <v>2067</v>
      </c>
      <c r="AE600" s="3" t="s">
        <v>2067</v>
      </c>
      <c r="AF600" s="3" t="s">
        <v>2067</v>
      </c>
      <c r="AG600" s="43"/>
      <c r="AH600" s="43">
        <v>1850</v>
      </c>
      <c r="AI600" s="43"/>
      <c r="AJ600" s="43"/>
      <c r="AK600" s="43">
        <v>100000</v>
      </c>
      <c r="AL600" s="43"/>
      <c r="AM600" s="43"/>
      <c r="AN600" s="43"/>
      <c r="AO600" s="43">
        <v>5000</v>
      </c>
      <c r="AP600" s="43"/>
      <c r="AQ600" s="43"/>
      <c r="AR600" s="43"/>
      <c r="AS600" s="43">
        <v>106850</v>
      </c>
      <c r="AT600" s="3">
        <v>0</v>
      </c>
      <c r="AU600" s="272" t="s">
        <v>384</v>
      </c>
    </row>
    <row r="601" spans="1:47" ht="16.5" hidden="1" customHeight="1" x14ac:dyDescent="0.35">
      <c r="A601" s="2" t="s">
        <v>258</v>
      </c>
      <c r="B601" s="2" t="s">
        <v>58</v>
      </c>
      <c r="C601" s="2" t="s">
        <v>1784</v>
      </c>
      <c r="D601" s="2">
        <v>847</v>
      </c>
      <c r="E601" s="2">
        <v>8470445</v>
      </c>
      <c r="F601" s="2" t="s">
        <v>2056</v>
      </c>
      <c r="G601" s="2">
        <v>1</v>
      </c>
      <c r="H601" s="276">
        <v>425763</v>
      </c>
      <c r="I601" s="2" t="s">
        <v>359</v>
      </c>
      <c r="J601" s="2" t="s">
        <v>60</v>
      </c>
      <c r="K601" s="2" t="s">
        <v>50</v>
      </c>
      <c r="L601" s="7">
        <v>847001</v>
      </c>
      <c r="M601" s="2" t="s">
        <v>61</v>
      </c>
      <c r="N601" s="2">
        <v>200179</v>
      </c>
      <c r="O601" s="3" t="s">
        <v>2068</v>
      </c>
      <c r="P601" s="2" t="s">
        <v>46</v>
      </c>
      <c r="Q601" s="35">
        <v>7590</v>
      </c>
      <c r="R601" s="2">
        <v>5000</v>
      </c>
      <c r="S601" s="3" t="s">
        <v>361</v>
      </c>
      <c r="T601" s="2" t="s">
        <v>68</v>
      </c>
      <c r="U601" s="2">
        <v>20</v>
      </c>
      <c r="V601" s="2">
        <v>500</v>
      </c>
      <c r="W601" s="3" t="s">
        <v>2069</v>
      </c>
      <c r="X601" s="36">
        <v>10000</v>
      </c>
      <c r="Y601" s="2" t="s">
        <v>55</v>
      </c>
      <c r="Z601" s="2" t="s">
        <v>56</v>
      </c>
      <c r="AA601" s="14">
        <f t="shared" si="29"/>
        <v>9000</v>
      </c>
      <c r="AB601" s="14">
        <f t="shared" si="30"/>
        <v>8000</v>
      </c>
      <c r="AC601" s="14">
        <f t="shared" si="31"/>
        <v>7000</v>
      </c>
      <c r="AD601" s="3" t="s">
        <v>2067</v>
      </c>
      <c r="AE601" s="3" t="s">
        <v>2067</v>
      </c>
      <c r="AF601" s="3" t="s">
        <v>2067</v>
      </c>
      <c r="AG601" s="43" t="s">
        <v>1889</v>
      </c>
      <c r="AH601" s="43" t="s">
        <v>1889</v>
      </c>
      <c r="AI601" s="43">
        <v>2000</v>
      </c>
      <c r="AJ601" s="43">
        <v>2000</v>
      </c>
      <c r="AK601" s="43">
        <v>2000</v>
      </c>
      <c r="AL601" s="43">
        <v>2000</v>
      </c>
      <c r="AM601" s="43">
        <v>2000</v>
      </c>
      <c r="AN601" s="43"/>
      <c r="AO601" s="43"/>
      <c r="AP601" s="43"/>
      <c r="AQ601" s="43"/>
      <c r="AR601" s="43"/>
      <c r="AS601" s="43">
        <v>10000</v>
      </c>
      <c r="AT601" s="3">
        <v>0</v>
      </c>
      <c r="AU601" s="272" t="s">
        <v>384</v>
      </c>
    </row>
    <row r="602" spans="1:47" ht="16.5" hidden="1" customHeight="1" x14ac:dyDescent="0.35">
      <c r="A602" s="2" t="s">
        <v>222</v>
      </c>
      <c r="B602" s="2" t="s">
        <v>58</v>
      </c>
      <c r="C602" s="2" t="s">
        <v>1784</v>
      </c>
      <c r="D602" s="2">
        <v>847</v>
      </c>
      <c r="E602" s="2">
        <v>8470445</v>
      </c>
      <c r="F602" s="2" t="s">
        <v>2056</v>
      </c>
      <c r="G602" s="2">
        <v>1</v>
      </c>
      <c r="H602" s="276">
        <v>425770</v>
      </c>
      <c r="I602" s="2" t="s">
        <v>367</v>
      </c>
      <c r="J602" s="2" t="s">
        <v>60</v>
      </c>
      <c r="K602" s="2" t="s">
        <v>50</v>
      </c>
      <c r="L602" s="7">
        <v>847001</v>
      </c>
      <c r="M602" s="2" t="s">
        <v>61</v>
      </c>
      <c r="N602" s="2">
        <v>200179</v>
      </c>
      <c r="O602" s="3" t="s">
        <v>2070</v>
      </c>
      <c r="P602" s="2">
        <v>6600.06</v>
      </c>
      <c r="Q602" s="35">
        <v>570000</v>
      </c>
      <c r="R602" s="2">
        <v>400000</v>
      </c>
      <c r="S602" s="3" t="s">
        <v>369</v>
      </c>
      <c r="T602" s="2" t="s">
        <v>157</v>
      </c>
      <c r="U602" s="2">
        <v>40</v>
      </c>
      <c r="V602" s="2">
        <v>15000</v>
      </c>
      <c r="W602" s="3" t="s">
        <v>2071</v>
      </c>
      <c r="X602" s="36">
        <v>600000</v>
      </c>
      <c r="Y602" s="2" t="s">
        <v>55</v>
      </c>
      <c r="Z602" s="2" t="s">
        <v>56</v>
      </c>
      <c r="AA602" s="14">
        <f t="shared" si="29"/>
        <v>540000</v>
      </c>
      <c r="AB602" s="14">
        <f t="shared" si="30"/>
        <v>480000</v>
      </c>
      <c r="AC602" s="14">
        <f t="shared" si="31"/>
        <v>420000</v>
      </c>
      <c r="AD602" s="3" t="s">
        <v>2072</v>
      </c>
      <c r="AE602" s="3" t="s">
        <v>2073</v>
      </c>
      <c r="AF602" s="3" t="s">
        <v>2074</v>
      </c>
      <c r="AG602" s="43"/>
      <c r="AH602" s="43">
        <v>25000</v>
      </c>
      <c r="AI602" s="43">
        <v>25000</v>
      </c>
      <c r="AJ602" s="43">
        <v>50000</v>
      </c>
      <c r="AK602" s="43">
        <v>100000</v>
      </c>
      <c r="AL602" s="43">
        <v>100000</v>
      </c>
      <c r="AM602" s="43">
        <v>100000</v>
      </c>
      <c r="AN602" s="43">
        <v>50000</v>
      </c>
      <c r="AO602" s="43">
        <v>50000</v>
      </c>
      <c r="AP602" s="43">
        <v>25000</v>
      </c>
      <c r="AQ602" s="43">
        <v>25000</v>
      </c>
      <c r="AR602" s="43">
        <v>50000</v>
      </c>
      <c r="AS602" s="43">
        <v>600000</v>
      </c>
      <c r="AT602" s="3">
        <v>0</v>
      </c>
      <c r="AU602" s="272" t="s">
        <v>252</v>
      </c>
    </row>
    <row r="603" spans="1:47" ht="16.5" hidden="1" customHeight="1" x14ac:dyDescent="0.35">
      <c r="A603" s="2" t="s">
        <v>63</v>
      </c>
      <c r="B603" s="2" t="s">
        <v>64</v>
      </c>
      <c r="C603" s="2" t="s">
        <v>1784</v>
      </c>
      <c r="D603" s="2">
        <v>847</v>
      </c>
      <c r="E603" s="2">
        <v>8470445</v>
      </c>
      <c r="F603" s="2" t="s">
        <v>2056</v>
      </c>
      <c r="G603" s="2">
        <v>1</v>
      </c>
      <c r="H603" s="276">
        <v>426610</v>
      </c>
      <c r="I603" s="2" t="s">
        <v>74</v>
      </c>
      <c r="J603" s="2" t="s">
        <v>60</v>
      </c>
      <c r="K603" s="2" t="s">
        <v>50</v>
      </c>
      <c r="L603" s="7">
        <v>847001</v>
      </c>
      <c r="M603" s="2" t="s">
        <v>61</v>
      </c>
      <c r="N603" s="2">
        <v>200179</v>
      </c>
      <c r="O603" s="3" t="s">
        <v>2075</v>
      </c>
      <c r="P603" s="2">
        <v>53832</v>
      </c>
      <c r="Q603" s="35">
        <v>37650</v>
      </c>
      <c r="R603" s="2">
        <v>53832</v>
      </c>
      <c r="S603" s="3" t="s">
        <v>274</v>
      </c>
      <c r="T603" s="2" t="s">
        <v>157</v>
      </c>
      <c r="U603" s="2">
        <v>1</v>
      </c>
      <c r="V603" s="2">
        <v>25000</v>
      </c>
      <c r="W603" s="3" t="s">
        <v>2076</v>
      </c>
      <c r="X603" s="36">
        <v>25000</v>
      </c>
      <c r="Y603" s="2" t="s">
        <v>55</v>
      </c>
      <c r="Z603" s="2" t="s">
        <v>56</v>
      </c>
      <c r="AA603" s="14">
        <f t="shared" si="29"/>
        <v>22500</v>
      </c>
      <c r="AB603" s="14">
        <f t="shared" si="30"/>
        <v>20000</v>
      </c>
      <c r="AC603" s="14">
        <f t="shared" si="31"/>
        <v>17500</v>
      </c>
      <c r="AD603" s="3" t="s">
        <v>2077</v>
      </c>
      <c r="AE603" s="3" t="s">
        <v>2077</v>
      </c>
      <c r="AF603" s="3" t="s">
        <v>2077</v>
      </c>
      <c r="AG603" s="43"/>
      <c r="AH603" s="43">
        <v>25000</v>
      </c>
      <c r="AI603" s="43"/>
      <c r="AJ603" s="43"/>
      <c r="AK603" s="43"/>
      <c r="AL603" s="43"/>
      <c r="AM603" s="43"/>
      <c r="AN603" s="43"/>
      <c r="AO603" s="43"/>
      <c r="AP603" s="43"/>
      <c r="AQ603" s="43"/>
      <c r="AR603" s="43"/>
      <c r="AS603" s="43">
        <v>25000</v>
      </c>
      <c r="AT603" s="3">
        <v>0</v>
      </c>
      <c r="AU603" s="272" t="s">
        <v>230</v>
      </c>
    </row>
    <row r="604" spans="1:47" ht="16.5" hidden="1" customHeight="1" x14ac:dyDescent="0.35">
      <c r="A604" s="2" t="s">
        <v>222</v>
      </c>
      <c r="B604" s="2" t="s">
        <v>58</v>
      </c>
      <c r="C604" s="2" t="s">
        <v>1784</v>
      </c>
      <c r="D604" s="2">
        <v>847</v>
      </c>
      <c r="E604" s="2">
        <v>8470445</v>
      </c>
      <c r="F604" s="2" t="s">
        <v>2056</v>
      </c>
      <c r="G604" s="2">
        <v>1</v>
      </c>
      <c r="H604" s="276">
        <v>435350</v>
      </c>
      <c r="I604" s="2" t="s">
        <v>399</v>
      </c>
      <c r="J604" s="2" t="s">
        <v>60</v>
      </c>
      <c r="K604" s="2" t="s">
        <v>50</v>
      </c>
      <c r="L604" s="7">
        <v>847001</v>
      </c>
      <c r="M604" s="2" t="s">
        <v>61</v>
      </c>
      <c r="N604" s="2">
        <v>200179</v>
      </c>
      <c r="O604" s="3" t="s">
        <v>2078</v>
      </c>
      <c r="P604" s="2" t="s">
        <v>46</v>
      </c>
      <c r="Q604" s="35">
        <v>600000</v>
      </c>
      <c r="R604" s="2">
        <v>500000</v>
      </c>
      <c r="S604" s="3" t="s">
        <v>401</v>
      </c>
      <c r="T604" s="2" t="s">
        <v>157</v>
      </c>
      <c r="U604" s="2">
        <v>45</v>
      </c>
      <c r="V604" s="2">
        <v>15000</v>
      </c>
      <c r="W604" s="3" t="s">
        <v>2079</v>
      </c>
      <c r="X604" s="36">
        <v>675000</v>
      </c>
      <c r="Y604" s="2" t="s">
        <v>55</v>
      </c>
      <c r="Z604" s="2" t="s">
        <v>56</v>
      </c>
      <c r="AA604" s="14">
        <f t="shared" si="29"/>
        <v>607500</v>
      </c>
      <c r="AB604" s="14">
        <f t="shared" si="30"/>
        <v>540000</v>
      </c>
      <c r="AC604" s="14">
        <f t="shared" si="31"/>
        <v>472499.99999999994</v>
      </c>
      <c r="AD604" s="3" t="s">
        <v>2080</v>
      </c>
      <c r="AE604" s="3" t="s">
        <v>2080</v>
      </c>
      <c r="AF604" s="3" t="s">
        <v>2080</v>
      </c>
      <c r="AG604" s="43">
        <v>50000</v>
      </c>
      <c r="AH604" s="43">
        <v>50000</v>
      </c>
      <c r="AI604" s="43">
        <v>50000</v>
      </c>
      <c r="AJ604" s="43">
        <v>50000</v>
      </c>
      <c r="AK604" s="43">
        <v>60000</v>
      </c>
      <c r="AL604" s="43">
        <v>65000</v>
      </c>
      <c r="AM604" s="43">
        <v>60000</v>
      </c>
      <c r="AN604" s="43">
        <v>60000</v>
      </c>
      <c r="AO604" s="43">
        <v>50000</v>
      </c>
      <c r="AP604" s="43">
        <v>60000</v>
      </c>
      <c r="AQ604" s="43">
        <v>60000</v>
      </c>
      <c r="AR604" s="43">
        <v>60000</v>
      </c>
      <c r="AS604" s="43">
        <v>675000</v>
      </c>
      <c r="AT604" s="3">
        <v>0</v>
      </c>
      <c r="AU604" s="272" t="s">
        <v>252</v>
      </c>
    </row>
    <row r="605" spans="1:47" ht="16.5" hidden="1" customHeight="1" x14ac:dyDescent="0.35">
      <c r="A605" s="2" t="s">
        <v>222</v>
      </c>
      <c r="B605" s="2" t="s">
        <v>58</v>
      </c>
      <c r="C605" s="2" t="s">
        <v>1784</v>
      </c>
      <c r="D605" s="2">
        <v>847</v>
      </c>
      <c r="E605" s="2">
        <v>8470445</v>
      </c>
      <c r="F605" s="2" t="s">
        <v>2056</v>
      </c>
      <c r="G605" s="2">
        <v>1</v>
      </c>
      <c r="H605" s="276">
        <v>427710</v>
      </c>
      <c r="I605" s="2" t="s">
        <v>1090</v>
      </c>
      <c r="J605" s="2" t="s">
        <v>60</v>
      </c>
      <c r="K605" s="2" t="s">
        <v>50</v>
      </c>
      <c r="L605" s="7">
        <v>847001</v>
      </c>
      <c r="M605" s="2" t="s">
        <v>61</v>
      </c>
      <c r="N605" s="2">
        <v>200179</v>
      </c>
      <c r="O605" s="3" t="s">
        <v>2081</v>
      </c>
      <c r="P605" s="2" t="s">
        <v>46</v>
      </c>
      <c r="Q605" s="35" t="s">
        <v>46</v>
      </c>
      <c r="R605" s="2"/>
      <c r="S605" s="3" t="s">
        <v>1092</v>
      </c>
      <c r="T605" s="2" t="s">
        <v>157</v>
      </c>
      <c r="U605" s="2">
        <v>1</v>
      </c>
      <c r="V605" s="2">
        <v>12576</v>
      </c>
      <c r="W605" s="3" t="s">
        <v>2082</v>
      </c>
      <c r="X605" s="36">
        <v>12576</v>
      </c>
      <c r="Y605" s="2" t="s">
        <v>55</v>
      </c>
      <c r="Z605" s="2" t="s">
        <v>56</v>
      </c>
      <c r="AA605" s="14">
        <f t="shared" si="29"/>
        <v>11318.4</v>
      </c>
      <c r="AB605" s="14">
        <f t="shared" si="30"/>
        <v>10060.800000000001</v>
      </c>
      <c r="AC605" s="14">
        <f t="shared" si="31"/>
        <v>8803.1999999999989</v>
      </c>
      <c r="AD605" s="3" t="s">
        <v>2083</v>
      </c>
      <c r="AE605" s="3" t="s">
        <v>2083</v>
      </c>
      <c r="AF605" s="3" t="s">
        <v>2083</v>
      </c>
      <c r="AG605" s="43"/>
      <c r="AH605" s="43">
        <v>12576</v>
      </c>
      <c r="AI605" s="43"/>
      <c r="AJ605" s="43"/>
      <c r="AK605" s="43"/>
      <c r="AL605" s="43"/>
      <c r="AM605" s="43"/>
      <c r="AN605" s="43"/>
      <c r="AO605" s="43"/>
      <c r="AP605" s="43"/>
      <c r="AQ605" s="43"/>
      <c r="AR605" s="43"/>
      <c r="AS605" s="43">
        <v>12576</v>
      </c>
      <c r="AT605" s="3">
        <v>0</v>
      </c>
      <c r="AU605" s="272" t="s">
        <v>237</v>
      </c>
    </row>
    <row r="606" spans="1:47" ht="16.5" hidden="1" customHeight="1" x14ac:dyDescent="0.35">
      <c r="A606" s="2" t="s">
        <v>189</v>
      </c>
      <c r="B606" s="2" t="s">
        <v>265</v>
      </c>
      <c r="C606" s="2" t="s">
        <v>1784</v>
      </c>
      <c r="D606" s="2">
        <v>847</v>
      </c>
      <c r="E606" s="2">
        <v>8470445</v>
      </c>
      <c r="F606" s="2" t="s">
        <v>2056</v>
      </c>
      <c r="G606" s="2">
        <v>1</v>
      </c>
      <c r="H606" s="276">
        <v>425900</v>
      </c>
      <c r="I606" s="2" t="s">
        <v>266</v>
      </c>
      <c r="J606" s="2" t="s">
        <v>60</v>
      </c>
      <c r="K606" s="2" t="s">
        <v>50</v>
      </c>
      <c r="L606" s="7">
        <v>847001</v>
      </c>
      <c r="M606" s="2" t="s">
        <v>61</v>
      </c>
      <c r="N606" s="2">
        <v>200179</v>
      </c>
      <c r="O606" s="3" t="s">
        <v>2084</v>
      </c>
      <c r="P606" s="2" t="s">
        <v>46</v>
      </c>
      <c r="Q606" s="35" t="s">
        <v>46</v>
      </c>
      <c r="R606" s="2"/>
      <c r="S606" s="3" t="s">
        <v>268</v>
      </c>
      <c r="T606" s="2" t="s">
        <v>269</v>
      </c>
      <c r="U606" s="2">
        <v>12</v>
      </c>
      <c r="V606" s="2">
        <v>10000</v>
      </c>
      <c r="W606" s="3" t="s">
        <v>2085</v>
      </c>
      <c r="X606" s="36">
        <v>120000</v>
      </c>
      <c r="Y606" s="2" t="s">
        <v>55</v>
      </c>
      <c r="Z606" s="2" t="s">
        <v>56</v>
      </c>
      <c r="AA606" s="14">
        <f t="shared" si="29"/>
        <v>108000</v>
      </c>
      <c r="AB606" s="14">
        <f t="shared" si="30"/>
        <v>96000</v>
      </c>
      <c r="AC606" s="14">
        <f t="shared" si="31"/>
        <v>84000</v>
      </c>
      <c r="AD606" s="3" t="s">
        <v>2086</v>
      </c>
      <c r="AE606" s="3" t="s">
        <v>2086</v>
      </c>
      <c r="AF606" s="3" t="s">
        <v>2086</v>
      </c>
      <c r="AG606" s="43"/>
      <c r="AH606" s="43"/>
      <c r="AI606" s="43"/>
      <c r="AJ606" s="43"/>
      <c r="AK606" s="43">
        <v>120000</v>
      </c>
      <c r="AL606" s="43"/>
      <c r="AM606" s="43"/>
      <c r="AN606" s="43"/>
      <c r="AO606" s="43"/>
      <c r="AP606" s="43"/>
      <c r="AQ606" s="43"/>
      <c r="AR606" s="43"/>
      <c r="AS606" s="43">
        <v>120000</v>
      </c>
      <c r="AT606" s="3">
        <v>0</v>
      </c>
      <c r="AU606" s="272" t="s">
        <v>618</v>
      </c>
    </row>
    <row r="607" spans="1:47" ht="16.5" hidden="1" customHeight="1" x14ac:dyDescent="0.35">
      <c r="A607" s="2" t="s">
        <v>222</v>
      </c>
      <c r="B607" s="2" t="s">
        <v>58</v>
      </c>
      <c r="C607" s="2" t="s">
        <v>1784</v>
      </c>
      <c r="D607" s="2">
        <v>847</v>
      </c>
      <c r="E607" s="2">
        <v>8470445</v>
      </c>
      <c r="F607" s="2" t="s">
        <v>2056</v>
      </c>
      <c r="G607" s="2">
        <v>1</v>
      </c>
      <c r="H607" s="276">
        <v>420550</v>
      </c>
      <c r="I607" s="2" t="s">
        <v>225</v>
      </c>
      <c r="J607" s="2" t="s">
        <v>60</v>
      </c>
      <c r="K607" s="2" t="s">
        <v>50</v>
      </c>
      <c r="L607" s="7">
        <v>847001</v>
      </c>
      <c r="M607" s="2" t="s">
        <v>61</v>
      </c>
      <c r="N607" s="2">
        <v>200179</v>
      </c>
      <c r="O607" s="3" t="s">
        <v>2087</v>
      </c>
      <c r="P607" s="2"/>
      <c r="Q607" s="35" t="s">
        <v>46</v>
      </c>
      <c r="R607" s="2"/>
      <c r="S607" s="3" t="s">
        <v>227</v>
      </c>
      <c r="T607" s="2" t="s">
        <v>157</v>
      </c>
      <c r="U607" s="2">
        <v>1</v>
      </c>
      <c r="V607" s="2">
        <v>200000</v>
      </c>
      <c r="W607" s="3" t="s">
        <v>2088</v>
      </c>
      <c r="X607" s="36">
        <v>200000</v>
      </c>
      <c r="Y607" s="2" t="s">
        <v>210</v>
      </c>
      <c r="Z607" s="2" t="s">
        <v>56</v>
      </c>
      <c r="AA607" s="14">
        <f t="shared" si="29"/>
        <v>180000</v>
      </c>
      <c r="AB607" s="14">
        <f t="shared" si="30"/>
        <v>160000</v>
      </c>
      <c r="AC607" s="14">
        <f t="shared" si="31"/>
        <v>140000</v>
      </c>
      <c r="AD607" s="3" t="s">
        <v>2089</v>
      </c>
      <c r="AE607" s="3" t="s">
        <v>2089</v>
      </c>
      <c r="AF607" s="3" t="s">
        <v>2089</v>
      </c>
      <c r="AG607" s="43"/>
      <c r="AH607" s="43">
        <v>200000</v>
      </c>
      <c r="AI607" s="43"/>
      <c r="AJ607" s="43"/>
      <c r="AK607" s="43"/>
      <c r="AL607" s="43"/>
      <c r="AM607" s="43"/>
      <c r="AN607" s="43"/>
      <c r="AO607" s="43"/>
      <c r="AP607" s="43"/>
      <c r="AQ607" s="43"/>
      <c r="AR607" s="43"/>
      <c r="AS607" s="43">
        <v>200000</v>
      </c>
      <c r="AT607" s="3">
        <v>0</v>
      </c>
      <c r="AU607" s="272" t="s">
        <v>880</v>
      </c>
    </row>
    <row r="608" spans="1:47" ht="16.5" hidden="1" customHeight="1" x14ac:dyDescent="0.35">
      <c r="A608" s="2" t="s">
        <v>245</v>
      </c>
      <c r="B608" s="2" t="s">
        <v>246</v>
      </c>
      <c r="C608" s="2" t="s">
        <v>1784</v>
      </c>
      <c r="D608" s="2">
        <v>847</v>
      </c>
      <c r="E608" s="2">
        <v>8470445</v>
      </c>
      <c r="F608" s="2" t="s">
        <v>2056</v>
      </c>
      <c r="G608" s="2">
        <v>1</v>
      </c>
      <c r="H608" s="276">
        <v>425510</v>
      </c>
      <c r="I608" s="2" t="s">
        <v>247</v>
      </c>
      <c r="J608" s="2" t="s">
        <v>60</v>
      </c>
      <c r="K608" s="2" t="s">
        <v>50</v>
      </c>
      <c r="L608" s="7">
        <v>847001</v>
      </c>
      <c r="M608" s="2" t="s">
        <v>61</v>
      </c>
      <c r="N608" s="2">
        <v>200179</v>
      </c>
      <c r="O608" s="3" t="s">
        <v>2090</v>
      </c>
      <c r="P608" s="2" t="s">
        <v>46</v>
      </c>
      <c r="Q608" s="35" t="s">
        <v>46</v>
      </c>
      <c r="R608" s="2"/>
      <c r="S608" s="3" t="s">
        <v>433</v>
      </c>
      <c r="T608" s="2" t="s">
        <v>434</v>
      </c>
      <c r="U608" s="2">
        <v>2</v>
      </c>
      <c r="V608" s="2">
        <v>150000</v>
      </c>
      <c r="W608" s="3" t="s">
        <v>2091</v>
      </c>
      <c r="X608" s="36">
        <v>300000</v>
      </c>
      <c r="Y608" s="2" t="s">
        <v>210</v>
      </c>
      <c r="Z608" s="2" t="s">
        <v>56</v>
      </c>
      <c r="AA608" s="14">
        <f t="shared" si="29"/>
        <v>270000</v>
      </c>
      <c r="AB608" s="14">
        <f t="shared" si="30"/>
        <v>240000</v>
      </c>
      <c r="AC608" s="14">
        <f t="shared" si="31"/>
        <v>210000</v>
      </c>
      <c r="AD608" s="3" t="s">
        <v>2092</v>
      </c>
      <c r="AE608" s="3" t="s">
        <v>2092</v>
      </c>
      <c r="AF608" s="3" t="s">
        <v>2092</v>
      </c>
      <c r="AG608" s="43"/>
      <c r="AH608" s="43">
        <v>20000</v>
      </c>
      <c r="AI608" s="43">
        <v>20000</v>
      </c>
      <c r="AJ608" s="43">
        <v>20000</v>
      </c>
      <c r="AK608" s="43">
        <v>40000</v>
      </c>
      <c r="AL608" s="43">
        <v>50000</v>
      </c>
      <c r="AM608" s="43"/>
      <c r="AN608" s="43">
        <v>20000</v>
      </c>
      <c r="AO608" s="43">
        <v>20000</v>
      </c>
      <c r="AP608" s="43">
        <v>20000</v>
      </c>
      <c r="AQ608" s="43">
        <v>40000</v>
      </c>
      <c r="AR608" s="43">
        <v>50000</v>
      </c>
      <c r="AS608" s="43">
        <v>300000</v>
      </c>
      <c r="AT608" s="3">
        <v>0</v>
      </c>
      <c r="AU608" s="272" t="s">
        <v>618</v>
      </c>
    </row>
    <row r="609" spans="1:47" ht="16.5" hidden="1" customHeight="1" x14ac:dyDescent="0.35">
      <c r="A609" s="2" t="s">
        <v>222</v>
      </c>
      <c r="B609" s="2" t="s">
        <v>220</v>
      </c>
      <c r="C609" s="2" t="s">
        <v>1784</v>
      </c>
      <c r="D609" s="2">
        <v>847</v>
      </c>
      <c r="E609" s="2">
        <v>8470445</v>
      </c>
      <c r="F609" s="2" t="s">
        <v>2056</v>
      </c>
      <c r="G609" s="2">
        <v>1</v>
      </c>
      <c r="H609" s="276">
        <v>492354</v>
      </c>
      <c r="I609" s="2" t="s">
        <v>204</v>
      </c>
      <c r="J609" s="2" t="s">
        <v>60</v>
      </c>
      <c r="K609" s="2" t="s">
        <v>50</v>
      </c>
      <c r="L609" s="7">
        <v>847001</v>
      </c>
      <c r="M609" s="2" t="s">
        <v>192</v>
      </c>
      <c r="N609" s="2">
        <v>300180</v>
      </c>
      <c r="O609" s="3" t="s">
        <v>2094</v>
      </c>
      <c r="P609" s="2">
        <v>0</v>
      </c>
      <c r="Q609" s="35">
        <v>0</v>
      </c>
      <c r="R609" s="2"/>
      <c r="S609" s="3" t="s">
        <v>205</v>
      </c>
      <c r="T609" s="2" t="s">
        <v>201</v>
      </c>
      <c r="U609" s="2">
        <v>15</v>
      </c>
      <c r="V609" s="2">
        <v>60000</v>
      </c>
      <c r="W609" s="3" t="s">
        <v>2095</v>
      </c>
      <c r="X609" s="36">
        <v>900000</v>
      </c>
      <c r="Y609" s="2" t="s">
        <v>210</v>
      </c>
      <c r="Z609" s="2" t="s">
        <v>197</v>
      </c>
      <c r="AA609" s="14">
        <f t="shared" si="29"/>
        <v>810000</v>
      </c>
      <c r="AB609" s="14">
        <f t="shared" si="30"/>
        <v>720000</v>
      </c>
      <c r="AC609" s="14">
        <f t="shared" si="31"/>
        <v>630000</v>
      </c>
      <c r="AD609" s="3" t="s">
        <v>2096</v>
      </c>
      <c r="AE609" s="3" t="s">
        <v>2097</v>
      </c>
      <c r="AF609" s="3" t="s">
        <v>2098</v>
      </c>
      <c r="AG609" s="43"/>
      <c r="AH609" s="43"/>
      <c r="AI609" s="43">
        <v>900000</v>
      </c>
      <c r="AJ609" s="43"/>
      <c r="AK609" s="43"/>
      <c r="AL609" s="43"/>
      <c r="AM609" s="43"/>
      <c r="AN609" s="43"/>
      <c r="AO609" s="43"/>
      <c r="AP609" s="43"/>
      <c r="AQ609" s="43"/>
      <c r="AR609" s="43"/>
      <c r="AS609" s="43">
        <v>900000</v>
      </c>
      <c r="AT609" s="3">
        <v>0</v>
      </c>
      <c r="AU609" s="272" t="s">
        <v>230</v>
      </c>
    </row>
    <row r="610" spans="1:47" ht="16.5" hidden="1" customHeight="1" x14ac:dyDescent="0.35">
      <c r="A610" s="2" t="s">
        <v>222</v>
      </c>
      <c r="B610" s="2" t="s">
        <v>220</v>
      </c>
      <c r="C610" s="2" t="s">
        <v>1784</v>
      </c>
      <c r="D610" s="2">
        <v>847</v>
      </c>
      <c r="E610" s="2">
        <v>8470445</v>
      </c>
      <c r="F610" s="2" t="s">
        <v>2056</v>
      </c>
      <c r="G610" s="2">
        <v>1</v>
      </c>
      <c r="H610" s="276">
        <v>492354</v>
      </c>
      <c r="I610" s="2" t="s">
        <v>204</v>
      </c>
      <c r="J610" s="2" t="s">
        <v>60</v>
      </c>
      <c r="K610" s="2" t="s">
        <v>50</v>
      </c>
      <c r="L610" s="7">
        <v>847001</v>
      </c>
      <c r="M610" s="2" t="s">
        <v>192</v>
      </c>
      <c r="N610" s="2">
        <v>300180</v>
      </c>
      <c r="O610" s="3" t="s">
        <v>2094</v>
      </c>
      <c r="P610" s="2" t="s">
        <v>46</v>
      </c>
      <c r="Q610" s="35" t="s">
        <v>46</v>
      </c>
      <c r="R610" s="2"/>
      <c r="S610" s="3" t="s">
        <v>205</v>
      </c>
      <c r="T610" s="2" t="s">
        <v>201</v>
      </c>
      <c r="U610" s="2">
        <v>4</v>
      </c>
      <c r="V610" s="2">
        <v>60000</v>
      </c>
      <c r="W610" s="3" t="s">
        <v>2095</v>
      </c>
      <c r="X610" s="36">
        <v>240000</v>
      </c>
      <c r="Y610" s="2" t="s">
        <v>210</v>
      </c>
      <c r="Z610" s="2" t="s">
        <v>197</v>
      </c>
      <c r="AA610" s="14">
        <f t="shared" si="29"/>
        <v>216000</v>
      </c>
      <c r="AB610" s="14">
        <f t="shared" si="30"/>
        <v>192000</v>
      </c>
      <c r="AC610" s="14">
        <f t="shared" si="31"/>
        <v>168000</v>
      </c>
      <c r="AD610" s="3" t="s">
        <v>2099</v>
      </c>
      <c r="AE610" s="3" t="s">
        <v>2099</v>
      </c>
      <c r="AF610" s="3" t="s">
        <v>2099</v>
      </c>
      <c r="AG610" s="43"/>
      <c r="AH610" s="43"/>
      <c r="AI610" s="43">
        <v>240000</v>
      </c>
      <c r="AJ610" s="43"/>
      <c r="AK610" s="43"/>
      <c r="AL610" s="43"/>
      <c r="AM610" s="43"/>
      <c r="AN610" s="43"/>
      <c r="AO610" s="43"/>
      <c r="AP610" s="43"/>
      <c r="AQ610" s="43"/>
      <c r="AR610" s="43"/>
      <c r="AS610" s="43">
        <v>240000</v>
      </c>
      <c r="AT610" s="3">
        <v>0</v>
      </c>
      <c r="AU610" s="272" t="s">
        <v>880</v>
      </c>
    </row>
    <row r="611" spans="1:47" ht="16.5" hidden="1" customHeight="1" x14ac:dyDescent="0.35">
      <c r="A611" s="2" t="s">
        <v>222</v>
      </c>
      <c r="B611" s="2" t="s">
        <v>58</v>
      </c>
      <c r="C611" s="2" t="s">
        <v>1784</v>
      </c>
      <c r="D611" s="2">
        <v>847</v>
      </c>
      <c r="E611" s="2">
        <v>8470450</v>
      </c>
      <c r="F611" s="2" t="s">
        <v>2100</v>
      </c>
      <c r="G611" s="2">
        <v>1</v>
      </c>
      <c r="H611" s="276">
        <v>425761</v>
      </c>
      <c r="I611" s="2" t="s">
        <v>1383</v>
      </c>
      <c r="J611" s="2" t="s">
        <v>60</v>
      </c>
      <c r="K611" s="2" t="s">
        <v>50</v>
      </c>
      <c r="L611" s="7">
        <v>847001</v>
      </c>
      <c r="M611" s="2" t="s">
        <v>61</v>
      </c>
      <c r="N611" s="2">
        <v>200179</v>
      </c>
      <c r="O611" s="3" t="s">
        <v>2101</v>
      </c>
      <c r="P611" s="2">
        <v>40740</v>
      </c>
      <c r="Q611" s="35">
        <v>500000</v>
      </c>
      <c r="R611" s="2"/>
      <c r="S611" s="3" t="s">
        <v>727</v>
      </c>
      <c r="T611" s="2" t="s">
        <v>68</v>
      </c>
      <c r="U611" s="2">
        <v>1</v>
      </c>
      <c r="V611" s="2">
        <v>500000</v>
      </c>
      <c r="W611" s="3" t="s">
        <v>2102</v>
      </c>
      <c r="X611" s="36">
        <v>500000</v>
      </c>
      <c r="Y611" s="2" t="s">
        <v>55</v>
      </c>
      <c r="Z611" s="2" t="s">
        <v>56</v>
      </c>
      <c r="AA611" s="14">
        <f t="shared" si="29"/>
        <v>450000</v>
      </c>
      <c r="AB611" s="14">
        <f t="shared" si="30"/>
        <v>400000</v>
      </c>
      <c r="AC611" s="14">
        <f t="shared" si="31"/>
        <v>350000</v>
      </c>
      <c r="AD611" s="3" t="s">
        <v>2103</v>
      </c>
      <c r="AE611" s="3" t="s">
        <v>2103</v>
      </c>
      <c r="AF611" s="3" t="s">
        <v>2103</v>
      </c>
      <c r="AG611" s="43">
        <v>50000</v>
      </c>
      <c r="AH611" s="43">
        <v>50000</v>
      </c>
      <c r="AI611" s="43">
        <v>50000</v>
      </c>
      <c r="AJ611" s="43">
        <v>50000</v>
      </c>
      <c r="AK611" s="43">
        <v>200000</v>
      </c>
      <c r="AL611" s="43"/>
      <c r="AM611" s="43"/>
      <c r="AN611" s="43"/>
      <c r="AO611" s="43"/>
      <c r="AP611" s="43">
        <v>100000</v>
      </c>
      <c r="AQ611" s="43"/>
      <c r="AR611" s="43"/>
      <c r="AS611" s="43">
        <v>500000</v>
      </c>
      <c r="AT611" s="3">
        <v>0</v>
      </c>
      <c r="AU611" s="272" t="s">
        <v>834</v>
      </c>
    </row>
    <row r="612" spans="1:47" ht="16.5" hidden="1" customHeight="1" x14ac:dyDescent="0.35">
      <c r="A612" s="2" t="s">
        <v>222</v>
      </c>
      <c r="B612" s="2" t="s">
        <v>58</v>
      </c>
      <c r="C612" s="2" t="s">
        <v>1784</v>
      </c>
      <c r="D612" s="2">
        <v>847</v>
      </c>
      <c r="E612" s="2">
        <v>8470450</v>
      </c>
      <c r="F612" s="2" t="s">
        <v>2100</v>
      </c>
      <c r="G612" s="2">
        <v>1</v>
      </c>
      <c r="H612" s="276">
        <v>425770</v>
      </c>
      <c r="I612" s="2" t="s">
        <v>367</v>
      </c>
      <c r="J612" s="2" t="s">
        <v>60</v>
      </c>
      <c r="K612" s="2" t="s">
        <v>50</v>
      </c>
      <c r="L612" s="7">
        <v>847001</v>
      </c>
      <c r="M612" s="2" t="s">
        <v>61</v>
      </c>
      <c r="N612" s="2">
        <v>200179</v>
      </c>
      <c r="O612" s="3" t="s">
        <v>2104</v>
      </c>
      <c r="P612" s="2">
        <v>0</v>
      </c>
      <c r="Q612" s="35">
        <v>180000</v>
      </c>
      <c r="R612" s="2"/>
      <c r="S612" s="3" t="s">
        <v>926</v>
      </c>
      <c r="T612" s="2" t="s">
        <v>157</v>
      </c>
      <c r="U612" s="2">
        <v>14</v>
      </c>
      <c r="V612" s="2">
        <v>15000</v>
      </c>
      <c r="W612" s="3" t="s">
        <v>2105</v>
      </c>
      <c r="X612" s="36">
        <v>210000</v>
      </c>
      <c r="Y612" s="2" t="s">
        <v>55</v>
      </c>
      <c r="Z612" s="2" t="s">
        <v>56</v>
      </c>
      <c r="AA612" s="14">
        <f t="shared" si="29"/>
        <v>189000</v>
      </c>
      <c r="AB612" s="14">
        <f t="shared" si="30"/>
        <v>168000</v>
      </c>
      <c r="AC612" s="14">
        <f t="shared" si="31"/>
        <v>147000</v>
      </c>
      <c r="AD612" s="3" t="s">
        <v>2106</v>
      </c>
      <c r="AE612" s="3" t="s">
        <v>2106</v>
      </c>
      <c r="AF612" s="3" t="s">
        <v>2106</v>
      </c>
      <c r="AG612" s="43">
        <v>105000</v>
      </c>
      <c r="AH612" s="43">
        <v>105000</v>
      </c>
      <c r="AI612" s="43"/>
      <c r="AJ612" s="43"/>
      <c r="AK612" s="43"/>
      <c r="AL612" s="43"/>
      <c r="AM612" s="43"/>
      <c r="AN612" s="43"/>
      <c r="AO612" s="43"/>
      <c r="AP612" s="43"/>
      <c r="AQ612" s="43"/>
      <c r="AR612" s="43"/>
      <c r="AS612" s="43">
        <v>210000</v>
      </c>
      <c r="AT612" s="3">
        <v>0</v>
      </c>
      <c r="AU612" s="272" t="s">
        <v>252</v>
      </c>
    </row>
    <row r="613" spans="1:47" ht="16.5" hidden="1" customHeight="1" x14ac:dyDescent="0.35">
      <c r="A613" s="2" t="s">
        <v>63</v>
      </c>
      <c r="B613" s="2" t="s">
        <v>64</v>
      </c>
      <c r="C613" s="2" t="s">
        <v>1784</v>
      </c>
      <c r="D613" s="2">
        <v>847</v>
      </c>
      <c r="E613" s="2">
        <v>8470450</v>
      </c>
      <c r="F613" s="2" t="s">
        <v>2100</v>
      </c>
      <c r="G613" s="2">
        <v>1</v>
      </c>
      <c r="H613" s="276">
        <v>426610</v>
      </c>
      <c r="I613" s="2" t="s">
        <v>74</v>
      </c>
      <c r="J613" s="2" t="s">
        <v>60</v>
      </c>
      <c r="K613" s="2" t="s">
        <v>50</v>
      </c>
      <c r="L613" s="7">
        <v>847001</v>
      </c>
      <c r="M613" s="2" t="s">
        <v>61</v>
      </c>
      <c r="N613" s="2">
        <v>200179</v>
      </c>
      <c r="O613" s="3" t="s">
        <v>2107</v>
      </c>
      <c r="P613" s="2" t="s">
        <v>46</v>
      </c>
      <c r="Q613" s="35">
        <v>313605</v>
      </c>
      <c r="R613" s="2"/>
      <c r="S613" s="3" t="s">
        <v>274</v>
      </c>
      <c r="T613" s="2" t="s">
        <v>157</v>
      </c>
      <c r="U613" s="2">
        <v>1</v>
      </c>
      <c r="V613" s="2">
        <v>89500</v>
      </c>
      <c r="W613" s="3" t="s">
        <v>2108</v>
      </c>
      <c r="X613" s="36">
        <v>89500</v>
      </c>
      <c r="Y613" s="2" t="s">
        <v>55</v>
      </c>
      <c r="Z613" s="2" t="s">
        <v>56</v>
      </c>
      <c r="AA613" s="14">
        <f t="shared" si="29"/>
        <v>80550</v>
      </c>
      <c r="AB613" s="14">
        <f t="shared" si="30"/>
        <v>71600</v>
      </c>
      <c r="AC613" s="14">
        <f t="shared" si="31"/>
        <v>62649.999999999993</v>
      </c>
      <c r="AD613" s="3" t="s">
        <v>2109</v>
      </c>
      <c r="AE613" s="3" t="s">
        <v>2109</v>
      </c>
      <c r="AF613" s="3" t="s">
        <v>2109</v>
      </c>
      <c r="AG613" s="43">
        <v>89500</v>
      </c>
      <c r="AH613" s="43"/>
      <c r="AI613" s="43"/>
      <c r="AJ613" s="43"/>
      <c r="AK613" s="43"/>
      <c r="AL613" s="43"/>
      <c r="AM613" s="43"/>
      <c r="AN613" s="43"/>
      <c r="AO613" s="43"/>
      <c r="AP613" s="43"/>
      <c r="AQ613" s="43"/>
      <c r="AR613" s="43"/>
      <c r="AS613" s="43">
        <v>89500</v>
      </c>
      <c r="AT613" s="3">
        <v>0</v>
      </c>
      <c r="AU613" s="272" t="s">
        <v>230</v>
      </c>
    </row>
    <row r="614" spans="1:47" ht="16.5" hidden="1" customHeight="1" x14ac:dyDescent="0.35">
      <c r="A614" s="2" t="s">
        <v>153</v>
      </c>
      <c r="B614" s="2" t="s">
        <v>58</v>
      </c>
      <c r="C614" s="2" t="s">
        <v>1784</v>
      </c>
      <c r="D614" s="2">
        <v>847</v>
      </c>
      <c r="E614" s="2">
        <v>8470450</v>
      </c>
      <c r="F614" s="2" t="s">
        <v>2100</v>
      </c>
      <c r="G614" s="2">
        <v>1</v>
      </c>
      <c r="H614" s="276">
        <v>428090</v>
      </c>
      <c r="I614" s="2" t="s">
        <v>154</v>
      </c>
      <c r="J614" s="2" t="s">
        <v>60</v>
      </c>
      <c r="K614" s="2" t="s">
        <v>50</v>
      </c>
      <c r="L614" s="7">
        <v>847001</v>
      </c>
      <c r="M614" s="2" t="s">
        <v>61</v>
      </c>
      <c r="N614" s="2">
        <v>200179</v>
      </c>
      <c r="O614" s="3" t="s">
        <v>2110</v>
      </c>
      <c r="P614" s="2" t="s">
        <v>46</v>
      </c>
      <c r="Q614" s="35">
        <v>30000</v>
      </c>
      <c r="R614" s="2"/>
      <c r="S614" s="3"/>
      <c r="T614" s="2" t="s">
        <v>62</v>
      </c>
      <c r="U614" s="2"/>
      <c r="V614" s="2"/>
      <c r="W614" s="3"/>
      <c r="X614" s="36">
        <v>0</v>
      </c>
      <c r="Y614" s="2"/>
      <c r="Z614" s="2"/>
      <c r="AA614" s="14">
        <f t="shared" si="29"/>
        <v>0</v>
      </c>
      <c r="AB614" s="14">
        <f t="shared" si="30"/>
        <v>0</v>
      </c>
      <c r="AC614" s="14">
        <f t="shared" si="31"/>
        <v>0</v>
      </c>
      <c r="AD614" s="3"/>
      <c r="AE614" s="3"/>
      <c r="AF614" s="3"/>
      <c r="AG614" s="43"/>
      <c r="AH614" s="43"/>
      <c r="AI614" s="43"/>
      <c r="AJ614" s="43"/>
      <c r="AK614" s="43"/>
      <c r="AL614" s="43"/>
      <c r="AM614" s="43"/>
      <c r="AN614" s="43"/>
      <c r="AO614" s="43"/>
      <c r="AP614" s="43"/>
      <c r="AQ614" s="43"/>
      <c r="AR614" s="43"/>
      <c r="AS614" s="43">
        <v>0</v>
      </c>
      <c r="AT614" s="3">
        <v>0</v>
      </c>
      <c r="AU614" s="272"/>
    </row>
    <row r="615" spans="1:47" ht="16.5" hidden="1" customHeight="1" x14ac:dyDescent="0.35">
      <c r="A615" s="2" t="s">
        <v>222</v>
      </c>
      <c r="B615" s="2" t="s">
        <v>58</v>
      </c>
      <c r="C615" s="2" t="s">
        <v>1784</v>
      </c>
      <c r="D615" s="2">
        <v>847</v>
      </c>
      <c r="E615" s="2">
        <v>8470450</v>
      </c>
      <c r="F615" s="2" t="s">
        <v>2100</v>
      </c>
      <c r="G615" s="2">
        <v>1</v>
      </c>
      <c r="H615" s="276">
        <v>432209</v>
      </c>
      <c r="I615" s="2" t="s">
        <v>393</v>
      </c>
      <c r="J615" s="2" t="s">
        <v>60</v>
      </c>
      <c r="K615" s="2" t="s">
        <v>50</v>
      </c>
      <c r="L615" s="7">
        <v>847001</v>
      </c>
      <c r="M615" s="2" t="s">
        <v>61</v>
      </c>
      <c r="N615" s="2">
        <v>200179</v>
      </c>
      <c r="O615" s="3" t="s">
        <v>2111</v>
      </c>
      <c r="P615" s="2">
        <v>-35634.410000000003</v>
      </c>
      <c r="Q615" s="35">
        <v>118157</v>
      </c>
      <c r="R615" s="2"/>
      <c r="S615" s="3" t="s">
        <v>288</v>
      </c>
      <c r="T615" s="2" t="s">
        <v>157</v>
      </c>
      <c r="U615" s="2"/>
      <c r="V615" s="2"/>
      <c r="W615" s="3"/>
      <c r="X615" s="36">
        <v>0</v>
      </c>
      <c r="Y615" s="2"/>
      <c r="Z615" s="2"/>
      <c r="AA615" s="14">
        <f t="shared" si="29"/>
        <v>0</v>
      </c>
      <c r="AB615" s="14">
        <f t="shared" si="30"/>
        <v>0</v>
      </c>
      <c r="AC615" s="14">
        <f t="shared" si="31"/>
        <v>0</v>
      </c>
      <c r="AD615" s="3"/>
      <c r="AE615" s="3"/>
      <c r="AF615" s="3"/>
      <c r="AG615" s="43"/>
      <c r="AH615" s="43"/>
      <c r="AI615" s="43"/>
      <c r="AJ615" s="43"/>
      <c r="AK615" s="43"/>
      <c r="AL615" s="43"/>
      <c r="AM615" s="43"/>
      <c r="AN615" s="43"/>
      <c r="AO615" s="43"/>
      <c r="AP615" s="43"/>
      <c r="AQ615" s="43"/>
      <c r="AR615" s="43"/>
      <c r="AS615" s="43">
        <v>0</v>
      </c>
      <c r="AT615" s="3">
        <v>0</v>
      </c>
      <c r="AU615" s="272"/>
    </row>
    <row r="616" spans="1:47" ht="16.5" hidden="1" customHeight="1" x14ac:dyDescent="0.35">
      <c r="A616" s="2" t="s">
        <v>222</v>
      </c>
      <c r="B616" s="2" t="s">
        <v>58</v>
      </c>
      <c r="C616" s="2" t="s">
        <v>1784</v>
      </c>
      <c r="D616" s="2">
        <v>847</v>
      </c>
      <c r="E616" s="2">
        <v>8470450</v>
      </c>
      <c r="F616" s="2" t="s">
        <v>2100</v>
      </c>
      <c r="G616" s="2">
        <v>1</v>
      </c>
      <c r="H616" s="276">
        <v>435350</v>
      </c>
      <c r="I616" s="2" t="s">
        <v>399</v>
      </c>
      <c r="J616" s="2" t="s">
        <v>60</v>
      </c>
      <c r="K616" s="2" t="s">
        <v>50</v>
      </c>
      <c r="L616" s="7">
        <v>847001</v>
      </c>
      <c r="M616" s="2" t="s">
        <v>61</v>
      </c>
      <c r="N616" s="2">
        <v>200179</v>
      </c>
      <c r="O616" s="3" t="s">
        <v>2112</v>
      </c>
      <c r="P616" s="2">
        <v>0</v>
      </c>
      <c r="Q616" s="35">
        <v>40000</v>
      </c>
      <c r="R616" s="2"/>
      <c r="S616" s="3" t="s">
        <v>401</v>
      </c>
      <c r="T616" s="2" t="s">
        <v>157</v>
      </c>
      <c r="U616" s="2">
        <v>1</v>
      </c>
      <c r="V616" s="2">
        <v>120000</v>
      </c>
      <c r="W616" s="3" t="s">
        <v>2113</v>
      </c>
      <c r="X616" s="36">
        <v>120000</v>
      </c>
      <c r="Y616" s="2" t="s">
        <v>55</v>
      </c>
      <c r="Z616" s="2" t="s">
        <v>56</v>
      </c>
      <c r="AA616" s="14">
        <f t="shared" si="29"/>
        <v>108000</v>
      </c>
      <c r="AB616" s="14">
        <f t="shared" si="30"/>
        <v>96000</v>
      </c>
      <c r="AC616" s="14">
        <f t="shared" si="31"/>
        <v>84000</v>
      </c>
      <c r="AD616" s="3" t="s">
        <v>2106</v>
      </c>
      <c r="AE616" s="3" t="s">
        <v>2106</v>
      </c>
      <c r="AF616" s="3" t="s">
        <v>2106</v>
      </c>
      <c r="AG616" s="43"/>
      <c r="AH616" s="43"/>
      <c r="AI616" s="43">
        <v>40000</v>
      </c>
      <c r="AJ616" s="43"/>
      <c r="AK616" s="43"/>
      <c r="AL616" s="43">
        <v>40000</v>
      </c>
      <c r="AM616" s="43"/>
      <c r="AN616" s="43"/>
      <c r="AO616" s="43">
        <v>40000</v>
      </c>
      <c r="AP616" s="43"/>
      <c r="AQ616" s="43"/>
      <c r="AR616" s="43"/>
      <c r="AS616" s="43">
        <v>120000</v>
      </c>
      <c r="AT616" s="3">
        <v>0</v>
      </c>
      <c r="AU616" s="272" t="s">
        <v>480</v>
      </c>
    </row>
    <row r="617" spans="1:47" ht="16.5" hidden="1" customHeight="1" x14ac:dyDescent="0.35">
      <c r="A617" s="2" t="s">
        <v>222</v>
      </c>
      <c r="B617" s="2" t="s">
        <v>220</v>
      </c>
      <c r="C617" s="2" t="s">
        <v>1784</v>
      </c>
      <c r="D617" s="2">
        <v>847</v>
      </c>
      <c r="E617" s="2">
        <v>8470450</v>
      </c>
      <c r="F617" s="2" t="s">
        <v>2100</v>
      </c>
      <c r="G617" s="2">
        <v>1</v>
      </c>
      <c r="H617" s="276">
        <v>435508</v>
      </c>
      <c r="I617" s="2" t="s">
        <v>405</v>
      </c>
      <c r="J617" s="2" t="s">
        <v>60</v>
      </c>
      <c r="K617" s="2" t="s">
        <v>50</v>
      </c>
      <c r="L617" s="7">
        <v>847001</v>
      </c>
      <c r="M617" s="2" t="s">
        <v>61</v>
      </c>
      <c r="N617" s="2">
        <v>200179</v>
      </c>
      <c r="O617" s="3" t="s">
        <v>2114</v>
      </c>
      <c r="P617" s="2">
        <v>4089.74</v>
      </c>
      <c r="Q617" s="35">
        <v>6500</v>
      </c>
      <c r="R617" s="2"/>
      <c r="S617" s="3" t="s">
        <v>482</v>
      </c>
      <c r="T617" s="2" t="s">
        <v>157</v>
      </c>
      <c r="U617" s="2">
        <v>1</v>
      </c>
      <c r="V617" s="2">
        <v>220000</v>
      </c>
      <c r="W617" s="3" t="s">
        <v>2115</v>
      </c>
      <c r="X617" s="36">
        <v>220000</v>
      </c>
      <c r="Y617" s="2" t="s">
        <v>55</v>
      </c>
      <c r="Z617" s="2" t="s">
        <v>56</v>
      </c>
      <c r="AA617" s="14">
        <f t="shared" si="29"/>
        <v>198000</v>
      </c>
      <c r="AB617" s="14">
        <f t="shared" si="30"/>
        <v>176000</v>
      </c>
      <c r="AC617" s="14">
        <f t="shared" si="31"/>
        <v>154000</v>
      </c>
      <c r="AD617" s="3" t="s">
        <v>2116</v>
      </c>
      <c r="AE617" s="3" t="s">
        <v>2116</v>
      </c>
      <c r="AF617" s="3" t="s">
        <v>2116</v>
      </c>
      <c r="AG617" s="43">
        <v>100000</v>
      </c>
      <c r="AH617" s="43">
        <v>100000</v>
      </c>
      <c r="AI617" s="43">
        <v>20000</v>
      </c>
      <c r="AJ617" s="43"/>
      <c r="AK617" s="43"/>
      <c r="AL617" s="43"/>
      <c r="AM617" s="43"/>
      <c r="AN617" s="43"/>
      <c r="AO617" s="43"/>
      <c r="AP617" s="43"/>
      <c r="AQ617" s="43"/>
      <c r="AR617" s="43"/>
      <c r="AS617" s="43">
        <v>220000</v>
      </c>
      <c r="AT617" s="3">
        <v>0</v>
      </c>
      <c r="AU617" s="272" t="s">
        <v>70</v>
      </c>
    </row>
    <row r="618" spans="1:47" ht="16.5" hidden="1" customHeight="1" x14ac:dyDescent="0.35">
      <c r="A618" s="2" t="s">
        <v>63</v>
      </c>
      <c r="B618" s="2" t="s">
        <v>64</v>
      </c>
      <c r="C618" s="2" t="s">
        <v>1784</v>
      </c>
      <c r="D618" s="2">
        <v>847</v>
      </c>
      <c r="E618" s="2">
        <v>8470450</v>
      </c>
      <c r="F618" s="2" t="s">
        <v>2100</v>
      </c>
      <c r="G618" s="2">
        <v>1</v>
      </c>
      <c r="H618" s="276">
        <v>492310</v>
      </c>
      <c r="I618" s="2" t="s">
        <v>191</v>
      </c>
      <c r="J618" s="2" t="s">
        <v>60</v>
      </c>
      <c r="K618" s="2" t="s">
        <v>50</v>
      </c>
      <c r="L618" s="7">
        <v>847001</v>
      </c>
      <c r="M618" s="2" t="s">
        <v>192</v>
      </c>
      <c r="N618" s="2">
        <v>300180</v>
      </c>
      <c r="O618" s="3" t="s">
        <v>2117</v>
      </c>
      <c r="P618" s="2" t="s">
        <v>46</v>
      </c>
      <c r="Q618" s="35">
        <v>126346</v>
      </c>
      <c r="R618" s="2"/>
      <c r="S618" s="3" t="s">
        <v>1614</v>
      </c>
      <c r="T618" s="2" t="s">
        <v>68</v>
      </c>
      <c r="U618" s="2">
        <v>5</v>
      </c>
      <c r="V618" s="2">
        <v>20000</v>
      </c>
      <c r="W618" s="3" t="s">
        <v>2118</v>
      </c>
      <c r="X618" s="36">
        <v>100000</v>
      </c>
      <c r="Y618" s="2" t="s">
        <v>55</v>
      </c>
      <c r="Z618" s="2" t="s">
        <v>197</v>
      </c>
      <c r="AA618" s="14">
        <f t="shared" si="29"/>
        <v>90000</v>
      </c>
      <c r="AB618" s="14">
        <f t="shared" si="30"/>
        <v>80000</v>
      </c>
      <c r="AC618" s="14">
        <f t="shared" si="31"/>
        <v>70000</v>
      </c>
      <c r="AD618" s="3" t="s">
        <v>2109</v>
      </c>
      <c r="AE618" s="3" t="s">
        <v>2109</v>
      </c>
      <c r="AF618" s="3" t="s">
        <v>2109</v>
      </c>
      <c r="AG618" s="43"/>
      <c r="AH618" s="43">
        <v>100000</v>
      </c>
      <c r="AI618" s="43"/>
      <c r="AJ618" s="43"/>
      <c r="AK618" s="43"/>
      <c r="AL618" s="43"/>
      <c r="AM618" s="43"/>
      <c r="AN618" s="43"/>
      <c r="AO618" s="43"/>
      <c r="AP618" s="43"/>
      <c r="AQ618" s="43"/>
      <c r="AR618" s="43"/>
      <c r="AS618" s="43">
        <v>100000</v>
      </c>
      <c r="AT618" s="3">
        <v>0</v>
      </c>
      <c r="AU618" s="272" t="s">
        <v>70</v>
      </c>
    </row>
    <row r="619" spans="1:47" ht="16.5" hidden="1" customHeight="1" x14ac:dyDescent="0.35">
      <c r="A619" s="2" t="s">
        <v>161</v>
      </c>
      <c r="B619" s="2" t="s">
        <v>220</v>
      </c>
      <c r="C619" s="2" t="s">
        <v>1784</v>
      </c>
      <c r="D619" s="2">
        <v>847</v>
      </c>
      <c r="E619" s="2">
        <v>8470450</v>
      </c>
      <c r="F619" s="2" t="s">
        <v>2100</v>
      </c>
      <c r="G619" s="2">
        <v>1</v>
      </c>
      <c r="H619" s="276">
        <v>492316</v>
      </c>
      <c r="I619" s="2" t="s">
        <v>221</v>
      </c>
      <c r="J619" s="2" t="s">
        <v>60</v>
      </c>
      <c r="K619" s="2" t="s">
        <v>50</v>
      </c>
      <c r="L619" s="7">
        <v>847001</v>
      </c>
      <c r="M619" s="2" t="s">
        <v>192</v>
      </c>
      <c r="N619" s="2">
        <v>300180</v>
      </c>
      <c r="O619" s="3" t="s">
        <v>2119</v>
      </c>
      <c r="P619" s="2" t="s">
        <v>46</v>
      </c>
      <c r="Q619" s="35" t="s">
        <v>46</v>
      </c>
      <c r="R619" s="2"/>
      <c r="S619" s="3" t="s">
        <v>969</v>
      </c>
      <c r="T619" s="2" t="s">
        <v>157</v>
      </c>
      <c r="U619" s="2">
        <v>1</v>
      </c>
      <c r="V619" s="2">
        <v>60000</v>
      </c>
      <c r="W619" s="3" t="s">
        <v>2120</v>
      </c>
      <c r="X619" s="36">
        <v>60000</v>
      </c>
      <c r="Y619" s="2" t="s">
        <v>55</v>
      </c>
      <c r="Z619" s="2" t="s">
        <v>197</v>
      </c>
      <c r="AA619" s="14">
        <f t="shared" si="29"/>
        <v>54000</v>
      </c>
      <c r="AB619" s="14">
        <f t="shared" si="30"/>
        <v>48000</v>
      </c>
      <c r="AC619" s="14">
        <f t="shared" si="31"/>
        <v>42000</v>
      </c>
      <c r="AD619" s="3" t="s">
        <v>2121</v>
      </c>
      <c r="AE619" s="3" t="s">
        <v>2121</v>
      </c>
      <c r="AF619" s="3" t="s">
        <v>2121</v>
      </c>
      <c r="AG619" s="43">
        <v>60000</v>
      </c>
      <c r="AH619" s="43"/>
      <c r="AI619" s="43"/>
      <c r="AJ619" s="43"/>
      <c r="AK619" s="43"/>
      <c r="AL619" s="43"/>
      <c r="AM619" s="43"/>
      <c r="AN619" s="43"/>
      <c r="AO619" s="43"/>
      <c r="AP619" s="43"/>
      <c r="AQ619" s="43"/>
      <c r="AR619" s="43"/>
      <c r="AS619" s="43">
        <v>60000</v>
      </c>
      <c r="AT619" s="3">
        <v>0</v>
      </c>
      <c r="AU619" s="272" t="s">
        <v>70</v>
      </c>
    </row>
    <row r="620" spans="1:47" ht="16.5" hidden="1" customHeight="1" x14ac:dyDescent="0.35">
      <c r="A620" s="2" t="s">
        <v>161</v>
      </c>
      <c r="B620" s="2" t="s">
        <v>220</v>
      </c>
      <c r="C620" s="2" t="s">
        <v>1784</v>
      </c>
      <c r="D620" s="2">
        <v>847</v>
      </c>
      <c r="E620" s="2">
        <v>8470450</v>
      </c>
      <c r="F620" s="2" t="s">
        <v>2100</v>
      </c>
      <c r="G620" s="2">
        <v>1</v>
      </c>
      <c r="H620" s="276">
        <v>492316</v>
      </c>
      <c r="I620" s="2" t="s">
        <v>221</v>
      </c>
      <c r="J620" s="2" t="s">
        <v>60</v>
      </c>
      <c r="K620" s="2" t="s">
        <v>50</v>
      </c>
      <c r="L620" s="7">
        <v>847001</v>
      </c>
      <c r="M620" s="2" t="s">
        <v>192</v>
      </c>
      <c r="N620" s="2">
        <v>300180</v>
      </c>
      <c r="O620" s="3" t="s">
        <v>2119</v>
      </c>
      <c r="P620" s="2" t="s">
        <v>46</v>
      </c>
      <c r="Q620" s="35" t="s">
        <v>46</v>
      </c>
      <c r="R620" s="2"/>
      <c r="S620" s="3" t="s">
        <v>969</v>
      </c>
      <c r="T620" s="2" t="s">
        <v>157</v>
      </c>
      <c r="U620" s="2">
        <v>1</v>
      </c>
      <c r="V620" s="2">
        <v>1200000</v>
      </c>
      <c r="W620" s="3" t="s">
        <v>2122</v>
      </c>
      <c r="X620" s="36">
        <v>1200000</v>
      </c>
      <c r="Y620" s="2" t="s">
        <v>55</v>
      </c>
      <c r="Z620" s="2" t="s">
        <v>197</v>
      </c>
      <c r="AA620" s="14">
        <f t="shared" si="29"/>
        <v>1080000</v>
      </c>
      <c r="AB620" s="14">
        <f t="shared" si="30"/>
        <v>960000</v>
      </c>
      <c r="AC620" s="14">
        <f t="shared" si="31"/>
        <v>840000</v>
      </c>
      <c r="AD620" s="3" t="s">
        <v>2123</v>
      </c>
      <c r="AE620" s="3" t="s">
        <v>2123</v>
      </c>
      <c r="AF620" s="3" t="s">
        <v>2123</v>
      </c>
      <c r="AG620" s="43"/>
      <c r="AH620" s="43">
        <v>1200000</v>
      </c>
      <c r="AI620" s="43"/>
      <c r="AJ620" s="43"/>
      <c r="AK620" s="43"/>
      <c r="AL620" s="43"/>
      <c r="AM620" s="43"/>
      <c r="AN620" s="43"/>
      <c r="AO620" s="43"/>
      <c r="AP620" s="43"/>
      <c r="AQ620" s="43"/>
      <c r="AR620" s="43"/>
      <c r="AS620" s="43">
        <v>1200000</v>
      </c>
      <c r="AT620" s="3">
        <v>0</v>
      </c>
      <c r="AU620" s="272" t="s">
        <v>252</v>
      </c>
    </row>
    <row r="621" spans="1:47" ht="16.5" hidden="1" customHeight="1" x14ac:dyDescent="0.35">
      <c r="A621" s="2" t="s">
        <v>161</v>
      </c>
      <c r="B621" s="2" t="s">
        <v>220</v>
      </c>
      <c r="C621" s="2" t="s">
        <v>1784</v>
      </c>
      <c r="D621" s="2">
        <v>847</v>
      </c>
      <c r="E621" s="2">
        <v>8470450</v>
      </c>
      <c r="F621" s="2" t="s">
        <v>2100</v>
      </c>
      <c r="G621" s="2">
        <v>1</v>
      </c>
      <c r="H621" s="276">
        <v>492316</v>
      </c>
      <c r="I621" s="2" t="s">
        <v>221</v>
      </c>
      <c r="J621" s="2" t="s">
        <v>60</v>
      </c>
      <c r="K621" s="2" t="s">
        <v>50</v>
      </c>
      <c r="L621" s="7">
        <v>847001</v>
      </c>
      <c r="M621" s="2" t="s">
        <v>192</v>
      </c>
      <c r="N621" s="2">
        <v>300180</v>
      </c>
      <c r="O621" s="3" t="s">
        <v>2119</v>
      </c>
      <c r="P621" s="2" t="s">
        <v>46</v>
      </c>
      <c r="Q621" s="35" t="s">
        <v>46</v>
      </c>
      <c r="R621" s="2"/>
      <c r="S621" s="3" t="s">
        <v>969</v>
      </c>
      <c r="T621" s="2" t="s">
        <v>157</v>
      </c>
      <c r="U621" s="2">
        <v>1</v>
      </c>
      <c r="V621" s="2">
        <v>250000</v>
      </c>
      <c r="W621" s="3" t="s">
        <v>2124</v>
      </c>
      <c r="X621" s="36">
        <v>250000</v>
      </c>
      <c r="Y621" s="2" t="s">
        <v>55</v>
      </c>
      <c r="Z621" s="2" t="s">
        <v>197</v>
      </c>
      <c r="AA621" s="14">
        <f t="shared" si="29"/>
        <v>225000</v>
      </c>
      <c r="AB621" s="14">
        <f t="shared" si="30"/>
        <v>200000</v>
      </c>
      <c r="AC621" s="14">
        <f t="shared" si="31"/>
        <v>175000</v>
      </c>
      <c r="AD621" s="3" t="s">
        <v>2123</v>
      </c>
      <c r="AE621" s="3" t="s">
        <v>2123</v>
      </c>
      <c r="AF621" s="3" t="s">
        <v>2123</v>
      </c>
      <c r="AG621" s="43">
        <v>250000</v>
      </c>
      <c r="AH621" s="43"/>
      <c r="AI621" s="43"/>
      <c r="AJ621" s="43"/>
      <c r="AK621" s="43"/>
      <c r="AL621" s="43"/>
      <c r="AM621" s="43"/>
      <c r="AN621" s="43"/>
      <c r="AO621" s="43"/>
      <c r="AP621" s="43"/>
      <c r="AQ621" s="43"/>
      <c r="AR621" s="43"/>
      <c r="AS621" s="43">
        <v>250000</v>
      </c>
      <c r="AT621" s="3">
        <v>0</v>
      </c>
      <c r="AU621" s="272" t="s">
        <v>252</v>
      </c>
    </row>
    <row r="622" spans="1:47" ht="16.5" hidden="1" customHeight="1" x14ac:dyDescent="0.35">
      <c r="A622" s="2" t="s">
        <v>161</v>
      </c>
      <c r="B622" s="2" t="s">
        <v>220</v>
      </c>
      <c r="C622" s="2" t="s">
        <v>1784</v>
      </c>
      <c r="D622" s="2">
        <v>847</v>
      </c>
      <c r="E622" s="2">
        <v>8470450</v>
      </c>
      <c r="F622" s="2" t="s">
        <v>2100</v>
      </c>
      <c r="G622" s="2">
        <v>1</v>
      </c>
      <c r="H622" s="276">
        <v>492316</v>
      </c>
      <c r="I622" s="2" t="s">
        <v>221</v>
      </c>
      <c r="J622" s="2" t="s">
        <v>60</v>
      </c>
      <c r="K622" s="2" t="s">
        <v>50</v>
      </c>
      <c r="L622" s="7">
        <v>847001</v>
      </c>
      <c r="M622" s="2" t="s">
        <v>192</v>
      </c>
      <c r="N622" s="2">
        <v>300180</v>
      </c>
      <c r="O622" s="3" t="s">
        <v>2119</v>
      </c>
      <c r="P622" s="2" t="s">
        <v>46</v>
      </c>
      <c r="Q622" s="35" t="s">
        <v>46</v>
      </c>
      <c r="R622" s="2"/>
      <c r="S622" s="3" t="s">
        <v>969</v>
      </c>
      <c r="T622" s="2" t="s">
        <v>157</v>
      </c>
      <c r="U622" s="2">
        <v>1</v>
      </c>
      <c r="V622" s="2">
        <v>185000</v>
      </c>
      <c r="W622" s="3" t="s">
        <v>2125</v>
      </c>
      <c r="X622" s="36">
        <v>185000</v>
      </c>
      <c r="Y622" s="2" t="s">
        <v>55</v>
      </c>
      <c r="Z622" s="2" t="s">
        <v>197</v>
      </c>
      <c r="AA622" s="14">
        <f t="shared" si="29"/>
        <v>166500</v>
      </c>
      <c r="AB622" s="14">
        <f t="shared" si="30"/>
        <v>148000</v>
      </c>
      <c r="AC622" s="14">
        <f t="shared" si="31"/>
        <v>129499.99999999999</v>
      </c>
      <c r="AD622" s="3" t="s">
        <v>2126</v>
      </c>
      <c r="AE622" s="3" t="s">
        <v>2126</v>
      </c>
      <c r="AF622" s="3" t="s">
        <v>2126</v>
      </c>
      <c r="AG622" s="43">
        <v>185000</v>
      </c>
      <c r="AH622" s="43"/>
      <c r="AI622" s="43"/>
      <c r="AJ622" s="43"/>
      <c r="AK622" s="43"/>
      <c r="AL622" s="43"/>
      <c r="AM622" s="43"/>
      <c r="AN622" s="43"/>
      <c r="AO622" s="43"/>
      <c r="AP622" s="43"/>
      <c r="AQ622" s="43"/>
      <c r="AR622" s="43"/>
      <c r="AS622" s="43">
        <v>185000</v>
      </c>
      <c r="AT622" s="3">
        <v>0</v>
      </c>
      <c r="AU622" s="272" t="s">
        <v>70</v>
      </c>
    </row>
    <row r="623" spans="1:47" ht="16.5" hidden="1" customHeight="1" x14ac:dyDescent="0.35">
      <c r="A623" s="2" t="s">
        <v>161</v>
      </c>
      <c r="B623" s="2" t="s">
        <v>220</v>
      </c>
      <c r="C623" s="2" t="s">
        <v>1784</v>
      </c>
      <c r="D623" s="2">
        <v>847</v>
      </c>
      <c r="E623" s="2">
        <v>8470450</v>
      </c>
      <c r="F623" s="2" t="s">
        <v>2100</v>
      </c>
      <c r="G623" s="2">
        <v>1</v>
      </c>
      <c r="H623" s="276">
        <v>492316</v>
      </c>
      <c r="I623" s="2" t="s">
        <v>221</v>
      </c>
      <c r="J623" s="2" t="s">
        <v>60</v>
      </c>
      <c r="K623" s="2" t="s">
        <v>50</v>
      </c>
      <c r="L623" s="7">
        <v>847001</v>
      </c>
      <c r="M623" s="2" t="s">
        <v>192</v>
      </c>
      <c r="N623" s="2">
        <v>300180</v>
      </c>
      <c r="O623" s="3" t="s">
        <v>2119</v>
      </c>
      <c r="P623" s="2" t="s">
        <v>46</v>
      </c>
      <c r="Q623" s="35" t="s">
        <v>46</v>
      </c>
      <c r="R623" s="2"/>
      <c r="S623" s="3" t="s">
        <v>969</v>
      </c>
      <c r="T623" s="2" t="s">
        <v>157</v>
      </c>
      <c r="U623" s="2">
        <v>1</v>
      </c>
      <c r="V623" s="2">
        <v>320000</v>
      </c>
      <c r="W623" s="3" t="s">
        <v>2127</v>
      </c>
      <c r="X623" s="36">
        <v>320000</v>
      </c>
      <c r="Y623" s="2" t="s">
        <v>55</v>
      </c>
      <c r="Z623" s="2" t="s">
        <v>197</v>
      </c>
      <c r="AA623" s="14">
        <f t="shared" si="29"/>
        <v>288000</v>
      </c>
      <c r="AB623" s="14">
        <f t="shared" si="30"/>
        <v>256000</v>
      </c>
      <c r="AC623" s="14">
        <f t="shared" si="31"/>
        <v>224000</v>
      </c>
      <c r="AD623" s="3" t="s">
        <v>2126</v>
      </c>
      <c r="AE623" s="3" t="s">
        <v>2126</v>
      </c>
      <c r="AF623" s="3" t="s">
        <v>2126</v>
      </c>
      <c r="AG623" s="43">
        <v>320000</v>
      </c>
      <c r="AH623" s="43"/>
      <c r="AI623" s="43"/>
      <c r="AJ623" s="43"/>
      <c r="AK623" s="43"/>
      <c r="AL623" s="43"/>
      <c r="AM623" s="43"/>
      <c r="AN623" s="43"/>
      <c r="AO623" s="43"/>
      <c r="AP623" s="43"/>
      <c r="AQ623" s="43"/>
      <c r="AR623" s="43"/>
      <c r="AS623" s="43">
        <v>320000</v>
      </c>
      <c r="AT623" s="3">
        <v>0</v>
      </c>
      <c r="AU623" s="272" t="s">
        <v>70</v>
      </c>
    </row>
    <row r="624" spans="1:47" ht="16.5" hidden="1" customHeight="1" x14ac:dyDescent="0.35">
      <c r="A624" s="2" t="s">
        <v>161</v>
      </c>
      <c r="B624" s="2" t="s">
        <v>220</v>
      </c>
      <c r="C624" s="2" t="s">
        <v>1784</v>
      </c>
      <c r="D624" s="2">
        <v>847</v>
      </c>
      <c r="E624" s="2">
        <v>8470450</v>
      </c>
      <c r="F624" s="2" t="s">
        <v>2100</v>
      </c>
      <c r="G624" s="2">
        <v>1</v>
      </c>
      <c r="H624" s="276">
        <v>492316</v>
      </c>
      <c r="I624" s="2" t="s">
        <v>221</v>
      </c>
      <c r="J624" s="2" t="s">
        <v>60</v>
      </c>
      <c r="K624" s="2" t="s">
        <v>50</v>
      </c>
      <c r="L624" s="7">
        <v>847001</v>
      </c>
      <c r="M624" s="2" t="s">
        <v>192</v>
      </c>
      <c r="N624" s="2">
        <v>300180</v>
      </c>
      <c r="O624" s="3" t="s">
        <v>2119</v>
      </c>
      <c r="P624" s="2"/>
      <c r="Q624" s="35"/>
      <c r="R624" s="2"/>
      <c r="S624" s="3" t="s">
        <v>969</v>
      </c>
      <c r="T624" s="2" t="s">
        <v>157</v>
      </c>
      <c r="U624" s="2">
        <v>1</v>
      </c>
      <c r="V624" s="2">
        <v>50000</v>
      </c>
      <c r="W624" s="3" t="s">
        <v>2128</v>
      </c>
      <c r="X624" s="36">
        <v>50000</v>
      </c>
      <c r="Y624" s="2" t="s">
        <v>55</v>
      </c>
      <c r="Z624" s="2" t="s">
        <v>197</v>
      </c>
      <c r="AA624" s="14">
        <f t="shared" si="29"/>
        <v>45000</v>
      </c>
      <c r="AB624" s="14">
        <f t="shared" si="30"/>
        <v>40000</v>
      </c>
      <c r="AC624" s="14">
        <f t="shared" si="31"/>
        <v>35000</v>
      </c>
      <c r="AD624" s="3" t="s">
        <v>2126</v>
      </c>
      <c r="AE624" s="3" t="s">
        <v>2126</v>
      </c>
      <c r="AF624" s="3" t="s">
        <v>2126</v>
      </c>
      <c r="AG624" s="43"/>
      <c r="AH624" s="43">
        <v>50000</v>
      </c>
      <c r="AI624" s="43"/>
      <c r="AJ624" s="43"/>
      <c r="AK624" s="43"/>
      <c r="AL624" s="43"/>
      <c r="AM624" s="43"/>
      <c r="AN624" s="43"/>
      <c r="AO624" s="43"/>
      <c r="AP624" s="43"/>
      <c r="AQ624" s="43"/>
      <c r="AR624" s="43"/>
      <c r="AS624" s="43">
        <v>50000</v>
      </c>
      <c r="AT624" s="3">
        <v>0</v>
      </c>
      <c r="AU624" s="272" t="s">
        <v>70</v>
      </c>
    </row>
    <row r="625" spans="1:47" ht="16.5" hidden="1" customHeight="1" x14ac:dyDescent="0.35">
      <c r="A625" s="2" t="s">
        <v>161</v>
      </c>
      <c r="B625" s="2" t="s">
        <v>220</v>
      </c>
      <c r="C625" s="2" t="s">
        <v>1784</v>
      </c>
      <c r="D625" s="2">
        <v>847</v>
      </c>
      <c r="E625" s="2">
        <v>8470450</v>
      </c>
      <c r="F625" s="2" t="s">
        <v>2100</v>
      </c>
      <c r="G625" s="2">
        <v>1</v>
      </c>
      <c r="H625" s="276">
        <v>492316</v>
      </c>
      <c r="I625" s="2" t="s">
        <v>221</v>
      </c>
      <c r="J625" s="2" t="s">
        <v>60</v>
      </c>
      <c r="K625" s="2" t="s">
        <v>50</v>
      </c>
      <c r="L625" s="7">
        <v>847001</v>
      </c>
      <c r="M625" s="2" t="s">
        <v>192</v>
      </c>
      <c r="N625" s="2">
        <v>300180</v>
      </c>
      <c r="O625" s="3" t="s">
        <v>2119</v>
      </c>
      <c r="P625" s="2" t="s">
        <v>46</v>
      </c>
      <c r="Q625" s="35" t="s">
        <v>46</v>
      </c>
      <c r="R625" s="2"/>
      <c r="S625" s="3" t="s">
        <v>969</v>
      </c>
      <c r="T625" s="2" t="s">
        <v>157</v>
      </c>
      <c r="U625" s="2">
        <v>1</v>
      </c>
      <c r="V625" s="2">
        <v>400000</v>
      </c>
      <c r="W625" s="3" t="s">
        <v>2129</v>
      </c>
      <c r="X625" s="36">
        <v>400000</v>
      </c>
      <c r="Y625" s="2" t="s">
        <v>55</v>
      </c>
      <c r="Z625" s="2" t="s">
        <v>197</v>
      </c>
      <c r="AA625" s="14">
        <f t="shared" si="29"/>
        <v>360000</v>
      </c>
      <c r="AB625" s="14">
        <f t="shared" si="30"/>
        <v>320000</v>
      </c>
      <c r="AC625" s="14">
        <f t="shared" si="31"/>
        <v>280000</v>
      </c>
      <c r="AD625" s="3" t="s">
        <v>2130</v>
      </c>
      <c r="AE625" s="3" t="s">
        <v>2130</v>
      </c>
      <c r="AF625" s="3" t="s">
        <v>2130</v>
      </c>
      <c r="AG625" s="43">
        <v>200000</v>
      </c>
      <c r="AH625" s="43">
        <v>200000</v>
      </c>
      <c r="AI625" s="43"/>
      <c r="AJ625" s="43"/>
      <c r="AK625" s="43"/>
      <c r="AL625" s="43"/>
      <c r="AM625" s="43"/>
      <c r="AN625" s="43"/>
      <c r="AO625" s="43"/>
      <c r="AP625" s="43"/>
      <c r="AQ625" s="43"/>
      <c r="AR625" s="43"/>
      <c r="AS625" s="43">
        <v>400000</v>
      </c>
      <c r="AT625" s="3">
        <v>0</v>
      </c>
      <c r="AU625" s="272" t="s">
        <v>70</v>
      </c>
    </row>
    <row r="626" spans="1:47" ht="16.5" hidden="1" customHeight="1" x14ac:dyDescent="0.35">
      <c r="A626" s="2" t="s">
        <v>161</v>
      </c>
      <c r="B626" s="2" t="s">
        <v>220</v>
      </c>
      <c r="C626" s="2" t="s">
        <v>1784</v>
      </c>
      <c r="D626" s="2">
        <v>847</v>
      </c>
      <c r="E626" s="2">
        <v>8470450</v>
      </c>
      <c r="F626" s="2" t="s">
        <v>2100</v>
      </c>
      <c r="G626" s="2">
        <v>1</v>
      </c>
      <c r="H626" s="276">
        <v>492316</v>
      </c>
      <c r="I626" s="2" t="s">
        <v>221</v>
      </c>
      <c r="J626" s="2" t="s">
        <v>60</v>
      </c>
      <c r="K626" s="2" t="s">
        <v>50</v>
      </c>
      <c r="L626" s="7">
        <v>847001</v>
      </c>
      <c r="M626" s="2" t="s">
        <v>192</v>
      </c>
      <c r="N626" s="2">
        <v>300180</v>
      </c>
      <c r="O626" s="3" t="s">
        <v>2119</v>
      </c>
      <c r="P626" s="2" t="s">
        <v>46</v>
      </c>
      <c r="Q626" s="35" t="s">
        <v>46</v>
      </c>
      <c r="R626" s="2"/>
      <c r="S626" s="3" t="s">
        <v>969</v>
      </c>
      <c r="T626" s="2" t="s">
        <v>157</v>
      </c>
      <c r="U626" s="2">
        <v>1</v>
      </c>
      <c r="V626" s="2">
        <v>4000</v>
      </c>
      <c r="W626" s="3" t="s">
        <v>2131</v>
      </c>
      <c r="X626" s="36">
        <v>4000</v>
      </c>
      <c r="Y626" s="2"/>
      <c r="Z626" s="2"/>
      <c r="AA626" s="14">
        <f t="shared" si="29"/>
        <v>3600</v>
      </c>
      <c r="AB626" s="14">
        <f t="shared" si="30"/>
        <v>3200</v>
      </c>
      <c r="AC626" s="14">
        <f t="shared" si="31"/>
        <v>2800</v>
      </c>
      <c r="AD626" s="3" t="s">
        <v>2130</v>
      </c>
      <c r="AE626" s="3" t="s">
        <v>2130</v>
      </c>
      <c r="AF626" s="3" t="s">
        <v>2130</v>
      </c>
      <c r="AG626" s="43"/>
      <c r="AH626" s="43">
        <v>4000</v>
      </c>
      <c r="AI626" s="43"/>
      <c r="AJ626" s="43"/>
      <c r="AK626" s="43"/>
      <c r="AL626" s="43"/>
      <c r="AM626" s="43"/>
      <c r="AN626" s="43"/>
      <c r="AO626" s="43"/>
      <c r="AP626" s="43"/>
      <c r="AQ626" s="43"/>
      <c r="AR626" s="43"/>
      <c r="AS626" s="43">
        <v>4000</v>
      </c>
      <c r="AT626" s="3">
        <v>0</v>
      </c>
      <c r="AU626" s="272" t="s">
        <v>70</v>
      </c>
    </row>
    <row r="627" spans="1:47" ht="16.5" hidden="1" customHeight="1" x14ac:dyDescent="0.35">
      <c r="A627" s="2" t="s">
        <v>258</v>
      </c>
      <c r="B627" s="2" t="s">
        <v>350</v>
      </c>
      <c r="C627" s="2" t="s">
        <v>1784</v>
      </c>
      <c r="D627" s="2">
        <v>847</v>
      </c>
      <c r="E627" s="2">
        <v>8470455</v>
      </c>
      <c r="F627" s="2" t="s">
        <v>2132</v>
      </c>
      <c r="G627" s="2">
        <v>1</v>
      </c>
      <c r="H627" s="276">
        <v>425760</v>
      </c>
      <c r="I627" s="2" t="s">
        <v>352</v>
      </c>
      <c r="J627" s="2" t="s">
        <v>60</v>
      </c>
      <c r="K627" s="2" t="s">
        <v>50</v>
      </c>
      <c r="L627" s="7">
        <v>847001</v>
      </c>
      <c r="M627" s="2" t="s">
        <v>61</v>
      </c>
      <c r="N627" s="2">
        <v>200179</v>
      </c>
      <c r="O627" s="3" t="s">
        <v>2133</v>
      </c>
      <c r="P627" s="2" t="s">
        <v>46</v>
      </c>
      <c r="Q627" s="35">
        <v>10000</v>
      </c>
      <c r="R627" s="2">
        <v>1000</v>
      </c>
      <c r="S627" s="3" t="s">
        <v>354</v>
      </c>
      <c r="T627" s="2" t="s">
        <v>262</v>
      </c>
      <c r="U627" s="2">
        <v>70</v>
      </c>
      <c r="V627" s="2">
        <v>150</v>
      </c>
      <c r="W627" s="3" t="s">
        <v>2134</v>
      </c>
      <c r="X627" s="36">
        <v>10500</v>
      </c>
      <c r="Y627" s="2" t="s">
        <v>55</v>
      </c>
      <c r="Z627" s="2" t="s">
        <v>56</v>
      </c>
      <c r="AA627" s="14">
        <f t="shared" si="29"/>
        <v>9450</v>
      </c>
      <c r="AB627" s="14">
        <f t="shared" si="30"/>
        <v>8400</v>
      </c>
      <c r="AC627" s="14">
        <f t="shared" si="31"/>
        <v>7349.9999999999991</v>
      </c>
      <c r="AD627" s="3" t="s">
        <v>2135</v>
      </c>
      <c r="AE627" s="3" t="s">
        <v>2136</v>
      </c>
      <c r="AF627" s="3" t="s">
        <v>2137</v>
      </c>
      <c r="AG627" s="43"/>
      <c r="AH627" s="43"/>
      <c r="AI627" s="43">
        <v>5000</v>
      </c>
      <c r="AJ627" s="43"/>
      <c r="AK627" s="43"/>
      <c r="AL627" s="43"/>
      <c r="AM627" s="43"/>
      <c r="AN627" s="43"/>
      <c r="AO627" s="43"/>
      <c r="AP627" s="43">
        <v>5500</v>
      </c>
      <c r="AQ627" s="43"/>
      <c r="AR627" s="43"/>
      <c r="AS627" s="43">
        <v>10500</v>
      </c>
      <c r="AT627" s="3">
        <v>0</v>
      </c>
      <c r="AU627" s="272" t="s">
        <v>365</v>
      </c>
    </row>
    <row r="628" spans="1:47" ht="16.5" hidden="1" customHeight="1" x14ac:dyDescent="0.35">
      <c r="A628" s="2" t="s">
        <v>222</v>
      </c>
      <c r="B628" s="2" t="s">
        <v>58</v>
      </c>
      <c r="C628" s="2" t="s">
        <v>1784</v>
      </c>
      <c r="D628" s="2">
        <v>847</v>
      </c>
      <c r="E628" s="2">
        <v>8470455</v>
      </c>
      <c r="F628" s="2" t="s">
        <v>2132</v>
      </c>
      <c r="G628" s="2">
        <v>1</v>
      </c>
      <c r="H628" s="276">
        <v>425770</v>
      </c>
      <c r="I628" s="2" t="s">
        <v>367</v>
      </c>
      <c r="J628" s="2" t="s">
        <v>60</v>
      </c>
      <c r="K628" s="2" t="s">
        <v>50</v>
      </c>
      <c r="L628" s="7">
        <v>847001</v>
      </c>
      <c r="M628" s="2" t="s">
        <v>61</v>
      </c>
      <c r="N628" s="2">
        <v>200179</v>
      </c>
      <c r="O628" s="3" t="s">
        <v>2138</v>
      </c>
      <c r="P628" s="2" t="s">
        <v>46</v>
      </c>
      <c r="Q628" s="35">
        <v>80000</v>
      </c>
      <c r="R628" s="2">
        <v>70000</v>
      </c>
      <c r="S628" s="3" t="s">
        <v>369</v>
      </c>
      <c r="T628" s="2" t="s">
        <v>157</v>
      </c>
      <c r="U628" s="2">
        <v>7</v>
      </c>
      <c r="V628" s="2">
        <v>16000</v>
      </c>
      <c r="W628" s="3" t="s">
        <v>2139</v>
      </c>
      <c r="X628" s="36">
        <v>112000</v>
      </c>
      <c r="Y628" s="2" t="s">
        <v>55</v>
      </c>
      <c r="Z628" s="2" t="s">
        <v>56</v>
      </c>
      <c r="AA628" s="14">
        <f t="shared" si="29"/>
        <v>100800</v>
      </c>
      <c r="AB628" s="14">
        <f t="shared" si="30"/>
        <v>89600</v>
      </c>
      <c r="AC628" s="14">
        <f t="shared" si="31"/>
        <v>78400</v>
      </c>
      <c r="AD628" s="3" t="s">
        <v>2140</v>
      </c>
      <c r="AE628" s="3" t="s">
        <v>2141</v>
      </c>
      <c r="AF628" s="3" t="s">
        <v>2142</v>
      </c>
      <c r="AG628" s="43"/>
      <c r="AH628" s="43"/>
      <c r="AI628" s="43">
        <v>30000</v>
      </c>
      <c r="AJ628" s="43"/>
      <c r="AK628" s="43"/>
      <c r="AL628" s="43"/>
      <c r="AM628" s="43">
        <v>50000</v>
      </c>
      <c r="AN628" s="43"/>
      <c r="AO628" s="43"/>
      <c r="AP628" s="43">
        <v>32000</v>
      </c>
      <c r="AQ628" s="43"/>
      <c r="AR628" s="43"/>
      <c r="AS628" s="43">
        <v>112000</v>
      </c>
      <c r="AT628" s="3">
        <v>0</v>
      </c>
      <c r="AU628" s="272" t="s">
        <v>252</v>
      </c>
    </row>
    <row r="629" spans="1:47" ht="16.5" hidden="1" customHeight="1" x14ac:dyDescent="0.35">
      <c r="A629" s="2" t="s">
        <v>189</v>
      </c>
      <c r="B629" s="2" t="s">
        <v>265</v>
      </c>
      <c r="C629" s="2" t="s">
        <v>1784</v>
      </c>
      <c r="D629" s="2">
        <v>847</v>
      </c>
      <c r="E629" s="2">
        <v>8470455</v>
      </c>
      <c r="F629" s="2" t="s">
        <v>2132</v>
      </c>
      <c r="G629" s="2">
        <v>1</v>
      </c>
      <c r="H629" s="276">
        <v>425900</v>
      </c>
      <c r="I629" s="2" t="s">
        <v>266</v>
      </c>
      <c r="J629" s="2" t="s">
        <v>60</v>
      </c>
      <c r="K629" s="2" t="s">
        <v>50</v>
      </c>
      <c r="L629" s="7">
        <v>847001</v>
      </c>
      <c r="M629" s="2" t="s">
        <v>61</v>
      </c>
      <c r="N629" s="2">
        <v>200179</v>
      </c>
      <c r="O629" s="3" t="s">
        <v>2143</v>
      </c>
      <c r="P629" s="2" t="s">
        <v>46</v>
      </c>
      <c r="Q629" s="35">
        <v>15000</v>
      </c>
      <c r="R629" s="2">
        <v>10000</v>
      </c>
      <c r="S629" s="3" t="s">
        <v>268</v>
      </c>
      <c r="T629" s="2" t="s">
        <v>269</v>
      </c>
      <c r="U629" s="2">
        <v>2</v>
      </c>
      <c r="V629" s="2">
        <v>15000</v>
      </c>
      <c r="W629" s="3" t="s">
        <v>2144</v>
      </c>
      <c r="X629" s="36">
        <v>30000</v>
      </c>
      <c r="Y629" s="2" t="s">
        <v>210</v>
      </c>
      <c r="Z629" s="2" t="s">
        <v>56</v>
      </c>
      <c r="AA629" s="14">
        <f t="shared" si="29"/>
        <v>27000</v>
      </c>
      <c r="AB629" s="14">
        <f t="shared" si="30"/>
        <v>24000</v>
      </c>
      <c r="AC629" s="14">
        <f t="shared" si="31"/>
        <v>21000</v>
      </c>
      <c r="AD629" s="3" t="s">
        <v>2145</v>
      </c>
      <c r="AE629" s="3" t="s">
        <v>2146</v>
      </c>
      <c r="AF629" s="3" t="s">
        <v>2147</v>
      </c>
      <c r="AG629" s="43"/>
      <c r="AH629" s="43"/>
      <c r="AI629" s="43"/>
      <c r="AJ629" s="43">
        <v>15000</v>
      </c>
      <c r="AK629" s="43"/>
      <c r="AL629" s="43"/>
      <c r="AM629" s="43"/>
      <c r="AN629" s="43"/>
      <c r="AO629" s="43"/>
      <c r="AP629" s="43"/>
      <c r="AQ629" s="43">
        <v>15000</v>
      </c>
      <c r="AR629" s="43"/>
      <c r="AS629" s="43">
        <v>30000</v>
      </c>
      <c r="AT629" s="3">
        <v>0</v>
      </c>
      <c r="AU629" s="272" t="s">
        <v>230</v>
      </c>
    </row>
    <row r="630" spans="1:47" ht="16.5" hidden="1" customHeight="1" x14ac:dyDescent="0.35">
      <c r="A630" s="2" t="s">
        <v>63</v>
      </c>
      <c r="B630" s="2" t="s">
        <v>64</v>
      </c>
      <c r="C630" s="2" t="s">
        <v>1784</v>
      </c>
      <c r="D630" s="2">
        <v>847</v>
      </c>
      <c r="E630" s="2">
        <v>8470455</v>
      </c>
      <c r="F630" s="2" t="s">
        <v>2132</v>
      </c>
      <c r="G630" s="2">
        <v>1</v>
      </c>
      <c r="H630" s="276">
        <v>426610</v>
      </c>
      <c r="I630" s="2" t="s">
        <v>74</v>
      </c>
      <c r="J630" s="2" t="s">
        <v>60</v>
      </c>
      <c r="K630" s="2" t="s">
        <v>50</v>
      </c>
      <c r="L630" s="7">
        <v>847001</v>
      </c>
      <c r="M630" s="2" t="s">
        <v>61</v>
      </c>
      <c r="N630" s="2">
        <v>200179</v>
      </c>
      <c r="O630" s="3" t="s">
        <v>2148</v>
      </c>
      <c r="P630" s="2" t="s">
        <v>46</v>
      </c>
      <c r="Q630" s="35">
        <v>50000</v>
      </c>
      <c r="R630" s="2">
        <v>40000</v>
      </c>
      <c r="S630" s="3" t="s">
        <v>960</v>
      </c>
      <c r="T630" s="2" t="s">
        <v>68</v>
      </c>
      <c r="U630" s="2">
        <v>7</v>
      </c>
      <c r="V630" s="2">
        <v>5000</v>
      </c>
      <c r="W630" s="3" t="s">
        <v>2149</v>
      </c>
      <c r="X630" s="36">
        <v>35000</v>
      </c>
      <c r="Y630" s="2" t="s">
        <v>55</v>
      </c>
      <c r="Z630" s="2" t="s">
        <v>56</v>
      </c>
      <c r="AA630" s="14">
        <f t="shared" si="29"/>
        <v>31500</v>
      </c>
      <c r="AB630" s="14">
        <f t="shared" si="30"/>
        <v>28000</v>
      </c>
      <c r="AC630" s="14">
        <f t="shared" si="31"/>
        <v>24500</v>
      </c>
      <c r="AD630" s="3" t="s">
        <v>2150</v>
      </c>
      <c r="AE630" s="3" t="s">
        <v>2151</v>
      </c>
      <c r="AF630" s="3" t="s">
        <v>2152</v>
      </c>
      <c r="AG630" s="43"/>
      <c r="AH630" s="43">
        <v>35000</v>
      </c>
      <c r="AI630" s="43"/>
      <c r="AJ630" s="43"/>
      <c r="AK630" s="43"/>
      <c r="AL630" s="43"/>
      <c r="AM630" s="43"/>
      <c r="AN630" s="43"/>
      <c r="AO630" s="43"/>
      <c r="AP630" s="43"/>
      <c r="AQ630" s="43"/>
      <c r="AR630" s="43"/>
      <c r="AS630" s="43">
        <v>35000</v>
      </c>
      <c r="AT630" s="3">
        <v>0</v>
      </c>
      <c r="AU630" s="272" t="s">
        <v>480</v>
      </c>
    </row>
    <row r="631" spans="1:47" ht="16.5" hidden="1" customHeight="1" x14ac:dyDescent="0.35">
      <c r="A631" s="2" t="s">
        <v>153</v>
      </c>
      <c r="B631" s="2" t="s">
        <v>58</v>
      </c>
      <c r="C631" s="2" t="s">
        <v>1784</v>
      </c>
      <c r="D631" s="2">
        <v>847</v>
      </c>
      <c r="E631" s="2">
        <v>8470455</v>
      </c>
      <c r="F631" s="2" t="s">
        <v>2132</v>
      </c>
      <c r="G631" s="2">
        <v>1</v>
      </c>
      <c r="H631" s="276">
        <v>428090</v>
      </c>
      <c r="I631" s="2" t="s">
        <v>154</v>
      </c>
      <c r="J631" s="2" t="s">
        <v>60</v>
      </c>
      <c r="K631" s="2" t="s">
        <v>50</v>
      </c>
      <c r="L631" s="7">
        <v>847001</v>
      </c>
      <c r="M631" s="2" t="s">
        <v>61</v>
      </c>
      <c r="N631" s="2">
        <v>200179</v>
      </c>
      <c r="O631" s="3" t="s">
        <v>2153</v>
      </c>
      <c r="P631" s="2" t="s">
        <v>46</v>
      </c>
      <c r="Q631" s="35">
        <v>50000</v>
      </c>
      <c r="R631" s="2">
        <v>40000</v>
      </c>
      <c r="S631" s="3" t="s">
        <v>156</v>
      </c>
      <c r="T631" s="2" t="s">
        <v>157</v>
      </c>
      <c r="U631" s="2">
        <v>2</v>
      </c>
      <c r="V631" s="2">
        <v>25000</v>
      </c>
      <c r="W631" s="3" t="s">
        <v>2154</v>
      </c>
      <c r="X631" s="36">
        <v>50000</v>
      </c>
      <c r="Y631" s="2" t="s">
        <v>210</v>
      </c>
      <c r="Z631" s="2" t="s">
        <v>56</v>
      </c>
      <c r="AA631" s="14">
        <f t="shared" si="29"/>
        <v>45000</v>
      </c>
      <c r="AB631" s="14">
        <f t="shared" si="30"/>
        <v>40000</v>
      </c>
      <c r="AC631" s="14">
        <f t="shared" si="31"/>
        <v>35000</v>
      </c>
      <c r="AD631" s="3" t="s">
        <v>2145</v>
      </c>
      <c r="AE631" s="3" t="s">
        <v>2146</v>
      </c>
      <c r="AF631" s="3" t="s">
        <v>2147</v>
      </c>
      <c r="AG631" s="43"/>
      <c r="AH631" s="43"/>
      <c r="AI631" s="43"/>
      <c r="AJ631" s="43">
        <v>25000</v>
      </c>
      <c r="AK631" s="43"/>
      <c r="AL631" s="43"/>
      <c r="AM631" s="43"/>
      <c r="AN631" s="43"/>
      <c r="AO631" s="43"/>
      <c r="AP631" s="43"/>
      <c r="AQ631" s="43">
        <v>25000</v>
      </c>
      <c r="AR631" s="43"/>
      <c r="AS631" s="43">
        <v>50000</v>
      </c>
      <c r="AT631" s="3">
        <v>0</v>
      </c>
      <c r="AU631" s="272" t="s">
        <v>230</v>
      </c>
    </row>
    <row r="632" spans="1:47" ht="16.5" hidden="1" customHeight="1" x14ac:dyDescent="0.35">
      <c r="A632" s="2" t="s">
        <v>245</v>
      </c>
      <c r="B632" s="2" t="s">
        <v>246</v>
      </c>
      <c r="C632" s="2" t="s">
        <v>1784</v>
      </c>
      <c r="D632" s="2">
        <v>847</v>
      </c>
      <c r="E632" s="2">
        <v>8470455</v>
      </c>
      <c r="F632" s="2" t="s">
        <v>2132</v>
      </c>
      <c r="G632" s="2">
        <v>1</v>
      </c>
      <c r="H632" s="276">
        <v>428640</v>
      </c>
      <c r="I632" s="2" t="s">
        <v>279</v>
      </c>
      <c r="J632" s="2" t="s">
        <v>60</v>
      </c>
      <c r="K632" s="2" t="s">
        <v>50</v>
      </c>
      <c r="L632" s="7">
        <v>847001</v>
      </c>
      <c r="M632" s="2" t="s">
        <v>61</v>
      </c>
      <c r="N632" s="2">
        <v>200179</v>
      </c>
      <c r="O632" s="3" t="s">
        <v>2155</v>
      </c>
      <c r="P632" s="2" t="s">
        <v>46</v>
      </c>
      <c r="Q632" s="35">
        <v>5000</v>
      </c>
      <c r="R632" s="2">
        <v>5000</v>
      </c>
      <c r="S632" s="3" t="s">
        <v>1395</v>
      </c>
      <c r="T632" s="2" t="s">
        <v>269</v>
      </c>
      <c r="U632" s="2">
        <v>5</v>
      </c>
      <c r="V632" s="10">
        <v>2500</v>
      </c>
      <c r="W632" s="3" t="s">
        <v>2156</v>
      </c>
      <c r="X632" s="36">
        <v>12500</v>
      </c>
      <c r="Y632" s="2" t="s">
        <v>210</v>
      </c>
      <c r="Z632" s="2" t="s">
        <v>56</v>
      </c>
      <c r="AA632" s="14">
        <f t="shared" si="29"/>
        <v>11250</v>
      </c>
      <c r="AB632" s="14">
        <f t="shared" si="30"/>
        <v>10000</v>
      </c>
      <c r="AC632" s="14">
        <f t="shared" si="31"/>
        <v>8750</v>
      </c>
      <c r="AD632" s="3" t="s">
        <v>2135</v>
      </c>
      <c r="AE632" s="3" t="s">
        <v>2136</v>
      </c>
      <c r="AF632" s="3" t="s">
        <v>2137</v>
      </c>
      <c r="AG632" s="43"/>
      <c r="AH632" s="43"/>
      <c r="AI632" s="43"/>
      <c r="AJ632" s="43"/>
      <c r="AK632" s="43">
        <v>6250</v>
      </c>
      <c r="AL632" s="43"/>
      <c r="AM632" s="43"/>
      <c r="AN632" s="43"/>
      <c r="AO632" s="43"/>
      <c r="AP632" s="43"/>
      <c r="AQ632" s="43">
        <v>6250</v>
      </c>
      <c r="AR632" s="43"/>
      <c r="AS632" s="43">
        <v>12500</v>
      </c>
      <c r="AT632" s="3">
        <v>0</v>
      </c>
      <c r="AU632" s="272" t="s">
        <v>384</v>
      </c>
    </row>
    <row r="633" spans="1:47" ht="16.5" hidden="1" customHeight="1" x14ac:dyDescent="0.35">
      <c r="A633" s="2" t="s">
        <v>222</v>
      </c>
      <c r="B633" s="2" t="s">
        <v>58</v>
      </c>
      <c r="C633" s="2" t="s">
        <v>1784</v>
      </c>
      <c r="D633" s="2">
        <v>847</v>
      </c>
      <c r="E633" s="2">
        <v>8470455</v>
      </c>
      <c r="F633" s="2" t="s">
        <v>2132</v>
      </c>
      <c r="G633" s="2">
        <v>1</v>
      </c>
      <c r="H633" s="276">
        <v>432209</v>
      </c>
      <c r="I633" s="2" t="s">
        <v>393</v>
      </c>
      <c r="J633" s="2" t="s">
        <v>60</v>
      </c>
      <c r="K633" s="2" t="s">
        <v>50</v>
      </c>
      <c r="L633" s="7">
        <v>847001</v>
      </c>
      <c r="M633" s="2" t="s">
        <v>61</v>
      </c>
      <c r="N633" s="2">
        <v>200179</v>
      </c>
      <c r="O633" s="3" t="s">
        <v>2157</v>
      </c>
      <c r="P633" s="2" t="s">
        <v>46</v>
      </c>
      <c r="Q633" s="35">
        <v>300000</v>
      </c>
      <c r="R633" s="2">
        <v>300000</v>
      </c>
      <c r="S633" s="3" t="s">
        <v>470</v>
      </c>
      <c r="T633" s="2" t="s">
        <v>157</v>
      </c>
      <c r="U633" s="2">
        <v>1</v>
      </c>
      <c r="V633" s="2">
        <v>300000</v>
      </c>
      <c r="W633" s="3" t="s">
        <v>2158</v>
      </c>
      <c r="X633" s="36">
        <v>300000</v>
      </c>
      <c r="Y633" s="2" t="s">
        <v>55</v>
      </c>
      <c r="Z633" s="2" t="s">
        <v>56</v>
      </c>
      <c r="AA633" s="14">
        <f t="shared" si="29"/>
        <v>270000</v>
      </c>
      <c r="AB633" s="14">
        <f t="shared" si="30"/>
        <v>240000</v>
      </c>
      <c r="AC633" s="14">
        <f t="shared" si="31"/>
        <v>210000</v>
      </c>
      <c r="AD633" s="3" t="s">
        <v>2159</v>
      </c>
      <c r="AE633" s="3" t="s">
        <v>2160</v>
      </c>
      <c r="AF633" s="3" t="s">
        <v>2161</v>
      </c>
      <c r="AG633" s="43"/>
      <c r="AH633" s="43">
        <v>150000</v>
      </c>
      <c r="AI633" s="43"/>
      <c r="AJ633" s="43"/>
      <c r="AK633" s="43"/>
      <c r="AL633" s="43"/>
      <c r="AM633" s="43">
        <v>150000</v>
      </c>
      <c r="AN633" s="43"/>
      <c r="AO633" s="43"/>
      <c r="AP633" s="43"/>
      <c r="AQ633" s="43"/>
      <c r="AR633" s="43"/>
      <c r="AS633" s="43">
        <v>300000</v>
      </c>
      <c r="AT633" s="3">
        <v>0</v>
      </c>
      <c r="AU633" s="272" t="s">
        <v>365</v>
      </c>
    </row>
    <row r="634" spans="1:47" ht="16.5" hidden="1" customHeight="1" x14ac:dyDescent="0.35">
      <c r="A634" s="2" t="s">
        <v>222</v>
      </c>
      <c r="B634" s="2" t="s">
        <v>58</v>
      </c>
      <c r="C634" s="2" t="s">
        <v>1784</v>
      </c>
      <c r="D634" s="2">
        <v>847</v>
      </c>
      <c r="E634" s="2">
        <v>8470455</v>
      </c>
      <c r="F634" s="2" t="s">
        <v>2132</v>
      </c>
      <c r="G634" s="2">
        <v>1</v>
      </c>
      <c r="H634" s="276">
        <v>435350</v>
      </c>
      <c r="I634" s="2" t="s">
        <v>399</v>
      </c>
      <c r="J634" s="2" t="s">
        <v>60</v>
      </c>
      <c r="K634" s="2" t="s">
        <v>50</v>
      </c>
      <c r="L634" s="7">
        <v>847001</v>
      </c>
      <c r="M634" s="2" t="s">
        <v>61</v>
      </c>
      <c r="N634" s="2">
        <v>200179</v>
      </c>
      <c r="O634" s="3" t="s">
        <v>2162</v>
      </c>
      <c r="P634" s="2" t="s">
        <v>46</v>
      </c>
      <c r="Q634" s="35">
        <v>80000</v>
      </c>
      <c r="R634" s="2">
        <v>70000</v>
      </c>
      <c r="S634" s="3" t="s">
        <v>401</v>
      </c>
      <c r="T634" s="2" t="s">
        <v>157</v>
      </c>
      <c r="U634" s="2">
        <v>14</v>
      </c>
      <c r="V634" s="2">
        <v>10000</v>
      </c>
      <c r="W634" s="3" t="s">
        <v>2163</v>
      </c>
      <c r="X634" s="36">
        <v>140000</v>
      </c>
      <c r="Y634" s="2" t="s">
        <v>55</v>
      </c>
      <c r="Z634" s="2" t="s">
        <v>56</v>
      </c>
      <c r="AA634" s="14">
        <f t="shared" si="29"/>
        <v>126000</v>
      </c>
      <c r="AB634" s="14">
        <f t="shared" si="30"/>
        <v>112000</v>
      </c>
      <c r="AC634" s="14">
        <f t="shared" si="31"/>
        <v>98000</v>
      </c>
      <c r="AD634" s="3" t="s">
        <v>2164</v>
      </c>
      <c r="AE634" s="3" t="s">
        <v>2165</v>
      </c>
      <c r="AF634" s="3" t="s">
        <v>2166</v>
      </c>
      <c r="AG634" s="43"/>
      <c r="AH634" s="43">
        <v>35000</v>
      </c>
      <c r="AI634" s="43"/>
      <c r="AJ634" s="43"/>
      <c r="AK634" s="43">
        <v>35000</v>
      </c>
      <c r="AL634" s="43"/>
      <c r="AM634" s="43"/>
      <c r="AN634" s="43">
        <v>35000</v>
      </c>
      <c r="AO634" s="43"/>
      <c r="AP634" s="43"/>
      <c r="AQ634" s="43">
        <v>35000</v>
      </c>
      <c r="AR634" s="43"/>
      <c r="AS634" s="43">
        <v>140000</v>
      </c>
      <c r="AT634" s="3">
        <v>0</v>
      </c>
      <c r="AU634" s="272" t="s">
        <v>480</v>
      </c>
    </row>
    <row r="635" spans="1:47" ht="16.5" hidden="1" customHeight="1" x14ac:dyDescent="0.35">
      <c r="A635" s="2" t="s">
        <v>222</v>
      </c>
      <c r="B635" s="2" t="s">
        <v>220</v>
      </c>
      <c r="C635" s="2" t="s">
        <v>1784</v>
      </c>
      <c r="D635" s="2">
        <v>847</v>
      </c>
      <c r="E635" s="2">
        <v>8470455</v>
      </c>
      <c r="F635" s="2" t="s">
        <v>2132</v>
      </c>
      <c r="G635" s="2">
        <v>1</v>
      </c>
      <c r="H635" s="276">
        <v>435508</v>
      </c>
      <c r="I635" s="2" t="s">
        <v>405</v>
      </c>
      <c r="J635" s="2" t="s">
        <v>60</v>
      </c>
      <c r="K635" s="2" t="s">
        <v>50</v>
      </c>
      <c r="L635" s="7">
        <v>847001</v>
      </c>
      <c r="M635" s="2" t="s">
        <v>61</v>
      </c>
      <c r="N635" s="2">
        <v>200179</v>
      </c>
      <c r="O635" s="3" t="s">
        <v>2167</v>
      </c>
      <c r="P635" s="2" t="s">
        <v>46</v>
      </c>
      <c r="Q635" s="35">
        <v>675000</v>
      </c>
      <c r="R635" s="2">
        <v>675000</v>
      </c>
      <c r="S635" s="3" t="s">
        <v>482</v>
      </c>
      <c r="T635" s="2" t="s">
        <v>157</v>
      </c>
      <c r="U635" s="2">
        <v>71</v>
      </c>
      <c r="V635" s="2">
        <v>11000</v>
      </c>
      <c r="W635" s="3" t="s">
        <v>2168</v>
      </c>
      <c r="X635" s="36">
        <v>781000</v>
      </c>
      <c r="Y635" s="2" t="s">
        <v>55</v>
      </c>
      <c r="Z635" s="2" t="s">
        <v>56</v>
      </c>
      <c r="AA635" s="14">
        <f t="shared" si="29"/>
        <v>702900</v>
      </c>
      <c r="AB635" s="14">
        <f t="shared" si="30"/>
        <v>624800</v>
      </c>
      <c r="AC635" s="14">
        <f t="shared" si="31"/>
        <v>546700</v>
      </c>
      <c r="AD635" s="3" t="s">
        <v>2169</v>
      </c>
      <c r="AE635" s="3" t="s">
        <v>2170</v>
      </c>
      <c r="AF635" s="3" t="s">
        <v>2171</v>
      </c>
      <c r="AG635" s="43">
        <v>250000</v>
      </c>
      <c r="AH635" s="43"/>
      <c r="AI635" s="43"/>
      <c r="AJ635" s="43"/>
      <c r="AK635" s="43">
        <v>500000</v>
      </c>
      <c r="AL635" s="43"/>
      <c r="AM635" s="43"/>
      <c r="AN635" s="43">
        <v>31000</v>
      </c>
      <c r="AO635" s="43"/>
      <c r="AP635" s="43"/>
      <c r="AQ635" s="43"/>
      <c r="AR635" s="43"/>
      <c r="AS635" s="43">
        <v>781000</v>
      </c>
      <c r="AT635" s="3">
        <v>0</v>
      </c>
      <c r="AU635" s="272" t="s">
        <v>230</v>
      </c>
    </row>
    <row r="636" spans="1:47" ht="16.5" hidden="1" customHeight="1" x14ac:dyDescent="0.35">
      <c r="A636" s="2" t="s">
        <v>189</v>
      </c>
      <c r="B636" s="2" t="s">
        <v>58</v>
      </c>
      <c r="C636" s="2" t="s">
        <v>1784</v>
      </c>
      <c r="D636" s="2">
        <v>847</v>
      </c>
      <c r="E636" s="2">
        <v>8470455</v>
      </c>
      <c r="F636" s="2" t="s">
        <v>2132</v>
      </c>
      <c r="G636" s="2">
        <v>1</v>
      </c>
      <c r="H636" s="276">
        <v>436110</v>
      </c>
      <c r="I636" s="2" t="s">
        <v>190</v>
      </c>
      <c r="J636" s="2" t="s">
        <v>60</v>
      </c>
      <c r="K636" s="2" t="s">
        <v>50</v>
      </c>
      <c r="L636" s="7">
        <v>847001</v>
      </c>
      <c r="M636" s="2" t="s">
        <v>61</v>
      </c>
      <c r="N636" s="2">
        <v>200179</v>
      </c>
      <c r="O636" s="3" t="s">
        <v>2172</v>
      </c>
      <c r="P636" s="2" t="s">
        <v>46</v>
      </c>
      <c r="Q636" s="35">
        <v>5000</v>
      </c>
      <c r="R636" s="2">
        <v>500</v>
      </c>
      <c r="S636" s="3" t="s">
        <v>411</v>
      </c>
      <c r="T636" s="2" t="s">
        <v>157</v>
      </c>
      <c r="U636" s="2">
        <v>7</v>
      </c>
      <c r="V636" s="2">
        <v>1000</v>
      </c>
      <c r="W636" s="3" t="s">
        <v>2173</v>
      </c>
      <c r="X636" s="36">
        <v>7000</v>
      </c>
      <c r="Y636" s="2" t="s">
        <v>55</v>
      </c>
      <c r="Z636" s="2" t="s">
        <v>56</v>
      </c>
      <c r="AA636" s="14">
        <f t="shared" si="29"/>
        <v>6300</v>
      </c>
      <c r="AB636" s="14">
        <f t="shared" si="30"/>
        <v>5600</v>
      </c>
      <c r="AC636" s="14">
        <f t="shared" si="31"/>
        <v>4900</v>
      </c>
      <c r="AD636" s="3" t="s">
        <v>2174</v>
      </c>
      <c r="AE636" s="3" t="s">
        <v>2175</v>
      </c>
      <c r="AF636" s="3" t="s">
        <v>2176</v>
      </c>
      <c r="AG636" s="43">
        <v>2500</v>
      </c>
      <c r="AH636" s="43"/>
      <c r="AI636" s="43"/>
      <c r="AJ636" s="43"/>
      <c r="AK636" s="43">
        <v>2500</v>
      </c>
      <c r="AL636" s="43"/>
      <c r="AM636" s="43"/>
      <c r="AN636" s="43"/>
      <c r="AO636" s="43">
        <v>2000</v>
      </c>
      <c r="AP636" s="43"/>
      <c r="AQ636" s="43"/>
      <c r="AR636" s="43"/>
      <c r="AS636" s="43">
        <v>7000</v>
      </c>
      <c r="AT636" s="3">
        <v>0</v>
      </c>
      <c r="AU636" s="272" t="s">
        <v>480</v>
      </c>
    </row>
    <row r="637" spans="1:47" ht="16.5" hidden="1" customHeight="1" x14ac:dyDescent="0.35">
      <c r="A637" s="2" t="s">
        <v>161</v>
      </c>
      <c r="B637" s="2" t="s">
        <v>220</v>
      </c>
      <c r="C637" s="2" t="s">
        <v>1784</v>
      </c>
      <c r="D637" s="2">
        <v>847</v>
      </c>
      <c r="E637" s="2">
        <v>8470455</v>
      </c>
      <c r="F637" s="2" t="s">
        <v>2132</v>
      </c>
      <c r="G637" s="2">
        <v>1</v>
      </c>
      <c r="H637" s="276">
        <v>492316</v>
      </c>
      <c r="I637" s="2" t="s">
        <v>221</v>
      </c>
      <c r="J637" s="2" t="s">
        <v>60</v>
      </c>
      <c r="K637" s="2" t="s">
        <v>50</v>
      </c>
      <c r="L637" s="7">
        <v>847001</v>
      </c>
      <c r="M637" s="2" t="s">
        <v>192</v>
      </c>
      <c r="N637" s="2">
        <v>300180</v>
      </c>
      <c r="O637" s="3" t="s">
        <v>2177</v>
      </c>
      <c r="P637" s="2" t="s">
        <v>46</v>
      </c>
      <c r="Q637" s="35">
        <v>1754263</v>
      </c>
      <c r="R637" s="2">
        <v>1754263</v>
      </c>
      <c r="S637" s="3" t="s">
        <v>422</v>
      </c>
      <c r="T637" s="2" t="s">
        <v>157</v>
      </c>
      <c r="U637" s="2">
        <v>7</v>
      </c>
      <c r="V637" s="2">
        <v>287803.14285714284</v>
      </c>
      <c r="W637" s="3" t="s">
        <v>2178</v>
      </c>
      <c r="X637" s="36">
        <v>2014622</v>
      </c>
      <c r="Y637" s="2" t="s">
        <v>55</v>
      </c>
      <c r="Z637" s="2" t="s">
        <v>197</v>
      </c>
      <c r="AA637" s="14">
        <f t="shared" si="29"/>
        <v>1813159.8</v>
      </c>
      <c r="AB637" s="14">
        <f t="shared" si="30"/>
        <v>1611697.6</v>
      </c>
      <c r="AC637" s="14">
        <f t="shared" si="31"/>
        <v>1410235.4</v>
      </c>
      <c r="AD637" s="3" t="s">
        <v>2169</v>
      </c>
      <c r="AE637" s="3" t="s">
        <v>2179</v>
      </c>
      <c r="AF637" s="3" t="s">
        <v>2180</v>
      </c>
      <c r="AG637" s="43">
        <v>2014622</v>
      </c>
      <c r="AH637" s="43"/>
      <c r="AI637" s="43"/>
      <c r="AJ637" s="43"/>
      <c r="AK637" s="43"/>
      <c r="AL637" s="43"/>
      <c r="AM637" s="43"/>
      <c r="AN637" s="43"/>
      <c r="AO637" s="43"/>
      <c r="AP637" s="43"/>
      <c r="AQ637" s="43"/>
      <c r="AR637" s="43"/>
      <c r="AS637" s="43">
        <v>2014622</v>
      </c>
      <c r="AT637" s="3">
        <v>0</v>
      </c>
      <c r="AU637" s="272" t="s">
        <v>365</v>
      </c>
    </row>
    <row r="638" spans="1:47" ht="16.5" hidden="1" customHeight="1" x14ac:dyDescent="0.35">
      <c r="A638" s="2" t="s">
        <v>71</v>
      </c>
      <c r="B638" s="2" t="s">
        <v>1010</v>
      </c>
      <c r="C638" s="2" t="s">
        <v>2277</v>
      </c>
      <c r="D638" s="2">
        <v>847</v>
      </c>
      <c r="E638" s="2">
        <v>8470130</v>
      </c>
      <c r="F638" s="2" t="s">
        <v>2278</v>
      </c>
      <c r="G638" s="2">
        <v>1</v>
      </c>
      <c r="H638" s="276">
        <v>421000</v>
      </c>
      <c r="I638" s="2" t="s">
        <v>1011</v>
      </c>
      <c r="J638" s="2" t="s">
        <v>60</v>
      </c>
      <c r="K638" s="2" t="s">
        <v>50</v>
      </c>
      <c r="L638" s="7">
        <v>847001</v>
      </c>
      <c r="M638" s="2" t="s">
        <v>61</v>
      </c>
      <c r="N638" s="2">
        <v>200179</v>
      </c>
      <c r="O638" s="3" t="s">
        <v>2279</v>
      </c>
      <c r="P638" s="2">
        <v>690716</v>
      </c>
      <c r="Q638" s="35">
        <v>720000</v>
      </c>
      <c r="R638" s="2"/>
      <c r="S638" s="3" t="s">
        <v>1013</v>
      </c>
      <c r="T638" s="2" t="s">
        <v>269</v>
      </c>
      <c r="U638" s="2">
        <v>1</v>
      </c>
      <c r="V638" s="2">
        <v>540000</v>
      </c>
      <c r="W638" s="3" t="s">
        <v>2280</v>
      </c>
      <c r="X638" s="36">
        <v>540000</v>
      </c>
      <c r="Y638" s="2" t="s">
        <v>210</v>
      </c>
      <c r="Z638" s="2" t="s">
        <v>197</v>
      </c>
      <c r="AA638" s="14">
        <f t="shared" si="29"/>
        <v>486000</v>
      </c>
      <c r="AB638" s="14">
        <f t="shared" si="30"/>
        <v>432000</v>
      </c>
      <c r="AC638" s="14">
        <f t="shared" si="31"/>
        <v>378000</v>
      </c>
      <c r="AD638" s="3" t="s">
        <v>2281</v>
      </c>
      <c r="AE638" s="3" t="s">
        <v>2282</v>
      </c>
      <c r="AF638" s="3" t="s">
        <v>2282</v>
      </c>
      <c r="AG638" s="43">
        <v>0</v>
      </c>
      <c r="AH638" s="43">
        <v>0</v>
      </c>
      <c r="AI638" s="43">
        <v>0</v>
      </c>
      <c r="AJ638" s="43">
        <v>180000</v>
      </c>
      <c r="AK638" s="43">
        <v>180000</v>
      </c>
      <c r="AL638" s="43">
        <v>180000</v>
      </c>
      <c r="AM638" s="43">
        <v>0</v>
      </c>
      <c r="AN638" s="43">
        <v>0</v>
      </c>
      <c r="AO638" s="43">
        <v>0</v>
      </c>
      <c r="AP638" s="43">
        <v>0</v>
      </c>
      <c r="AQ638" s="43">
        <v>0</v>
      </c>
      <c r="AR638" s="43">
        <v>0</v>
      </c>
      <c r="AS638" s="43">
        <v>540000</v>
      </c>
      <c r="AT638" s="3"/>
      <c r="AU638" s="272"/>
    </row>
    <row r="639" spans="1:47" ht="16.5" hidden="1" customHeight="1" x14ac:dyDescent="0.35">
      <c r="A639" s="2" t="s">
        <v>63</v>
      </c>
      <c r="B639" s="2" t="s">
        <v>64</v>
      </c>
      <c r="C639" s="2" t="s">
        <v>2277</v>
      </c>
      <c r="D639" s="2">
        <v>847</v>
      </c>
      <c r="E639" s="2">
        <v>8470130</v>
      </c>
      <c r="F639" s="2" t="s">
        <v>2278</v>
      </c>
      <c r="G639" s="2">
        <v>1</v>
      </c>
      <c r="H639" s="276">
        <v>426610</v>
      </c>
      <c r="I639" s="2" t="s">
        <v>74</v>
      </c>
      <c r="J639" s="2" t="s">
        <v>60</v>
      </c>
      <c r="K639" s="2" t="s">
        <v>50</v>
      </c>
      <c r="L639" s="7">
        <v>847001</v>
      </c>
      <c r="M639" s="2" t="s">
        <v>61</v>
      </c>
      <c r="N639" s="2">
        <v>200179</v>
      </c>
      <c r="O639" s="3" t="s">
        <v>2283</v>
      </c>
      <c r="P639" s="2" t="s">
        <v>46</v>
      </c>
      <c r="Q639" s="35">
        <v>735000</v>
      </c>
      <c r="R639" s="2"/>
      <c r="S639" s="3" t="s">
        <v>274</v>
      </c>
      <c r="T639" s="2" t="s">
        <v>157</v>
      </c>
      <c r="U639" s="2">
        <v>8</v>
      </c>
      <c r="V639" s="2">
        <v>22500</v>
      </c>
      <c r="W639" s="3" t="s">
        <v>2284</v>
      </c>
      <c r="X639" s="36">
        <v>180000</v>
      </c>
      <c r="Y639" s="2" t="s">
        <v>55</v>
      </c>
      <c r="Z639" s="2" t="s">
        <v>56</v>
      </c>
      <c r="AA639" s="14">
        <f t="shared" si="29"/>
        <v>162000</v>
      </c>
      <c r="AB639" s="14">
        <f t="shared" si="30"/>
        <v>144000</v>
      </c>
      <c r="AC639" s="14">
        <f t="shared" si="31"/>
        <v>125999.99999999999</v>
      </c>
      <c r="AD639" s="3" t="s">
        <v>2285</v>
      </c>
      <c r="AE639" s="3" t="s">
        <v>2286</v>
      </c>
      <c r="AF639" s="3" t="s">
        <v>2287</v>
      </c>
      <c r="AG639" s="43">
        <v>45000</v>
      </c>
      <c r="AH639" s="43">
        <v>0</v>
      </c>
      <c r="AI639" s="43">
        <v>45000</v>
      </c>
      <c r="AJ639" s="43">
        <v>0</v>
      </c>
      <c r="AK639" s="43">
        <v>45000</v>
      </c>
      <c r="AL639" s="43">
        <v>0</v>
      </c>
      <c r="AM639" s="43">
        <v>0</v>
      </c>
      <c r="AN639" s="43">
        <v>0</v>
      </c>
      <c r="AO639" s="43">
        <v>45000</v>
      </c>
      <c r="AP639" s="43">
        <v>0</v>
      </c>
      <c r="AQ639" s="43">
        <v>0</v>
      </c>
      <c r="AR639" s="43">
        <v>0</v>
      </c>
      <c r="AS639" s="43">
        <v>180000</v>
      </c>
      <c r="AT639" s="3" t="s">
        <v>480</v>
      </c>
      <c r="AU639" s="272"/>
    </row>
    <row r="640" spans="1:47" ht="16.5" hidden="1" customHeight="1" x14ac:dyDescent="0.35">
      <c r="A640" s="2" t="s">
        <v>153</v>
      </c>
      <c r="B640" s="2" t="s">
        <v>58</v>
      </c>
      <c r="C640" s="2" t="s">
        <v>2277</v>
      </c>
      <c r="D640" s="2">
        <v>847</v>
      </c>
      <c r="E640" s="2">
        <v>8470130</v>
      </c>
      <c r="F640" s="2" t="s">
        <v>2278</v>
      </c>
      <c r="G640" s="2">
        <v>1</v>
      </c>
      <c r="H640" s="276">
        <v>428090</v>
      </c>
      <c r="I640" s="2" t="s">
        <v>154</v>
      </c>
      <c r="J640" s="2" t="s">
        <v>60</v>
      </c>
      <c r="K640" s="2" t="s">
        <v>50</v>
      </c>
      <c r="L640" s="7">
        <v>847001</v>
      </c>
      <c r="M640" s="2" t="s">
        <v>61</v>
      </c>
      <c r="N640" s="2">
        <v>200179</v>
      </c>
      <c r="O640" s="3" t="s">
        <v>2288</v>
      </c>
      <c r="P640" s="2">
        <v>1100</v>
      </c>
      <c r="Q640" s="35">
        <v>180000</v>
      </c>
      <c r="R640" s="2"/>
      <c r="S640" s="3" t="s">
        <v>156</v>
      </c>
      <c r="T640" s="2" t="s">
        <v>157</v>
      </c>
      <c r="U640" s="2">
        <v>1</v>
      </c>
      <c r="V640" s="2">
        <v>551250</v>
      </c>
      <c r="W640" s="3" t="s">
        <v>2289</v>
      </c>
      <c r="X640" s="36">
        <v>551250</v>
      </c>
      <c r="Y640" s="2" t="s">
        <v>210</v>
      </c>
      <c r="Z640" s="2" t="s">
        <v>56</v>
      </c>
      <c r="AA640" s="14">
        <f t="shared" si="29"/>
        <v>496125</v>
      </c>
      <c r="AB640" s="14">
        <f t="shared" si="30"/>
        <v>441000</v>
      </c>
      <c r="AC640" s="14">
        <f t="shared" si="31"/>
        <v>385875</v>
      </c>
      <c r="AD640" s="3" t="s">
        <v>2290</v>
      </c>
      <c r="AE640" s="3" t="s">
        <v>2291</v>
      </c>
      <c r="AF640" s="3" t="s">
        <v>2292</v>
      </c>
      <c r="AG640" s="43"/>
      <c r="AH640" s="43">
        <v>0</v>
      </c>
      <c r="AI640" s="43">
        <v>275625</v>
      </c>
      <c r="AJ640" s="43">
        <v>0</v>
      </c>
      <c r="AK640" s="43">
        <v>0</v>
      </c>
      <c r="AL640" s="43">
        <v>0</v>
      </c>
      <c r="AM640" s="43">
        <v>0</v>
      </c>
      <c r="AN640" s="43">
        <v>0</v>
      </c>
      <c r="AO640" s="43">
        <v>0</v>
      </c>
      <c r="AP640" s="43">
        <v>0</v>
      </c>
      <c r="AQ640" s="43">
        <v>0</v>
      </c>
      <c r="AR640" s="43">
        <v>275625</v>
      </c>
      <c r="AS640" s="43">
        <v>551250</v>
      </c>
      <c r="AT640" s="3" t="s">
        <v>237</v>
      </c>
      <c r="AU640" s="272"/>
    </row>
    <row r="641" spans="1:47" ht="16.5" hidden="1" customHeight="1" x14ac:dyDescent="0.35">
      <c r="A641" s="2" t="s">
        <v>245</v>
      </c>
      <c r="B641" s="2" t="s">
        <v>246</v>
      </c>
      <c r="C641" s="2" t="s">
        <v>2277</v>
      </c>
      <c r="D641" s="2">
        <v>847</v>
      </c>
      <c r="E641" s="2">
        <v>8470140</v>
      </c>
      <c r="F641" s="2" t="s">
        <v>2293</v>
      </c>
      <c r="G641" s="2">
        <v>1</v>
      </c>
      <c r="H641" s="276">
        <v>425100</v>
      </c>
      <c r="I641" s="2" t="s">
        <v>1521</v>
      </c>
      <c r="J641" s="2" t="s">
        <v>60</v>
      </c>
      <c r="K641" s="2" t="s">
        <v>50</v>
      </c>
      <c r="L641" s="7">
        <v>847001</v>
      </c>
      <c r="M641" s="2" t="s">
        <v>61</v>
      </c>
      <c r="N641" s="2">
        <v>200179</v>
      </c>
      <c r="O641" s="3" t="s">
        <v>2294</v>
      </c>
      <c r="P641" s="2">
        <v>1900037.97</v>
      </c>
      <c r="Q641" s="35">
        <v>4578464</v>
      </c>
      <c r="R641" s="2">
        <v>4578464</v>
      </c>
      <c r="S641" s="3" t="s">
        <v>1581</v>
      </c>
      <c r="T641" s="2" t="s">
        <v>269</v>
      </c>
      <c r="U641" s="2">
        <v>4</v>
      </c>
      <c r="V641" s="2">
        <v>500000</v>
      </c>
      <c r="W641" s="3" t="s">
        <v>2295</v>
      </c>
      <c r="X641" s="36">
        <v>2000000</v>
      </c>
      <c r="Y641" s="2" t="s">
        <v>55</v>
      </c>
      <c r="Z641" s="2" t="s">
        <v>56</v>
      </c>
      <c r="AA641" s="14">
        <f t="shared" si="29"/>
        <v>1800000</v>
      </c>
      <c r="AB641" s="14">
        <f t="shared" si="30"/>
        <v>1600000</v>
      </c>
      <c r="AC641" s="14">
        <f t="shared" si="31"/>
        <v>1400000</v>
      </c>
      <c r="AD641" s="3" t="s">
        <v>2296</v>
      </c>
      <c r="AE641" s="3" t="s">
        <v>2297</v>
      </c>
      <c r="AF641" s="3" t="s">
        <v>2298</v>
      </c>
      <c r="AG641" s="43">
        <v>166666.66665999999</v>
      </c>
      <c r="AH641" s="43">
        <v>166666.66665999999</v>
      </c>
      <c r="AI641" s="43">
        <v>166666.66665999999</v>
      </c>
      <c r="AJ641" s="43">
        <v>166666.66665999999</v>
      </c>
      <c r="AK641" s="43">
        <v>166666.66665999999</v>
      </c>
      <c r="AL641" s="43">
        <v>166666.66665999999</v>
      </c>
      <c r="AM641" s="43">
        <v>166666.66665999999</v>
      </c>
      <c r="AN641" s="43">
        <v>166666.66665999999</v>
      </c>
      <c r="AO641" s="43">
        <v>166666.66665999999</v>
      </c>
      <c r="AP641" s="43">
        <v>166666.66665999999</v>
      </c>
      <c r="AQ641" s="43">
        <v>166666.66665999999</v>
      </c>
      <c r="AR641" s="43">
        <v>166666.66665999999</v>
      </c>
      <c r="AS641" s="43">
        <v>1999999.9999200003</v>
      </c>
      <c r="AT641" s="3" t="s">
        <v>379</v>
      </c>
      <c r="AU641" s="272"/>
    </row>
    <row r="642" spans="1:47" ht="16.5" hidden="1" customHeight="1" x14ac:dyDescent="0.35">
      <c r="A642" s="2" t="s">
        <v>245</v>
      </c>
      <c r="B642" s="2" t="s">
        <v>246</v>
      </c>
      <c r="C642" s="2" t="s">
        <v>2277</v>
      </c>
      <c r="D642" s="2">
        <v>847</v>
      </c>
      <c r="E642" s="2">
        <v>8470140</v>
      </c>
      <c r="F642" s="2" t="s">
        <v>2293</v>
      </c>
      <c r="G642" s="2">
        <v>1</v>
      </c>
      <c r="H642" s="276">
        <v>425100</v>
      </c>
      <c r="I642" s="2" t="s">
        <v>1521</v>
      </c>
      <c r="J642" s="2" t="s">
        <v>60</v>
      </c>
      <c r="K642" s="2" t="s">
        <v>50</v>
      </c>
      <c r="L642" s="7" t="s">
        <v>51</v>
      </c>
      <c r="M642" s="2" t="s">
        <v>61</v>
      </c>
      <c r="N642" s="2">
        <v>200179</v>
      </c>
      <c r="O642" s="3" t="s">
        <v>2294</v>
      </c>
      <c r="P642" s="2"/>
      <c r="Q642" s="35"/>
      <c r="R642" s="2"/>
      <c r="S642" s="3" t="s">
        <v>2299</v>
      </c>
      <c r="T642" s="2" t="s">
        <v>269</v>
      </c>
      <c r="U642" s="2">
        <v>2</v>
      </c>
      <c r="V642" s="2">
        <v>500000</v>
      </c>
      <c r="W642" s="3" t="s">
        <v>2300</v>
      </c>
      <c r="X642" s="36">
        <v>1000000</v>
      </c>
      <c r="Y642" s="2" t="s">
        <v>55</v>
      </c>
      <c r="Z642" s="2" t="s">
        <v>56</v>
      </c>
      <c r="AA642" s="14">
        <f t="shared" ref="AA642:AA705" si="33">X642*0.9</f>
        <v>900000</v>
      </c>
      <c r="AB642" s="14">
        <f t="shared" ref="AB642:AB705" si="34">X642*0.8</f>
        <v>800000</v>
      </c>
      <c r="AC642" s="14">
        <f t="shared" ref="AC642:AC705" si="35">X642*0.7</f>
        <v>700000</v>
      </c>
      <c r="AD642" s="3" t="s">
        <v>2296</v>
      </c>
      <c r="AE642" s="3" t="s">
        <v>2297</v>
      </c>
      <c r="AF642" s="3" t="s">
        <v>2298</v>
      </c>
      <c r="AG642" s="43">
        <v>83333.333329999994</v>
      </c>
      <c r="AH642" s="43">
        <v>83333.333329999994</v>
      </c>
      <c r="AI642" s="43">
        <v>83333.333329999994</v>
      </c>
      <c r="AJ642" s="43">
        <v>83333.333329999994</v>
      </c>
      <c r="AK642" s="43">
        <v>83333.333329999994</v>
      </c>
      <c r="AL642" s="43">
        <v>83333.333329999994</v>
      </c>
      <c r="AM642" s="43">
        <v>83333.333329999994</v>
      </c>
      <c r="AN642" s="43">
        <v>83333.333329999994</v>
      </c>
      <c r="AO642" s="43">
        <v>83333.333329999994</v>
      </c>
      <c r="AP642" s="43">
        <v>83333.333329999994</v>
      </c>
      <c r="AQ642" s="43">
        <v>83333.333329999994</v>
      </c>
      <c r="AR642" s="43">
        <v>83333.333329999994</v>
      </c>
      <c r="AS642" s="43">
        <v>999999.99996000016</v>
      </c>
      <c r="AT642" s="3" t="s">
        <v>379</v>
      </c>
      <c r="AU642" s="272"/>
    </row>
    <row r="643" spans="1:47" ht="16.5" hidden="1" customHeight="1" x14ac:dyDescent="0.35">
      <c r="A643" s="2" t="s">
        <v>245</v>
      </c>
      <c r="B643" s="2" t="s">
        <v>246</v>
      </c>
      <c r="C643" s="2" t="s">
        <v>2277</v>
      </c>
      <c r="D643" s="2">
        <v>847</v>
      </c>
      <c r="E643" s="2">
        <v>8470140</v>
      </c>
      <c r="F643" s="2" t="s">
        <v>2293</v>
      </c>
      <c r="G643" s="2">
        <v>1</v>
      </c>
      <c r="H643" s="276">
        <v>425100</v>
      </c>
      <c r="I643" s="2" t="s">
        <v>1521</v>
      </c>
      <c r="J643" s="2" t="s">
        <v>60</v>
      </c>
      <c r="K643" s="2" t="s">
        <v>50</v>
      </c>
      <c r="L643" s="7" t="s">
        <v>51</v>
      </c>
      <c r="M643" s="2" t="s">
        <v>61</v>
      </c>
      <c r="N643" s="2">
        <v>200179</v>
      </c>
      <c r="O643" s="3" t="s">
        <v>2294</v>
      </c>
      <c r="P643" s="2"/>
      <c r="Q643" s="35"/>
      <c r="R643" s="2"/>
      <c r="S643" s="3" t="s">
        <v>2301</v>
      </c>
      <c r="T643" s="2" t="s">
        <v>269</v>
      </c>
      <c r="U643" s="2">
        <v>8</v>
      </c>
      <c r="V643" s="2">
        <v>100000</v>
      </c>
      <c r="W643" s="3" t="s">
        <v>2302</v>
      </c>
      <c r="X643" s="36">
        <v>800000</v>
      </c>
      <c r="Y643" s="2" t="s">
        <v>55</v>
      </c>
      <c r="Z643" s="2" t="s">
        <v>56</v>
      </c>
      <c r="AA643" s="14">
        <f t="shared" si="33"/>
        <v>720000</v>
      </c>
      <c r="AB643" s="14">
        <f t="shared" si="34"/>
        <v>640000</v>
      </c>
      <c r="AC643" s="14">
        <f t="shared" si="35"/>
        <v>560000</v>
      </c>
      <c r="AD643" s="3" t="s">
        <v>2296</v>
      </c>
      <c r="AE643" s="3" t="s">
        <v>2297</v>
      </c>
      <c r="AF643" s="3" t="s">
        <v>2298</v>
      </c>
      <c r="AG643" s="43">
        <v>66666.666660000003</v>
      </c>
      <c r="AH643" s="43">
        <v>66666.666660000003</v>
      </c>
      <c r="AI643" s="43">
        <v>66666.666660000003</v>
      </c>
      <c r="AJ643" s="43">
        <v>66666.666660000003</v>
      </c>
      <c r="AK643" s="43">
        <v>66666.666660000003</v>
      </c>
      <c r="AL643" s="43">
        <v>66666.666660000003</v>
      </c>
      <c r="AM643" s="43">
        <v>66666.666660000003</v>
      </c>
      <c r="AN643" s="43">
        <v>66666.666660000003</v>
      </c>
      <c r="AO643" s="43">
        <v>66666.666660000003</v>
      </c>
      <c r="AP643" s="43">
        <v>66666.666660000003</v>
      </c>
      <c r="AQ643" s="43">
        <v>66666.666660000003</v>
      </c>
      <c r="AR643" s="43">
        <v>66666.666660000003</v>
      </c>
      <c r="AS643" s="43">
        <v>799999.99991999997</v>
      </c>
      <c r="AT643" s="3" t="s">
        <v>379</v>
      </c>
      <c r="AU643" s="272"/>
    </row>
    <row r="644" spans="1:47" ht="16.5" hidden="1" customHeight="1" x14ac:dyDescent="0.35">
      <c r="A644" s="2" t="s">
        <v>245</v>
      </c>
      <c r="B644" s="2" t="s">
        <v>246</v>
      </c>
      <c r="C644" s="2" t="s">
        <v>2277</v>
      </c>
      <c r="D644" s="2">
        <v>847</v>
      </c>
      <c r="E644" s="2">
        <v>8470140</v>
      </c>
      <c r="F644" s="2" t="s">
        <v>2293</v>
      </c>
      <c r="G644" s="2">
        <v>1</v>
      </c>
      <c r="H644" s="276">
        <v>425100</v>
      </c>
      <c r="I644" s="2" t="s">
        <v>1521</v>
      </c>
      <c r="J644" s="2" t="s">
        <v>60</v>
      </c>
      <c r="K644" s="2" t="s">
        <v>50</v>
      </c>
      <c r="L644" s="7" t="s">
        <v>51</v>
      </c>
      <c r="M644" s="2" t="s">
        <v>61</v>
      </c>
      <c r="N644" s="2">
        <v>200179</v>
      </c>
      <c r="O644" s="3" t="s">
        <v>2294</v>
      </c>
      <c r="P644" s="2"/>
      <c r="Q644" s="35"/>
      <c r="R644" s="2"/>
      <c r="S644" s="3" t="s">
        <v>2303</v>
      </c>
      <c r="T644" s="2" t="s">
        <v>269</v>
      </c>
      <c r="U644" s="2">
        <v>2</v>
      </c>
      <c r="V644" s="2">
        <v>550000</v>
      </c>
      <c r="W644" s="3" t="s">
        <v>2304</v>
      </c>
      <c r="X644" s="36">
        <v>1100000</v>
      </c>
      <c r="Y644" s="2" t="s">
        <v>55</v>
      </c>
      <c r="Z644" s="2" t="s">
        <v>56</v>
      </c>
      <c r="AA644" s="14">
        <f t="shared" si="33"/>
        <v>990000</v>
      </c>
      <c r="AB644" s="14">
        <f t="shared" si="34"/>
        <v>880000</v>
      </c>
      <c r="AC644" s="14">
        <f t="shared" si="35"/>
        <v>770000</v>
      </c>
      <c r="AD644" s="3" t="s">
        <v>2296</v>
      </c>
      <c r="AE644" s="3" t="s">
        <v>2297</v>
      </c>
      <c r="AF644" s="3" t="s">
        <v>2298</v>
      </c>
      <c r="AG644" s="43">
        <v>91666.666660000003</v>
      </c>
      <c r="AH644" s="43">
        <v>91666.666660000003</v>
      </c>
      <c r="AI644" s="43">
        <v>91666.666660000003</v>
      </c>
      <c r="AJ644" s="43">
        <v>91666.666660000003</v>
      </c>
      <c r="AK644" s="43">
        <v>91666.666660000003</v>
      </c>
      <c r="AL644" s="43">
        <v>91666.666660000003</v>
      </c>
      <c r="AM644" s="43">
        <v>91666.666660000003</v>
      </c>
      <c r="AN644" s="43">
        <v>91666.666660000003</v>
      </c>
      <c r="AO644" s="43">
        <v>91666.666660000003</v>
      </c>
      <c r="AP644" s="43">
        <v>91666.666660000003</v>
      </c>
      <c r="AQ644" s="43">
        <v>91666.666660000003</v>
      </c>
      <c r="AR644" s="43">
        <v>91666.666660000003</v>
      </c>
      <c r="AS644" s="43">
        <v>1099999.9999200001</v>
      </c>
      <c r="AT644" s="3" t="s">
        <v>379</v>
      </c>
      <c r="AU644" s="272"/>
    </row>
    <row r="645" spans="1:47" ht="16.5" hidden="1" customHeight="1" x14ac:dyDescent="0.35">
      <c r="A645" s="2" t="s">
        <v>245</v>
      </c>
      <c r="B645" s="2" t="s">
        <v>246</v>
      </c>
      <c r="C645" s="2" t="s">
        <v>2277</v>
      </c>
      <c r="D645" s="2">
        <v>847</v>
      </c>
      <c r="E645" s="2">
        <v>8470140</v>
      </c>
      <c r="F645" s="2" t="s">
        <v>2293</v>
      </c>
      <c r="G645" s="2">
        <v>1</v>
      </c>
      <c r="H645" s="276">
        <v>425100</v>
      </c>
      <c r="I645" s="2" t="s">
        <v>1521</v>
      </c>
      <c r="J645" s="2" t="s">
        <v>60</v>
      </c>
      <c r="K645" s="2" t="s">
        <v>50</v>
      </c>
      <c r="L645" s="7" t="s">
        <v>51</v>
      </c>
      <c r="M645" s="2" t="s">
        <v>61</v>
      </c>
      <c r="N645" s="2">
        <v>200179</v>
      </c>
      <c r="O645" s="3" t="s">
        <v>2294</v>
      </c>
      <c r="P645" s="2"/>
      <c r="Q645" s="35"/>
      <c r="R645" s="2"/>
      <c r="S645" s="3" t="s">
        <v>2305</v>
      </c>
      <c r="T645" s="2" t="s">
        <v>2306</v>
      </c>
      <c r="U645" s="2">
        <v>6</v>
      </c>
      <c r="V645" s="2">
        <v>100500</v>
      </c>
      <c r="W645" s="3" t="s">
        <v>2307</v>
      </c>
      <c r="X645" s="36">
        <v>603000</v>
      </c>
      <c r="Y645" s="2" t="s">
        <v>55</v>
      </c>
      <c r="Z645" s="2" t="s">
        <v>56</v>
      </c>
      <c r="AA645" s="14">
        <f t="shared" si="33"/>
        <v>542700</v>
      </c>
      <c r="AB645" s="14">
        <f t="shared" si="34"/>
        <v>482400</v>
      </c>
      <c r="AC645" s="14">
        <f t="shared" si="35"/>
        <v>422100</v>
      </c>
      <c r="AD645" s="3" t="s">
        <v>2296</v>
      </c>
      <c r="AE645" s="3" t="s">
        <v>2297</v>
      </c>
      <c r="AF645" s="3" t="s">
        <v>2298</v>
      </c>
      <c r="AG645" s="43">
        <v>50250</v>
      </c>
      <c r="AH645" s="43">
        <v>50250</v>
      </c>
      <c r="AI645" s="43">
        <v>50250</v>
      </c>
      <c r="AJ645" s="43">
        <v>50250</v>
      </c>
      <c r="AK645" s="43">
        <v>50250</v>
      </c>
      <c r="AL645" s="43">
        <v>50250</v>
      </c>
      <c r="AM645" s="43">
        <v>50250</v>
      </c>
      <c r="AN645" s="43">
        <v>50250</v>
      </c>
      <c r="AO645" s="43">
        <v>50250</v>
      </c>
      <c r="AP645" s="43">
        <v>50250</v>
      </c>
      <c r="AQ645" s="43">
        <v>50250</v>
      </c>
      <c r="AR645" s="43">
        <v>50250</v>
      </c>
      <c r="AS645" s="43">
        <v>603000</v>
      </c>
      <c r="AT645" s="3" t="s">
        <v>379</v>
      </c>
      <c r="AU645" s="272"/>
    </row>
    <row r="646" spans="1:47" ht="16.5" hidden="1" customHeight="1" x14ac:dyDescent="0.35">
      <c r="A646" s="2" t="s">
        <v>245</v>
      </c>
      <c r="B646" s="2" t="s">
        <v>246</v>
      </c>
      <c r="C646" s="2" t="s">
        <v>2277</v>
      </c>
      <c r="D646" s="2">
        <v>847</v>
      </c>
      <c r="E646" s="2">
        <v>8470140</v>
      </c>
      <c r="F646" s="2" t="s">
        <v>2293</v>
      </c>
      <c r="G646" s="2">
        <v>1</v>
      </c>
      <c r="H646" s="276">
        <v>425100</v>
      </c>
      <c r="I646" s="2" t="s">
        <v>1521</v>
      </c>
      <c r="J646" s="2" t="s">
        <v>60</v>
      </c>
      <c r="K646" s="2" t="s">
        <v>50</v>
      </c>
      <c r="L646" s="7" t="s">
        <v>51</v>
      </c>
      <c r="M646" s="2" t="s">
        <v>61</v>
      </c>
      <c r="N646" s="2">
        <v>200179</v>
      </c>
      <c r="O646" s="3" t="s">
        <v>2294</v>
      </c>
      <c r="P646" s="2"/>
      <c r="Q646" s="35"/>
      <c r="R646" s="2"/>
      <c r="S646" s="3" t="s">
        <v>2308</v>
      </c>
      <c r="T646" s="2" t="s">
        <v>269</v>
      </c>
      <c r="U646" s="2">
        <v>4</v>
      </c>
      <c r="V646" s="2">
        <v>420000</v>
      </c>
      <c r="W646" s="3" t="s">
        <v>2309</v>
      </c>
      <c r="X646" s="36">
        <v>1680000</v>
      </c>
      <c r="Y646" s="2" t="s">
        <v>55</v>
      </c>
      <c r="Z646" s="2" t="s">
        <v>56</v>
      </c>
      <c r="AA646" s="14">
        <f t="shared" si="33"/>
        <v>1512000</v>
      </c>
      <c r="AB646" s="14">
        <f t="shared" si="34"/>
        <v>1344000</v>
      </c>
      <c r="AC646" s="14">
        <f t="shared" si="35"/>
        <v>1176000</v>
      </c>
      <c r="AD646" s="3" t="s">
        <v>2296</v>
      </c>
      <c r="AE646" s="3" t="s">
        <v>2297</v>
      </c>
      <c r="AF646" s="3" t="s">
        <v>2298</v>
      </c>
      <c r="AG646" s="43">
        <v>140000</v>
      </c>
      <c r="AH646" s="43">
        <v>140000</v>
      </c>
      <c r="AI646" s="43">
        <v>140000</v>
      </c>
      <c r="AJ646" s="43">
        <v>140000</v>
      </c>
      <c r="AK646" s="43">
        <v>140000</v>
      </c>
      <c r="AL646" s="43">
        <v>140000</v>
      </c>
      <c r="AM646" s="43">
        <v>140000</v>
      </c>
      <c r="AN646" s="43">
        <v>140000</v>
      </c>
      <c r="AO646" s="43">
        <v>140000</v>
      </c>
      <c r="AP646" s="43">
        <v>140000</v>
      </c>
      <c r="AQ646" s="43">
        <v>140000</v>
      </c>
      <c r="AR646" s="43">
        <v>140000</v>
      </c>
      <c r="AS646" s="43">
        <v>1680000</v>
      </c>
      <c r="AT646" s="3" t="s">
        <v>379</v>
      </c>
      <c r="AU646" s="272"/>
    </row>
    <row r="647" spans="1:47" ht="16.5" hidden="1" customHeight="1" x14ac:dyDescent="0.35">
      <c r="A647" s="2" t="s">
        <v>245</v>
      </c>
      <c r="B647" s="2" t="s">
        <v>246</v>
      </c>
      <c r="C647" s="2" t="s">
        <v>2277</v>
      </c>
      <c r="D647" s="2">
        <v>847</v>
      </c>
      <c r="E647" s="2">
        <v>8470140</v>
      </c>
      <c r="F647" s="2" t="s">
        <v>2293</v>
      </c>
      <c r="G647" s="2">
        <v>1</v>
      </c>
      <c r="H647" s="276">
        <v>425100</v>
      </c>
      <c r="I647" s="2" t="s">
        <v>1521</v>
      </c>
      <c r="J647" s="2" t="s">
        <v>60</v>
      </c>
      <c r="K647" s="2" t="s">
        <v>50</v>
      </c>
      <c r="L647" s="7" t="s">
        <v>51</v>
      </c>
      <c r="M647" s="2" t="s">
        <v>61</v>
      </c>
      <c r="N647" s="2">
        <v>200179</v>
      </c>
      <c r="O647" s="3" t="s">
        <v>2294</v>
      </c>
      <c r="P647" s="2"/>
      <c r="Q647" s="35"/>
      <c r="R647" s="2"/>
      <c r="S647" s="3" t="s">
        <v>1185</v>
      </c>
      <c r="T647" s="2" t="s">
        <v>269</v>
      </c>
      <c r="U647" s="2">
        <v>4</v>
      </c>
      <c r="V647" s="2">
        <v>600000</v>
      </c>
      <c r="W647" s="3" t="s">
        <v>2310</v>
      </c>
      <c r="X647" s="36">
        <v>2400000</v>
      </c>
      <c r="Y647" s="2" t="s">
        <v>55</v>
      </c>
      <c r="Z647" s="2" t="s">
        <v>56</v>
      </c>
      <c r="AA647" s="14">
        <f t="shared" si="33"/>
        <v>2160000</v>
      </c>
      <c r="AB647" s="14">
        <f t="shared" si="34"/>
        <v>1920000</v>
      </c>
      <c r="AC647" s="14">
        <f t="shared" si="35"/>
        <v>1680000</v>
      </c>
      <c r="AD647" s="3" t="s">
        <v>2311</v>
      </c>
      <c r="AE647" s="3" t="s">
        <v>2312</v>
      </c>
      <c r="AF647" s="3" t="s">
        <v>2298</v>
      </c>
      <c r="AG647" s="43">
        <v>200000</v>
      </c>
      <c r="AH647" s="43">
        <v>200000</v>
      </c>
      <c r="AI647" s="43">
        <v>200000</v>
      </c>
      <c r="AJ647" s="43">
        <v>200000</v>
      </c>
      <c r="AK647" s="43">
        <v>200000</v>
      </c>
      <c r="AL647" s="43">
        <v>200000</v>
      </c>
      <c r="AM647" s="43">
        <v>200000</v>
      </c>
      <c r="AN647" s="43">
        <v>200000</v>
      </c>
      <c r="AO647" s="43">
        <v>200000</v>
      </c>
      <c r="AP647" s="43">
        <v>200000</v>
      </c>
      <c r="AQ647" s="43">
        <v>200000</v>
      </c>
      <c r="AR647" s="43">
        <v>200000</v>
      </c>
      <c r="AS647" s="43">
        <v>2400000</v>
      </c>
      <c r="AT647" s="3" t="s">
        <v>379</v>
      </c>
      <c r="AU647" s="272"/>
    </row>
    <row r="648" spans="1:47" ht="16.5" hidden="1" customHeight="1" x14ac:dyDescent="0.35">
      <c r="A648" s="2" t="s">
        <v>245</v>
      </c>
      <c r="B648" s="2" t="s">
        <v>246</v>
      </c>
      <c r="C648" s="2" t="s">
        <v>2277</v>
      </c>
      <c r="D648" s="2">
        <v>847</v>
      </c>
      <c r="E648" s="2">
        <v>8470140</v>
      </c>
      <c r="F648" s="2" t="s">
        <v>2293</v>
      </c>
      <c r="G648" s="2">
        <v>1</v>
      </c>
      <c r="H648" s="276">
        <v>425100</v>
      </c>
      <c r="I648" s="2" t="s">
        <v>1521</v>
      </c>
      <c r="J648" s="2" t="s">
        <v>60</v>
      </c>
      <c r="K648" s="2" t="s">
        <v>50</v>
      </c>
      <c r="L648" s="7" t="s">
        <v>51</v>
      </c>
      <c r="M648" s="2" t="s">
        <v>61</v>
      </c>
      <c r="N648" s="2">
        <v>200179</v>
      </c>
      <c r="O648" s="3" t="s">
        <v>2294</v>
      </c>
      <c r="P648" s="2"/>
      <c r="Q648" s="35"/>
      <c r="R648" s="2"/>
      <c r="S648" s="3" t="s">
        <v>1522</v>
      </c>
      <c r="T648" s="2" t="s">
        <v>269</v>
      </c>
      <c r="U648" s="2">
        <v>8</v>
      </c>
      <c r="V648" s="2">
        <v>500000</v>
      </c>
      <c r="W648" s="3" t="s">
        <v>2313</v>
      </c>
      <c r="X648" s="36">
        <v>4000000</v>
      </c>
      <c r="Y648" s="2" t="s">
        <v>55</v>
      </c>
      <c r="Z648" s="2" t="s">
        <v>56</v>
      </c>
      <c r="AA648" s="14">
        <f t="shared" si="33"/>
        <v>3600000</v>
      </c>
      <c r="AB648" s="14">
        <f t="shared" si="34"/>
        <v>3200000</v>
      </c>
      <c r="AC648" s="14">
        <f t="shared" si="35"/>
        <v>2800000</v>
      </c>
      <c r="AD648" s="3" t="s">
        <v>2296</v>
      </c>
      <c r="AE648" s="3" t="s">
        <v>2297</v>
      </c>
      <c r="AF648" s="3" t="s">
        <v>2298</v>
      </c>
      <c r="AG648" s="43">
        <v>333333.33332999999</v>
      </c>
      <c r="AH648" s="43">
        <v>333333.33332999999</v>
      </c>
      <c r="AI648" s="43">
        <v>333333.33332999999</v>
      </c>
      <c r="AJ648" s="43">
        <v>333333.33332999999</v>
      </c>
      <c r="AK648" s="43">
        <v>333333.33332999999</v>
      </c>
      <c r="AL648" s="43">
        <v>333333.33332999999</v>
      </c>
      <c r="AM648" s="43">
        <v>333333.33332999999</v>
      </c>
      <c r="AN648" s="43">
        <v>333333.33332999999</v>
      </c>
      <c r="AO648" s="43">
        <v>333333.33332999999</v>
      </c>
      <c r="AP648" s="43">
        <v>333333.33332999999</v>
      </c>
      <c r="AQ648" s="43">
        <v>333333.33332999999</v>
      </c>
      <c r="AR648" s="43">
        <v>333333.33332999999</v>
      </c>
      <c r="AS648" s="43">
        <v>3999999.9999599992</v>
      </c>
      <c r="AT648" s="3" t="s">
        <v>379</v>
      </c>
      <c r="AU648" s="272"/>
    </row>
    <row r="649" spans="1:47" ht="16.5" hidden="1" customHeight="1" x14ac:dyDescent="0.35">
      <c r="A649" s="2" t="s">
        <v>245</v>
      </c>
      <c r="B649" s="2" t="s">
        <v>246</v>
      </c>
      <c r="C649" s="2" t="s">
        <v>2277</v>
      </c>
      <c r="D649" s="2">
        <v>847</v>
      </c>
      <c r="E649" s="2">
        <v>8470140</v>
      </c>
      <c r="F649" s="2" t="s">
        <v>2293</v>
      </c>
      <c r="G649" s="2">
        <v>1</v>
      </c>
      <c r="H649" s="276">
        <v>425100</v>
      </c>
      <c r="I649" s="2" t="s">
        <v>1521</v>
      </c>
      <c r="J649" s="2" t="s">
        <v>60</v>
      </c>
      <c r="K649" s="2" t="s">
        <v>50</v>
      </c>
      <c r="L649" s="7" t="s">
        <v>51</v>
      </c>
      <c r="M649" s="2" t="s">
        <v>61</v>
      </c>
      <c r="N649" s="2">
        <v>200179</v>
      </c>
      <c r="O649" s="3" t="s">
        <v>2294</v>
      </c>
      <c r="P649" s="2"/>
      <c r="Q649" s="35"/>
      <c r="R649" s="2"/>
      <c r="S649" s="3" t="s">
        <v>1639</v>
      </c>
      <c r="T649" s="2" t="s">
        <v>269</v>
      </c>
      <c r="U649" s="2">
        <v>14</v>
      </c>
      <c r="V649" s="2">
        <v>100000</v>
      </c>
      <c r="W649" s="3" t="s">
        <v>2313</v>
      </c>
      <c r="X649" s="36">
        <v>1400000</v>
      </c>
      <c r="Y649" s="2" t="s">
        <v>55</v>
      </c>
      <c r="Z649" s="2" t="s">
        <v>56</v>
      </c>
      <c r="AA649" s="14">
        <f t="shared" si="33"/>
        <v>1260000</v>
      </c>
      <c r="AB649" s="14">
        <f t="shared" si="34"/>
        <v>1120000</v>
      </c>
      <c r="AC649" s="14">
        <f t="shared" si="35"/>
        <v>979999.99999999988</v>
      </c>
      <c r="AD649" s="3" t="s">
        <v>2296</v>
      </c>
      <c r="AE649" s="3" t="s">
        <v>2297</v>
      </c>
      <c r="AF649" s="3" t="s">
        <v>2298</v>
      </c>
      <c r="AG649" s="43">
        <v>116666.66666</v>
      </c>
      <c r="AH649" s="43">
        <v>116666.66666</v>
      </c>
      <c r="AI649" s="43">
        <v>116666.66666</v>
      </c>
      <c r="AJ649" s="43">
        <v>116666.66666</v>
      </c>
      <c r="AK649" s="43">
        <v>116666.66666</v>
      </c>
      <c r="AL649" s="43">
        <v>116666.66666</v>
      </c>
      <c r="AM649" s="43">
        <v>116666.66666</v>
      </c>
      <c r="AN649" s="43">
        <v>116666.66666</v>
      </c>
      <c r="AO649" s="43">
        <v>116666.66666</v>
      </c>
      <c r="AP649" s="43">
        <v>116666.66666</v>
      </c>
      <c r="AQ649" s="43">
        <v>116666.66666</v>
      </c>
      <c r="AR649" s="43">
        <v>116666.66666</v>
      </c>
      <c r="AS649" s="43">
        <v>1399999.9999200003</v>
      </c>
      <c r="AT649" s="3" t="s">
        <v>379</v>
      </c>
      <c r="AU649" s="272"/>
    </row>
    <row r="650" spans="1:47" ht="16.5" hidden="1" customHeight="1" x14ac:dyDescent="0.35">
      <c r="A650" s="2" t="s">
        <v>245</v>
      </c>
      <c r="B650" s="2" t="s">
        <v>246</v>
      </c>
      <c r="C650" s="2" t="s">
        <v>2277</v>
      </c>
      <c r="D650" s="2">
        <v>847</v>
      </c>
      <c r="E650" s="2">
        <v>8470140</v>
      </c>
      <c r="F650" s="2" t="s">
        <v>2293</v>
      </c>
      <c r="G650" s="2">
        <v>1</v>
      </c>
      <c r="H650" s="276">
        <v>425510</v>
      </c>
      <c r="I650" s="2" t="s">
        <v>247</v>
      </c>
      <c r="J650" s="2" t="s">
        <v>60</v>
      </c>
      <c r="K650" s="2" t="s">
        <v>50</v>
      </c>
      <c r="L650" s="7">
        <v>847001</v>
      </c>
      <c r="M650" s="2" t="s">
        <v>61</v>
      </c>
      <c r="N650" s="2">
        <v>200179</v>
      </c>
      <c r="O650" s="3" t="s">
        <v>2314</v>
      </c>
      <c r="P650" s="2">
        <v>3922844.33</v>
      </c>
      <c r="Q650" s="35">
        <v>5025358</v>
      </c>
      <c r="R650" s="2">
        <v>5025358</v>
      </c>
      <c r="S650" s="3" t="s">
        <v>344</v>
      </c>
      <c r="T650" s="2" t="s">
        <v>256</v>
      </c>
      <c r="U650" s="2">
        <v>1</v>
      </c>
      <c r="V650" s="2">
        <v>200000</v>
      </c>
      <c r="W650" s="3" t="s">
        <v>2315</v>
      </c>
      <c r="X650" s="36">
        <v>200000</v>
      </c>
      <c r="Y650" s="2" t="s">
        <v>55</v>
      </c>
      <c r="Z650" s="2" t="s">
        <v>56</v>
      </c>
      <c r="AA650" s="14">
        <f t="shared" si="33"/>
        <v>180000</v>
      </c>
      <c r="AB650" s="14">
        <f t="shared" si="34"/>
        <v>160000</v>
      </c>
      <c r="AC650" s="14">
        <f t="shared" si="35"/>
        <v>140000</v>
      </c>
      <c r="AD650" s="3" t="s">
        <v>2296</v>
      </c>
      <c r="AE650" s="3" t="s">
        <v>2297</v>
      </c>
      <c r="AF650" s="3" t="s">
        <v>2298</v>
      </c>
      <c r="AG650" s="43"/>
      <c r="AH650" s="43"/>
      <c r="AI650" s="43"/>
      <c r="AJ650" s="43"/>
      <c r="AK650" s="43"/>
      <c r="AL650" s="43"/>
      <c r="AM650" s="43"/>
      <c r="AN650" s="43"/>
      <c r="AO650" s="43">
        <v>200000</v>
      </c>
      <c r="AP650" s="43"/>
      <c r="AQ650" s="43"/>
      <c r="AR650" s="43"/>
      <c r="AS650" s="43">
        <v>200000</v>
      </c>
      <c r="AT650" s="3" t="s">
        <v>379</v>
      </c>
      <c r="AU650" s="272"/>
    </row>
    <row r="651" spans="1:47" ht="16.5" hidden="1" customHeight="1" x14ac:dyDescent="0.35">
      <c r="A651" s="2" t="s">
        <v>245</v>
      </c>
      <c r="B651" s="2" t="s">
        <v>246</v>
      </c>
      <c r="C651" s="2" t="s">
        <v>2277</v>
      </c>
      <c r="D651" s="2">
        <v>847</v>
      </c>
      <c r="E651" s="2">
        <v>8470140</v>
      </c>
      <c r="F651" s="2" t="s">
        <v>2293</v>
      </c>
      <c r="G651" s="2">
        <v>1</v>
      </c>
      <c r="H651" s="276">
        <v>425510</v>
      </c>
      <c r="I651" s="2" t="s">
        <v>247</v>
      </c>
      <c r="J651" s="2" t="s">
        <v>60</v>
      </c>
      <c r="K651" s="2" t="s">
        <v>50</v>
      </c>
      <c r="L651" s="7">
        <v>847001</v>
      </c>
      <c r="M651" s="2" t="s">
        <v>61</v>
      </c>
      <c r="N651" s="2">
        <v>200179</v>
      </c>
      <c r="O651" s="3" t="s">
        <v>2314</v>
      </c>
      <c r="P651" s="2"/>
      <c r="Q651" s="35"/>
      <c r="R651" s="2"/>
      <c r="S651" s="3" t="s">
        <v>672</v>
      </c>
      <c r="T651" s="2" t="s">
        <v>673</v>
      </c>
      <c r="U651" s="2">
        <v>10</v>
      </c>
      <c r="V651" s="2">
        <v>125000</v>
      </c>
      <c r="W651" s="3" t="s">
        <v>2316</v>
      </c>
      <c r="X651" s="36">
        <v>1250000</v>
      </c>
      <c r="Y651" s="2" t="s">
        <v>55</v>
      </c>
      <c r="Z651" s="2" t="s">
        <v>56</v>
      </c>
      <c r="AA651" s="14">
        <f t="shared" si="33"/>
        <v>1125000</v>
      </c>
      <c r="AB651" s="14">
        <f t="shared" si="34"/>
        <v>1000000</v>
      </c>
      <c r="AC651" s="14">
        <f t="shared" si="35"/>
        <v>875000</v>
      </c>
      <c r="AD651" s="3" t="s">
        <v>2296</v>
      </c>
      <c r="AE651" s="3" t="s">
        <v>2297</v>
      </c>
      <c r="AF651" s="3" t="s">
        <v>2298</v>
      </c>
      <c r="AG651" s="43"/>
      <c r="AH651" s="43">
        <v>600000</v>
      </c>
      <c r="AI651" s="43">
        <v>350000</v>
      </c>
      <c r="AJ651" s="43"/>
      <c r="AK651" s="43">
        <v>200000</v>
      </c>
      <c r="AL651" s="43"/>
      <c r="AM651" s="43"/>
      <c r="AN651" s="43"/>
      <c r="AO651" s="43"/>
      <c r="AP651" s="43">
        <v>100000</v>
      </c>
      <c r="AQ651" s="43"/>
      <c r="AR651" s="43"/>
      <c r="AS651" s="43">
        <v>1250000</v>
      </c>
      <c r="AT651" s="3" t="s">
        <v>379</v>
      </c>
      <c r="AU651" s="272"/>
    </row>
    <row r="652" spans="1:47" ht="16.5" hidden="1" customHeight="1" x14ac:dyDescent="0.35">
      <c r="A652" s="2" t="s">
        <v>245</v>
      </c>
      <c r="B652" s="2" t="s">
        <v>246</v>
      </c>
      <c r="C652" s="2" t="s">
        <v>2277</v>
      </c>
      <c r="D652" s="2">
        <v>847</v>
      </c>
      <c r="E652" s="2">
        <v>8470140</v>
      </c>
      <c r="F652" s="2" t="s">
        <v>2293</v>
      </c>
      <c r="G652" s="2">
        <v>1</v>
      </c>
      <c r="H652" s="276">
        <v>425510</v>
      </c>
      <c r="I652" s="2" t="s">
        <v>247</v>
      </c>
      <c r="J652" s="2" t="s">
        <v>60</v>
      </c>
      <c r="K652" s="2" t="s">
        <v>50</v>
      </c>
      <c r="L652" s="7">
        <v>847001</v>
      </c>
      <c r="M652" s="2" t="s">
        <v>61</v>
      </c>
      <c r="N652" s="2">
        <v>200179</v>
      </c>
      <c r="O652" s="3" t="s">
        <v>2314</v>
      </c>
      <c r="P652" s="2"/>
      <c r="Q652" s="35"/>
      <c r="R652" s="2"/>
      <c r="S652" s="3" t="s">
        <v>433</v>
      </c>
      <c r="T652" s="2" t="s">
        <v>434</v>
      </c>
      <c r="U652" s="2">
        <v>6</v>
      </c>
      <c r="V652" s="2">
        <v>855900</v>
      </c>
      <c r="W652" s="3" t="s">
        <v>2317</v>
      </c>
      <c r="X652" s="36">
        <v>5135400</v>
      </c>
      <c r="Y652" s="2" t="s">
        <v>55</v>
      </c>
      <c r="Z652" s="2" t="s">
        <v>56</v>
      </c>
      <c r="AA652" s="14">
        <f t="shared" si="33"/>
        <v>4621860</v>
      </c>
      <c r="AB652" s="14">
        <f t="shared" si="34"/>
        <v>4108320</v>
      </c>
      <c r="AC652" s="14">
        <f t="shared" si="35"/>
        <v>3594780</v>
      </c>
      <c r="AD652" s="3" t="s">
        <v>2296</v>
      </c>
      <c r="AE652" s="3" t="s">
        <v>2297</v>
      </c>
      <c r="AF652" s="3" t="s">
        <v>2298</v>
      </c>
      <c r="AG652" s="43"/>
      <c r="AH652" s="43">
        <v>200000</v>
      </c>
      <c r="AI652" s="43">
        <v>400000</v>
      </c>
      <c r="AJ652" s="43"/>
      <c r="AK652" s="43">
        <v>2500000</v>
      </c>
      <c r="AL652" s="43"/>
      <c r="AM652" s="43">
        <v>235000</v>
      </c>
      <c r="AN652" s="43">
        <v>350000</v>
      </c>
      <c r="AO652" s="43">
        <v>450000</v>
      </c>
      <c r="AP652" s="43">
        <v>700000</v>
      </c>
      <c r="AQ652" s="43">
        <v>300400</v>
      </c>
      <c r="AR652" s="43"/>
      <c r="AS652" s="43">
        <v>5135400</v>
      </c>
      <c r="AT652" s="3" t="s">
        <v>379</v>
      </c>
      <c r="AU652" s="272"/>
    </row>
    <row r="653" spans="1:47" ht="16.5" hidden="1" customHeight="1" x14ac:dyDescent="0.35">
      <c r="A653" s="2" t="s">
        <v>245</v>
      </c>
      <c r="B653" s="2" t="s">
        <v>58</v>
      </c>
      <c r="C653" s="2" t="s">
        <v>2277</v>
      </c>
      <c r="D653" s="2">
        <v>847</v>
      </c>
      <c r="E653" s="2">
        <v>8470140</v>
      </c>
      <c r="F653" s="2" t="s">
        <v>2293</v>
      </c>
      <c r="G653" s="2">
        <v>1</v>
      </c>
      <c r="H653" s="276">
        <v>425550</v>
      </c>
      <c r="I653" s="2" t="s">
        <v>253</v>
      </c>
      <c r="J653" s="2" t="s">
        <v>60</v>
      </c>
      <c r="K653" s="2" t="s">
        <v>50</v>
      </c>
      <c r="L653" s="7">
        <v>847001</v>
      </c>
      <c r="M653" s="2" t="s">
        <v>61</v>
      </c>
      <c r="N653" s="2">
        <v>200179</v>
      </c>
      <c r="O653" s="3" t="s">
        <v>2318</v>
      </c>
      <c r="P653" s="2">
        <v>0</v>
      </c>
      <c r="Q653" s="35">
        <v>791955</v>
      </c>
      <c r="R653" s="2">
        <v>791955</v>
      </c>
      <c r="S653" s="3" t="s">
        <v>255</v>
      </c>
      <c r="T653" s="2" t="s">
        <v>256</v>
      </c>
      <c r="U653" s="2">
        <v>6</v>
      </c>
      <c r="V653" s="2">
        <v>358388</v>
      </c>
      <c r="W653" s="3" t="s">
        <v>2319</v>
      </c>
      <c r="X653" s="36">
        <v>2150328</v>
      </c>
      <c r="Y653" s="2" t="s">
        <v>55</v>
      </c>
      <c r="Z653" s="2" t="s">
        <v>56</v>
      </c>
      <c r="AA653" s="14">
        <f t="shared" si="33"/>
        <v>1935295.2</v>
      </c>
      <c r="AB653" s="14">
        <f t="shared" si="34"/>
        <v>1720262.4000000001</v>
      </c>
      <c r="AC653" s="14">
        <f t="shared" si="35"/>
        <v>1505229.5999999999</v>
      </c>
      <c r="AD653" s="3" t="s">
        <v>2296</v>
      </c>
      <c r="AE653" s="3" t="s">
        <v>2297</v>
      </c>
      <c r="AF653" s="3" t="s">
        <v>2298</v>
      </c>
      <c r="AG653" s="43"/>
      <c r="AH653" s="43"/>
      <c r="AI653" s="43"/>
      <c r="AJ653" s="43"/>
      <c r="AK653" s="43"/>
      <c r="AL653" s="43">
        <v>537582</v>
      </c>
      <c r="AM653" s="43"/>
      <c r="AN653" s="43">
        <v>537582</v>
      </c>
      <c r="AO653" s="43"/>
      <c r="AP653" s="43">
        <v>537582</v>
      </c>
      <c r="AQ653" s="43">
        <v>537582</v>
      </c>
      <c r="AR653" s="43"/>
      <c r="AS653" s="43">
        <v>2150328</v>
      </c>
      <c r="AT653" s="3" t="s">
        <v>379</v>
      </c>
      <c r="AU653" s="272"/>
    </row>
    <row r="654" spans="1:47" ht="16.5" hidden="1" customHeight="1" x14ac:dyDescent="0.35">
      <c r="A654" s="2" t="s">
        <v>258</v>
      </c>
      <c r="B654" s="2" t="s">
        <v>58</v>
      </c>
      <c r="C654" s="2" t="s">
        <v>2277</v>
      </c>
      <c r="D654" s="2">
        <v>847</v>
      </c>
      <c r="E654" s="2">
        <v>8470140</v>
      </c>
      <c r="F654" s="2" t="s">
        <v>2293</v>
      </c>
      <c r="G654" s="2">
        <v>1</v>
      </c>
      <c r="H654" s="276">
        <v>425763</v>
      </c>
      <c r="I654" s="2" t="s">
        <v>359</v>
      </c>
      <c r="J654" s="2" t="s">
        <v>60</v>
      </c>
      <c r="K654" s="2" t="s">
        <v>2320</v>
      </c>
      <c r="L654" s="7">
        <v>847050</v>
      </c>
      <c r="M654" s="2" t="s">
        <v>61</v>
      </c>
      <c r="N654" s="2">
        <v>200179</v>
      </c>
      <c r="O654" s="3" t="s">
        <v>2321</v>
      </c>
      <c r="P654" s="2" t="s">
        <v>46</v>
      </c>
      <c r="Q654" s="35">
        <v>400000</v>
      </c>
      <c r="R654" s="2">
        <v>400000</v>
      </c>
      <c r="S654" s="3" t="s">
        <v>361</v>
      </c>
      <c r="T654" s="2" t="s">
        <v>68</v>
      </c>
      <c r="U654" s="2">
        <v>1</v>
      </c>
      <c r="V654" s="2">
        <v>400000</v>
      </c>
      <c r="W654" s="3" t="s">
        <v>2322</v>
      </c>
      <c r="X654" s="36">
        <v>400000</v>
      </c>
      <c r="Y654" s="2" t="s">
        <v>55</v>
      </c>
      <c r="Z654" s="2" t="s">
        <v>56</v>
      </c>
      <c r="AA654" s="14">
        <f t="shared" si="33"/>
        <v>360000</v>
      </c>
      <c r="AB654" s="14">
        <f t="shared" si="34"/>
        <v>320000</v>
      </c>
      <c r="AC654" s="14">
        <f t="shared" si="35"/>
        <v>280000</v>
      </c>
      <c r="AD654" s="3" t="s">
        <v>2296</v>
      </c>
      <c r="AE654" s="3" t="s">
        <v>2297</v>
      </c>
      <c r="AF654" s="3" t="s">
        <v>2298</v>
      </c>
      <c r="AG654" s="43">
        <v>400000</v>
      </c>
      <c r="AH654" s="43"/>
      <c r="AI654" s="43"/>
      <c r="AJ654" s="43"/>
      <c r="AK654" s="43"/>
      <c r="AL654" s="43"/>
      <c r="AM654" s="43"/>
      <c r="AN654" s="43"/>
      <c r="AO654" s="43"/>
      <c r="AP654" s="43"/>
      <c r="AQ654" s="43"/>
      <c r="AR654" s="43"/>
      <c r="AS654" s="43">
        <v>400000</v>
      </c>
      <c r="AT654" s="3" t="s">
        <v>379</v>
      </c>
      <c r="AU654" s="272"/>
    </row>
    <row r="655" spans="1:47" ht="16.5" hidden="1" customHeight="1" x14ac:dyDescent="0.35">
      <c r="A655" s="2" t="s">
        <v>245</v>
      </c>
      <c r="B655" s="2" t="s">
        <v>246</v>
      </c>
      <c r="C655" s="2" t="s">
        <v>2277</v>
      </c>
      <c r="D655" s="2">
        <v>847</v>
      </c>
      <c r="E655" s="2">
        <v>8470140</v>
      </c>
      <c r="F655" s="2" t="s">
        <v>2293</v>
      </c>
      <c r="G655" s="2">
        <v>1</v>
      </c>
      <c r="H655" s="276">
        <v>427100</v>
      </c>
      <c r="I655" s="2" t="s">
        <v>2323</v>
      </c>
      <c r="J655" s="2" t="s">
        <v>60</v>
      </c>
      <c r="K655" s="2" t="s">
        <v>50</v>
      </c>
      <c r="L655" s="7">
        <v>847001</v>
      </c>
      <c r="M655" s="2" t="s">
        <v>61</v>
      </c>
      <c r="N655" s="2">
        <v>200179</v>
      </c>
      <c r="O655" s="3" t="s">
        <v>2324</v>
      </c>
      <c r="P655" s="2">
        <v>-820</v>
      </c>
      <c r="Q655" s="35">
        <v>1157850</v>
      </c>
      <c r="R655" s="2">
        <v>1157850</v>
      </c>
      <c r="S655" s="3" t="s">
        <v>2325</v>
      </c>
      <c r="T655" s="2" t="s">
        <v>269</v>
      </c>
      <c r="U655" s="2">
        <v>1</v>
      </c>
      <c r="V655" s="2">
        <v>100000</v>
      </c>
      <c r="W655" s="3" t="s">
        <v>2326</v>
      </c>
      <c r="X655" s="36">
        <v>100000</v>
      </c>
      <c r="Y655" s="2" t="s">
        <v>55</v>
      </c>
      <c r="Z655" s="2" t="s">
        <v>56</v>
      </c>
      <c r="AA655" s="14">
        <f t="shared" si="33"/>
        <v>90000</v>
      </c>
      <c r="AB655" s="14">
        <f t="shared" si="34"/>
        <v>80000</v>
      </c>
      <c r="AC655" s="14">
        <f t="shared" si="35"/>
        <v>70000</v>
      </c>
      <c r="AD655" s="3" t="s">
        <v>2296</v>
      </c>
      <c r="AE655" s="3" t="s">
        <v>2297</v>
      </c>
      <c r="AF655" s="3" t="s">
        <v>2298</v>
      </c>
      <c r="AG655" s="43">
        <v>100000</v>
      </c>
      <c r="AH655" s="43"/>
      <c r="AI655" s="43"/>
      <c r="AJ655" s="43"/>
      <c r="AK655" s="43"/>
      <c r="AL655" s="43"/>
      <c r="AM655" s="43"/>
      <c r="AN655" s="43"/>
      <c r="AO655" s="43"/>
      <c r="AP655" s="43"/>
      <c r="AQ655" s="43"/>
      <c r="AR655" s="43"/>
      <c r="AS655" s="43">
        <v>100000</v>
      </c>
      <c r="AT655" s="3" t="s">
        <v>379</v>
      </c>
      <c r="AU655" s="272"/>
    </row>
    <row r="656" spans="1:47" ht="16.5" hidden="1" customHeight="1" x14ac:dyDescent="0.35">
      <c r="A656" s="2" t="s">
        <v>245</v>
      </c>
      <c r="B656" s="2" t="s">
        <v>246</v>
      </c>
      <c r="C656" s="2" t="s">
        <v>2277</v>
      </c>
      <c r="D656" s="2">
        <v>847</v>
      </c>
      <c r="E656" s="2">
        <v>8470140</v>
      </c>
      <c r="F656" s="2" t="s">
        <v>2293</v>
      </c>
      <c r="G656" s="2">
        <v>1</v>
      </c>
      <c r="H656" s="276">
        <v>427100</v>
      </c>
      <c r="I656" s="2" t="s">
        <v>2323</v>
      </c>
      <c r="J656" s="2" t="s">
        <v>60</v>
      </c>
      <c r="K656" s="2" t="s">
        <v>50</v>
      </c>
      <c r="L656" s="7">
        <v>847001</v>
      </c>
      <c r="M656" s="2" t="s">
        <v>61</v>
      </c>
      <c r="N656" s="2">
        <v>200179</v>
      </c>
      <c r="O656" s="3" t="s">
        <v>2324</v>
      </c>
      <c r="P656" s="2"/>
      <c r="Q656" s="35"/>
      <c r="R656" s="2"/>
      <c r="S656" s="3" t="s">
        <v>2327</v>
      </c>
      <c r="T656" s="2" t="s">
        <v>269</v>
      </c>
      <c r="U656" s="2">
        <v>1</v>
      </c>
      <c r="V656" s="2">
        <v>2400000</v>
      </c>
      <c r="W656" s="3" t="s">
        <v>2328</v>
      </c>
      <c r="X656" s="36">
        <v>2400000</v>
      </c>
      <c r="Y656" s="2" t="s">
        <v>55</v>
      </c>
      <c r="Z656" s="2" t="s">
        <v>56</v>
      </c>
      <c r="AA656" s="14">
        <f t="shared" si="33"/>
        <v>2160000</v>
      </c>
      <c r="AB656" s="14">
        <f t="shared" si="34"/>
        <v>1920000</v>
      </c>
      <c r="AC656" s="14">
        <f t="shared" si="35"/>
        <v>1680000</v>
      </c>
      <c r="AD656" s="3" t="s">
        <v>2329</v>
      </c>
      <c r="AE656" s="3" t="s">
        <v>2297</v>
      </c>
      <c r="AF656" s="3" t="s">
        <v>2298</v>
      </c>
      <c r="AG656" s="43">
        <v>200000</v>
      </c>
      <c r="AH656" s="43">
        <v>200000</v>
      </c>
      <c r="AI656" s="43">
        <v>200000</v>
      </c>
      <c r="AJ656" s="43">
        <v>200000</v>
      </c>
      <c r="AK656" s="43">
        <v>200000</v>
      </c>
      <c r="AL656" s="43">
        <v>200000</v>
      </c>
      <c r="AM656" s="43">
        <v>200000</v>
      </c>
      <c r="AN656" s="43">
        <v>200000</v>
      </c>
      <c r="AO656" s="43">
        <v>200000</v>
      </c>
      <c r="AP656" s="43">
        <v>200000</v>
      </c>
      <c r="AQ656" s="43">
        <v>200000</v>
      </c>
      <c r="AR656" s="43">
        <v>200000</v>
      </c>
      <c r="AS656" s="43">
        <v>2400000</v>
      </c>
      <c r="AT656" s="3" t="s">
        <v>379</v>
      </c>
      <c r="AU656" s="272"/>
    </row>
    <row r="657" spans="1:47" ht="16.5" hidden="1" customHeight="1" x14ac:dyDescent="0.35">
      <c r="A657" s="2" t="s">
        <v>245</v>
      </c>
      <c r="B657" s="2" t="s">
        <v>58</v>
      </c>
      <c r="C657" s="2" t="s">
        <v>2277</v>
      </c>
      <c r="D657" s="2">
        <v>847</v>
      </c>
      <c r="E657" s="2">
        <v>8470140</v>
      </c>
      <c r="F657" s="2" t="s">
        <v>2293</v>
      </c>
      <c r="G657" s="2">
        <v>1</v>
      </c>
      <c r="H657" s="276">
        <v>427200</v>
      </c>
      <c r="I657" s="2" t="s">
        <v>1085</v>
      </c>
      <c r="J657" s="2" t="s">
        <v>60</v>
      </c>
      <c r="K657" s="2" t="s">
        <v>50</v>
      </c>
      <c r="L657" s="7">
        <v>847001</v>
      </c>
      <c r="M657" s="2" t="s">
        <v>61</v>
      </c>
      <c r="N657" s="2">
        <v>200179</v>
      </c>
      <c r="O657" s="3" t="s">
        <v>2330</v>
      </c>
      <c r="P657" s="2">
        <v>-7379</v>
      </c>
      <c r="Q657" s="35">
        <v>750000</v>
      </c>
      <c r="R657" s="2">
        <v>750000</v>
      </c>
      <c r="S657" s="3" t="s">
        <v>1087</v>
      </c>
      <c r="T657" s="2" t="s">
        <v>269</v>
      </c>
      <c r="U657" s="2">
        <v>40</v>
      </c>
      <c r="V657" s="2">
        <v>3375</v>
      </c>
      <c r="W657" s="3" t="s">
        <v>2331</v>
      </c>
      <c r="X657" s="36">
        <v>135000</v>
      </c>
      <c r="Y657" s="2" t="s">
        <v>55</v>
      </c>
      <c r="Z657" s="2" t="s">
        <v>56</v>
      </c>
      <c r="AA657" s="14">
        <f t="shared" si="33"/>
        <v>121500</v>
      </c>
      <c r="AB657" s="14">
        <f t="shared" si="34"/>
        <v>108000</v>
      </c>
      <c r="AC657" s="14">
        <f t="shared" si="35"/>
        <v>94500</v>
      </c>
      <c r="AD657" s="3" t="s">
        <v>2332</v>
      </c>
      <c r="AE657" s="3" t="s">
        <v>2333</v>
      </c>
      <c r="AF657" s="3" t="s">
        <v>2298</v>
      </c>
      <c r="AG657" s="43">
        <v>11250</v>
      </c>
      <c r="AH657" s="43">
        <v>11250</v>
      </c>
      <c r="AI657" s="43">
        <v>11250</v>
      </c>
      <c r="AJ657" s="43">
        <v>11250</v>
      </c>
      <c r="AK657" s="43">
        <v>11250</v>
      </c>
      <c r="AL657" s="43">
        <v>11250</v>
      </c>
      <c r="AM657" s="43">
        <v>11250</v>
      </c>
      <c r="AN657" s="43">
        <v>11250</v>
      </c>
      <c r="AO657" s="43">
        <v>11250</v>
      </c>
      <c r="AP657" s="43">
        <v>11250</v>
      </c>
      <c r="AQ657" s="43">
        <v>11250</v>
      </c>
      <c r="AR657" s="43">
        <v>11250</v>
      </c>
      <c r="AS657" s="43">
        <v>135000</v>
      </c>
      <c r="AT657" s="3" t="s">
        <v>379</v>
      </c>
      <c r="AU657" s="272"/>
    </row>
    <row r="658" spans="1:47" ht="16.5" hidden="1" customHeight="1" x14ac:dyDescent="0.35">
      <c r="A658" s="2" t="s">
        <v>245</v>
      </c>
      <c r="B658" s="2" t="s">
        <v>58</v>
      </c>
      <c r="C658" s="2" t="s">
        <v>2277</v>
      </c>
      <c r="D658" s="2">
        <v>847</v>
      </c>
      <c r="E658" s="2">
        <v>8470140</v>
      </c>
      <c r="F658" s="2" t="s">
        <v>2293</v>
      </c>
      <c r="G658" s="2">
        <v>1</v>
      </c>
      <c r="H658" s="276">
        <v>427200</v>
      </c>
      <c r="I658" s="2" t="s">
        <v>1085</v>
      </c>
      <c r="J658" s="2" t="s">
        <v>60</v>
      </c>
      <c r="K658" s="2" t="s">
        <v>50</v>
      </c>
      <c r="L658" s="7">
        <v>847001</v>
      </c>
      <c r="M658" s="2" t="s">
        <v>61</v>
      </c>
      <c r="N658" s="2">
        <v>200179</v>
      </c>
      <c r="O658" s="3" t="s">
        <v>2330</v>
      </c>
      <c r="P658" s="2"/>
      <c r="Q658" s="35"/>
      <c r="R658" s="2"/>
      <c r="S658" s="3" t="s">
        <v>2334</v>
      </c>
      <c r="T658" s="2" t="s">
        <v>269</v>
      </c>
      <c r="U658" s="2">
        <v>30</v>
      </c>
      <c r="V658" s="2">
        <v>2667</v>
      </c>
      <c r="W658" s="3" t="s">
        <v>2335</v>
      </c>
      <c r="X658" s="36">
        <v>80010</v>
      </c>
      <c r="Y658" s="2" t="s">
        <v>55</v>
      </c>
      <c r="Z658" s="2" t="s">
        <v>56</v>
      </c>
      <c r="AA658" s="14">
        <f t="shared" si="33"/>
        <v>72009</v>
      </c>
      <c r="AB658" s="14">
        <f t="shared" si="34"/>
        <v>64008</v>
      </c>
      <c r="AC658" s="14">
        <f t="shared" si="35"/>
        <v>56007</v>
      </c>
      <c r="AD658" s="3" t="s">
        <v>2296</v>
      </c>
      <c r="AE658" s="3" t="s">
        <v>2333</v>
      </c>
      <c r="AF658" s="3" t="s">
        <v>2298</v>
      </c>
      <c r="AG658" s="43">
        <v>6667.5</v>
      </c>
      <c r="AH658" s="43">
        <v>6667.5</v>
      </c>
      <c r="AI658" s="43">
        <v>6667.5</v>
      </c>
      <c r="AJ658" s="43">
        <v>6667.5</v>
      </c>
      <c r="AK658" s="43">
        <v>6667.5</v>
      </c>
      <c r="AL658" s="43">
        <v>6667.5</v>
      </c>
      <c r="AM658" s="43">
        <v>6667.5</v>
      </c>
      <c r="AN658" s="43">
        <v>6667.5</v>
      </c>
      <c r="AO658" s="43">
        <v>6667.5</v>
      </c>
      <c r="AP658" s="43">
        <v>6667.5</v>
      </c>
      <c r="AQ658" s="43">
        <v>6667.5</v>
      </c>
      <c r="AR658" s="43">
        <v>6667.5</v>
      </c>
      <c r="AS658" s="43">
        <v>80010</v>
      </c>
      <c r="AT658" s="3" t="s">
        <v>379</v>
      </c>
      <c r="AU658" s="272"/>
    </row>
    <row r="659" spans="1:47" ht="16.5" hidden="1" customHeight="1" x14ac:dyDescent="0.35">
      <c r="A659" s="2" t="s">
        <v>245</v>
      </c>
      <c r="B659" s="2" t="s">
        <v>58</v>
      </c>
      <c r="C659" s="2" t="s">
        <v>2277</v>
      </c>
      <c r="D659" s="2">
        <v>847</v>
      </c>
      <c r="E659" s="2">
        <v>8470140</v>
      </c>
      <c r="F659" s="2" t="s">
        <v>2293</v>
      </c>
      <c r="G659" s="2">
        <v>1</v>
      </c>
      <c r="H659" s="276">
        <v>427200</v>
      </c>
      <c r="I659" s="2" t="s">
        <v>1085</v>
      </c>
      <c r="J659" s="2" t="s">
        <v>60</v>
      </c>
      <c r="K659" s="2" t="s">
        <v>50</v>
      </c>
      <c r="L659" s="7">
        <v>847001</v>
      </c>
      <c r="M659" s="2" t="s">
        <v>61</v>
      </c>
      <c r="N659" s="2">
        <v>200179</v>
      </c>
      <c r="O659" s="3" t="s">
        <v>2330</v>
      </c>
      <c r="P659" s="2"/>
      <c r="Q659" s="35"/>
      <c r="R659" s="2"/>
      <c r="S659" s="3" t="s">
        <v>2336</v>
      </c>
      <c r="T659" s="2" t="s">
        <v>269</v>
      </c>
      <c r="U659" s="2">
        <v>15</v>
      </c>
      <c r="V659" s="2">
        <v>2333</v>
      </c>
      <c r="W659" s="3" t="s">
        <v>2337</v>
      </c>
      <c r="X659" s="36">
        <v>34995</v>
      </c>
      <c r="Y659" s="2" t="s">
        <v>55</v>
      </c>
      <c r="Z659" s="2" t="s">
        <v>56</v>
      </c>
      <c r="AA659" s="14">
        <f t="shared" si="33"/>
        <v>31495.5</v>
      </c>
      <c r="AB659" s="14">
        <f t="shared" si="34"/>
        <v>27996</v>
      </c>
      <c r="AC659" s="14">
        <f t="shared" si="35"/>
        <v>24496.5</v>
      </c>
      <c r="AD659" s="3" t="s">
        <v>2296</v>
      </c>
      <c r="AE659" s="3" t="s">
        <v>2333</v>
      </c>
      <c r="AF659" s="3" t="s">
        <v>2298</v>
      </c>
      <c r="AG659" s="43">
        <v>2916.25</v>
      </c>
      <c r="AH659" s="43">
        <v>2916.25</v>
      </c>
      <c r="AI659" s="43">
        <v>2916.25</v>
      </c>
      <c r="AJ659" s="43">
        <v>2916.25</v>
      </c>
      <c r="AK659" s="43">
        <v>2916.25</v>
      </c>
      <c r="AL659" s="43">
        <v>2916.25</v>
      </c>
      <c r="AM659" s="43">
        <v>2916.25</v>
      </c>
      <c r="AN659" s="43">
        <v>2916.25</v>
      </c>
      <c r="AO659" s="43">
        <v>2916.25</v>
      </c>
      <c r="AP659" s="43">
        <v>2916.25</v>
      </c>
      <c r="AQ659" s="43">
        <v>2916.25</v>
      </c>
      <c r="AR659" s="43">
        <v>2916.25</v>
      </c>
      <c r="AS659" s="43">
        <v>34995</v>
      </c>
      <c r="AT659" s="3" t="s">
        <v>379</v>
      </c>
      <c r="AU659" s="272"/>
    </row>
    <row r="660" spans="1:47" ht="16.5" hidden="1" customHeight="1" x14ac:dyDescent="0.35">
      <c r="A660" s="2" t="s">
        <v>245</v>
      </c>
      <c r="B660" s="2" t="s">
        <v>58</v>
      </c>
      <c r="C660" s="2" t="s">
        <v>2277</v>
      </c>
      <c r="D660" s="2">
        <v>847</v>
      </c>
      <c r="E660" s="2">
        <v>8470140</v>
      </c>
      <c r="F660" s="2" t="s">
        <v>2293</v>
      </c>
      <c r="G660" s="2">
        <v>1</v>
      </c>
      <c r="H660" s="276">
        <v>427200</v>
      </c>
      <c r="I660" s="2" t="s">
        <v>1085</v>
      </c>
      <c r="J660" s="2" t="s">
        <v>60</v>
      </c>
      <c r="K660" s="2" t="s">
        <v>50</v>
      </c>
      <c r="L660" s="7">
        <v>847001</v>
      </c>
      <c r="M660" s="2" t="s">
        <v>61</v>
      </c>
      <c r="N660" s="2">
        <v>200179</v>
      </c>
      <c r="O660" s="3" t="s">
        <v>2330</v>
      </c>
      <c r="P660" s="2"/>
      <c r="Q660" s="35"/>
      <c r="R660" s="2"/>
      <c r="S660" s="3" t="s">
        <v>748</v>
      </c>
      <c r="T660" s="2" t="s">
        <v>269</v>
      </c>
      <c r="U660" s="2">
        <v>2000</v>
      </c>
      <c r="V660" s="2">
        <v>100</v>
      </c>
      <c r="W660" s="3" t="s">
        <v>2338</v>
      </c>
      <c r="X660" s="36">
        <v>200000</v>
      </c>
      <c r="Y660" s="2" t="s">
        <v>55</v>
      </c>
      <c r="Z660" s="2" t="s">
        <v>56</v>
      </c>
      <c r="AA660" s="14">
        <f t="shared" si="33"/>
        <v>180000</v>
      </c>
      <c r="AB660" s="14">
        <f t="shared" si="34"/>
        <v>160000</v>
      </c>
      <c r="AC660" s="14">
        <f t="shared" si="35"/>
        <v>140000</v>
      </c>
      <c r="AD660" s="3" t="s">
        <v>2296</v>
      </c>
      <c r="AE660" s="3" t="s">
        <v>2333</v>
      </c>
      <c r="AF660" s="3" t="s">
        <v>2298</v>
      </c>
      <c r="AG660" s="43">
        <v>16666.666659999999</v>
      </c>
      <c r="AH660" s="43">
        <v>16666.666659999999</v>
      </c>
      <c r="AI660" s="43">
        <v>16666.666659999999</v>
      </c>
      <c r="AJ660" s="43">
        <v>16666.666659999999</v>
      </c>
      <c r="AK660" s="43">
        <v>16666.666659999999</v>
      </c>
      <c r="AL660" s="43">
        <v>16666.666659999999</v>
      </c>
      <c r="AM660" s="43">
        <v>16666.666659999999</v>
      </c>
      <c r="AN660" s="43">
        <v>16666.666659999999</v>
      </c>
      <c r="AO660" s="43">
        <v>16666.666659999999</v>
      </c>
      <c r="AP660" s="43">
        <v>16666.666659999999</v>
      </c>
      <c r="AQ660" s="43">
        <v>16666.666659999999</v>
      </c>
      <c r="AR660" s="43">
        <v>16666.666659999999</v>
      </c>
      <c r="AS660" s="43">
        <v>199999.99991999994</v>
      </c>
      <c r="AT660" s="3" t="s">
        <v>379</v>
      </c>
      <c r="AU660" s="272"/>
    </row>
    <row r="661" spans="1:47" ht="16.5" hidden="1" customHeight="1" x14ac:dyDescent="0.35">
      <c r="A661" s="2" t="s">
        <v>245</v>
      </c>
      <c r="B661" s="2" t="s">
        <v>58</v>
      </c>
      <c r="C661" s="2" t="s">
        <v>2277</v>
      </c>
      <c r="D661" s="2">
        <v>847</v>
      </c>
      <c r="E661" s="2">
        <v>8470140</v>
      </c>
      <c r="F661" s="2" t="s">
        <v>2293</v>
      </c>
      <c r="G661" s="2">
        <v>1</v>
      </c>
      <c r="H661" s="276">
        <v>427200</v>
      </c>
      <c r="I661" s="2" t="s">
        <v>1085</v>
      </c>
      <c r="J661" s="2" t="s">
        <v>60</v>
      </c>
      <c r="K661" s="2" t="s">
        <v>50</v>
      </c>
      <c r="L661" s="7">
        <v>847001</v>
      </c>
      <c r="M661" s="2" t="s">
        <v>61</v>
      </c>
      <c r="N661" s="2">
        <v>200179</v>
      </c>
      <c r="O661" s="3" t="s">
        <v>2330</v>
      </c>
      <c r="P661" s="2"/>
      <c r="Q661" s="35"/>
      <c r="R661" s="2"/>
      <c r="S661" s="3" t="s">
        <v>2339</v>
      </c>
      <c r="T661" s="2"/>
      <c r="U661" s="2">
        <v>3000</v>
      </c>
      <c r="V661" s="2">
        <v>100</v>
      </c>
      <c r="W661" s="3" t="s">
        <v>2340</v>
      </c>
      <c r="X661" s="36">
        <v>300000</v>
      </c>
      <c r="Y661" s="2" t="s">
        <v>55</v>
      </c>
      <c r="Z661" s="2" t="s">
        <v>56</v>
      </c>
      <c r="AA661" s="14">
        <f t="shared" si="33"/>
        <v>270000</v>
      </c>
      <c r="AB661" s="14">
        <f t="shared" si="34"/>
        <v>240000</v>
      </c>
      <c r="AC661" s="14">
        <f t="shared" si="35"/>
        <v>210000</v>
      </c>
      <c r="AD661" s="3" t="s">
        <v>2296</v>
      </c>
      <c r="AE661" s="3" t="s">
        <v>2333</v>
      </c>
      <c r="AF661" s="3" t="s">
        <v>2298</v>
      </c>
      <c r="AG661" s="43">
        <v>25000</v>
      </c>
      <c r="AH661" s="43">
        <v>25000</v>
      </c>
      <c r="AI661" s="43">
        <v>25000</v>
      </c>
      <c r="AJ661" s="43">
        <v>25000</v>
      </c>
      <c r="AK661" s="43">
        <v>25000</v>
      </c>
      <c r="AL661" s="43">
        <v>25000</v>
      </c>
      <c r="AM661" s="43">
        <v>25000</v>
      </c>
      <c r="AN661" s="43">
        <v>25000</v>
      </c>
      <c r="AO661" s="43">
        <v>25000</v>
      </c>
      <c r="AP661" s="43">
        <v>25000</v>
      </c>
      <c r="AQ661" s="43">
        <v>25000</v>
      </c>
      <c r="AR661" s="43">
        <v>25000</v>
      </c>
      <c r="AS661" s="43">
        <v>300000</v>
      </c>
      <c r="AT661" s="3" t="s">
        <v>379</v>
      </c>
      <c r="AU661" s="272"/>
    </row>
    <row r="662" spans="1:47" ht="16.5" hidden="1" customHeight="1" x14ac:dyDescent="0.35">
      <c r="A662" s="2" t="s">
        <v>245</v>
      </c>
      <c r="B662" s="2" t="s">
        <v>246</v>
      </c>
      <c r="C662" s="2" t="s">
        <v>2277</v>
      </c>
      <c r="D662" s="2">
        <v>847</v>
      </c>
      <c r="E662" s="2">
        <v>8470140</v>
      </c>
      <c r="F662" s="2" t="s">
        <v>2293</v>
      </c>
      <c r="G662" s="2">
        <v>1</v>
      </c>
      <c r="H662" s="276">
        <v>428640</v>
      </c>
      <c r="I662" s="2" t="s">
        <v>279</v>
      </c>
      <c r="J662" s="2" t="s">
        <v>60</v>
      </c>
      <c r="K662" s="2" t="s">
        <v>50</v>
      </c>
      <c r="L662" s="7">
        <v>847001</v>
      </c>
      <c r="M662" s="2" t="s">
        <v>61</v>
      </c>
      <c r="N662" s="2">
        <v>200179</v>
      </c>
      <c r="O662" s="3" t="s">
        <v>2341</v>
      </c>
      <c r="P662" s="2" t="s">
        <v>46</v>
      </c>
      <c r="Q662" s="35">
        <v>998000</v>
      </c>
      <c r="R662" s="2">
        <v>998000</v>
      </c>
      <c r="S662" s="3" t="s">
        <v>281</v>
      </c>
      <c r="T662" s="2" t="s">
        <v>269</v>
      </c>
      <c r="U662" s="2">
        <v>100</v>
      </c>
      <c r="V662" s="10">
        <v>1100</v>
      </c>
      <c r="W662" s="3" t="s">
        <v>2342</v>
      </c>
      <c r="X662" s="36">
        <v>110000</v>
      </c>
      <c r="Y662" s="2" t="s">
        <v>55</v>
      </c>
      <c r="Z662" s="2" t="s">
        <v>56</v>
      </c>
      <c r="AA662" s="14">
        <f t="shared" si="33"/>
        <v>99000</v>
      </c>
      <c r="AB662" s="14">
        <f t="shared" si="34"/>
        <v>88000</v>
      </c>
      <c r="AC662" s="14">
        <f t="shared" si="35"/>
        <v>77000</v>
      </c>
      <c r="AD662" s="3" t="s">
        <v>2296</v>
      </c>
      <c r="AE662" s="3" t="s">
        <v>2333</v>
      </c>
      <c r="AF662" s="3" t="s">
        <v>2298</v>
      </c>
      <c r="AG662" s="43">
        <v>9166.6666600000008</v>
      </c>
      <c r="AH662" s="43">
        <v>9166.6666600000008</v>
      </c>
      <c r="AI662" s="43">
        <v>9166.6666600000008</v>
      </c>
      <c r="AJ662" s="43">
        <v>9166.6666600000008</v>
      </c>
      <c r="AK662" s="43">
        <v>9166.6666600000008</v>
      </c>
      <c r="AL662" s="43">
        <v>9166.6666600000008</v>
      </c>
      <c r="AM662" s="43">
        <v>9166.6666600000008</v>
      </c>
      <c r="AN662" s="43">
        <v>9166.6666600000008</v>
      </c>
      <c r="AO662" s="43">
        <v>9166.6666600000008</v>
      </c>
      <c r="AP662" s="43">
        <v>9166.6666600000008</v>
      </c>
      <c r="AQ662" s="43">
        <v>9166.6666600000008</v>
      </c>
      <c r="AR662" s="43">
        <v>9166.6666600000008</v>
      </c>
      <c r="AS662" s="43">
        <v>109999.99992000002</v>
      </c>
      <c r="AT662" s="3" t="s">
        <v>379</v>
      </c>
      <c r="AU662" s="272"/>
    </row>
    <row r="663" spans="1:47" ht="16.5" hidden="1" customHeight="1" x14ac:dyDescent="0.35">
      <c r="A663" s="2" t="s">
        <v>245</v>
      </c>
      <c r="B663" s="2" t="s">
        <v>246</v>
      </c>
      <c r="C663" s="2" t="s">
        <v>2277</v>
      </c>
      <c r="D663" s="2">
        <v>847</v>
      </c>
      <c r="E663" s="2">
        <v>8470140</v>
      </c>
      <c r="F663" s="2" t="s">
        <v>2293</v>
      </c>
      <c r="G663" s="2">
        <v>1</v>
      </c>
      <c r="H663" s="276">
        <v>428640</v>
      </c>
      <c r="I663" s="2" t="s">
        <v>279</v>
      </c>
      <c r="J663" s="2" t="s">
        <v>60</v>
      </c>
      <c r="K663" s="2" t="s">
        <v>50</v>
      </c>
      <c r="L663" s="7">
        <v>847001</v>
      </c>
      <c r="M663" s="2" t="s">
        <v>61</v>
      </c>
      <c r="N663" s="2">
        <v>200179</v>
      </c>
      <c r="O663" s="3" t="s">
        <v>2341</v>
      </c>
      <c r="P663" s="2"/>
      <c r="Q663" s="35"/>
      <c r="R663" s="2"/>
      <c r="S663" s="3" t="s">
        <v>645</v>
      </c>
      <c r="T663" s="2" t="s">
        <v>269</v>
      </c>
      <c r="U663" s="2">
        <v>100</v>
      </c>
      <c r="V663" s="10">
        <v>3600</v>
      </c>
      <c r="W663" s="3" t="s">
        <v>2343</v>
      </c>
      <c r="X663" s="36">
        <v>360000</v>
      </c>
      <c r="Y663" s="2" t="s">
        <v>55</v>
      </c>
      <c r="Z663" s="2" t="s">
        <v>56</v>
      </c>
      <c r="AA663" s="14">
        <f t="shared" si="33"/>
        <v>324000</v>
      </c>
      <c r="AB663" s="14">
        <f t="shared" si="34"/>
        <v>288000</v>
      </c>
      <c r="AC663" s="14">
        <f t="shared" si="35"/>
        <v>251999.99999999997</v>
      </c>
      <c r="AD663" s="3" t="s">
        <v>2296</v>
      </c>
      <c r="AE663" s="3" t="s">
        <v>2333</v>
      </c>
      <c r="AF663" s="3" t="s">
        <v>2298</v>
      </c>
      <c r="AG663" s="43">
        <v>30000</v>
      </c>
      <c r="AH663" s="43">
        <v>30000</v>
      </c>
      <c r="AI663" s="43">
        <v>30000</v>
      </c>
      <c r="AJ663" s="43">
        <v>30000</v>
      </c>
      <c r="AK663" s="43">
        <v>30000</v>
      </c>
      <c r="AL663" s="43">
        <v>30000</v>
      </c>
      <c r="AM663" s="43">
        <v>30000</v>
      </c>
      <c r="AN663" s="43">
        <v>30000</v>
      </c>
      <c r="AO663" s="43">
        <v>30000</v>
      </c>
      <c r="AP663" s="43">
        <v>30000</v>
      </c>
      <c r="AQ663" s="43">
        <v>30000</v>
      </c>
      <c r="AR663" s="43">
        <v>30000</v>
      </c>
      <c r="AS663" s="43">
        <v>360000</v>
      </c>
      <c r="AT663" s="3" t="s">
        <v>379</v>
      </c>
      <c r="AU663" s="272"/>
    </row>
    <row r="664" spans="1:47" ht="16.5" hidden="1" customHeight="1" x14ac:dyDescent="0.35">
      <c r="A664" s="2" t="s">
        <v>245</v>
      </c>
      <c r="B664" s="2" t="s">
        <v>246</v>
      </c>
      <c r="C664" s="2" t="s">
        <v>2277</v>
      </c>
      <c r="D664" s="2">
        <v>847</v>
      </c>
      <c r="E664" s="2">
        <v>8470140</v>
      </c>
      <c r="F664" s="2" t="s">
        <v>2293</v>
      </c>
      <c r="G664" s="2">
        <v>1</v>
      </c>
      <c r="H664" s="276">
        <v>428640</v>
      </c>
      <c r="I664" s="2" t="s">
        <v>279</v>
      </c>
      <c r="J664" s="2" t="s">
        <v>60</v>
      </c>
      <c r="K664" s="2" t="s">
        <v>50</v>
      </c>
      <c r="L664" s="7">
        <v>847001</v>
      </c>
      <c r="M664" s="2" t="s">
        <v>61</v>
      </c>
      <c r="N664" s="2">
        <v>200179</v>
      </c>
      <c r="O664" s="3" t="s">
        <v>2341</v>
      </c>
      <c r="P664" s="2"/>
      <c r="Q664" s="35"/>
      <c r="R664" s="2"/>
      <c r="S664" s="3" t="s">
        <v>1533</v>
      </c>
      <c r="T664" s="2" t="s">
        <v>269</v>
      </c>
      <c r="U664" s="2">
        <v>3000</v>
      </c>
      <c r="V664" s="10">
        <v>50</v>
      </c>
      <c r="W664" s="3" t="s">
        <v>2344</v>
      </c>
      <c r="X664" s="36">
        <v>150000</v>
      </c>
      <c r="Y664" s="2" t="s">
        <v>55</v>
      </c>
      <c r="Z664" s="2" t="s">
        <v>56</v>
      </c>
      <c r="AA664" s="14">
        <f t="shared" si="33"/>
        <v>135000</v>
      </c>
      <c r="AB664" s="14">
        <f t="shared" si="34"/>
        <v>120000</v>
      </c>
      <c r="AC664" s="14">
        <f t="shared" si="35"/>
        <v>105000</v>
      </c>
      <c r="AD664" s="3" t="s">
        <v>2296</v>
      </c>
      <c r="AE664" s="3" t="s">
        <v>2333</v>
      </c>
      <c r="AF664" s="3" t="s">
        <v>2298</v>
      </c>
      <c r="AG664" s="43">
        <v>12500</v>
      </c>
      <c r="AH664" s="43">
        <v>12500</v>
      </c>
      <c r="AI664" s="43">
        <v>12500</v>
      </c>
      <c r="AJ664" s="43">
        <v>12500</v>
      </c>
      <c r="AK664" s="43">
        <v>12500</v>
      </c>
      <c r="AL664" s="43">
        <v>12500</v>
      </c>
      <c r="AM664" s="43">
        <v>12500</v>
      </c>
      <c r="AN664" s="43">
        <v>12500</v>
      </c>
      <c r="AO664" s="43">
        <v>12500</v>
      </c>
      <c r="AP664" s="43">
        <v>12500</v>
      </c>
      <c r="AQ664" s="43">
        <v>12500</v>
      </c>
      <c r="AR664" s="43">
        <v>12500</v>
      </c>
      <c r="AS664" s="43">
        <v>150000</v>
      </c>
      <c r="AT664" s="3" t="s">
        <v>379</v>
      </c>
      <c r="AU664" s="272"/>
    </row>
    <row r="665" spans="1:47" ht="16.5" hidden="1" customHeight="1" x14ac:dyDescent="0.35">
      <c r="A665" s="2" t="s">
        <v>245</v>
      </c>
      <c r="B665" s="2" t="s">
        <v>246</v>
      </c>
      <c r="C665" s="2" t="s">
        <v>2277</v>
      </c>
      <c r="D665" s="2">
        <v>847</v>
      </c>
      <c r="E665" s="2">
        <v>8470140</v>
      </c>
      <c r="F665" s="2" t="s">
        <v>2293</v>
      </c>
      <c r="G665" s="2">
        <v>1</v>
      </c>
      <c r="H665" s="276">
        <v>428640</v>
      </c>
      <c r="I665" s="2" t="s">
        <v>279</v>
      </c>
      <c r="J665" s="2" t="s">
        <v>60</v>
      </c>
      <c r="K665" s="2" t="s">
        <v>50</v>
      </c>
      <c r="L665" s="7">
        <v>847001</v>
      </c>
      <c r="M665" s="2" t="s">
        <v>61</v>
      </c>
      <c r="N665" s="2">
        <v>200179</v>
      </c>
      <c r="O665" s="3" t="s">
        <v>2341</v>
      </c>
      <c r="P665" s="2"/>
      <c r="Q665" s="35"/>
      <c r="R665" s="2"/>
      <c r="S665" s="3" t="s">
        <v>1452</v>
      </c>
      <c r="T665" s="2" t="s">
        <v>269</v>
      </c>
      <c r="U665" s="2">
        <v>3000</v>
      </c>
      <c r="V665" s="10">
        <v>126</v>
      </c>
      <c r="W665" s="3" t="s">
        <v>2345</v>
      </c>
      <c r="X665" s="36">
        <v>378000</v>
      </c>
      <c r="Y665" s="2" t="s">
        <v>55</v>
      </c>
      <c r="Z665" s="2" t="s">
        <v>56</v>
      </c>
      <c r="AA665" s="14">
        <f t="shared" si="33"/>
        <v>340200</v>
      </c>
      <c r="AB665" s="14">
        <f t="shared" si="34"/>
        <v>302400</v>
      </c>
      <c r="AC665" s="14">
        <f t="shared" si="35"/>
        <v>264600</v>
      </c>
      <c r="AD665" s="3" t="s">
        <v>2296</v>
      </c>
      <c r="AE665" s="3" t="s">
        <v>2333</v>
      </c>
      <c r="AF665" s="3" t="s">
        <v>2298</v>
      </c>
      <c r="AG665" s="43">
        <v>31500</v>
      </c>
      <c r="AH665" s="43">
        <v>31500</v>
      </c>
      <c r="AI665" s="43">
        <v>31500</v>
      </c>
      <c r="AJ665" s="43">
        <v>31500</v>
      </c>
      <c r="AK665" s="43">
        <v>31500</v>
      </c>
      <c r="AL665" s="43">
        <v>31500</v>
      </c>
      <c r="AM665" s="43">
        <v>31500</v>
      </c>
      <c r="AN665" s="43">
        <v>31500</v>
      </c>
      <c r="AO665" s="43">
        <v>31500</v>
      </c>
      <c r="AP665" s="43">
        <v>31500</v>
      </c>
      <c r="AQ665" s="43">
        <v>31500</v>
      </c>
      <c r="AR665" s="43">
        <v>31500</v>
      </c>
      <c r="AS665" s="43">
        <v>378000</v>
      </c>
      <c r="AT665" s="3" t="s">
        <v>379</v>
      </c>
      <c r="AU665" s="272"/>
    </row>
    <row r="666" spans="1:47" ht="16.5" hidden="1" customHeight="1" x14ac:dyDescent="0.35">
      <c r="A666" s="2" t="s">
        <v>189</v>
      </c>
      <c r="B666" s="2" t="s">
        <v>58</v>
      </c>
      <c r="C666" s="2" t="s">
        <v>2277</v>
      </c>
      <c r="D666" s="2">
        <v>847</v>
      </c>
      <c r="E666" s="2">
        <v>8470140</v>
      </c>
      <c r="F666" s="2" t="s">
        <v>2293</v>
      </c>
      <c r="G666" s="2">
        <v>1</v>
      </c>
      <c r="H666" s="276">
        <v>435310</v>
      </c>
      <c r="I666" s="2" t="s">
        <v>1336</v>
      </c>
      <c r="J666" s="2" t="s">
        <v>60</v>
      </c>
      <c r="K666" s="2" t="s">
        <v>50</v>
      </c>
      <c r="L666" s="7">
        <v>847001</v>
      </c>
      <c r="M666" s="2" t="s">
        <v>61</v>
      </c>
      <c r="N666" s="2">
        <v>200179</v>
      </c>
      <c r="O666" s="3" t="s">
        <v>2346</v>
      </c>
      <c r="P666" s="2">
        <v>0</v>
      </c>
      <c r="Q666" s="35">
        <v>10000</v>
      </c>
      <c r="R666" s="2">
        <v>10000</v>
      </c>
      <c r="S666" s="3" t="s">
        <v>1347</v>
      </c>
      <c r="T666" s="2" t="s">
        <v>157</v>
      </c>
      <c r="U666" s="2">
        <v>2</v>
      </c>
      <c r="V666" s="2">
        <v>5000</v>
      </c>
      <c r="W666" s="3" t="s">
        <v>2347</v>
      </c>
      <c r="X666" s="36">
        <v>10000</v>
      </c>
      <c r="Y666" s="2" t="s">
        <v>55</v>
      </c>
      <c r="Z666" s="2" t="s">
        <v>56</v>
      </c>
      <c r="AA666" s="14">
        <f t="shared" si="33"/>
        <v>9000</v>
      </c>
      <c r="AB666" s="14">
        <f t="shared" si="34"/>
        <v>8000</v>
      </c>
      <c r="AC666" s="14">
        <f t="shared" si="35"/>
        <v>7000</v>
      </c>
      <c r="AD666" s="3" t="s">
        <v>2296</v>
      </c>
      <c r="AE666" s="3" t="s">
        <v>2333</v>
      </c>
      <c r="AF666" s="3" t="s">
        <v>2298</v>
      </c>
      <c r="AG666" s="43"/>
      <c r="AH666" s="43"/>
      <c r="AI666" s="43"/>
      <c r="AJ666" s="43"/>
      <c r="AK666" s="43"/>
      <c r="AL666" s="43"/>
      <c r="AM666" s="43"/>
      <c r="AN666" s="43"/>
      <c r="AO666" s="43"/>
      <c r="AP666" s="43"/>
      <c r="AQ666" s="43"/>
      <c r="AR666" s="43">
        <v>10000</v>
      </c>
      <c r="AS666" s="43">
        <v>10000</v>
      </c>
      <c r="AT666" s="3" t="s">
        <v>379</v>
      </c>
      <c r="AU666" s="272"/>
    </row>
    <row r="667" spans="1:47" ht="16.5" hidden="1" customHeight="1" x14ac:dyDescent="0.35">
      <c r="A667" s="2" t="s">
        <v>245</v>
      </c>
      <c r="B667" s="2" t="s">
        <v>246</v>
      </c>
      <c r="C667" s="2" t="s">
        <v>2277</v>
      </c>
      <c r="D667" s="2">
        <v>847</v>
      </c>
      <c r="E667" s="2">
        <v>8470140</v>
      </c>
      <c r="F667" s="2" t="s">
        <v>2293</v>
      </c>
      <c r="G667" s="2">
        <v>1</v>
      </c>
      <c r="H667" s="276">
        <v>435519</v>
      </c>
      <c r="I667" s="2" t="s">
        <v>2348</v>
      </c>
      <c r="J667" s="2" t="s">
        <v>60</v>
      </c>
      <c r="K667" s="2" t="s">
        <v>50</v>
      </c>
      <c r="L667" s="7">
        <v>847001</v>
      </c>
      <c r="M667" s="2" t="s">
        <v>61</v>
      </c>
      <c r="N667" s="2">
        <v>200179</v>
      </c>
      <c r="O667" s="3" t="s">
        <v>2349</v>
      </c>
      <c r="P667" s="2">
        <v>0</v>
      </c>
      <c r="Q667" s="35">
        <v>135000</v>
      </c>
      <c r="R667" s="2">
        <v>135000</v>
      </c>
      <c r="S667" s="3" t="s">
        <v>2350</v>
      </c>
      <c r="T667" s="2" t="s">
        <v>157</v>
      </c>
      <c r="U667" s="2">
        <v>1</v>
      </c>
      <c r="V667" s="2">
        <v>135000</v>
      </c>
      <c r="W667" s="3" t="s">
        <v>2351</v>
      </c>
      <c r="X667" s="36">
        <v>135000</v>
      </c>
      <c r="Y667" s="2" t="s">
        <v>55</v>
      </c>
      <c r="Z667" s="2" t="s">
        <v>56</v>
      </c>
      <c r="AA667" s="14">
        <f t="shared" si="33"/>
        <v>121500</v>
      </c>
      <c r="AB667" s="14">
        <f t="shared" si="34"/>
        <v>108000</v>
      </c>
      <c r="AC667" s="14">
        <f t="shared" si="35"/>
        <v>94500</v>
      </c>
      <c r="AD667" s="3" t="s">
        <v>2296</v>
      </c>
      <c r="AE667" s="3" t="s">
        <v>2333</v>
      </c>
      <c r="AF667" s="3" t="s">
        <v>2298</v>
      </c>
      <c r="AG667" s="43"/>
      <c r="AH667" s="43"/>
      <c r="AI667" s="43"/>
      <c r="AJ667" s="43"/>
      <c r="AK667" s="43"/>
      <c r="AL667" s="43"/>
      <c r="AM667" s="43"/>
      <c r="AN667" s="43"/>
      <c r="AO667" s="43"/>
      <c r="AP667" s="43"/>
      <c r="AQ667" s="43"/>
      <c r="AR667" s="43">
        <v>135000</v>
      </c>
      <c r="AS667" s="43">
        <v>135000</v>
      </c>
      <c r="AT667" s="3" t="s">
        <v>379</v>
      </c>
      <c r="AU667" s="272"/>
    </row>
    <row r="668" spans="1:47" ht="16.5" hidden="1" customHeight="1" x14ac:dyDescent="0.35">
      <c r="A668" s="2" t="s">
        <v>63</v>
      </c>
      <c r="B668" s="2" t="s">
        <v>64</v>
      </c>
      <c r="C668" s="2" t="s">
        <v>2277</v>
      </c>
      <c r="D668" s="2">
        <v>847</v>
      </c>
      <c r="E668" s="2">
        <v>8470140</v>
      </c>
      <c r="F668" s="2" t="s">
        <v>2293</v>
      </c>
      <c r="G668" s="2">
        <v>1</v>
      </c>
      <c r="H668" s="276">
        <v>492310</v>
      </c>
      <c r="I668" s="2" t="s">
        <v>191</v>
      </c>
      <c r="J668" s="2" t="s">
        <v>60</v>
      </c>
      <c r="K668" s="2" t="s">
        <v>50</v>
      </c>
      <c r="L668" s="7">
        <v>847001</v>
      </c>
      <c r="M668" s="2" t="s">
        <v>192</v>
      </c>
      <c r="N668" s="2">
        <v>300180</v>
      </c>
      <c r="O668" s="3" t="s">
        <v>2352</v>
      </c>
      <c r="P668" s="2">
        <v>248690</v>
      </c>
      <c r="Q668" s="35">
        <v>137589</v>
      </c>
      <c r="R668" s="2">
        <v>137589</v>
      </c>
      <c r="S668" s="3" t="s">
        <v>1614</v>
      </c>
      <c r="T668" s="2" t="s">
        <v>68</v>
      </c>
      <c r="U668" s="2">
        <v>2</v>
      </c>
      <c r="V668" s="2">
        <v>100000</v>
      </c>
      <c r="W668" s="3" t="s">
        <v>2353</v>
      </c>
      <c r="X668" s="36">
        <v>200000</v>
      </c>
      <c r="Y668" s="2" t="s">
        <v>55</v>
      </c>
      <c r="Z668" s="2" t="s">
        <v>197</v>
      </c>
      <c r="AA668" s="14">
        <f t="shared" si="33"/>
        <v>180000</v>
      </c>
      <c r="AB668" s="14">
        <f t="shared" si="34"/>
        <v>160000</v>
      </c>
      <c r="AC668" s="14">
        <f t="shared" si="35"/>
        <v>140000</v>
      </c>
      <c r="AD668" s="3" t="s">
        <v>2296</v>
      </c>
      <c r="AE668" s="3" t="s">
        <v>2333</v>
      </c>
      <c r="AF668" s="3" t="s">
        <v>2298</v>
      </c>
      <c r="AG668" s="43">
        <v>200000</v>
      </c>
      <c r="AH668" s="43"/>
      <c r="AI668" s="43"/>
      <c r="AJ668" s="43"/>
      <c r="AK668" s="43"/>
      <c r="AL668" s="43"/>
      <c r="AM668" s="43"/>
      <c r="AN668" s="43"/>
      <c r="AO668" s="43"/>
      <c r="AP668" s="43"/>
      <c r="AQ668" s="43"/>
      <c r="AR668" s="43"/>
      <c r="AS668" s="43">
        <v>200000</v>
      </c>
      <c r="AT668" s="3" t="s">
        <v>379</v>
      </c>
      <c r="AU668" s="272"/>
    </row>
    <row r="669" spans="1:47" ht="16.5" hidden="1" customHeight="1" x14ac:dyDescent="0.35">
      <c r="A669" s="2" t="s">
        <v>222</v>
      </c>
      <c r="B669" s="2" t="s">
        <v>58</v>
      </c>
      <c r="C669" s="2" t="s">
        <v>2277</v>
      </c>
      <c r="D669" s="2">
        <v>847</v>
      </c>
      <c r="E669" s="2">
        <v>8470910</v>
      </c>
      <c r="F669" s="2" t="s">
        <v>2354</v>
      </c>
      <c r="G669" s="2">
        <v>1</v>
      </c>
      <c r="H669" s="276">
        <v>425900</v>
      </c>
      <c r="I669" s="2" t="s">
        <v>266</v>
      </c>
      <c r="J669" s="2" t="s">
        <v>60</v>
      </c>
      <c r="K669" s="2" t="s">
        <v>50</v>
      </c>
      <c r="L669" s="7">
        <v>847001</v>
      </c>
      <c r="M669" s="2" t="s">
        <v>61</v>
      </c>
      <c r="N669" s="2">
        <v>200179</v>
      </c>
      <c r="O669" s="3" t="s">
        <v>2367</v>
      </c>
      <c r="P669" s="2"/>
      <c r="Q669" s="35"/>
      <c r="R669" s="2"/>
      <c r="S669" s="3" t="s">
        <v>268</v>
      </c>
      <c r="T669" s="2" t="s">
        <v>269</v>
      </c>
      <c r="U669" s="2">
        <v>10</v>
      </c>
      <c r="V669" s="2">
        <v>5000</v>
      </c>
      <c r="W669" s="3" t="s">
        <v>2355</v>
      </c>
      <c r="X669" s="36">
        <v>50000</v>
      </c>
      <c r="Y669" s="2" t="s">
        <v>55</v>
      </c>
      <c r="Z669" s="2" t="s">
        <v>56</v>
      </c>
      <c r="AA669" s="14">
        <f t="shared" si="33"/>
        <v>45000</v>
      </c>
      <c r="AB669" s="14">
        <f t="shared" si="34"/>
        <v>40000</v>
      </c>
      <c r="AC669" s="14">
        <f t="shared" si="35"/>
        <v>35000</v>
      </c>
      <c r="AD669" s="3" t="s">
        <v>2356</v>
      </c>
      <c r="AE669" s="3" t="s">
        <v>2356</v>
      </c>
      <c r="AF669" s="3" t="s">
        <v>2356</v>
      </c>
      <c r="AG669" s="43"/>
      <c r="AH669" s="43">
        <v>10000</v>
      </c>
      <c r="AI669" s="43">
        <v>5000</v>
      </c>
      <c r="AJ669" s="43">
        <v>10000</v>
      </c>
      <c r="AK669" s="43"/>
      <c r="AL669" s="43">
        <v>5000</v>
      </c>
      <c r="AM669" s="43">
        <v>10000</v>
      </c>
      <c r="AN669" s="43"/>
      <c r="AO669" s="43">
        <v>10000</v>
      </c>
      <c r="AP669" s="43">
        <v>0</v>
      </c>
      <c r="AQ669" s="43"/>
      <c r="AR669" s="43">
        <v>0</v>
      </c>
      <c r="AS669" s="43">
        <v>50000</v>
      </c>
      <c r="AT669" s="3" t="s">
        <v>237</v>
      </c>
      <c r="AU669" s="272"/>
    </row>
    <row r="670" spans="1:47" ht="16.5" hidden="1" customHeight="1" x14ac:dyDescent="0.35">
      <c r="A670" s="2" t="s">
        <v>153</v>
      </c>
      <c r="B670" s="2" t="s">
        <v>58</v>
      </c>
      <c r="C670" s="2" t="s">
        <v>2277</v>
      </c>
      <c r="D670" s="2">
        <v>847</v>
      </c>
      <c r="E670" s="2">
        <v>8470910</v>
      </c>
      <c r="F670" s="2" t="s">
        <v>2354</v>
      </c>
      <c r="G670" s="2">
        <v>1</v>
      </c>
      <c r="H670" s="276">
        <v>428090</v>
      </c>
      <c r="I670" s="2" t="s">
        <v>154</v>
      </c>
      <c r="J670" s="2" t="s">
        <v>60</v>
      </c>
      <c r="K670" s="2" t="s">
        <v>50</v>
      </c>
      <c r="L670" s="7">
        <v>847001</v>
      </c>
      <c r="M670" s="2" t="s">
        <v>61</v>
      </c>
      <c r="N670" s="2">
        <v>200179</v>
      </c>
      <c r="O670" s="3" t="s">
        <v>2357</v>
      </c>
      <c r="P670" s="2"/>
      <c r="Q670" s="35"/>
      <c r="R670" s="2"/>
      <c r="S670" s="3" t="s">
        <v>387</v>
      </c>
      <c r="T670" s="2" t="s">
        <v>157</v>
      </c>
      <c r="U670" s="2">
        <v>10</v>
      </c>
      <c r="V670" s="2">
        <v>100000</v>
      </c>
      <c r="W670" s="3" t="s">
        <v>2358</v>
      </c>
      <c r="X670" s="36">
        <v>1000000</v>
      </c>
      <c r="Y670" s="2" t="s">
        <v>210</v>
      </c>
      <c r="Z670" s="2" t="s">
        <v>56</v>
      </c>
      <c r="AA670" s="14">
        <f t="shared" si="33"/>
        <v>900000</v>
      </c>
      <c r="AB670" s="14">
        <f t="shared" si="34"/>
        <v>800000</v>
      </c>
      <c r="AC670" s="14">
        <f t="shared" si="35"/>
        <v>700000</v>
      </c>
      <c r="AD670" s="3" t="s">
        <v>2356</v>
      </c>
      <c r="AE670" s="3" t="s">
        <v>2356</v>
      </c>
      <c r="AF670" s="3" t="s">
        <v>2356</v>
      </c>
      <c r="AG670" s="43"/>
      <c r="AH670" s="43">
        <v>100000</v>
      </c>
      <c r="AI670" s="43"/>
      <c r="AJ670" s="43">
        <v>300000</v>
      </c>
      <c r="AK670" s="43"/>
      <c r="AL670" s="43">
        <v>200000</v>
      </c>
      <c r="AM670" s="43"/>
      <c r="AN670" s="43"/>
      <c r="AO670" s="43">
        <v>100000</v>
      </c>
      <c r="AP670" s="43">
        <v>100000</v>
      </c>
      <c r="AQ670" s="43">
        <v>100000</v>
      </c>
      <c r="AR670" s="43">
        <v>100000</v>
      </c>
      <c r="AS670" s="43">
        <v>1000000</v>
      </c>
      <c r="AT670" s="3" t="s">
        <v>237</v>
      </c>
      <c r="AU670" s="272"/>
    </row>
    <row r="671" spans="1:47" ht="16.5" hidden="1" customHeight="1" x14ac:dyDescent="0.35">
      <c r="A671" s="2" t="s">
        <v>189</v>
      </c>
      <c r="B671" s="2" t="s">
        <v>58</v>
      </c>
      <c r="C671" s="2" t="s">
        <v>2277</v>
      </c>
      <c r="D671" s="2">
        <v>847</v>
      </c>
      <c r="E671" s="2">
        <v>8470910</v>
      </c>
      <c r="F671" s="2" t="s">
        <v>2354</v>
      </c>
      <c r="G671" s="2">
        <v>1</v>
      </c>
      <c r="H671" s="276">
        <v>429900</v>
      </c>
      <c r="I671" s="2" t="s">
        <v>2359</v>
      </c>
      <c r="J671" s="2" t="s">
        <v>60</v>
      </c>
      <c r="K671" s="2" t="s">
        <v>50</v>
      </c>
      <c r="L671" s="7">
        <v>847001</v>
      </c>
      <c r="M671" s="2" t="s">
        <v>61</v>
      </c>
      <c r="N671" s="2">
        <v>200179</v>
      </c>
      <c r="O671" s="3" t="s">
        <v>2360</v>
      </c>
      <c r="P671" s="2"/>
      <c r="Q671" s="35"/>
      <c r="R671" s="2"/>
      <c r="S671" s="3" t="s">
        <v>2361</v>
      </c>
      <c r="T671" s="2" t="s">
        <v>1418</v>
      </c>
      <c r="U671" s="2">
        <v>3</v>
      </c>
      <c r="V671" s="2">
        <v>1000000</v>
      </c>
      <c r="W671" s="3" t="s">
        <v>2362</v>
      </c>
      <c r="X671" s="36">
        <v>3000000</v>
      </c>
      <c r="Y671" s="2" t="s">
        <v>210</v>
      </c>
      <c r="Z671" s="2" t="s">
        <v>56</v>
      </c>
      <c r="AA671" s="14">
        <f t="shared" si="33"/>
        <v>2700000</v>
      </c>
      <c r="AB671" s="14">
        <f t="shared" si="34"/>
        <v>2400000</v>
      </c>
      <c r="AC671" s="14">
        <f t="shared" si="35"/>
        <v>2100000</v>
      </c>
      <c r="AD671" s="3" t="s">
        <v>2356</v>
      </c>
      <c r="AE671" s="3" t="s">
        <v>2356</v>
      </c>
      <c r="AF671" s="3" t="s">
        <v>2356</v>
      </c>
      <c r="AG671" s="43">
        <v>1000000</v>
      </c>
      <c r="AH671" s="43">
        <v>300000</v>
      </c>
      <c r="AI671" s="43">
        <v>300000</v>
      </c>
      <c r="AJ671" s="43"/>
      <c r="AK671" s="43"/>
      <c r="AL671" s="43">
        <v>500000</v>
      </c>
      <c r="AM671" s="43">
        <v>300000</v>
      </c>
      <c r="AN671" s="43"/>
      <c r="AO671" s="43"/>
      <c r="AP671" s="43">
        <v>100000</v>
      </c>
      <c r="AQ671" s="43"/>
      <c r="AR671" s="43">
        <v>500000</v>
      </c>
      <c r="AS671" s="43">
        <v>3000000</v>
      </c>
      <c r="AT671" s="3" t="s">
        <v>237</v>
      </c>
      <c r="AU671" s="272"/>
    </row>
    <row r="672" spans="1:47" ht="16.5" hidden="1" customHeight="1" x14ac:dyDescent="0.35">
      <c r="A672" s="2" t="s">
        <v>222</v>
      </c>
      <c r="B672" s="2" t="s">
        <v>58</v>
      </c>
      <c r="C672" s="2" t="s">
        <v>2277</v>
      </c>
      <c r="D672" s="2">
        <v>847</v>
      </c>
      <c r="E672" s="2">
        <v>8470910</v>
      </c>
      <c r="F672" s="2" t="s">
        <v>2354</v>
      </c>
      <c r="G672" s="2">
        <v>1</v>
      </c>
      <c r="H672" s="276">
        <v>420570</v>
      </c>
      <c r="I672" s="2" t="s">
        <v>231</v>
      </c>
      <c r="J672" s="2" t="s">
        <v>60</v>
      </c>
      <c r="K672" s="2" t="s">
        <v>50</v>
      </c>
      <c r="L672" s="7">
        <v>847001</v>
      </c>
      <c r="M672" s="2" t="s">
        <v>61</v>
      </c>
      <c r="N672" s="2">
        <v>200179</v>
      </c>
      <c r="O672" s="3" t="s">
        <v>2363</v>
      </c>
      <c r="P672" s="2"/>
      <c r="Q672" s="35"/>
      <c r="R672" s="2"/>
      <c r="S672" s="3" t="s">
        <v>233</v>
      </c>
      <c r="T672" s="2" t="s">
        <v>234</v>
      </c>
      <c r="U672" s="2">
        <v>10</v>
      </c>
      <c r="V672" s="2">
        <v>1500000</v>
      </c>
      <c r="W672" s="3" t="s">
        <v>3364</v>
      </c>
      <c r="X672" s="36">
        <v>15000000</v>
      </c>
      <c r="Y672" s="2" t="s">
        <v>210</v>
      </c>
      <c r="Z672" s="2" t="s">
        <v>56</v>
      </c>
      <c r="AA672" s="14">
        <f t="shared" si="33"/>
        <v>13500000</v>
      </c>
      <c r="AB672" s="14">
        <f t="shared" si="34"/>
        <v>12000000</v>
      </c>
      <c r="AC672" s="14">
        <f t="shared" si="35"/>
        <v>10500000</v>
      </c>
      <c r="AD672" s="3" t="s">
        <v>2356</v>
      </c>
      <c r="AE672" s="3" t="s">
        <v>2356</v>
      </c>
      <c r="AF672" s="3" t="s">
        <v>2356</v>
      </c>
      <c r="AG672" s="43">
        <v>3000000</v>
      </c>
      <c r="AH672" s="43">
        <v>500000</v>
      </c>
      <c r="AI672" s="43">
        <v>500000</v>
      </c>
      <c r="AJ672" s="43">
        <v>500000</v>
      </c>
      <c r="AK672" s="43">
        <v>500000</v>
      </c>
      <c r="AL672" s="43">
        <v>3000000</v>
      </c>
      <c r="AM672" s="43">
        <v>500000</v>
      </c>
      <c r="AN672" s="43">
        <v>500000</v>
      </c>
      <c r="AO672" s="43">
        <v>4000000</v>
      </c>
      <c r="AP672" s="43">
        <v>500000</v>
      </c>
      <c r="AQ672" s="43">
        <v>500000</v>
      </c>
      <c r="AR672" s="43">
        <v>1000000</v>
      </c>
      <c r="AS672" s="43">
        <v>15000000</v>
      </c>
      <c r="AT672" s="3" t="s">
        <v>237</v>
      </c>
      <c r="AU672" s="272"/>
    </row>
    <row r="673" spans="1:49" ht="16.5" hidden="1" customHeight="1" x14ac:dyDescent="0.35">
      <c r="A673" s="2" t="s">
        <v>245</v>
      </c>
      <c r="B673" s="2" t="s">
        <v>246</v>
      </c>
      <c r="C673" s="2" t="s">
        <v>47</v>
      </c>
      <c r="D673" s="2">
        <v>847</v>
      </c>
      <c r="E673" s="2">
        <v>8470510</v>
      </c>
      <c r="F673" s="2" t="s">
        <v>2369</v>
      </c>
      <c r="G673" s="2">
        <v>1</v>
      </c>
      <c r="H673" s="276">
        <v>425550</v>
      </c>
      <c r="I673" s="2" t="s">
        <v>253</v>
      </c>
      <c r="J673" s="2" t="s">
        <v>60</v>
      </c>
      <c r="K673" s="2" t="s">
        <v>50</v>
      </c>
      <c r="L673" s="7">
        <v>847001</v>
      </c>
      <c r="M673" s="2" t="s">
        <v>61</v>
      </c>
      <c r="N673" s="2">
        <v>200179</v>
      </c>
      <c r="O673" s="3" t="s">
        <v>2794</v>
      </c>
      <c r="P673" s="35"/>
      <c r="Q673" s="2"/>
      <c r="R673" s="3"/>
      <c r="S673" s="2" t="s">
        <v>615</v>
      </c>
      <c r="T673" s="2" t="s">
        <v>616</v>
      </c>
      <c r="U673" s="2">
        <v>1</v>
      </c>
      <c r="V673" s="3">
        <v>30000</v>
      </c>
      <c r="W673" s="36" t="s">
        <v>2370</v>
      </c>
      <c r="X673" s="2">
        <v>30000</v>
      </c>
      <c r="Y673" s="2" t="s">
        <v>55</v>
      </c>
      <c r="Z673" s="14" t="s">
        <v>56</v>
      </c>
      <c r="AA673" s="14">
        <f t="shared" si="33"/>
        <v>27000</v>
      </c>
      <c r="AB673" s="14">
        <f t="shared" si="34"/>
        <v>24000</v>
      </c>
      <c r="AC673" s="14">
        <f t="shared" si="35"/>
        <v>21000</v>
      </c>
      <c r="AD673" s="3" t="s">
        <v>2371</v>
      </c>
      <c r="AE673" s="3" t="s">
        <v>2371</v>
      </c>
      <c r="AF673" s="43" t="s">
        <v>2371</v>
      </c>
      <c r="AG673" s="43">
        <v>10000</v>
      </c>
      <c r="AH673" s="43"/>
      <c r="AI673" s="43"/>
      <c r="AJ673" s="43"/>
      <c r="AK673" s="43">
        <v>10000</v>
      </c>
      <c r="AL673" s="43"/>
      <c r="AM673" s="43"/>
      <c r="AN673" s="43"/>
      <c r="AO673" s="43">
        <v>10000</v>
      </c>
      <c r="AP673" s="43">
        <v>0</v>
      </c>
      <c r="AQ673" s="43"/>
      <c r="AR673" s="43">
        <v>0</v>
      </c>
      <c r="AS673" s="3">
        <v>30000</v>
      </c>
      <c r="AT673" s="272" t="s">
        <v>1025</v>
      </c>
      <c r="AU673" s="15"/>
      <c r="AW673" t="s">
        <v>2372</v>
      </c>
    </row>
    <row r="674" spans="1:49" ht="16.5" hidden="1" customHeight="1" x14ac:dyDescent="0.35">
      <c r="A674" s="2" t="s">
        <v>189</v>
      </c>
      <c r="B674" s="2" t="s">
        <v>265</v>
      </c>
      <c r="C674" s="2" t="s">
        <v>47</v>
      </c>
      <c r="D674" s="2">
        <v>847</v>
      </c>
      <c r="E674" s="2">
        <v>8470510</v>
      </c>
      <c r="F674" s="2" t="s">
        <v>2369</v>
      </c>
      <c r="G674" s="2">
        <v>1</v>
      </c>
      <c r="H674" s="276">
        <v>425900</v>
      </c>
      <c r="I674" s="2" t="s">
        <v>266</v>
      </c>
      <c r="J674" s="2" t="s">
        <v>60</v>
      </c>
      <c r="K674" s="2" t="s">
        <v>50</v>
      </c>
      <c r="L674" s="7">
        <v>847001</v>
      </c>
      <c r="M674" s="2" t="s">
        <v>61</v>
      </c>
      <c r="N674" s="2">
        <v>200179</v>
      </c>
      <c r="O674" s="3" t="s">
        <v>2601</v>
      </c>
      <c r="P674" s="35"/>
      <c r="Q674" s="2"/>
      <c r="R674" s="3"/>
      <c r="S674" s="2" t="s">
        <v>268</v>
      </c>
      <c r="T674" s="2" t="s">
        <v>269</v>
      </c>
      <c r="U674" s="2">
        <v>1</v>
      </c>
      <c r="V674" s="3">
        <v>40000</v>
      </c>
      <c r="W674" s="36" t="s">
        <v>2373</v>
      </c>
      <c r="X674" s="2">
        <v>40000</v>
      </c>
      <c r="Y674" s="2" t="s">
        <v>55</v>
      </c>
      <c r="Z674" s="14" t="s">
        <v>56</v>
      </c>
      <c r="AA674" s="14">
        <f t="shared" si="33"/>
        <v>36000</v>
      </c>
      <c r="AB674" s="14">
        <f t="shared" si="34"/>
        <v>32000</v>
      </c>
      <c r="AC674" s="14">
        <f t="shared" si="35"/>
        <v>28000</v>
      </c>
      <c r="AD674" s="3" t="s">
        <v>2371</v>
      </c>
      <c r="AE674" s="3" t="s">
        <v>2371</v>
      </c>
      <c r="AF674" s="43" t="s">
        <v>2371</v>
      </c>
      <c r="AG674" s="43">
        <v>10000</v>
      </c>
      <c r="AH674" s="43"/>
      <c r="AI674" s="43"/>
      <c r="AJ674" s="43"/>
      <c r="AK674" s="43">
        <v>10000</v>
      </c>
      <c r="AL674" s="43"/>
      <c r="AM674" s="43"/>
      <c r="AN674" s="43">
        <v>10000</v>
      </c>
      <c r="AO674" s="43"/>
      <c r="AP674" s="43">
        <v>10000</v>
      </c>
      <c r="AQ674" s="43"/>
      <c r="AR674" s="43"/>
      <c r="AS674" s="3">
        <v>40000</v>
      </c>
      <c r="AT674" s="272" t="s">
        <v>1025</v>
      </c>
      <c r="AU674" s="15"/>
    </row>
    <row r="675" spans="1:49" ht="16.5" hidden="1" customHeight="1" x14ac:dyDescent="0.35">
      <c r="A675" s="2" t="s">
        <v>153</v>
      </c>
      <c r="B675" s="2" t="s">
        <v>58</v>
      </c>
      <c r="C675" s="2" t="s">
        <v>47</v>
      </c>
      <c r="D675" s="2">
        <v>847</v>
      </c>
      <c r="E675" s="2">
        <v>8470510</v>
      </c>
      <c r="F675" s="2" t="s">
        <v>2369</v>
      </c>
      <c r="G675" s="2">
        <v>1</v>
      </c>
      <c r="H675" s="276">
        <v>428090</v>
      </c>
      <c r="I675" s="2" t="s">
        <v>154</v>
      </c>
      <c r="J675" s="2" t="s">
        <v>60</v>
      </c>
      <c r="K675" s="2" t="s">
        <v>50</v>
      </c>
      <c r="L675" s="7">
        <v>847001</v>
      </c>
      <c r="M675" s="2" t="s">
        <v>61</v>
      </c>
      <c r="N675" s="2">
        <v>200179</v>
      </c>
      <c r="O675" s="3" t="s">
        <v>2602</v>
      </c>
      <c r="P675" s="35"/>
      <c r="Q675" s="2"/>
      <c r="R675" s="3"/>
      <c r="S675" s="2" t="s">
        <v>156</v>
      </c>
      <c r="T675" s="2" t="s">
        <v>157</v>
      </c>
      <c r="U675" s="2">
        <v>1</v>
      </c>
      <c r="V675" s="3">
        <v>100000</v>
      </c>
      <c r="W675" s="36" t="s">
        <v>2374</v>
      </c>
      <c r="X675" s="2">
        <v>100000</v>
      </c>
      <c r="Y675" s="2" t="s">
        <v>55</v>
      </c>
      <c r="Z675" s="14" t="s">
        <v>56</v>
      </c>
      <c r="AA675" s="14">
        <f t="shared" si="33"/>
        <v>90000</v>
      </c>
      <c r="AB675" s="14">
        <f t="shared" si="34"/>
        <v>80000</v>
      </c>
      <c r="AC675" s="14">
        <f t="shared" si="35"/>
        <v>70000</v>
      </c>
      <c r="AD675" s="3" t="s">
        <v>2371</v>
      </c>
      <c r="AE675" s="3" t="s">
        <v>2371</v>
      </c>
      <c r="AF675" s="43" t="s">
        <v>2371</v>
      </c>
      <c r="AG675" s="43">
        <v>25000</v>
      </c>
      <c r="AH675" s="43"/>
      <c r="AI675" s="43">
        <v>25000</v>
      </c>
      <c r="AJ675" s="43"/>
      <c r="AK675" s="43"/>
      <c r="AL675" s="43"/>
      <c r="AM675" s="43">
        <v>25000</v>
      </c>
      <c r="AN675" s="43"/>
      <c r="AO675" s="43">
        <v>25000</v>
      </c>
      <c r="AP675" s="43"/>
      <c r="AQ675" s="43"/>
      <c r="AR675" s="43"/>
      <c r="AS675" s="3">
        <v>100000</v>
      </c>
      <c r="AT675" s="272" t="s">
        <v>1025</v>
      </c>
      <c r="AU675" s="15"/>
    </row>
    <row r="676" spans="1:49" ht="16.5" hidden="1" customHeight="1" x14ac:dyDescent="0.35">
      <c r="A676" s="2" t="s">
        <v>245</v>
      </c>
      <c r="B676" s="2" t="s">
        <v>246</v>
      </c>
      <c r="C676" s="2" t="s">
        <v>47</v>
      </c>
      <c r="D676" s="2">
        <v>847</v>
      </c>
      <c r="E676" s="2">
        <v>8470520</v>
      </c>
      <c r="F676" s="2" t="s">
        <v>2375</v>
      </c>
      <c r="G676" s="2">
        <v>1</v>
      </c>
      <c r="H676" s="276">
        <v>425510</v>
      </c>
      <c r="I676" s="2" t="s">
        <v>247</v>
      </c>
      <c r="J676" s="2" t="s">
        <v>60</v>
      </c>
      <c r="K676" s="2" t="s">
        <v>50</v>
      </c>
      <c r="L676" s="7">
        <v>847001</v>
      </c>
      <c r="M676" s="2" t="s">
        <v>61</v>
      </c>
      <c r="N676" s="2">
        <v>200179</v>
      </c>
      <c r="O676" s="3" t="s">
        <v>2603</v>
      </c>
      <c r="P676" s="35">
        <v>11357.12</v>
      </c>
      <c r="Q676" s="2">
        <v>29519</v>
      </c>
      <c r="R676" s="3">
        <v>29519</v>
      </c>
      <c r="S676" s="2" t="s">
        <v>433</v>
      </c>
      <c r="T676" s="2" t="s">
        <v>434</v>
      </c>
      <c r="U676" s="2">
        <v>1</v>
      </c>
      <c r="V676" s="3">
        <v>29500</v>
      </c>
      <c r="W676" s="36" t="s">
        <v>2376</v>
      </c>
      <c r="X676" s="2">
        <v>29500</v>
      </c>
      <c r="Y676" s="2" t="s">
        <v>55</v>
      </c>
      <c r="Z676" s="14" t="s">
        <v>56</v>
      </c>
      <c r="AA676" s="14">
        <f t="shared" si="33"/>
        <v>26550</v>
      </c>
      <c r="AB676" s="14">
        <f t="shared" si="34"/>
        <v>23600</v>
      </c>
      <c r="AC676" s="14">
        <f t="shared" si="35"/>
        <v>20650</v>
      </c>
      <c r="AD676" s="3" t="s">
        <v>2377</v>
      </c>
      <c r="AE676" s="3" t="s">
        <v>2377</v>
      </c>
      <c r="AF676" s="43" t="s">
        <v>2377</v>
      </c>
      <c r="AG676" s="43"/>
      <c r="AH676" s="43"/>
      <c r="AI676" s="43"/>
      <c r="AJ676" s="43"/>
      <c r="AK676" s="43"/>
      <c r="AL676" s="43"/>
      <c r="AM676" s="43"/>
      <c r="AN676" s="43"/>
      <c r="AO676" s="43"/>
      <c r="AP676" s="43">
        <v>29500</v>
      </c>
      <c r="AQ676" s="43"/>
      <c r="AR676" s="43"/>
      <c r="AS676" s="3">
        <v>29500</v>
      </c>
      <c r="AT676" s="272" t="s">
        <v>1025</v>
      </c>
      <c r="AU676" s="15"/>
    </row>
    <row r="677" spans="1:49" ht="16.5" hidden="1" customHeight="1" x14ac:dyDescent="0.35">
      <c r="A677" s="2" t="s">
        <v>161</v>
      </c>
      <c r="B677" s="2" t="s">
        <v>58</v>
      </c>
      <c r="C677" s="2" t="s">
        <v>47</v>
      </c>
      <c r="D677" s="2">
        <v>847</v>
      </c>
      <c r="E677" s="2">
        <v>8470520</v>
      </c>
      <c r="F677" s="2" t="s">
        <v>2375</v>
      </c>
      <c r="G677" s="2">
        <v>1</v>
      </c>
      <c r="H677" s="276">
        <v>426100</v>
      </c>
      <c r="I677" s="2" t="s">
        <v>1071</v>
      </c>
      <c r="J677" s="2" t="s">
        <v>60</v>
      </c>
      <c r="K677" s="2" t="s">
        <v>50</v>
      </c>
      <c r="L677" s="7">
        <v>847001</v>
      </c>
      <c r="M677" s="2" t="s">
        <v>61</v>
      </c>
      <c r="N677" s="2">
        <v>200179</v>
      </c>
      <c r="O677" s="3" t="s">
        <v>2605</v>
      </c>
      <c r="P677" s="35">
        <v>0</v>
      </c>
      <c r="Q677" s="2">
        <v>20000</v>
      </c>
      <c r="R677" s="3">
        <v>20000</v>
      </c>
      <c r="S677" s="2" t="s">
        <v>1073</v>
      </c>
      <c r="T677" s="2" t="s">
        <v>157</v>
      </c>
      <c r="U677" s="2">
        <v>1</v>
      </c>
      <c r="V677" s="3">
        <v>20000</v>
      </c>
      <c r="W677" s="36" t="s">
        <v>2378</v>
      </c>
      <c r="X677" s="2">
        <v>20000</v>
      </c>
      <c r="Y677" s="2" t="s">
        <v>55</v>
      </c>
      <c r="Z677" s="14" t="s">
        <v>56</v>
      </c>
      <c r="AA677" s="14">
        <f t="shared" si="33"/>
        <v>18000</v>
      </c>
      <c r="AB677" s="14">
        <f t="shared" si="34"/>
        <v>16000</v>
      </c>
      <c r="AC677" s="14">
        <f t="shared" si="35"/>
        <v>14000</v>
      </c>
      <c r="AD677" s="3" t="s">
        <v>2379</v>
      </c>
      <c r="AE677" s="3" t="s">
        <v>2379</v>
      </c>
      <c r="AF677" s="43" t="s">
        <v>2379</v>
      </c>
      <c r="AG677" s="43"/>
      <c r="AH677" s="43"/>
      <c r="AI677" s="43"/>
      <c r="AJ677" s="43"/>
      <c r="AK677" s="43"/>
      <c r="AL677" s="43"/>
      <c r="AM677" s="43"/>
      <c r="AN677" s="43"/>
      <c r="AO677" s="43"/>
      <c r="AP677" s="43">
        <v>20000</v>
      </c>
      <c r="AQ677" s="43"/>
      <c r="AR677" s="43"/>
      <c r="AS677" s="3">
        <v>20000</v>
      </c>
      <c r="AT677" s="272" t="s">
        <v>1025</v>
      </c>
      <c r="AU677" s="15"/>
    </row>
    <row r="678" spans="1:49" ht="16.5" hidden="1" customHeight="1" x14ac:dyDescent="0.35">
      <c r="A678" s="2" t="s">
        <v>222</v>
      </c>
      <c r="B678" s="2" t="s">
        <v>58</v>
      </c>
      <c r="C678" s="2" t="s">
        <v>47</v>
      </c>
      <c r="D678" s="2">
        <v>847</v>
      </c>
      <c r="E678" s="2">
        <v>8470520</v>
      </c>
      <c r="F678" s="2" t="s">
        <v>2375</v>
      </c>
      <c r="G678" s="2">
        <v>1</v>
      </c>
      <c r="H678" s="276">
        <v>427710</v>
      </c>
      <c r="I678" s="2" t="s">
        <v>1090</v>
      </c>
      <c r="J678" s="2" t="s">
        <v>60</v>
      </c>
      <c r="K678" s="2" t="s">
        <v>50</v>
      </c>
      <c r="L678" s="7">
        <v>847001</v>
      </c>
      <c r="M678" s="2" t="s">
        <v>61</v>
      </c>
      <c r="N678" s="2">
        <v>200179</v>
      </c>
      <c r="O678" s="3" t="s">
        <v>2608</v>
      </c>
      <c r="P678" s="35">
        <v>7654.06</v>
      </c>
      <c r="Q678" s="2">
        <v>42000</v>
      </c>
      <c r="R678" s="3">
        <v>42000</v>
      </c>
      <c r="S678" s="2" t="s">
        <v>1092</v>
      </c>
      <c r="T678" s="2" t="s">
        <v>157</v>
      </c>
      <c r="U678" s="2">
        <v>1</v>
      </c>
      <c r="V678" s="3"/>
      <c r="W678" s="36" t="s">
        <v>2380</v>
      </c>
      <c r="X678" s="2">
        <v>0</v>
      </c>
      <c r="Y678" s="2"/>
      <c r="Z678" s="14"/>
      <c r="AA678" s="14">
        <f t="shared" si="33"/>
        <v>0</v>
      </c>
      <c r="AB678" s="14">
        <f t="shared" si="34"/>
        <v>0</v>
      </c>
      <c r="AC678" s="14">
        <f t="shared" si="35"/>
        <v>0</v>
      </c>
      <c r="AD678" s="3" t="s">
        <v>2380</v>
      </c>
      <c r="AE678" s="3" t="s">
        <v>2380</v>
      </c>
      <c r="AF678" s="43" t="s">
        <v>2380</v>
      </c>
      <c r="AG678" s="43"/>
      <c r="AH678" s="43"/>
      <c r="AI678" s="43"/>
      <c r="AJ678" s="43"/>
      <c r="AK678" s="43"/>
      <c r="AL678" s="43"/>
      <c r="AM678" s="43"/>
      <c r="AN678" s="43"/>
      <c r="AO678" s="43"/>
      <c r="AP678" s="43"/>
      <c r="AQ678" s="43"/>
      <c r="AR678" s="43"/>
      <c r="AS678" s="3">
        <v>0</v>
      </c>
      <c r="AT678" s="272"/>
      <c r="AU678" s="15"/>
    </row>
    <row r="679" spans="1:49" ht="16.5" hidden="1" customHeight="1" x14ac:dyDescent="0.35">
      <c r="A679" s="2" t="s">
        <v>222</v>
      </c>
      <c r="B679" s="2" t="s">
        <v>58</v>
      </c>
      <c r="C679" s="2" t="s">
        <v>47</v>
      </c>
      <c r="D679" s="2">
        <v>847</v>
      </c>
      <c r="E679" s="2">
        <v>8470520</v>
      </c>
      <c r="F679" s="2" t="s">
        <v>2375</v>
      </c>
      <c r="G679" s="2">
        <v>1</v>
      </c>
      <c r="H679" s="276">
        <v>427710</v>
      </c>
      <c r="I679" s="2" t="s">
        <v>1090</v>
      </c>
      <c r="J679" s="2" t="s">
        <v>60</v>
      </c>
      <c r="K679" s="2" t="s">
        <v>50</v>
      </c>
      <c r="L679" s="7">
        <v>847001</v>
      </c>
      <c r="M679" s="2" t="s">
        <v>61</v>
      </c>
      <c r="N679" s="2">
        <v>200179</v>
      </c>
      <c r="O679" s="3" t="s">
        <v>2608</v>
      </c>
      <c r="P679" s="35"/>
      <c r="Q679" s="2"/>
      <c r="R679" s="3"/>
      <c r="S679" s="2" t="s">
        <v>1092</v>
      </c>
      <c r="T679" s="2" t="s">
        <v>157</v>
      </c>
      <c r="U679" s="2">
        <v>1</v>
      </c>
      <c r="V679" s="3">
        <v>20000</v>
      </c>
      <c r="W679" s="36" t="s">
        <v>2381</v>
      </c>
      <c r="X679" s="2">
        <v>20000</v>
      </c>
      <c r="Y679" s="2" t="s">
        <v>55</v>
      </c>
      <c r="Z679" s="14" t="s">
        <v>56</v>
      </c>
      <c r="AA679" s="14">
        <f t="shared" si="33"/>
        <v>18000</v>
      </c>
      <c r="AB679" s="14">
        <f t="shared" si="34"/>
        <v>16000</v>
      </c>
      <c r="AC679" s="14">
        <f t="shared" si="35"/>
        <v>14000</v>
      </c>
      <c r="AD679" s="3" t="s">
        <v>2382</v>
      </c>
      <c r="AE679" s="3" t="s">
        <v>2382</v>
      </c>
      <c r="AF679" s="43" t="s">
        <v>2382</v>
      </c>
      <c r="AG679" s="43"/>
      <c r="AH679" s="43"/>
      <c r="AI679" s="43">
        <v>10000</v>
      </c>
      <c r="AJ679" s="43"/>
      <c r="AK679" s="43"/>
      <c r="AL679" s="43"/>
      <c r="AM679" s="43"/>
      <c r="AN679" s="43">
        <v>10000</v>
      </c>
      <c r="AO679" s="43"/>
      <c r="AP679" s="43"/>
      <c r="AQ679" s="43"/>
      <c r="AR679" s="43"/>
      <c r="AS679" s="3">
        <v>20000</v>
      </c>
      <c r="AT679" s="272" t="s">
        <v>1025</v>
      </c>
      <c r="AU679" s="15"/>
    </row>
    <row r="680" spans="1:49" ht="16.5" hidden="1" customHeight="1" x14ac:dyDescent="0.35">
      <c r="A680" s="2" t="s">
        <v>161</v>
      </c>
      <c r="B680" s="2" t="s">
        <v>58</v>
      </c>
      <c r="C680" s="2" t="s">
        <v>47</v>
      </c>
      <c r="D680" s="2">
        <v>847</v>
      </c>
      <c r="E680" s="2">
        <v>8470520</v>
      </c>
      <c r="F680" s="2" t="s">
        <v>2375</v>
      </c>
      <c r="G680" s="2">
        <v>1</v>
      </c>
      <c r="H680" s="276">
        <v>428200</v>
      </c>
      <c r="I680" s="2" t="s">
        <v>2383</v>
      </c>
      <c r="J680" s="2" t="s">
        <v>60</v>
      </c>
      <c r="K680" s="2" t="s">
        <v>50</v>
      </c>
      <c r="L680" s="7">
        <v>847001</v>
      </c>
      <c r="M680" s="2" t="s">
        <v>61</v>
      </c>
      <c r="N680" s="2">
        <v>200179</v>
      </c>
      <c r="O680" s="3" t="s">
        <v>2609</v>
      </c>
      <c r="P680" s="35">
        <v>345735.14</v>
      </c>
      <c r="Q680" s="2">
        <v>616900</v>
      </c>
      <c r="R680" s="3">
        <v>616900</v>
      </c>
      <c r="S680" s="2" t="s">
        <v>2384</v>
      </c>
      <c r="T680" s="2" t="s">
        <v>157</v>
      </c>
      <c r="U680" s="2"/>
      <c r="V680" s="3"/>
      <c r="W680" s="36"/>
      <c r="X680" s="2">
        <v>0</v>
      </c>
      <c r="Y680" s="2"/>
      <c r="Z680" s="14"/>
      <c r="AA680" s="14">
        <f t="shared" si="33"/>
        <v>0</v>
      </c>
      <c r="AB680" s="14">
        <f t="shared" si="34"/>
        <v>0</v>
      </c>
      <c r="AC680" s="14">
        <f t="shared" si="35"/>
        <v>0</v>
      </c>
      <c r="AD680" s="3"/>
      <c r="AE680" s="3"/>
      <c r="AF680" s="43"/>
      <c r="AG680" s="43"/>
      <c r="AH680" s="43"/>
      <c r="AI680" s="43"/>
      <c r="AJ680" s="43"/>
      <c r="AK680" s="43"/>
      <c r="AL680" s="43"/>
      <c r="AM680" s="43"/>
      <c r="AN680" s="43"/>
      <c r="AO680" s="43"/>
      <c r="AP680" s="43"/>
      <c r="AQ680" s="43"/>
      <c r="AR680" s="43"/>
      <c r="AS680" s="3">
        <v>0</v>
      </c>
      <c r="AT680" s="272"/>
      <c r="AU680" s="15"/>
    </row>
    <row r="681" spans="1:49" ht="16.5" hidden="1" customHeight="1" x14ac:dyDescent="0.35">
      <c r="A681" s="2" t="s">
        <v>161</v>
      </c>
      <c r="B681" s="2" t="s">
        <v>58</v>
      </c>
      <c r="C681" s="2" t="s">
        <v>47</v>
      </c>
      <c r="D681" s="2">
        <v>847</v>
      </c>
      <c r="E681" s="2">
        <v>8470520</v>
      </c>
      <c r="F681" s="2" t="s">
        <v>2375</v>
      </c>
      <c r="G681" s="2">
        <v>1</v>
      </c>
      <c r="H681" s="276">
        <v>428200</v>
      </c>
      <c r="I681" s="2" t="s">
        <v>2383</v>
      </c>
      <c r="J681" s="2" t="s">
        <v>60</v>
      </c>
      <c r="K681" s="2" t="s">
        <v>50</v>
      </c>
      <c r="L681" s="7">
        <v>847001</v>
      </c>
      <c r="M681" s="2" t="s">
        <v>61</v>
      </c>
      <c r="N681" s="2">
        <v>200179</v>
      </c>
      <c r="O681" s="3" t="s">
        <v>2609</v>
      </c>
      <c r="P681" s="35"/>
      <c r="Q681" s="2"/>
      <c r="R681" s="3"/>
      <c r="S681" s="2" t="s">
        <v>2384</v>
      </c>
      <c r="T681" s="2" t="s">
        <v>157</v>
      </c>
      <c r="U681" s="2">
        <v>1</v>
      </c>
      <c r="V681" s="3">
        <v>70000</v>
      </c>
      <c r="W681" s="36" t="s">
        <v>2385</v>
      </c>
      <c r="X681" s="2">
        <v>70000</v>
      </c>
      <c r="Y681" s="2" t="s">
        <v>55</v>
      </c>
      <c r="Z681" s="14" t="s">
        <v>56</v>
      </c>
      <c r="AA681" s="14">
        <f t="shared" si="33"/>
        <v>63000</v>
      </c>
      <c r="AB681" s="14">
        <f t="shared" si="34"/>
        <v>56000</v>
      </c>
      <c r="AC681" s="14">
        <f t="shared" si="35"/>
        <v>49000</v>
      </c>
      <c r="AD681" s="3" t="s">
        <v>2386</v>
      </c>
      <c r="AE681" s="3" t="s">
        <v>2386</v>
      </c>
      <c r="AF681" s="43" t="s">
        <v>2386</v>
      </c>
      <c r="AG681" s="43"/>
      <c r="AH681" s="43"/>
      <c r="AI681" s="43"/>
      <c r="AJ681" s="43"/>
      <c r="AK681" s="43"/>
      <c r="AL681" s="43"/>
      <c r="AM681" s="43"/>
      <c r="AN681" s="43"/>
      <c r="AO681" s="43">
        <v>70000</v>
      </c>
      <c r="AP681" s="43"/>
      <c r="AQ681" s="43"/>
      <c r="AR681" s="43"/>
      <c r="AS681" s="3">
        <v>70000</v>
      </c>
      <c r="AT681" s="272" t="s">
        <v>1025</v>
      </c>
      <c r="AU681" s="15"/>
    </row>
    <row r="682" spans="1:49" ht="16.5" hidden="1" customHeight="1" x14ac:dyDescent="0.35">
      <c r="A682" s="2" t="s">
        <v>161</v>
      </c>
      <c r="B682" s="2" t="s">
        <v>58</v>
      </c>
      <c r="C682" s="2" t="s">
        <v>47</v>
      </c>
      <c r="D682" s="2">
        <v>847</v>
      </c>
      <c r="E682" s="2">
        <v>8470520</v>
      </c>
      <c r="F682" s="2" t="s">
        <v>2375</v>
      </c>
      <c r="G682" s="2">
        <v>1</v>
      </c>
      <c r="H682" s="276">
        <v>428200</v>
      </c>
      <c r="I682" s="2" t="s">
        <v>2383</v>
      </c>
      <c r="J682" s="2" t="s">
        <v>60</v>
      </c>
      <c r="K682" s="2" t="s">
        <v>50</v>
      </c>
      <c r="L682" s="7">
        <v>847001</v>
      </c>
      <c r="M682" s="2" t="s">
        <v>61</v>
      </c>
      <c r="N682" s="2">
        <v>200179</v>
      </c>
      <c r="O682" s="3" t="s">
        <v>2609</v>
      </c>
      <c r="P682" s="35"/>
      <c r="Q682" s="2"/>
      <c r="R682" s="3"/>
      <c r="S682" s="2" t="s">
        <v>2384</v>
      </c>
      <c r="T682" s="2" t="s">
        <v>157</v>
      </c>
      <c r="U682" s="2">
        <v>1</v>
      </c>
      <c r="V682" s="3">
        <v>115000</v>
      </c>
      <c r="W682" s="36" t="s">
        <v>2387</v>
      </c>
      <c r="X682" s="2">
        <v>115000</v>
      </c>
      <c r="Y682" s="2" t="s">
        <v>55</v>
      </c>
      <c r="Z682" s="14" t="s">
        <v>56</v>
      </c>
      <c r="AA682" s="14">
        <f t="shared" si="33"/>
        <v>103500</v>
      </c>
      <c r="AB682" s="14">
        <f t="shared" si="34"/>
        <v>92000</v>
      </c>
      <c r="AC682" s="14">
        <f t="shared" si="35"/>
        <v>80500</v>
      </c>
      <c r="AD682" s="3" t="s">
        <v>2386</v>
      </c>
      <c r="AE682" s="3" t="s">
        <v>2386</v>
      </c>
      <c r="AF682" s="43" t="s">
        <v>2386</v>
      </c>
      <c r="AG682" s="43"/>
      <c r="AH682" s="43"/>
      <c r="AI682" s="43">
        <v>115000</v>
      </c>
      <c r="AJ682" s="43"/>
      <c r="AK682" s="43"/>
      <c r="AL682" s="43"/>
      <c r="AM682" s="43"/>
      <c r="AN682" s="43"/>
      <c r="AO682" s="43"/>
      <c r="AP682" s="43"/>
      <c r="AQ682" s="43"/>
      <c r="AR682" s="43"/>
      <c r="AS682" s="3">
        <v>115000</v>
      </c>
      <c r="AT682" s="272" t="s">
        <v>1025</v>
      </c>
      <c r="AU682" s="15"/>
    </row>
    <row r="683" spans="1:49" ht="16.5" hidden="1" customHeight="1" x14ac:dyDescent="0.35">
      <c r="A683" s="2" t="s">
        <v>161</v>
      </c>
      <c r="B683" s="2" t="s">
        <v>58</v>
      </c>
      <c r="C683" s="2" t="s">
        <v>47</v>
      </c>
      <c r="D683" s="2">
        <v>847</v>
      </c>
      <c r="E683" s="2">
        <v>8470520</v>
      </c>
      <c r="F683" s="2" t="s">
        <v>2375</v>
      </c>
      <c r="G683" s="2">
        <v>1</v>
      </c>
      <c r="H683" s="276">
        <v>428200</v>
      </c>
      <c r="I683" s="2" t="s">
        <v>2383</v>
      </c>
      <c r="J683" s="2" t="s">
        <v>60</v>
      </c>
      <c r="K683" s="2" t="s">
        <v>50</v>
      </c>
      <c r="L683" s="7">
        <v>847001</v>
      </c>
      <c r="M683" s="2" t="s">
        <v>61</v>
      </c>
      <c r="N683" s="2">
        <v>200179</v>
      </c>
      <c r="O683" s="3" t="s">
        <v>2609</v>
      </c>
      <c r="P683" s="35"/>
      <c r="Q683" s="2"/>
      <c r="R683" s="3"/>
      <c r="S683" s="2" t="s">
        <v>2384</v>
      </c>
      <c r="T683" s="2" t="s">
        <v>157</v>
      </c>
      <c r="U683" s="2">
        <v>1</v>
      </c>
      <c r="V683" s="3">
        <v>60000</v>
      </c>
      <c r="W683" s="36" t="s">
        <v>2388</v>
      </c>
      <c r="X683" s="2">
        <v>60000</v>
      </c>
      <c r="Y683" s="2" t="s">
        <v>55</v>
      </c>
      <c r="Z683" s="14" t="s">
        <v>56</v>
      </c>
      <c r="AA683" s="14">
        <f t="shared" si="33"/>
        <v>54000</v>
      </c>
      <c r="AB683" s="14">
        <f t="shared" si="34"/>
        <v>48000</v>
      </c>
      <c r="AC683" s="14">
        <f t="shared" si="35"/>
        <v>42000</v>
      </c>
      <c r="AD683" s="3" t="s">
        <v>2389</v>
      </c>
      <c r="AE683" s="3" t="s">
        <v>2389</v>
      </c>
      <c r="AF683" s="43" t="s">
        <v>2389</v>
      </c>
      <c r="AG683" s="43"/>
      <c r="AH683" s="43">
        <v>30000</v>
      </c>
      <c r="AI683" s="43"/>
      <c r="AJ683" s="43"/>
      <c r="AK683" s="43"/>
      <c r="AL683" s="43"/>
      <c r="AM683" s="43">
        <v>30000</v>
      </c>
      <c r="AN683" s="43"/>
      <c r="AO683" s="43"/>
      <c r="AP683" s="43"/>
      <c r="AQ683" s="43"/>
      <c r="AR683" s="43"/>
      <c r="AS683" s="3">
        <v>60000</v>
      </c>
      <c r="AT683" s="272" t="s">
        <v>1025</v>
      </c>
      <c r="AU683" s="15"/>
    </row>
    <row r="684" spans="1:49" ht="16.5" hidden="1" customHeight="1" x14ac:dyDescent="0.35">
      <c r="A684" s="2" t="s">
        <v>161</v>
      </c>
      <c r="B684" s="2" t="s">
        <v>58</v>
      </c>
      <c r="C684" s="2" t="s">
        <v>47</v>
      </c>
      <c r="D684" s="2">
        <v>847</v>
      </c>
      <c r="E684" s="2">
        <v>8470520</v>
      </c>
      <c r="F684" s="2" t="s">
        <v>2375</v>
      </c>
      <c r="G684" s="2">
        <v>1</v>
      </c>
      <c r="H684" s="276">
        <v>428200</v>
      </c>
      <c r="I684" s="2" t="s">
        <v>2383</v>
      </c>
      <c r="J684" s="2" t="s">
        <v>60</v>
      </c>
      <c r="K684" s="2" t="s">
        <v>50</v>
      </c>
      <c r="L684" s="7">
        <v>847001</v>
      </c>
      <c r="M684" s="2" t="s">
        <v>61</v>
      </c>
      <c r="N684" s="2">
        <v>200179</v>
      </c>
      <c r="O684" s="3" t="s">
        <v>2609</v>
      </c>
      <c r="P684" s="35"/>
      <c r="Q684" s="2"/>
      <c r="R684" s="3"/>
      <c r="S684" s="2" t="s">
        <v>2384</v>
      </c>
      <c r="T684" s="2" t="s">
        <v>157</v>
      </c>
      <c r="U684" s="2">
        <v>1</v>
      </c>
      <c r="V684" s="3">
        <v>35000</v>
      </c>
      <c r="W684" s="36" t="s">
        <v>2390</v>
      </c>
      <c r="X684" s="2">
        <v>35000</v>
      </c>
      <c r="Y684" s="2" t="s">
        <v>55</v>
      </c>
      <c r="Z684" s="14" t="s">
        <v>56</v>
      </c>
      <c r="AA684" s="14">
        <f t="shared" si="33"/>
        <v>31500</v>
      </c>
      <c r="AB684" s="14">
        <f t="shared" si="34"/>
        <v>28000</v>
      </c>
      <c r="AC684" s="14">
        <f t="shared" si="35"/>
        <v>24500</v>
      </c>
      <c r="AD684" s="3" t="s">
        <v>2391</v>
      </c>
      <c r="AE684" s="3" t="s">
        <v>2391</v>
      </c>
      <c r="AF684" s="43" t="s">
        <v>2391</v>
      </c>
      <c r="AG684" s="43"/>
      <c r="AH684" s="43"/>
      <c r="AI684" s="43"/>
      <c r="AJ684" s="43"/>
      <c r="AK684" s="43"/>
      <c r="AL684" s="43"/>
      <c r="AM684" s="43"/>
      <c r="AN684" s="43"/>
      <c r="AO684" s="43">
        <v>35000</v>
      </c>
      <c r="AP684" s="43"/>
      <c r="AQ684" s="43"/>
      <c r="AR684" s="43"/>
      <c r="AS684" s="3">
        <v>35000</v>
      </c>
      <c r="AT684" s="272" t="s">
        <v>1025</v>
      </c>
      <c r="AU684" s="15"/>
    </row>
    <row r="685" spans="1:49" ht="16.5" hidden="1" customHeight="1" x14ac:dyDescent="0.35">
      <c r="A685" s="2" t="s">
        <v>161</v>
      </c>
      <c r="B685" s="2" t="s">
        <v>58</v>
      </c>
      <c r="C685" s="2" t="s">
        <v>47</v>
      </c>
      <c r="D685" s="2">
        <v>847</v>
      </c>
      <c r="E685" s="2">
        <v>8470520</v>
      </c>
      <c r="F685" s="2" t="s">
        <v>2375</v>
      </c>
      <c r="G685" s="2">
        <v>1</v>
      </c>
      <c r="H685" s="276">
        <v>428200</v>
      </c>
      <c r="I685" s="2" t="s">
        <v>2383</v>
      </c>
      <c r="J685" s="2" t="s">
        <v>60</v>
      </c>
      <c r="K685" s="2" t="s">
        <v>50</v>
      </c>
      <c r="L685" s="7">
        <v>847001</v>
      </c>
      <c r="M685" s="2" t="s">
        <v>61</v>
      </c>
      <c r="N685" s="2">
        <v>200179</v>
      </c>
      <c r="O685" s="3" t="s">
        <v>2609</v>
      </c>
      <c r="P685" s="35"/>
      <c r="Q685" s="2"/>
      <c r="R685" s="3"/>
      <c r="S685" s="2" t="s">
        <v>2384</v>
      </c>
      <c r="T685" s="2" t="s">
        <v>157</v>
      </c>
      <c r="U685" s="2">
        <v>1</v>
      </c>
      <c r="V685" s="3">
        <v>30000</v>
      </c>
      <c r="W685" s="36" t="s">
        <v>2392</v>
      </c>
      <c r="X685" s="2">
        <v>30000</v>
      </c>
      <c r="Y685" s="2" t="s">
        <v>55</v>
      </c>
      <c r="Z685" s="14" t="s">
        <v>56</v>
      </c>
      <c r="AA685" s="14">
        <f t="shared" si="33"/>
        <v>27000</v>
      </c>
      <c r="AB685" s="14">
        <f t="shared" si="34"/>
        <v>24000</v>
      </c>
      <c r="AC685" s="14">
        <f t="shared" si="35"/>
        <v>21000</v>
      </c>
      <c r="AD685" s="3" t="s">
        <v>2393</v>
      </c>
      <c r="AE685" s="3" t="s">
        <v>2393</v>
      </c>
      <c r="AF685" s="43" t="s">
        <v>2393</v>
      </c>
      <c r="AG685" s="43"/>
      <c r="AH685" s="43"/>
      <c r="AI685" s="43">
        <v>15000</v>
      </c>
      <c r="AJ685" s="43"/>
      <c r="AK685" s="43"/>
      <c r="AL685" s="43"/>
      <c r="AM685" s="43">
        <v>15000</v>
      </c>
      <c r="AN685" s="43"/>
      <c r="AO685" s="43"/>
      <c r="AP685" s="43"/>
      <c r="AQ685" s="43"/>
      <c r="AR685" s="43"/>
      <c r="AS685" s="3">
        <v>30000</v>
      </c>
      <c r="AT685" s="272" t="s">
        <v>1025</v>
      </c>
      <c r="AU685" s="15"/>
    </row>
    <row r="686" spans="1:49" ht="16.5" hidden="1" customHeight="1" x14ac:dyDescent="0.35">
      <c r="A686" s="2" t="s">
        <v>161</v>
      </c>
      <c r="B686" s="2" t="s">
        <v>58</v>
      </c>
      <c r="C686" s="2" t="s">
        <v>47</v>
      </c>
      <c r="D686" s="2">
        <v>847</v>
      </c>
      <c r="E686" s="2">
        <v>8470520</v>
      </c>
      <c r="F686" s="2" t="s">
        <v>2375</v>
      </c>
      <c r="G686" s="2">
        <v>1</v>
      </c>
      <c r="H686" s="276">
        <v>428200</v>
      </c>
      <c r="I686" s="2" t="s">
        <v>2383</v>
      </c>
      <c r="J686" s="2" t="s">
        <v>60</v>
      </c>
      <c r="K686" s="2" t="s">
        <v>50</v>
      </c>
      <c r="L686" s="7">
        <v>847001</v>
      </c>
      <c r="M686" s="2" t="s">
        <v>61</v>
      </c>
      <c r="N686" s="2">
        <v>200179</v>
      </c>
      <c r="O686" s="3" t="s">
        <v>2609</v>
      </c>
      <c r="P686" s="35"/>
      <c r="Q686" s="2"/>
      <c r="R686" s="3"/>
      <c r="S686" s="2" t="s">
        <v>2384</v>
      </c>
      <c r="T686" s="2" t="s">
        <v>157</v>
      </c>
      <c r="U686" s="2">
        <v>1</v>
      </c>
      <c r="V686" s="3">
        <v>50000</v>
      </c>
      <c r="W686" s="36" t="s">
        <v>2394</v>
      </c>
      <c r="X686" s="2">
        <v>50000</v>
      </c>
      <c r="Y686" s="2" t="s">
        <v>55</v>
      </c>
      <c r="Z686" s="14" t="s">
        <v>56</v>
      </c>
      <c r="AA686" s="14">
        <f t="shared" si="33"/>
        <v>45000</v>
      </c>
      <c r="AB686" s="14">
        <f t="shared" si="34"/>
        <v>40000</v>
      </c>
      <c r="AC686" s="14">
        <f t="shared" si="35"/>
        <v>35000</v>
      </c>
      <c r="AD686" s="3" t="s">
        <v>2395</v>
      </c>
      <c r="AE686" s="3" t="s">
        <v>2395</v>
      </c>
      <c r="AF686" s="43" t="s">
        <v>2395</v>
      </c>
      <c r="AG686" s="43"/>
      <c r="AH686" s="43">
        <v>25000</v>
      </c>
      <c r="AI686" s="43"/>
      <c r="AJ686" s="43"/>
      <c r="AK686" s="43"/>
      <c r="AL686" s="43">
        <v>25000</v>
      </c>
      <c r="AM686" s="43"/>
      <c r="AN686" s="43"/>
      <c r="AO686" s="43"/>
      <c r="AP686" s="43"/>
      <c r="AQ686" s="43"/>
      <c r="AR686" s="43"/>
      <c r="AS686" s="3">
        <v>50000</v>
      </c>
      <c r="AT686" s="272" t="s">
        <v>1025</v>
      </c>
      <c r="AU686" s="15"/>
    </row>
    <row r="687" spans="1:49" ht="16.5" hidden="1" customHeight="1" x14ac:dyDescent="0.35">
      <c r="A687" s="2" t="s">
        <v>161</v>
      </c>
      <c r="B687" s="2" t="s">
        <v>58</v>
      </c>
      <c r="C687" s="2" t="s">
        <v>47</v>
      </c>
      <c r="D687" s="2">
        <v>847</v>
      </c>
      <c r="E687" s="2">
        <v>8470520</v>
      </c>
      <c r="F687" s="2" t="s">
        <v>2375</v>
      </c>
      <c r="G687" s="2">
        <v>1</v>
      </c>
      <c r="H687" s="276">
        <v>428200</v>
      </c>
      <c r="I687" s="2" t="s">
        <v>2383</v>
      </c>
      <c r="J687" s="2" t="s">
        <v>60</v>
      </c>
      <c r="K687" s="2" t="s">
        <v>50</v>
      </c>
      <c r="L687" s="7">
        <v>847001</v>
      </c>
      <c r="M687" s="2" t="s">
        <v>61</v>
      </c>
      <c r="N687" s="2">
        <v>200179</v>
      </c>
      <c r="O687" s="3" t="s">
        <v>2609</v>
      </c>
      <c r="P687" s="35"/>
      <c r="Q687" s="2"/>
      <c r="R687" s="3"/>
      <c r="S687" s="2" t="s">
        <v>2384</v>
      </c>
      <c r="T687" s="2" t="s">
        <v>157</v>
      </c>
      <c r="U687" s="2">
        <v>1</v>
      </c>
      <c r="V687" s="3">
        <v>80000</v>
      </c>
      <c r="W687" s="36" t="s">
        <v>2396</v>
      </c>
      <c r="X687" s="2">
        <v>80000</v>
      </c>
      <c r="Y687" s="2" t="s">
        <v>55</v>
      </c>
      <c r="Z687" s="14" t="s">
        <v>56</v>
      </c>
      <c r="AA687" s="14">
        <f t="shared" si="33"/>
        <v>72000</v>
      </c>
      <c r="AB687" s="14">
        <f t="shared" si="34"/>
        <v>64000</v>
      </c>
      <c r="AC687" s="14">
        <f t="shared" si="35"/>
        <v>56000</v>
      </c>
      <c r="AD687" s="3" t="s">
        <v>2397</v>
      </c>
      <c r="AE687" s="3" t="s">
        <v>2397</v>
      </c>
      <c r="AF687" s="43" t="s">
        <v>2397</v>
      </c>
      <c r="AG687" s="43">
        <v>20000</v>
      </c>
      <c r="AH687" s="43"/>
      <c r="AI687" s="43"/>
      <c r="AJ687" s="43">
        <v>20000</v>
      </c>
      <c r="AK687" s="43"/>
      <c r="AL687" s="43"/>
      <c r="AM687" s="43">
        <v>20000</v>
      </c>
      <c r="AN687" s="43"/>
      <c r="AO687" s="43"/>
      <c r="AP687" s="43">
        <v>20000</v>
      </c>
      <c r="AQ687" s="43"/>
      <c r="AR687" s="43"/>
      <c r="AS687" s="3">
        <v>80000</v>
      </c>
      <c r="AT687" s="272" t="s">
        <v>1025</v>
      </c>
      <c r="AU687" s="15"/>
    </row>
    <row r="688" spans="1:49" ht="16.5" hidden="1" customHeight="1" x14ac:dyDescent="0.35">
      <c r="A688" s="2" t="s">
        <v>161</v>
      </c>
      <c r="B688" s="2" t="s">
        <v>58</v>
      </c>
      <c r="C688" s="2" t="s">
        <v>47</v>
      </c>
      <c r="D688" s="2">
        <v>847</v>
      </c>
      <c r="E688" s="2">
        <v>8470520</v>
      </c>
      <c r="F688" s="2" t="s">
        <v>2375</v>
      </c>
      <c r="G688" s="2">
        <v>1</v>
      </c>
      <c r="H688" s="276">
        <v>428200</v>
      </c>
      <c r="I688" s="2" t="s">
        <v>2383</v>
      </c>
      <c r="J688" s="2" t="s">
        <v>60</v>
      </c>
      <c r="K688" s="2" t="s">
        <v>50</v>
      </c>
      <c r="L688" s="7">
        <v>847001</v>
      </c>
      <c r="M688" s="2" t="s">
        <v>61</v>
      </c>
      <c r="N688" s="2">
        <v>200179</v>
      </c>
      <c r="O688" s="3" t="s">
        <v>2609</v>
      </c>
      <c r="P688" s="35"/>
      <c r="Q688" s="2"/>
      <c r="R688" s="3"/>
      <c r="S688" s="2" t="s">
        <v>2384</v>
      </c>
      <c r="T688" s="2" t="s">
        <v>157</v>
      </c>
      <c r="U688" s="2">
        <v>1</v>
      </c>
      <c r="V688" s="3">
        <v>25000</v>
      </c>
      <c r="W688" s="36" t="s">
        <v>2398</v>
      </c>
      <c r="X688" s="2">
        <v>25000</v>
      </c>
      <c r="Y688" s="2" t="s">
        <v>55</v>
      </c>
      <c r="Z688" s="14" t="s">
        <v>56</v>
      </c>
      <c r="AA688" s="14">
        <f t="shared" si="33"/>
        <v>22500</v>
      </c>
      <c r="AB688" s="14">
        <f t="shared" si="34"/>
        <v>20000</v>
      </c>
      <c r="AC688" s="14">
        <f t="shared" si="35"/>
        <v>17500</v>
      </c>
      <c r="AD688" s="3" t="s">
        <v>2399</v>
      </c>
      <c r="AE688" s="3" t="s">
        <v>2399</v>
      </c>
      <c r="AF688" s="43" t="s">
        <v>2399</v>
      </c>
      <c r="AG688" s="43">
        <v>25000</v>
      </c>
      <c r="AH688" s="43"/>
      <c r="AI688" s="43"/>
      <c r="AJ688" s="43"/>
      <c r="AK688" s="43"/>
      <c r="AL688" s="43"/>
      <c r="AM688" s="43"/>
      <c r="AN688" s="43"/>
      <c r="AO688" s="43"/>
      <c r="AP688" s="43"/>
      <c r="AQ688" s="43"/>
      <c r="AR688" s="43"/>
      <c r="AS688" s="3">
        <v>25000</v>
      </c>
      <c r="AT688" s="272" t="s">
        <v>1025</v>
      </c>
      <c r="AU688" s="15"/>
    </row>
    <row r="689" spans="1:47" ht="16.5" hidden="1" customHeight="1" x14ac:dyDescent="0.35">
      <c r="A689" s="2" t="s">
        <v>161</v>
      </c>
      <c r="B689" s="2" t="s">
        <v>58</v>
      </c>
      <c r="C689" s="2" t="s">
        <v>47</v>
      </c>
      <c r="D689" s="2">
        <v>847</v>
      </c>
      <c r="E689" s="2">
        <v>8470520</v>
      </c>
      <c r="F689" s="2" t="s">
        <v>2375</v>
      </c>
      <c r="G689" s="2">
        <v>1</v>
      </c>
      <c r="H689" s="276">
        <v>428200</v>
      </c>
      <c r="I689" s="2" t="s">
        <v>2383</v>
      </c>
      <c r="J689" s="2" t="s">
        <v>60</v>
      </c>
      <c r="K689" s="2" t="s">
        <v>50</v>
      </c>
      <c r="L689" s="7">
        <v>847001</v>
      </c>
      <c r="M689" s="2" t="s">
        <v>61</v>
      </c>
      <c r="N689" s="2">
        <v>200179</v>
      </c>
      <c r="O689" s="3" t="s">
        <v>2609</v>
      </c>
      <c r="P689" s="35"/>
      <c r="Q689" s="2"/>
      <c r="R689" s="3"/>
      <c r="S689" s="2" t="s">
        <v>2384</v>
      </c>
      <c r="T689" s="2" t="s">
        <v>157</v>
      </c>
      <c r="U689" s="2">
        <v>1</v>
      </c>
      <c r="V689" s="3">
        <v>40000</v>
      </c>
      <c r="W689" s="36" t="s">
        <v>2400</v>
      </c>
      <c r="X689" s="2">
        <v>40000</v>
      </c>
      <c r="Y689" s="2" t="s">
        <v>55</v>
      </c>
      <c r="Z689" s="14" t="s">
        <v>56</v>
      </c>
      <c r="AA689" s="14">
        <f t="shared" si="33"/>
        <v>36000</v>
      </c>
      <c r="AB689" s="14">
        <f t="shared" si="34"/>
        <v>32000</v>
      </c>
      <c r="AC689" s="14">
        <f t="shared" si="35"/>
        <v>28000</v>
      </c>
      <c r="AD689" s="3" t="s">
        <v>2401</v>
      </c>
      <c r="AE689" s="3" t="s">
        <v>2401</v>
      </c>
      <c r="AF689" s="43" t="s">
        <v>2401</v>
      </c>
      <c r="AG689" s="43"/>
      <c r="AH689" s="43"/>
      <c r="AI689" s="43">
        <v>20000</v>
      </c>
      <c r="AJ689" s="43"/>
      <c r="AK689" s="43"/>
      <c r="AL689" s="43"/>
      <c r="AM689" s="43"/>
      <c r="AN689" s="43">
        <v>20000</v>
      </c>
      <c r="AO689" s="43"/>
      <c r="AP689" s="43"/>
      <c r="AQ689" s="43"/>
      <c r="AR689" s="43"/>
      <c r="AS689" s="3">
        <v>40000</v>
      </c>
      <c r="AT689" s="272" t="s">
        <v>1025</v>
      </c>
      <c r="AU689" s="15"/>
    </row>
    <row r="690" spans="1:47" ht="16.5" hidden="1" customHeight="1" x14ac:dyDescent="0.35">
      <c r="A690" s="2" t="s">
        <v>161</v>
      </c>
      <c r="B690" s="2" t="s">
        <v>58</v>
      </c>
      <c r="C690" s="2" t="s">
        <v>47</v>
      </c>
      <c r="D690" s="2">
        <v>847</v>
      </c>
      <c r="E690" s="2">
        <v>8470520</v>
      </c>
      <c r="F690" s="2" t="s">
        <v>2375</v>
      </c>
      <c r="G690" s="2">
        <v>1</v>
      </c>
      <c r="H690" s="276">
        <v>428200</v>
      </c>
      <c r="I690" s="2" t="s">
        <v>2383</v>
      </c>
      <c r="J690" s="2" t="s">
        <v>60</v>
      </c>
      <c r="K690" s="2" t="s">
        <v>50</v>
      </c>
      <c r="L690" s="7">
        <v>847001</v>
      </c>
      <c r="M690" s="2" t="s">
        <v>61</v>
      </c>
      <c r="N690" s="2">
        <v>200179</v>
      </c>
      <c r="O690" s="3" t="s">
        <v>2609</v>
      </c>
      <c r="P690" s="35"/>
      <c r="Q690" s="2"/>
      <c r="R690" s="3"/>
      <c r="S690" s="2" t="s">
        <v>2384</v>
      </c>
      <c r="T690" s="2" t="s">
        <v>157</v>
      </c>
      <c r="U690" s="2">
        <v>1</v>
      </c>
      <c r="V690" s="3">
        <v>50000</v>
      </c>
      <c r="W690" s="36" t="s">
        <v>2402</v>
      </c>
      <c r="X690" s="2">
        <v>50000</v>
      </c>
      <c r="Y690" s="2" t="s">
        <v>55</v>
      </c>
      <c r="Z690" s="14" t="s">
        <v>56</v>
      </c>
      <c r="AA690" s="14">
        <f t="shared" si="33"/>
        <v>45000</v>
      </c>
      <c r="AB690" s="14">
        <f t="shared" si="34"/>
        <v>40000</v>
      </c>
      <c r="AC690" s="14">
        <f t="shared" si="35"/>
        <v>35000</v>
      </c>
      <c r="AD690" s="3" t="s">
        <v>2403</v>
      </c>
      <c r="AE690" s="3" t="s">
        <v>2403</v>
      </c>
      <c r="AF690" s="43" t="s">
        <v>2403</v>
      </c>
      <c r="AG690" s="43"/>
      <c r="AH690" s="43"/>
      <c r="AI690" s="43"/>
      <c r="AJ690" s="43"/>
      <c r="AK690" s="43">
        <v>50000</v>
      </c>
      <c r="AL690" s="43"/>
      <c r="AM690" s="43"/>
      <c r="AN690" s="43"/>
      <c r="AO690" s="43"/>
      <c r="AP690" s="43"/>
      <c r="AQ690" s="43"/>
      <c r="AR690" s="43"/>
      <c r="AS690" s="3">
        <v>50000</v>
      </c>
      <c r="AT690" s="272" t="s">
        <v>1025</v>
      </c>
      <c r="AU690" s="15"/>
    </row>
    <row r="691" spans="1:47" ht="16.5" hidden="1" customHeight="1" x14ac:dyDescent="0.35">
      <c r="A691" s="2" t="s">
        <v>161</v>
      </c>
      <c r="B691" s="2" t="s">
        <v>58</v>
      </c>
      <c r="C691" s="2" t="s">
        <v>47</v>
      </c>
      <c r="D691" s="2">
        <v>847</v>
      </c>
      <c r="E691" s="2">
        <v>8470520</v>
      </c>
      <c r="F691" s="2" t="s">
        <v>2375</v>
      </c>
      <c r="G691" s="2">
        <v>1</v>
      </c>
      <c r="H691" s="276">
        <v>428200</v>
      </c>
      <c r="I691" s="2" t="s">
        <v>2383</v>
      </c>
      <c r="J691" s="2" t="s">
        <v>60</v>
      </c>
      <c r="K691" s="2" t="s">
        <v>50</v>
      </c>
      <c r="L691" s="7">
        <v>847001</v>
      </c>
      <c r="M691" s="2" t="s">
        <v>61</v>
      </c>
      <c r="N691" s="2">
        <v>200179</v>
      </c>
      <c r="O691" s="3" t="s">
        <v>2609</v>
      </c>
      <c r="P691" s="35"/>
      <c r="Q691" s="2"/>
      <c r="R691" s="3"/>
      <c r="S691" s="2" t="s">
        <v>2384</v>
      </c>
      <c r="T691" s="2" t="s">
        <v>157</v>
      </c>
      <c r="U691" s="2">
        <v>1</v>
      </c>
      <c r="V691" s="3">
        <v>15000</v>
      </c>
      <c r="W691" s="36" t="s">
        <v>2404</v>
      </c>
      <c r="X691" s="2">
        <v>15000</v>
      </c>
      <c r="Y691" s="2" t="s">
        <v>55</v>
      </c>
      <c r="Z691" s="14" t="s">
        <v>56</v>
      </c>
      <c r="AA691" s="14">
        <f t="shared" si="33"/>
        <v>13500</v>
      </c>
      <c r="AB691" s="14">
        <f t="shared" si="34"/>
        <v>12000</v>
      </c>
      <c r="AC691" s="14">
        <f t="shared" si="35"/>
        <v>10500</v>
      </c>
      <c r="AD691" s="3" t="s">
        <v>2382</v>
      </c>
      <c r="AE691" s="3" t="s">
        <v>2382</v>
      </c>
      <c r="AF691" s="43" t="s">
        <v>2382</v>
      </c>
      <c r="AG691" s="43"/>
      <c r="AH691" s="43"/>
      <c r="AI691" s="43">
        <v>15000</v>
      </c>
      <c r="AJ691" s="43"/>
      <c r="AK691" s="43"/>
      <c r="AL691" s="43"/>
      <c r="AM691" s="43"/>
      <c r="AN691" s="43"/>
      <c r="AO691" s="43"/>
      <c r="AP691" s="43"/>
      <c r="AQ691" s="43"/>
      <c r="AR691" s="43"/>
      <c r="AS691" s="3">
        <v>15000</v>
      </c>
      <c r="AT691" s="272" t="s">
        <v>816</v>
      </c>
      <c r="AU691" s="15"/>
    </row>
    <row r="692" spans="1:47" ht="16.5" hidden="1" customHeight="1" x14ac:dyDescent="0.35">
      <c r="A692" s="2" t="s">
        <v>161</v>
      </c>
      <c r="B692" s="2" t="s">
        <v>58</v>
      </c>
      <c r="C692" s="2" t="s">
        <v>47</v>
      </c>
      <c r="D692" s="2">
        <v>847</v>
      </c>
      <c r="E692" s="2">
        <v>8470520</v>
      </c>
      <c r="F692" s="2" t="s">
        <v>2375</v>
      </c>
      <c r="G692" s="2">
        <v>1</v>
      </c>
      <c r="H692" s="276">
        <v>428200</v>
      </c>
      <c r="I692" s="2" t="s">
        <v>2383</v>
      </c>
      <c r="J692" s="2" t="s">
        <v>60</v>
      </c>
      <c r="K692" s="2" t="s">
        <v>50</v>
      </c>
      <c r="L692" s="7">
        <v>847001</v>
      </c>
      <c r="M692" s="2" t="s">
        <v>61</v>
      </c>
      <c r="N692" s="2">
        <v>200179</v>
      </c>
      <c r="O692" s="3" t="s">
        <v>2609</v>
      </c>
      <c r="P692" s="35"/>
      <c r="Q692" s="2"/>
      <c r="R692" s="3"/>
      <c r="S692" s="2" t="s">
        <v>2384</v>
      </c>
      <c r="T692" s="2" t="s">
        <v>157</v>
      </c>
      <c r="U692" s="2">
        <v>1</v>
      </c>
      <c r="V692" s="3">
        <v>50000</v>
      </c>
      <c r="W692" s="36" t="s">
        <v>2405</v>
      </c>
      <c r="X692" s="2">
        <v>50000</v>
      </c>
      <c r="Y692" s="2" t="s">
        <v>55</v>
      </c>
      <c r="Z692" s="14" t="s">
        <v>56</v>
      </c>
      <c r="AA692" s="14">
        <f t="shared" si="33"/>
        <v>45000</v>
      </c>
      <c r="AB692" s="14">
        <f t="shared" si="34"/>
        <v>40000</v>
      </c>
      <c r="AC692" s="14">
        <f t="shared" si="35"/>
        <v>35000</v>
      </c>
      <c r="AD692" s="3" t="s">
        <v>2406</v>
      </c>
      <c r="AE692" s="3" t="s">
        <v>2406</v>
      </c>
      <c r="AF692" s="43" t="s">
        <v>2406</v>
      </c>
      <c r="AG692" s="43"/>
      <c r="AH692" s="43"/>
      <c r="AI692" s="43"/>
      <c r="AJ692" s="43"/>
      <c r="AK692" s="43">
        <v>50000</v>
      </c>
      <c r="AL692" s="43"/>
      <c r="AM692" s="43"/>
      <c r="AN692" s="43"/>
      <c r="AO692" s="43"/>
      <c r="AP692" s="43"/>
      <c r="AQ692" s="43"/>
      <c r="AR692" s="43"/>
      <c r="AS692" s="3">
        <v>50000</v>
      </c>
      <c r="AT692" s="272" t="s">
        <v>1025</v>
      </c>
      <c r="AU692" s="15"/>
    </row>
    <row r="693" spans="1:47" ht="16.5" hidden="1" customHeight="1" x14ac:dyDescent="0.35">
      <c r="A693" s="2" t="s">
        <v>161</v>
      </c>
      <c r="B693" s="2" t="s">
        <v>58</v>
      </c>
      <c r="C693" s="2" t="s">
        <v>47</v>
      </c>
      <c r="D693" s="2">
        <v>847</v>
      </c>
      <c r="E693" s="2">
        <v>8470520</v>
      </c>
      <c r="F693" s="2" t="s">
        <v>2375</v>
      </c>
      <c r="G693" s="2">
        <v>1</v>
      </c>
      <c r="H693" s="276">
        <v>428200</v>
      </c>
      <c r="I693" s="2" t="s">
        <v>2383</v>
      </c>
      <c r="J693" s="2" t="s">
        <v>60</v>
      </c>
      <c r="K693" s="2" t="s">
        <v>50</v>
      </c>
      <c r="L693" s="7">
        <v>847001</v>
      </c>
      <c r="M693" s="2" t="s">
        <v>61</v>
      </c>
      <c r="N693" s="2">
        <v>200179</v>
      </c>
      <c r="O693" s="3" t="s">
        <v>2609</v>
      </c>
      <c r="P693" s="35"/>
      <c r="Q693" s="2"/>
      <c r="R693" s="3"/>
      <c r="S693" s="2" t="s">
        <v>2384</v>
      </c>
      <c r="T693" s="2" t="s">
        <v>157</v>
      </c>
      <c r="U693" s="2">
        <v>1</v>
      </c>
      <c r="V693" s="3">
        <v>50000</v>
      </c>
      <c r="W693" s="36" t="s">
        <v>2407</v>
      </c>
      <c r="X693" s="2">
        <v>50000</v>
      </c>
      <c r="Y693" s="2" t="s">
        <v>55</v>
      </c>
      <c r="Z693" s="14" t="s">
        <v>56</v>
      </c>
      <c r="AA693" s="14">
        <f t="shared" si="33"/>
        <v>45000</v>
      </c>
      <c r="AB693" s="14">
        <f t="shared" si="34"/>
        <v>40000</v>
      </c>
      <c r="AC693" s="14">
        <f t="shared" si="35"/>
        <v>35000</v>
      </c>
      <c r="AD693" s="3" t="s">
        <v>2408</v>
      </c>
      <c r="AE693" s="3" t="s">
        <v>2408</v>
      </c>
      <c r="AF693" s="43" t="s">
        <v>2408</v>
      </c>
      <c r="AG693" s="43"/>
      <c r="AH693" s="43"/>
      <c r="AI693" s="43"/>
      <c r="AJ693" s="43"/>
      <c r="AK693" s="43"/>
      <c r="AL693" s="43"/>
      <c r="AM693" s="43"/>
      <c r="AN693" s="43">
        <v>50000</v>
      </c>
      <c r="AO693" s="43"/>
      <c r="AP693" s="43"/>
      <c r="AQ693" s="43"/>
      <c r="AR693" s="43"/>
      <c r="AS693" s="3">
        <v>50000</v>
      </c>
      <c r="AT693" s="272" t="s">
        <v>1025</v>
      </c>
      <c r="AU693" s="15"/>
    </row>
    <row r="694" spans="1:47" ht="16.5" hidden="1" customHeight="1" x14ac:dyDescent="0.35">
      <c r="A694" s="2" t="s">
        <v>161</v>
      </c>
      <c r="B694" s="2" t="s">
        <v>58</v>
      </c>
      <c r="C694" s="2" t="s">
        <v>47</v>
      </c>
      <c r="D694" s="2">
        <v>847</v>
      </c>
      <c r="E694" s="2">
        <v>8470520</v>
      </c>
      <c r="F694" s="2" t="s">
        <v>2375</v>
      </c>
      <c r="G694" s="2">
        <v>1</v>
      </c>
      <c r="H694" s="276">
        <v>428200</v>
      </c>
      <c r="I694" s="2" t="s">
        <v>2383</v>
      </c>
      <c r="J694" s="2" t="s">
        <v>60</v>
      </c>
      <c r="K694" s="2" t="s">
        <v>50</v>
      </c>
      <c r="L694" s="7">
        <v>847001</v>
      </c>
      <c r="M694" s="2" t="s">
        <v>61</v>
      </c>
      <c r="N694" s="2">
        <v>200179</v>
      </c>
      <c r="O694" s="3" t="s">
        <v>2609</v>
      </c>
      <c r="P694" s="35"/>
      <c r="Q694" s="2"/>
      <c r="R694" s="3"/>
      <c r="S694" s="2" t="s">
        <v>2384</v>
      </c>
      <c r="T694" s="2" t="s">
        <v>157</v>
      </c>
      <c r="U694" s="2">
        <v>1</v>
      </c>
      <c r="V694" s="3">
        <v>20000</v>
      </c>
      <c r="W694" s="36" t="s">
        <v>2409</v>
      </c>
      <c r="X694" s="2">
        <v>20000</v>
      </c>
      <c r="Y694" s="2" t="s">
        <v>55</v>
      </c>
      <c r="Z694" s="14" t="s">
        <v>56</v>
      </c>
      <c r="AA694" s="14">
        <f t="shared" si="33"/>
        <v>18000</v>
      </c>
      <c r="AB694" s="14">
        <f t="shared" si="34"/>
        <v>16000</v>
      </c>
      <c r="AC694" s="14">
        <f t="shared" si="35"/>
        <v>14000</v>
      </c>
      <c r="AD694" s="3" t="s">
        <v>2410</v>
      </c>
      <c r="AE694" s="3" t="s">
        <v>2410</v>
      </c>
      <c r="AF694" s="43" t="s">
        <v>2410</v>
      </c>
      <c r="AG694" s="43"/>
      <c r="AH694" s="43"/>
      <c r="AI694" s="43">
        <v>10000</v>
      </c>
      <c r="AJ694" s="43"/>
      <c r="AK694" s="43"/>
      <c r="AL694" s="43"/>
      <c r="AM694" s="43"/>
      <c r="AN694" s="43">
        <v>10000</v>
      </c>
      <c r="AO694" s="43"/>
      <c r="AP694" s="43"/>
      <c r="AQ694" s="43"/>
      <c r="AR694" s="43"/>
      <c r="AS694" s="3">
        <v>20000</v>
      </c>
      <c r="AT694" s="272" t="s">
        <v>1025</v>
      </c>
      <c r="AU694" s="15"/>
    </row>
    <row r="695" spans="1:47" ht="16.5" hidden="1" customHeight="1" x14ac:dyDescent="0.35">
      <c r="A695" s="2" t="s">
        <v>161</v>
      </c>
      <c r="B695" s="2" t="s">
        <v>58</v>
      </c>
      <c r="C695" s="2" t="s">
        <v>47</v>
      </c>
      <c r="D695" s="2">
        <v>847</v>
      </c>
      <c r="E695" s="2">
        <v>8470520</v>
      </c>
      <c r="F695" s="2" t="s">
        <v>2375</v>
      </c>
      <c r="G695" s="2">
        <v>1</v>
      </c>
      <c r="H695" s="276">
        <v>428200</v>
      </c>
      <c r="I695" s="2" t="s">
        <v>2383</v>
      </c>
      <c r="J695" s="2" t="s">
        <v>60</v>
      </c>
      <c r="K695" s="2" t="s">
        <v>2411</v>
      </c>
      <c r="L695" s="7">
        <v>847951</v>
      </c>
      <c r="M695" s="2" t="s">
        <v>61</v>
      </c>
      <c r="N695" s="2">
        <v>200179</v>
      </c>
      <c r="O695" s="3" t="s">
        <v>2806</v>
      </c>
      <c r="P695" s="35">
        <v>276208.98</v>
      </c>
      <c r="Q695" s="2">
        <v>23100</v>
      </c>
      <c r="R695" s="3"/>
      <c r="S695" s="2"/>
      <c r="T695" s="2" t="s">
        <v>62</v>
      </c>
      <c r="U695" s="2"/>
      <c r="V695" s="3"/>
      <c r="W695" s="36"/>
      <c r="X695" s="2">
        <v>0</v>
      </c>
      <c r="Y695" s="2"/>
      <c r="Z695" s="14"/>
      <c r="AA695" s="14">
        <f t="shared" si="33"/>
        <v>0</v>
      </c>
      <c r="AB695" s="14">
        <f t="shared" si="34"/>
        <v>0</v>
      </c>
      <c r="AC695" s="14">
        <f t="shared" si="35"/>
        <v>0</v>
      </c>
      <c r="AD695" s="3"/>
      <c r="AE695" s="3"/>
      <c r="AF695" s="43"/>
      <c r="AG695" s="43"/>
      <c r="AH695" s="43"/>
      <c r="AI695" s="43"/>
      <c r="AJ695" s="43"/>
      <c r="AK695" s="43"/>
      <c r="AL695" s="43"/>
      <c r="AM695" s="43"/>
      <c r="AN695" s="43"/>
      <c r="AO695" s="43"/>
      <c r="AP695" s="43"/>
      <c r="AQ695" s="43"/>
      <c r="AR695" s="43"/>
      <c r="AS695" s="3">
        <v>0</v>
      </c>
      <c r="AT695" s="272"/>
      <c r="AU695" s="15"/>
    </row>
    <row r="696" spans="1:47" ht="16.5" hidden="1" customHeight="1" x14ac:dyDescent="0.35">
      <c r="A696" s="2" t="s">
        <v>161</v>
      </c>
      <c r="B696" s="2" t="s">
        <v>220</v>
      </c>
      <c r="C696" s="2" t="s">
        <v>47</v>
      </c>
      <c r="D696" s="2">
        <v>847</v>
      </c>
      <c r="E696" s="2">
        <v>8470520</v>
      </c>
      <c r="F696" s="2" t="s">
        <v>2375</v>
      </c>
      <c r="G696" s="2">
        <v>1</v>
      </c>
      <c r="H696" s="276">
        <v>492316</v>
      </c>
      <c r="I696" s="2" t="s">
        <v>221</v>
      </c>
      <c r="J696" s="2" t="s">
        <v>60</v>
      </c>
      <c r="K696" s="2" t="s">
        <v>50</v>
      </c>
      <c r="L696" s="7">
        <v>847001</v>
      </c>
      <c r="M696" s="2" t="s">
        <v>192</v>
      </c>
      <c r="N696" s="2">
        <v>300180</v>
      </c>
      <c r="O696" s="3" t="s">
        <v>2815</v>
      </c>
      <c r="P696" s="35" t="s">
        <v>46</v>
      </c>
      <c r="Q696" s="2">
        <v>171987</v>
      </c>
      <c r="R696" s="3"/>
      <c r="S696" s="2"/>
      <c r="T696" s="2" t="s">
        <v>62</v>
      </c>
      <c r="U696" s="2"/>
      <c r="V696" s="3"/>
      <c r="W696" s="36"/>
      <c r="X696" s="2">
        <v>0</v>
      </c>
      <c r="Y696" s="2"/>
      <c r="Z696" s="14"/>
      <c r="AA696" s="14">
        <f t="shared" si="33"/>
        <v>0</v>
      </c>
      <c r="AB696" s="14">
        <f t="shared" si="34"/>
        <v>0</v>
      </c>
      <c r="AC696" s="14">
        <f t="shared" si="35"/>
        <v>0</v>
      </c>
      <c r="AD696" s="3"/>
      <c r="AE696" s="3"/>
      <c r="AF696" s="43"/>
      <c r="AG696" s="43"/>
      <c r="AH696" s="43"/>
      <c r="AI696" s="43"/>
      <c r="AJ696" s="43"/>
      <c r="AK696" s="43"/>
      <c r="AL696" s="43"/>
      <c r="AM696" s="43"/>
      <c r="AN696" s="43"/>
      <c r="AO696" s="43"/>
      <c r="AP696" s="43"/>
      <c r="AQ696" s="43"/>
      <c r="AR696" s="43"/>
      <c r="AS696" s="3">
        <v>0</v>
      </c>
      <c r="AT696" s="272"/>
      <c r="AU696" s="15"/>
    </row>
    <row r="697" spans="1:47" ht="16.5" hidden="1" customHeight="1" x14ac:dyDescent="0.35">
      <c r="A697" s="2" t="s">
        <v>161</v>
      </c>
      <c r="B697" s="2" t="s">
        <v>58</v>
      </c>
      <c r="C697" s="2" t="s">
        <v>47</v>
      </c>
      <c r="D697" s="2">
        <v>847</v>
      </c>
      <c r="E697" s="2">
        <v>8470520</v>
      </c>
      <c r="F697" s="2" t="s">
        <v>2375</v>
      </c>
      <c r="G697" s="2">
        <v>1</v>
      </c>
      <c r="H697" s="276">
        <v>421600</v>
      </c>
      <c r="I697" s="2" t="s">
        <v>1475</v>
      </c>
      <c r="J697" s="2" t="s">
        <v>60</v>
      </c>
      <c r="K697" s="2" t="s">
        <v>2429</v>
      </c>
      <c r="L697" s="7">
        <v>847030</v>
      </c>
      <c r="M697" s="2" t="s">
        <v>61</v>
      </c>
      <c r="N697" s="2">
        <v>200179</v>
      </c>
      <c r="O697" s="3" t="s">
        <v>2792</v>
      </c>
      <c r="P697" s="35">
        <v>74260</v>
      </c>
      <c r="Q697" s="2" t="s">
        <v>46</v>
      </c>
      <c r="R697" s="3"/>
      <c r="S697" s="2"/>
      <c r="T697" s="2" t="s">
        <v>62</v>
      </c>
      <c r="U697" s="2"/>
      <c r="V697" s="3"/>
      <c r="W697" s="36"/>
      <c r="X697" s="2">
        <v>0</v>
      </c>
      <c r="Y697" s="2"/>
      <c r="Z697" s="14"/>
      <c r="AA697" s="14">
        <f t="shared" si="33"/>
        <v>0</v>
      </c>
      <c r="AB697" s="14">
        <f t="shared" si="34"/>
        <v>0</v>
      </c>
      <c r="AC697" s="14">
        <f t="shared" si="35"/>
        <v>0</v>
      </c>
      <c r="AD697" s="3"/>
      <c r="AE697" s="3"/>
      <c r="AF697" s="43"/>
      <c r="AG697" s="43"/>
      <c r="AH697" s="43"/>
      <c r="AI697" s="43"/>
      <c r="AJ697" s="43"/>
      <c r="AK697" s="43"/>
      <c r="AL697" s="43"/>
      <c r="AM697" s="43"/>
      <c r="AN697" s="43"/>
      <c r="AO697" s="43"/>
      <c r="AP697" s="43"/>
      <c r="AQ697" s="43"/>
      <c r="AR697" s="43"/>
      <c r="AS697" s="3">
        <v>0</v>
      </c>
      <c r="AT697" s="272"/>
      <c r="AU697" s="15"/>
    </row>
    <row r="698" spans="1:47" ht="16.5" hidden="1" customHeight="1" x14ac:dyDescent="0.35">
      <c r="A698" s="2" t="s">
        <v>245</v>
      </c>
      <c r="B698" s="2" t="s">
        <v>246</v>
      </c>
      <c r="C698" s="2" t="s">
        <v>47</v>
      </c>
      <c r="D698" s="2">
        <v>847</v>
      </c>
      <c r="E698" s="2">
        <v>8470520</v>
      </c>
      <c r="F698" s="2" t="s">
        <v>2375</v>
      </c>
      <c r="G698" s="2">
        <v>1</v>
      </c>
      <c r="H698" s="276">
        <v>425510</v>
      </c>
      <c r="I698" s="2" t="s">
        <v>247</v>
      </c>
      <c r="J698" s="2" t="s">
        <v>60</v>
      </c>
      <c r="K698" s="2" t="s">
        <v>2411</v>
      </c>
      <c r="L698" s="7">
        <v>847951</v>
      </c>
      <c r="M698" s="2" t="s">
        <v>61</v>
      </c>
      <c r="N698" s="2">
        <v>200179</v>
      </c>
      <c r="O698" s="3" t="s">
        <v>2793</v>
      </c>
      <c r="P698" s="35">
        <v>4998</v>
      </c>
      <c r="Q698" s="2" t="s">
        <v>46</v>
      </c>
      <c r="R698" s="3"/>
      <c r="S698" s="2"/>
      <c r="T698" s="2" t="s">
        <v>62</v>
      </c>
      <c r="U698" s="2"/>
      <c r="V698" s="3"/>
      <c r="W698" s="36"/>
      <c r="X698" s="2">
        <v>0</v>
      </c>
      <c r="Y698" s="2"/>
      <c r="Z698" s="14"/>
      <c r="AA698" s="14">
        <f t="shared" si="33"/>
        <v>0</v>
      </c>
      <c r="AB698" s="14">
        <f t="shared" si="34"/>
        <v>0</v>
      </c>
      <c r="AC698" s="14">
        <f t="shared" si="35"/>
        <v>0</v>
      </c>
      <c r="AD698" s="3"/>
      <c r="AE698" s="3"/>
      <c r="AF698" s="43"/>
      <c r="AG698" s="43"/>
      <c r="AH698" s="43"/>
      <c r="AI698" s="43"/>
      <c r="AJ698" s="43"/>
      <c r="AK698" s="43"/>
      <c r="AL698" s="43"/>
      <c r="AM698" s="43"/>
      <c r="AN698" s="43"/>
      <c r="AO698" s="43"/>
      <c r="AP698" s="43"/>
      <c r="AQ698" s="43"/>
      <c r="AR698" s="43"/>
      <c r="AS698" s="3">
        <v>0</v>
      </c>
      <c r="AT698" s="272"/>
      <c r="AU698" s="15"/>
    </row>
    <row r="699" spans="1:47" ht="16.5" hidden="1" customHeight="1" x14ac:dyDescent="0.35">
      <c r="A699" s="2" t="s">
        <v>161</v>
      </c>
      <c r="B699" s="2" t="s">
        <v>58</v>
      </c>
      <c r="C699" s="2" t="s">
        <v>47</v>
      </c>
      <c r="D699" s="2">
        <v>847</v>
      </c>
      <c r="E699" s="2">
        <v>8470530</v>
      </c>
      <c r="F699" s="2" t="s">
        <v>2412</v>
      </c>
      <c r="G699" s="2">
        <v>1</v>
      </c>
      <c r="H699" s="276">
        <v>420310</v>
      </c>
      <c r="I699" s="2" t="s">
        <v>1474</v>
      </c>
      <c r="J699" s="2" t="s">
        <v>60</v>
      </c>
      <c r="K699" s="2" t="s">
        <v>2413</v>
      </c>
      <c r="L699" s="7">
        <v>847010</v>
      </c>
      <c r="M699" s="2" t="s">
        <v>61</v>
      </c>
      <c r="N699" s="2">
        <v>200179</v>
      </c>
      <c r="O699" s="3" t="s">
        <v>2610</v>
      </c>
      <c r="P699" s="35">
        <v>3935286.72</v>
      </c>
      <c r="Q699" s="2">
        <v>4056439</v>
      </c>
      <c r="R699" s="3">
        <v>4056439</v>
      </c>
      <c r="S699" s="2" t="s">
        <v>2414</v>
      </c>
      <c r="T699" s="2" t="s">
        <v>515</v>
      </c>
      <c r="U699" s="2">
        <v>1</v>
      </c>
      <c r="V699" s="3">
        <v>4056438.64</v>
      </c>
      <c r="W699" s="36" t="s">
        <v>3361</v>
      </c>
      <c r="X699" s="2">
        <v>4056438.64</v>
      </c>
      <c r="Y699" s="2" t="s">
        <v>55</v>
      </c>
      <c r="Z699" s="14" t="s">
        <v>56</v>
      </c>
      <c r="AA699" s="14">
        <f t="shared" si="33"/>
        <v>3650794.7760000001</v>
      </c>
      <c r="AB699" s="14">
        <f t="shared" si="34"/>
        <v>3245150.9120000005</v>
      </c>
      <c r="AC699" s="14">
        <f t="shared" si="35"/>
        <v>2839507.048</v>
      </c>
      <c r="AD699" s="3" t="s">
        <v>2416</v>
      </c>
      <c r="AE699" s="3" t="s">
        <v>2416</v>
      </c>
      <c r="AF699" s="43" t="s">
        <v>2416</v>
      </c>
      <c r="AG699" s="43">
        <v>338036.55330000003</v>
      </c>
      <c r="AH699" s="43">
        <v>338036.55330000003</v>
      </c>
      <c r="AI699" s="43">
        <v>338036.55330000003</v>
      </c>
      <c r="AJ699" s="43">
        <v>338036.55330000003</v>
      </c>
      <c r="AK699" s="43">
        <v>338036.55330000003</v>
      </c>
      <c r="AL699" s="43">
        <v>338036.55330000003</v>
      </c>
      <c r="AM699" s="43">
        <v>338036.55330000003</v>
      </c>
      <c r="AN699" s="43">
        <v>338036.55330000003</v>
      </c>
      <c r="AO699" s="43">
        <v>338036.55330000003</v>
      </c>
      <c r="AP699" s="43">
        <v>338036.55330000003</v>
      </c>
      <c r="AQ699" s="43">
        <v>338036.55330000003</v>
      </c>
      <c r="AR699" s="43">
        <v>338036.55330000003</v>
      </c>
      <c r="AS699" s="3">
        <v>4056438.64</v>
      </c>
      <c r="AT699" s="272" t="s">
        <v>1025</v>
      </c>
      <c r="AU699" s="15"/>
    </row>
    <row r="700" spans="1:47" ht="16.5" hidden="1" customHeight="1" x14ac:dyDescent="0.35">
      <c r="A700" s="2" t="s">
        <v>161</v>
      </c>
      <c r="B700" s="2" t="s">
        <v>58</v>
      </c>
      <c r="C700" s="2" t="s">
        <v>47</v>
      </c>
      <c r="D700" s="2">
        <v>847</v>
      </c>
      <c r="E700" s="2">
        <v>8470530</v>
      </c>
      <c r="F700" s="2" t="s">
        <v>2412</v>
      </c>
      <c r="G700" s="2">
        <v>1</v>
      </c>
      <c r="H700" s="276">
        <v>420310</v>
      </c>
      <c r="I700" s="2" t="s">
        <v>1474</v>
      </c>
      <c r="J700" s="2" t="s">
        <v>60</v>
      </c>
      <c r="K700" s="2" t="s">
        <v>2417</v>
      </c>
      <c r="L700" s="7">
        <v>847015</v>
      </c>
      <c r="M700" s="2" t="s">
        <v>61</v>
      </c>
      <c r="N700" s="2">
        <v>200179</v>
      </c>
      <c r="O700" s="3" t="s">
        <v>2611</v>
      </c>
      <c r="P700" s="35">
        <v>0</v>
      </c>
      <c r="Q700" s="2">
        <v>747242</v>
      </c>
      <c r="R700" s="3">
        <v>747242</v>
      </c>
      <c r="S700" s="2" t="s">
        <v>2414</v>
      </c>
      <c r="T700" s="2" t="s">
        <v>515</v>
      </c>
      <c r="U700" s="2">
        <v>1</v>
      </c>
      <c r="V700" s="3">
        <v>747242</v>
      </c>
      <c r="W700" s="36" t="s">
        <v>3362</v>
      </c>
      <c r="X700" s="2">
        <v>747242</v>
      </c>
      <c r="Y700" s="2" t="s">
        <v>55</v>
      </c>
      <c r="Z700" s="14" t="s">
        <v>56</v>
      </c>
      <c r="AA700" s="14">
        <f t="shared" si="33"/>
        <v>672517.8</v>
      </c>
      <c r="AB700" s="14">
        <f t="shared" si="34"/>
        <v>597793.6</v>
      </c>
      <c r="AC700" s="14">
        <f t="shared" si="35"/>
        <v>523069.39999999997</v>
      </c>
      <c r="AD700" s="3" t="s">
        <v>2416</v>
      </c>
      <c r="AE700" s="3" t="s">
        <v>2416</v>
      </c>
      <c r="AF700" s="43" t="s">
        <v>2416</v>
      </c>
      <c r="AG700" s="43">
        <v>62270.166700000002</v>
      </c>
      <c r="AH700" s="43">
        <v>62270.166700000002</v>
      </c>
      <c r="AI700" s="43">
        <v>62270.166700000002</v>
      </c>
      <c r="AJ700" s="43">
        <v>62270.166700000002</v>
      </c>
      <c r="AK700" s="43">
        <v>62270.166700000002</v>
      </c>
      <c r="AL700" s="43">
        <v>62270.166700000002</v>
      </c>
      <c r="AM700" s="43">
        <v>62270.166700000002</v>
      </c>
      <c r="AN700" s="43">
        <v>62270.166700000002</v>
      </c>
      <c r="AO700" s="43">
        <v>62270.166700000002</v>
      </c>
      <c r="AP700" s="43">
        <v>62270.166700000002</v>
      </c>
      <c r="AQ700" s="43">
        <v>62270.166700000002</v>
      </c>
      <c r="AR700" s="43">
        <v>62270.166700000002</v>
      </c>
      <c r="AS700" s="3">
        <v>747242</v>
      </c>
      <c r="AT700" s="272" t="s">
        <v>1025</v>
      </c>
      <c r="AU700" s="15"/>
    </row>
    <row r="701" spans="1:47" ht="16.5" hidden="1" customHeight="1" x14ac:dyDescent="0.35">
      <c r="A701" s="2" t="s">
        <v>161</v>
      </c>
      <c r="B701" s="2" t="s">
        <v>58</v>
      </c>
      <c r="C701" s="2" t="s">
        <v>47</v>
      </c>
      <c r="D701" s="2">
        <v>847</v>
      </c>
      <c r="E701" s="2">
        <v>8470530</v>
      </c>
      <c r="F701" s="2" t="s">
        <v>2412</v>
      </c>
      <c r="G701" s="2">
        <v>1</v>
      </c>
      <c r="H701" s="276">
        <v>420310</v>
      </c>
      <c r="I701" s="2" t="s">
        <v>1474</v>
      </c>
      <c r="J701" s="2" t="s">
        <v>60</v>
      </c>
      <c r="K701" s="2" t="s">
        <v>2093</v>
      </c>
      <c r="L701" s="7">
        <v>847020</v>
      </c>
      <c r="M701" s="2" t="s">
        <v>61</v>
      </c>
      <c r="N701" s="2">
        <v>200179</v>
      </c>
      <c r="O701" s="3" t="s">
        <v>2612</v>
      </c>
      <c r="P701" s="35">
        <v>4940773.51</v>
      </c>
      <c r="Q701" s="2">
        <v>4118107</v>
      </c>
      <c r="R701" s="3">
        <v>4118107</v>
      </c>
      <c r="S701" s="2" t="s">
        <v>2414</v>
      </c>
      <c r="T701" s="2" t="s">
        <v>515</v>
      </c>
      <c r="U701" s="2">
        <v>1</v>
      </c>
      <c r="V701" s="3">
        <v>4118107</v>
      </c>
      <c r="W701" s="36" t="s">
        <v>2415</v>
      </c>
      <c r="X701" s="2">
        <v>4118107</v>
      </c>
      <c r="Y701" s="2" t="s">
        <v>55</v>
      </c>
      <c r="Z701" s="14" t="s">
        <v>56</v>
      </c>
      <c r="AA701" s="14">
        <f t="shared" si="33"/>
        <v>3706296.3000000003</v>
      </c>
      <c r="AB701" s="14">
        <f t="shared" si="34"/>
        <v>3294485.6</v>
      </c>
      <c r="AC701" s="14">
        <f t="shared" si="35"/>
        <v>2882674.9</v>
      </c>
      <c r="AD701" s="3" t="s">
        <v>2416</v>
      </c>
      <c r="AE701" s="3" t="s">
        <v>2416</v>
      </c>
      <c r="AF701" s="43" t="s">
        <v>2416</v>
      </c>
      <c r="AG701" s="43">
        <v>343175.5833</v>
      </c>
      <c r="AH701" s="43">
        <v>343175.5833</v>
      </c>
      <c r="AI701" s="43">
        <v>343175.5833</v>
      </c>
      <c r="AJ701" s="43">
        <v>343175.5833</v>
      </c>
      <c r="AK701" s="43">
        <v>343175.5833</v>
      </c>
      <c r="AL701" s="43">
        <v>343175.5833</v>
      </c>
      <c r="AM701" s="43">
        <v>343175.5833</v>
      </c>
      <c r="AN701" s="43">
        <v>343175.5833</v>
      </c>
      <c r="AO701" s="43">
        <v>343175.5833</v>
      </c>
      <c r="AP701" s="43">
        <v>343175.5833</v>
      </c>
      <c r="AQ701" s="43">
        <v>343175.5833</v>
      </c>
      <c r="AR701" s="43">
        <v>343175.5833</v>
      </c>
      <c r="AS701" s="3">
        <v>4118107</v>
      </c>
      <c r="AT701" s="272" t="s">
        <v>1025</v>
      </c>
      <c r="AU701" s="15"/>
    </row>
    <row r="702" spans="1:47" ht="16.5" hidden="1" customHeight="1" x14ac:dyDescent="0.35">
      <c r="A702" s="2" t="s">
        <v>189</v>
      </c>
      <c r="B702" s="2" t="s">
        <v>58</v>
      </c>
      <c r="C702" s="2" t="s">
        <v>47</v>
      </c>
      <c r="D702" s="2">
        <v>847</v>
      </c>
      <c r="E702" s="2">
        <v>8470530</v>
      </c>
      <c r="F702" s="2" t="s">
        <v>2412</v>
      </c>
      <c r="G702" s="2">
        <v>1</v>
      </c>
      <c r="H702" s="276">
        <v>429900</v>
      </c>
      <c r="I702" s="2" t="s">
        <v>2359</v>
      </c>
      <c r="J702" s="2" t="s">
        <v>60</v>
      </c>
      <c r="K702" s="2" t="s">
        <v>2413</v>
      </c>
      <c r="L702" s="7" t="s">
        <v>2418</v>
      </c>
      <c r="M702" s="2" t="s">
        <v>61</v>
      </c>
      <c r="N702" s="2">
        <v>200179</v>
      </c>
      <c r="O702" s="3" t="s">
        <v>2613</v>
      </c>
      <c r="P702" s="35"/>
      <c r="Q702" s="2"/>
      <c r="R702" s="3"/>
      <c r="S702" s="2" t="s">
        <v>2361</v>
      </c>
      <c r="T702" s="2" t="s">
        <v>1418</v>
      </c>
      <c r="U702" s="2">
        <v>1</v>
      </c>
      <c r="V702" s="3">
        <v>220000</v>
      </c>
      <c r="W702" s="36" t="s">
        <v>2419</v>
      </c>
      <c r="X702" s="2">
        <v>220000</v>
      </c>
      <c r="Y702" s="2" t="s">
        <v>55</v>
      </c>
      <c r="Z702" s="14" t="s">
        <v>56</v>
      </c>
      <c r="AA702" s="14">
        <f t="shared" si="33"/>
        <v>198000</v>
      </c>
      <c r="AB702" s="14">
        <f t="shared" si="34"/>
        <v>176000</v>
      </c>
      <c r="AC702" s="14">
        <f t="shared" si="35"/>
        <v>154000</v>
      </c>
      <c r="AD702" s="3" t="s">
        <v>2416</v>
      </c>
      <c r="AE702" s="3" t="s">
        <v>2416</v>
      </c>
      <c r="AF702" s="43" t="s">
        <v>2416</v>
      </c>
      <c r="AG702" s="43">
        <v>20000</v>
      </c>
      <c r="AH702" s="43">
        <v>20000</v>
      </c>
      <c r="AI702" s="43">
        <v>20000</v>
      </c>
      <c r="AJ702" s="43">
        <v>20000</v>
      </c>
      <c r="AK702" s="43">
        <v>20000</v>
      </c>
      <c r="AL702" s="43">
        <v>20000</v>
      </c>
      <c r="AM702" s="43">
        <v>20000</v>
      </c>
      <c r="AN702" s="43">
        <v>20000</v>
      </c>
      <c r="AO702" s="43">
        <v>20000</v>
      </c>
      <c r="AP702" s="43">
        <v>20000</v>
      </c>
      <c r="AQ702" s="43">
        <v>20000</v>
      </c>
      <c r="AR702" s="43"/>
      <c r="AS702" s="3">
        <v>220000</v>
      </c>
      <c r="AT702" s="272" t="s">
        <v>1025</v>
      </c>
      <c r="AU702" s="15"/>
    </row>
    <row r="703" spans="1:47" ht="16.5" hidden="1" customHeight="1" x14ac:dyDescent="0.35">
      <c r="A703" s="2" t="s">
        <v>71</v>
      </c>
      <c r="B703" s="2" t="s">
        <v>1010</v>
      </c>
      <c r="C703" s="2" t="s">
        <v>47</v>
      </c>
      <c r="D703" s="2">
        <v>847</v>
      </c>
      <c r="E703" s="2">
        <v>8470530</v>
      </c>
      <c r="F703" s="2" t="s">
        <v>2412</v>
      </c>
      <c r="G703" s="2">
        <v>1</v>
      </c>
      <c r="H703" s="276">
        <v>421000</v>
      </c>
      <c r="I703" s="2" t="s">
        <v>1011</v>
      </c>
      <c r="J703" s="2" t="s">
        <v>60</v>
      </c>
      <c r="K703" s="2" t="s">
        <v>2413</v>
      </c>
      <c r="L703" s="7" t="s">
        <v>2418</v>
      </c>
      <c r="M703" s="2" t="s">
        <v>61</v>
      </c>
      <c r="N703" s="2">
        <v>200179</v>
      </c>
      <c r="O703" s="3" t="s">
        <v>2614</v>
      </c>
      <c r="P703" s="35"/>
      <c r="Q703" s="2"/>
      <c r="R703" s="3"/>
      <c r="S703" s="2" t="s">
        <v>2617</v>
      </c>
      <c r="T703" s="2" t="s">
        <v>515</v>
      </c>
      <c r="U703" s="2">
        <v>1</v>
      </c>
      <c r="V703" s="9">
        <v>5000000</v>
      </c>
      <c r="W703" s="36" t="s">
        <v>2420</v>
      </c>
      <c r="X703" s="10">
        <v>5000000</v>
      </c>
      <c r="Y703" s="2" t="s">
        <v>210</v>
      </c>
      <c r="Z703" s="14" t="s">
        <v>197</v>
      </c>
      <c r="AA703" s="14">
        <f t="shared" si="33"/>
        <v>4500000</v>
      </c>
      <c r="AB703" s="14">
        <f t="shared" si="34"/>
        <v>4000000</v>
      </c>
      <c r="AC703" s="14">
        <f t="shared" si="35"/>
        <v>3500000</v>
      </c>
      <c r="AD703" s="3" t="s">
        <v>2416</v>
      </c>
      <c r="AE703" s="3" t="s">
        <v>2416</v>
      </c>
      <c r="AF703" s="43" t="s">
        <v>2416</v>
      </c>
      <c r="AG703" s="43"/>
      <c r="AH703" s="43"/>
      <c r="AI703" s="43">
        <v>5000000</v>
      </c>
      <c r="AJ703" s="43"/>
      <c r="AK703" s="43"/>
      <c r="AL703" s="43"/>
      <c r="AM703" s="43"/>
      <c r="AN703" s="43"/>
      <c r="AO703" s="43"/>
      <c r="AP703" s="43"/>
      <c r="AQ703" s="43"/>
      <c r="AR703" s="43"/>
      <c r="AS703" s="3">
        <v>5000000</v>
      </c>
      <c r="AT703" s="272" t="s">
        <v>1025</v>
      </c>
      <c r="AU703" s="15"/>
    </row>
    <row r="704" spans="1:47" ht="16.5" hidden="1" customHeight="1" x14ac:dyDescent="0.35">
      <c r="A704" s="2" t="s">
        <v>71</v>
      </c>
      <c r="B704" s="2" t="s">
        <v>1010</v>
      </c>
      <c r="C704" s="2" t="s">
        <v>47</v>
      </c>
      <c r="D704" s="2">
        <v>847</v>
      </c>
      <c r="E704" s="2">
        <v>8470530</v>
      </c>
      <c r="F704" s="2" t="s">
        <v>2412</v>
      </c>
      <c r="G704" s="2">
        <v>1</v>
      </c>
      <c r="H704" s="276">
        <v>421000</v>
      </c>
      <c r="I704" s="2" t="s">
        <v>1011</v>
      </c>
      <c r="J704" s="2" t="s">
        <v>60</v>
      </c>
      <c r="K704" s="2" t="s">
        <v>2413</v>
      </c>
      <c r="L704" s="7" t="s">
        <v>2418</v>
      </c>
      <c r="M704" s="2" t="s">
        <v>61</v>
      </c>
      <c r="N704" s="2">
        <v>200179</v>
      </c>
      <c r="O704" s="3" t="s">
        <v>2614</v>
      </c>
      <c r="P704" s="35"/>
      <c r="Q704" s="2"/>
      <c r="R704" s="3"/>
      <c r="S704" s="2" t="s">
        <v>2365</v>
      </c>
      <c r="T704" s="2" t="s">
        <v>269</v>
      </c>
      <c r="U704" s="2">
        <v>1</v>
      </c>
      <c r="V704" s="9">
        <v>2000000</v>
      </c>
      <c r="W704" s="36" t="s">
        <v>2421</v>
      </c>
      <c r="X704" s="10">
        <v>2000000</v>
      </c>
      <c r="Y704" s="2" t="s">
        <v>210</v>
      </c>
      <c r="Z704" s="14" t="s">
        <v>197</v>
      </c>
      <c r="AA704" s="14">
        <f t="shared" si="33"/>
        <v>1800000</v>
      </c>
      <c r="AB704" s="14">
        <f t="shared" si="34"/>
        <v>1600000</v>
      </c>
      <c r="AC704" s="14">
        <f t="shared" si="35"/>
        <v>1400000</v>
      </c>
      <c r="AD704" s="3" t="s">
        <v>2416</v>
      </c>
      <c r="AE704" s="3" t="s">
        <v>2416</v>
      </c>
      <c r="AF704" s="43" t="s">
        <v>2416</v>
      </c>
      <c r="AG704" s="43"/>
      <c r="AH704" s="43"/>
      <c r="AI704" s="43">
        <v>2000000</v>
      </c>
      <c r="AJ704" s="43"/>
      <c r="AK704" s="43"/>
      <c r="AL704" s="43"/>
      <c r="AM704" s="43"/>
      <c r="AN704" s="43"/>
      <c r="AO704" s="43"/>
      <c r="AP704" s="43"/>
      <c r="AQ704" s="43"/>
      <c r="AR704" s="43"/>
      <c r="AS704" s="3">
        <v>2000000</v>
      </c>
      <c r="AT704" s="272" t="s">
        <v>1025</v>
      </c>
      <c r="AU704" s="15"/>
    </row>
    <row r="705" spans="1:48" ht="16.5" hidden="1" customHeight="1" x14ac:dyDescent="0.35">
      <c r="A705" s="2" t="s">
        <v>71</v>
      </c>
      <c r="B705" s="2" t="s">
        <v>1010</v>
      </c>
      <c r="C705" s="2" t="s">
        <v>47</v>
      </c>
      <c r="D705" s="2">
        <v>847</v>
      </c>
      <c r="E705" s="2">
        <v>8470530</v>
      </c>
      <c r="F705" s="2" t="s">
        <v>2412</v>
      </c>
      <c r="G705" s="2">
        <v>1</v>
      </c>
      <c r="H705" s="276">
        <v>421000</v>
      </c>
      <c r="I705" s="2" t="s">
        <v>1011</v>
      </c>
      <c r="J705" s="2" t="s">
        <v>60</v>
      </c>
      <c r="K705" s="2" t="s">
        <v>2093</v>
      </c>
      <c r="L705" s="7" t="s">
        <v>2422</v>
      </c>
      <c r="M705" s="2" t="s">
        <v>61</v>
      </c>
      <c r="N705" s="2">
        <v>200179</v>
      </c>
      <c r="O705" s="3" t="s">
        <v>2791</v>
      </c>
      <c r="P705" s="35"/>
      <c r="Q705" s="2"/>
      <c r="R705" s="3"/>
      <c r="S705" s="2" t="s">
        <v>2617</v>
      </c>
      <c r="T705" s="2" t="s">
        <v>515</v>
      </c>
      <c r="U705" s="2"/>
      <c r="V705" s="3"/>
      <c r="W705" s="36" t="s">
        <v>2423</v>
      </c>
      <c r="X705" s="2"/>
      <c r="Y705" s="2"/>
      <c r="Z705" s="14"/>
      <c r="AA705" s="14">
        <f t="shared" si="33"/>
        <v>0</v>
      </c>
      <c r="AB705" s="14">
        <f t="shared" si="34"/>
        <v>0</v>
      </c>
      <c r="AC705" s="14">
        <f t="shared" si="35"/>
        <v>0</v>
      </c>
      <c r="AD705" s="3"/>
      <c r="AE705" s="3"/>
      <c r="AF705" s="43"/>
      <c r="AG705" s="43"/>
      <c r="AH705" s="43"/>
      <c r="AI705" s="43"/>
      <c r="AJ705" s="43"/>
      <c r="AK705" s="43"/>
      <c r="AL705" s="43"/>
      <c r="AM705" s="43"/>
      <c r="AN705" s="43"/>
      <c r="AO705" s="43"/>
      <c r="AP705" s="43"/>
      <c r="AQ705" s="43"/>
      <c r="AR705" s="43"/>
      <c r="AS705" s="3"/>
      <c r="AT705" s="272"/>
      <c r="AU705" s="15"/>
      <c r="AV705" t="s">
        <v>2424</v>
      </c>
    </row>
    <row r="706" spans="1:48" ht="16.5" hidden="1" customHeight="1" x14ac:dyDescent="0.35">
      <c r="A706" s="2" t="s">
        <v>46</v>
      </c>
      <c r="B706" s="2" t="s">
        <v>46</v>
      </c>
      <c r="C706" s="2" t="s">
        <v>47</v>
      </c>
      <c r="D706" s="2">
        <v>847</v>
      </c>
      <c r="E706" s="2">
        <v>8470530</v>
      </c>
      <c r="F706" s="2" t="s">
        <v>2412</v>
      </c>
      <c r="G706" s="2">
        <v>1</v>
      </c>
      <c r="H706" s="276">
        <v>430110</v>
      </c>
      <c r="I706" s="2" t="s">
        <v>2425</v>
      </c>
      <c r="J706" s="2" t="s">
        <v>60</v>
      </c>
      <c r="K706" s="2" t="s">
        <v>2413</v>
      </c>
      <c r="L706" s="7" t="s">
        <v>2418</v>
      </c>
      <c r="M706" s="2" t="s">
        <v>61</v>
      </c>
      <c r="N706" s="2">
        <v>200179</v>
      </c>
      <c r="O706" s="3" t="s">
        <v>2699</v>
      </c>
      <c r="P706" s="35"/>
      <c r="Q706" s="2"/>
      <c r="R706" s="3"/>
      <c r="S706" s="2" t="s">
        <v>2426</v>
      </c>
      <c r="T706" s="2"/>
      <c r="U706" s="2">
        <v>1</v>
      </c>
      <c r="V706" s="3">
        <v>233000</v>
      </c>
      <c r="W706" s="36" t="s">
        <v>2427</v>
      </c>
      <c r="X706" s="2">
        <v>233000</v>
      </c>
      <c r="Y706" s="2" t="s">
        <v>210</v>
      </c>
      <c r="Z706" s="14" t="s">
        <v>197</v>
      </c>
      <c r="AA706" s="14">
        <f t="shared" ref="AA706:AA769" si="36">X706*0.9</f>
        <v>209700</v>
      </c>
      <c r="AB706" s="14">
        <f t="shared" ref="AB706:AB769" si="37">X706*0.8</f>
        <v>186400</v>
      </c>
      <c r="AC706" s="14">
        <f t="shared" ref="AC706:AC769" si="38">X706*0.7</f>
        <v>163100</v>
      </c>
      <c r="AD706" s="3" t="s">
        <v>2416</v>
      </c>
      <c r="AE706" s="3" t="s">
        <v>2416</v>
      </c>
      <c r="AF706" s="43" t="s">
        <v>2416</v>
      </c>
      <c r="AG706" s="43"/>
      <c r="AH706" s="43"/>
      <c r="AI706" s="43"/>
      <c r="AJ706" s="43"/>
      <c r="AK706" s="43"/>
      <c r="AL706" s="43"/>
      <c r="AM706" s="43"/>
      <c r="AN706" s="43"/>
      <c r="AO706" s="43"/>
      <c r="AP706" s="43"/>
      <c r="AQ706" s="43"/>
      <c r="AR706" s="43">
        <v>233000</v>
      </c>
      <c r="AS706" s="3">
        <v>233000</v>
      </c>
      <c r="AT706" s="272" t="s">
        <v>1025</v>
      </c>
      <c r="AU706" s="15"/>
    </row>
    <row r="707" spans="1:48" ht="16.5" hidden="1" customHeight="1" x14ac:dyDescent="0.35">
      <c r="A707" s="2" t="s">
        <v>1535</v>
      </c>
      <c r="B707" s="2" t="s">
        <v>58</v>
      </c>
      <c r="C707" s="2" t="s">
        <v>47</v>
      </c>
      <c r="D707" s="2">
        <v>847</v>
      </c>
      <c r="E707" s="2">
        <v>8470530</v>
      </c>
      <c r="F707" s="2" t="s">
        <v>2412</v>
      </c>
      <c r="G707" s="2">
        <v>1</v>
      </c>
      <c r="H707" s="276">
        <v>430120</v>
      </c>
      <c r="I707" s="2" t="s">
        <v>2428</v>
      </c>
      <c r="J707" s="2" t="s">
        <v>60</v>
      </c>
      <c r="K707" s="2" t="s">
        <v>2429</v>
      </c>
      <c r="L707" s="7" t="s">
        <v>2430</v>
      </c>
      <c r="M707" s="2" t="s">
        <v>61</v>
      </c>
      <c r="N707" s="2">
        <v>200179</v>
      </c>
      <c r="O707" s="3" t="s">
        <v>2616</v>
      </c>
      <c r="P707" s="35"/>
      <c r="Q707" s="2"/>
      <c r="R707" s="3"/>
      <c r="S707" s="2" t="str">
        <f>VLOOKUP(O707,'[3]Consolidation FMS&amp;HSE 2025'!$O:$P,2,FALSE)</f>
        <v>430120.Rental - Buildings, other than staff residences-Area-2m</v>
      </c>
      <c r="T707" s="2" t="s">
        <v>515</v>
      </c>
      <c r="U707" s="2">
        <v>1</v>
      </c>
      <c r="V707" s="3">
        <v>4587000</v>
      </c>
      <c r="W707" s="36" t="s">
        <v>2431</v>
      </c>
      <c r="X707" s="10">
        <v>4587000</v>
      </c>
      <c r="Y707" s="2" t="s">
        <v>55</v>
      </c>
      <c r="Z707" s="14" t="s">
        <v>56</v>
      </c>
      <c r="AA707" s="14">
        <f t="shared" si="36"/>
        <v>4128300</v>
      </c>
      <c r="AB707" s="14">
        <f t="shared" si="37"/>
        <v>3669600</v>
      </c>
      <c r="AC707" s="14">
        <f t="shared" si="38"/>
        <v>3210900</v>
      </c>
      <c r="AD707" s="3" t="s">
        <v>2416</v>
      </c>
      <c r="AE707" s="3" t="s">
        <v>2416</v>
      </c>
      <c r="AF707" s="43" t="s">
        <v>2416</v>
      </c>
      <c r="AG707" s="43"/>
      <c r="AH707" s="43"/>
      <c r="AI707" s="43">
        <v>4587000</v>
      </c>
      <c r="AJ707" s="43"/>
      <c r="AK707" s="43"/>
      <c r="AL707" s="43"/>
      <c r="AM707" s="43"/>
      <c r="AN707" s="43"/>
      <c r="AO707" s="43"/>
      <c r="AP707" s="43"/>
      <c r="AQ707" s="43"/>
      <c r="AR707" s="43"/>
      <c r="AS707" s="3">
        <v>4587000</v>
      </c>
      <c r="AT707" s="272" t="s">
        <v>1025</v>
      </c>
      <c r="AU707" s="15"/>
    </row>
    <row r="708" spans="1:48" ht="16.5" hidden="1" customHeight="1" x14ac:dyDescent="0.35">
      <c r="A708" s="2" t="s">
        <v>1535</v>
      </c>
      <c r="B708" s="2" t="s">
        <v>58</v>
      </c>
      <c r="C708" s="2" t="s">
        <v>47</v>
      </c>
      <c r="D708" s="2">
        <v>847</v>
      </c>
      <c r="E708" s="2">
        <v>8470530</v>
      </c>
      <c r="F708" s="2" t="s">
        <v>2412</v>
      </c>
      <c r="G708" s="2">
        <v>1</v>
      </c>
      <c r="H708" s="276">
        <v>430120</v>
      </c>
      <c r="I708" s="2" t="s">
        <v>2428</v>
      </c>
      <c r="J708" s="2" t="s">
        <v>60</v>
      </c>
      <c r="K708" s="2" t="s">
        <v>2429</v>
      </c>
      <c r="L708" s="7" t="s">
        <v>2430</v>
      </c>
      <c r="M708" s="2" t="s">
        <v>61</v>
      </c>
      <c r="N708" s="2">
        <v>200179</v>
      </c>
      <c r="O708" s="3" t="s">
        <v>2616</v>
      </c>
      <c r="P708" s="35"/>
      <c r="Q708" s="2"/>
      <c r="R708" s="3"/>
      <c r="S708" s="2" t="str">
        <f>VLOOKUP(O708,'[3]Consolidation FMS&amp;HSE 2025'!$O:$P,2,FALSE)</f>
        <v>430120.Rental - Buildings, other than staff residences-Area-2m</v>
      </c>
      <c r="T708" s="2" t="s">
        <v>515</v>
      </c>
      <c r="U708" s="2">
        <v>1</v>
      </c>
      <c r="V708" s="3">
        <v>4632870</v>
      </c>
      <c r="W708" s="36" t="s">
        <v>2432</v>
      </c>
      <c r="X708" s="10">
        <v>4632870</v>
      </c>
      <c r="Y708" s="2" t="s">
        <v>55</v>
      </c>
      <c r="Z708" s="14" t="s">
        <v>56</v>
      </c>
      <c r="AA708" s="14">
        <f t="shared" si="36"/>
        <v>4169583</v>
      </c>
      <c r="AB708" s="14">
        <f t="shared" si="37"/>
        <v>3706296</v>
      </c>
      <c r="AC708" s="14">
        <f t="shared" si="38"/>
        <v>3243009</v>
      </c>
      <c r="AD708" s="3" t="s">
        <v>2416</v>
      </c>
      <c r="AE708" s="3" t="s">
        <v>2416</v>
      </c>
      <c r="AF708" s="43" t="s">
        <v>2416</v>
      </c>
      <c r="AG708" s="43"/>
      <c r="AH708" s="43"/>
      <c r="AI708" s="43"/>
      <c r="AJ708" s="43"/>
      <c r="AK708" s="43"/>
      <c r="AL708" s="43"/>
      <c r="AM708" s="43"/>
      <c r="AN708" s="43"/>
      <c r="AO708" s="43"/>
      <c r="AP708" s="43"/>
      <c r="AQ708" s="43"/>
      <c r="AR708" s="43">
        <v>4632870</v>
      </c>
      <c r="AS708" s="3">
        <v>4632870</v>
      </c>
      <c r="AT708" s="272" t="s">
        <v>1025</v>
      </c>
      <c r="AU708" s="15"/>
    </row>
    <row r="709" spans="1:48" ht="16.5" hidden="1" customHeight="1" x14ac:dyDescent="0.35">
      <c r="A709" s="2" t="s">
        <v>1535</v>
      </c>
      <c r="B709" s="2" t="s">
        <v>58</v>
      </c>
      <c r="C709" s="2" t="s">
        <v>47</v>
      </c>
      <c r="D709" s="2">
        <v>847</v>
      </c>
      <c r="E709" s="2">
        <v>8470530</v>
      </c>
      <c r="F709" s="2" t="s">
        <v>2412</v>
      </c>
      <c r="G709" s="2">
        <v>1</v>
      </c>
      <c r="H709" s="276">
        <v>430120</v>
      </c>
      <c r="I709" s="2" t="s">
        <v>2428</v>
      </c>
      <c r="J709" s="2" t="s">
        <v>60</v>
      </c>
      <c r="K709" s="2" t="s">
        <v>2429</v>
      </c>
      <c r="L709" s="7">
        <v>847030</v>
      </c>
      <c r="M709" s="2" t="s">
        <v>61</v>
      </c>
      <c r="N709" s="2">
        <v>200179</v>
      </c>
      <c r="O709" s="3" t="s">
        <v>2616</v>
      </c>
      <c r="P709" s="35"/>
      <c r="Q709" s="2"/>
      <c r="R709" s="3"/>
      <c r="S709" s="2" t="str">
        <f>VLOOKUP(O709,'[3]Consolidation FMS&amp;HSE 2025'!$O:$P,2,FALSE)</f>
        <v>430120.Rental - Buildings, other than staff residences-Area-2m</v>
      </c>
      <c r="T709" s="2" t="s">
        <v>515</v>
      </c>
      <c r="U709" s="2">
        <v>1</v>
      </c>
      <c r="V709" s="3">
        <v>5000000</v>
      </c>
      <c r="W709" s="36" t="s">
        <v>3425</v>
      </c>
      <c r="X709" s="10">
        <v>5000000</v>
      </c>
      <c r="Y709" s="2"/>
      <c r="Z709" s="14"/>
      <c r="AA709" s="14">
        <f t="shared" si="36"/>
        <v>4500000</v>
      </c>
      <c r="AB709" s="14">
        <f t="shared" si="37"/>
        <v>4000000</v>
      </c>
      <c r="AC709" s="14">
        <f t="shared" si="38"/>
        <v>3500000</v>
      </c>
      <c r="AD709" s="3" t="s">
        <v>2416</v>
      </c>
      <c r="AE709" s="3" t="s">
        <v>2416</v>
      </c>
      <c r="AF709" s="43" t="s">
        <v>2416</v>
      </c>
      <c r="AG709" s="43"/>
      <c r="AH709" s="43"/>
      <c r="AI709" s="43">
        <v>5000000</v>
      </c>
      <c r="AJ709" s="43"/>
      <c r="AK709" s="43"/>
      <c r="AL709" s="43"/>
      <c r="AM709" s="43"/>
      <c r="AN709" s="43"/>
      <c r="AO709" s="43"/>
      <c r="AP709" s="43"/>
      <c r="AQ709" s="43"/>
      <c r="AR709" s="43"/>
      <c r="AS709" s="3">
        <v>5000000</v>
      </c>
      <c r="AT709" s="272" t="s">
        <v>1025</v>
      </c>
      <c r="AU709" s="15"/>
    </row>
    <row r="710" spans="1:48" ht="16.5" hidden="1" customHeight="1" x14ac:dyDescent="0.35">
      <c r="A710" s="2" t="s">
        <v>1535</v>
      </c>
      <c r="B710" s="2" t="s">
        <v>58</v>
      </c>
      <c r="C710" s="2" t="s">
        <v>47</v>
      </c>
      <c r="D710" s="2">
        <v>847</v>
      </c>
      <c r="E710" s="2">
        <v>8470530</v>
      </c>
      <c r="F710" s="2" t="s">
        <v>2412</v>
      </c>
      <c r="G710" s="2">
        <v>1</v>
      </c>
      <c r="H710" s="276">
        <v>430120</v>
      </c>
      <c r="I710" s="2" t="s">
        <v>2428</v>
      </c>
      <c r="J710" s="2" t="s">
        <v>60</v>
      </c>
      <c r="K710" s="2" t="s">
        <v>2093</v>
      </c>
      <c r="L710" s="7">
        <v>847020</v>
      </c>
      <c r="M710" s="2" t="s">
        <v>61</v>
      </c>
      <c r="N710" s="2">
        <v>200179</v>
      </c>
      <c r="O710" s="3" t="s">
        <v>2619</v>
      </c>
      <c r="P710" s="35"/>
      <c r="Q710" s="2"/>
      <c r="R710" s="3"/>
      <c r="S710" s="2" t="str">
        <f>VLOOKUP(O710,'[3]Consolidation FMS&amp;HSE 2025'!$O:$P,2,FALSE)</f>
        <v>430120.Rental - Buildings, other than staff residences-Area-2m</v>
      </c>
      <c r="T710" s="2" t="s">
        <v>515</v>
      </c>
      <c r="U710" s="2">
        <v>1</v>
      </c>
      <c r="V710" s="3">
        <v>8000000</v>
      </c>
      <c r="W710" s="36" t="s">
        <v>3426</v>
      </c>
      <c r="X710" s="10">
        <v>8000000</v>
      </c>
      <c r="Y710" s="2" t="s">
        <v>55</v>
      </c>
      <c r="Z710" s="14" t="s">
        <v>56</v>
      </c>
      <c r="AA710" s="14">
        <f t="shared" si="36"/>
        <v>7200000</v>
      </c>
      <c r="AB710" s="14">
        <f t="shared" si="37"/>
        <v>6400000</v>
      </c>
      <c r="AC710" s="14">
        <f t="shared" si="38"/>
        <v>5600000</v>
      </c>
      <c r="AD710" s="3" t="s">
        <v>2416</v>
      </c>
      <c r="AE710" s="3" t="s">
        <v>2416</v>
      </c>
      <c r="AF710" s="43" t="s">
        <v>2416</v>
      </c>
      <c r="AG710" s="43"/>
      <c r="AH710" s="43"/>
      <c r="AI710" s="43">
        <v>8000000</v>
      </c>
      <c r="AJ710" s="43"/>
      <c r="AK710" s="43"/>
      <c r="AL710" s="43"/>
      <c r="AM710" s="43"/>
      <c r="AN710" s="43"/>
      <c r="AO710" s="43"/>
      <c r="AP710" s="43"/>
      <c r="AQ710" s="43"/>
      <c r="AR710" s="43"/>
      <c r="AS710" s="3">
        <v>8000000</v>
      </c>
      <c r="AT710" s="272" t="s">
        <v>1025</v>
      </c>
      <c r="AU710" s="15"/>
    </row>
    <row r="711" spans="1:48" ht="16.5" hidden="1" customHeight="1" x14ac:dyDescent="0.35">
      <c r="A711" s="2" t="s">
        <v>161</v>
      </c>
      <c r="B711" s="2" t="s">
        <v>58</v>
      </c>
      <c r="C711" s="2" t="s">
        <v>47</v>
      </c>
      <c r="D711" s="2">
        <v>847</v>
      </c>
      <c r="E711" s="2">
        <v>8470530</v>
      </c>
      <c r="F711" s="2" t="s">
        <v>2412</v>
      </c>
      <c r="G711" s="2">
        <v>1</v>
      </c>
      <c r="H711" s="276">
        <v>421600</v>
      </c>
      <c r="I711" s="2" t="s">
        <v>1475</v>
      </c>
      <c r="J711" s="2" t="s">
        <v>60</v>
      </c>
      <c r="K711" s="2" t="s">
        <v>2413</v>
      </c>
      <c r="L711" s="7">
        <v>847010</v>
      </c>
      <c r="M711" s="2" t="s">
        <v>61</v>
      </c>
      <c r="N711" s="2">
        <v>200179</v>
      </c>
      <c r="O711" s="3" t="s">
        <v>2621</v>
      </c>
      <c r="P711" s="35">
        <v>3976041.33</v>
      </c>
      <c r="Q711" s="2">
        <v>3768261</v>
      </c>
      <c r="R711" s="3">
        <v>3768261</v>
      </c>
      <c r="S711" s="2" t="s">
        <v>2433</v>
      </c>
      <c r="T711" s="2" t="s">
        <v>269</v>
      </c>
      <c r="U711" s="2">
        <v>1</v>
      </c>
      <c r="V711" s="3">
        <v>3986400</v>
      </c>
      <c r="W711" s="36" t="s">
        <v>2434</v>
      </c>
      <c r="X711" s="2">
        <v>3986400</v>
      </c>
      <c r="Y711" s="2" t="s">
        <v>55</v>
      </c>
      <c r="Z711" s="14" t="s">
        <v>56</v>
      </c>
      <c r="AA711" s="14">
        <f t="shared" si="36"/>
        <v>3587760</v>
      </c>
      <c r="AB711" s="14">
        <f t="shared" si="37"/>
        <v>3189120</v>
      </c>
      <c r="AC711" s="14">
        <f t="shared" si="38"/>
        <v>2790480</v>
      </c>
      <c r="AD711" s="3" t="s">
        <v>2416</v>
      </c>
      <c r="AE711" s="3" t="s">
        <v>2416</v>
      </c>
      <c r="AF711" s="43" t="s">
        <v>2416</v>
      </c>
      <c r="AG711" s="43">
        <v>332200</v>
      </c>
      <c r="AH711" s="43">
        <v>332200</v>
      </c>
      <c r="AI711" s="43">
        <v>332200</v>
      </c>
      <c r="AJ711" s="43">
        <v>332200</v>
      </c>
      <c r="AK711" s="43">
        <v>332200</v>
      </c>
      <c r="AL711" s="43">
        <v>332200</v>
      </c>
      <c r="AM711" s="43">
        <v>332200</v>
      </c>
      <c r="AN711" s="43">
        <v>332200</v>
      </c>
      <c r="AO711" s="43">
        <v>332200</v>
      </c>
      <c r="AP711" s="43">
        <v>332200</v>
      </c>
      <c r="AQ711" s="43">
        <v>332200</v>
      </c>
      <c r="AR711" s="43">
        <v>332200</v>
      </c>
      <c r="AS711" s="3">
        <v>3986400</v>
      </c>
      <c r="AT711" s="272" t="s">
        <v>1025</v>
      </c>
      <c r="AU711" s="15"/>
    </row>
    <row r="712" spans="1:48" ht="16.5" hidden="1" customHeight="1" x14ac:dyDescent="0.35">
      <c r="A712" s="2" t="s">
        <v>161</v>
      </c>
      <c r="B712" s="2" t="s">
        <v>58</v>
      </c>
      <c r="C712" s="2" t="s">
        <v>47</v>
      </c>
      <c r="D712" s="2">
        <v>847</v>
      </c>
      <c r="E712" s="2">
        <v>8470530</v>
      </c>
      <c r="F712" s="2" t="s">
        <v>2412</v>
      </c>
      <c r="G712" s="2">
        <v>1</v>
      </c>
      <c r="H712" s="276">
        <v>421600</v>
      </c>
      <c r="I712" s="2" t="s">
        <v>1475</v>
      </c>
      <c r="J712" s="2" t="s">
        <v>60</v>
      </c>
      <c r="K712" s="2" t="s">
        <v>2417</v>
      </c>
      <c r="L712" s="7">
        <v>847015</v>
      </c>
      <c r="M712" s="2" t="s">
        <v>61</v>
      </c>
      <c r="N712" s="2">
        <v>200179</v>
      </c>
      <c r="O712" s="3" t="s">
        <v>2622</v>
      </c>
      <c r="P712" s="35">
        <v>1516765.97</v>
      </c>
      <c r="Q712" s="2">
        <v>2649480</v>
      </c>
      <c r="R712" s="3">
        <v>2649480</v>
      </c>
      <c r="S712" s="2" t="s">
        <v>2433</v>
      </c>
      <c r="T712" s="2" t="s">
        <v>269</v>
      </c>
      <c r="U712" s="2">
        <v>1</v>
      </c>
      <c r="V712" s="3">
        <v>2451960</v>
      </c>
      <c r="W712" s="36" t="s">
        <v>2435</v>
      </c>
      <c r="X712" s="2">
        <v>2451960</v>
      </c>
      <c r="Y712" s="2" t="s">
        <v>55</v>
      </c>
      <c r="Z712" s="14" t="s">
        <v>56</v>
      </c>
      <c r="AA712" s="14">
        <f t="shared" si="36"/>
        <v>2206764</v>
      </c>
      <c r="AB712" s="14">
        <f t="shared" si="37"/>
        <v>1961568</v>
      </c>
      <c r="AC712" s="14">
        <f t="shared" si="38"/>
        <v>1716372</v>
      </c>
      <c r="AD712" s="3" t="s">
        <v>2416</v>
      </c>
      <c r="AE712" s="3" t="s">
        <v>2416</v>
      </c>
      <c r="AF712" s="43" t="s">
        <v>2416</v>
      </c>
      <c r="AG712" s="43">
        <v>204330</v>
      </c>
      <c r="AH712" s="43">
        <v>204330</v>
      </c>
      <c r="AI712" s="43">
        <v>204330</v>
      </c>
      <c r="AJ712" s="43">
        <v>204330</v>
      </c>
      <c r="AK712" s="43">
        <v>204330</v>
      </c>
      <c r="AL712" s="43">
        <v>204330</v>
      </c>
      <c r="AM712" s="43">
        <v>204330</v>
      </c>
      <c r="AN712" s="43">
        <v>204330</v>
      </c>
      <c r="AO712" s="43">
        <v>204330</v>
      </c>
      <c r="AP712" s="43">
        <v>204330</v>
      </c>
      <c r="AQ712" s="43">
        <v>204330</v>
      </c>
      <c r="AR712" s="43">
        <v>204330</v>
      </c>
      <c r="AS712" s="3">
        <v>2451960</v>
      </c>
      <c r="AT712" s="272" t="s">
        <v>1025</v>
      </c>
      <c r="AU712" s="15"/>
    </row>
    <row r="713" spans="1:48" ht="16.5" hidden="1" customHeight="1" x14ac:dyDescent="0.35">
      <c r="A713" s="2" t="s">
        <v>161</v>
      </c>
      <c r="B713" s="2" t="s">
        <v>58</v>
      </c>
      <c r="C713" s="2" t="s">
        <v>47</v>
      </c>
      <c r="D713" s="2">
        <v>847</v>
      </c>
      <c r="E713" s="2">
        <v>8470530</v>
      </c>
      <c r="F713" s="2" t="s">
        <v>2412</v>
      </c>
      <c r="G713" s="2">
        <v>1</v>
      </c>
      <c r="H713" s="276">
        <v>421600</v>
      </c>
      <c r="I713" s="2" t="s">
        <v>1475</v>
      </c>
      <c r="J713" s="2" t="s">
        <v>60</v>
      </c>
      <c r="K713" s="2" t="s">
        <v>2093</v>
      </c>
      <c r="L713" s="7">
        <v>847020</v>
      </c>
      <c r="M713" s="2" t="s">
        <v>61</v>
      </c>
      <c r="N713" s="2">
        <v>200179</v>
      </c>
      <c r="O713" s="3" t="s">
        <v>2623</v>
      </c>
      <c r="P713" s="35">
        <v>3499526.5</v>
      </c>
      <c r="Q713" s="2">
        <v>2601720</v>
      </c>
      <c r="R713" s="3">
        <v>2601720</v>
      </c>
      <c r="S713" s="2" t="s">
        <v>2433</v>
      </c>
      <c r="T713" s="2" t="s">
        <v>269</v>
      </c>
      <c r="U713" s="2">
        <v>1</v>
      </c>
      <c r="V713" s="3">
        <v>2078580</v>
      </c>
      <c r="W713" s="36" t="s">
        <v>2436</v>
      </c>
      <c r="X713" s="2">
        <v>2078580</v>
      </c>
      <c r="Y713" s="2" t="s">
        <v>55</v>
      </c>
      <c r="Z713" s="14" t="s">
        <v>56</v>
      </c>
      <c r="AA713" s="14">
        <f t="shared" si="36"/>
        <v>1870722</v>
      </c>
      <c r="AB713" s="14">
        <f t="shared" si="37"/>
        <v>1662864</v>
      </c>
      <c r="AC713" s="14">
        <f t="shared" si="38"/>
        <v>1455006</v>
      </c>
      <c r="AD713" s="3" t="s">
        <v>2416</v>
      </c>
      <c r="AE713" s="3" t="s">
        <v>2416</v>
      </c>
      <c r="AF713" s="43" t="s">
        <v>2416</v>
      </c>
      <c r="AG713" s="43">
        <v>173215</v>
      </c>
      <c r="AH713" s="43">
        <v>173215</v>
      </c>
      <c r="AI713" s="43">
        <v>173215</v>
      </c>
      <c r="AJ713" s="43">
        <v>173215</v>
      </c>
      <c r="AK713" s="43">
        <v>173215</v>
      </c>
      <c r="AL713" s="43">
        <v>173215</v>
      </c>
      <c r="AM713" s="43">
        <v>173215</v>
      </c>
      <c r="AN713" s="43">
        <v>173215</v>
      </c>
      <c r="AO713" s="43">
        <v>173215</v>
      </c>
      <c r="AP713" s="43">
        <v>173215</v>
      </c>
      <c r="AQ713" s="43">
        <v>173215</v>
      </c>
      <c r="AR713" s="43">
        <v>173215</v>
      </c>
      <c r="AS713" s="3">
        <v>2078580</v>
      </c>
      <c r="AT713" s="272" t="s">
        <v>1025</v>
      </c>
      <c r="AU713" s="15"/>
    </row>
    <row r="714" spans="1:48" ht="16.5" hidden="1" customHeight="1" x14ac:dyDescent="0.35">
      <c r="A714" s="2" t="s">
        <v>161</v>
      </c>
      <c r="B714" s="2" t="s">
        <v>58</v>
      </c>
      <c r="C714" s="2" t="s">
        <v>47</v>
      </c>
      <c r="D714" s="2">
        <v>847</v>
      </c>
      <c r="E714" s="2">
        <v>8470530</v>
      </c>
      <c r="F714" s="2" t="s">
        <v>2412</v>
      </c>
      <c r="G714" s="2">
        <v>1</v>
      </c>
      <c r="H714" s="276">
        <v>421600</v>
      </c>
      <c r="I714" s="2" t="s">
        <v>1475</v>
      </c>
      <c r="J714" s="2" t="s">
        <v>60</v>
      </c>
      <c r="K714" s="2" t="s">
        <v>2429</v>
      </c>
      <c r="L714" s="7">
        <v>847030</v>
      </c>
      <c r="M714" s="2" t="s">
        <v>61</v>
      </c>
      <c r="N714" s="2">
        <v>200179</v>
      </c>
      <c r="O714" s="3" t="s">
        <v>2624</v>
      </c>
      <c r="P714" s="35">
        <v>843396.09</v>
      </c>
      <c r="Q714" s="2">
        <v>369219</v>
      </c>
      <c r="R714" s="3">
        <v>369219</v>
      </c>
      <c r="S714" s="2" t="s">
        <v>2433</v>
      </c>
      <c r="T714" s="2" t="s">
        <v>269</v>
      </c>
      <c r="U714" s="2">
        <v>1</v>
      </c>
      <c r="V714" s="3">
        <v>398190</v>
      </c>
      <c r="W714" s="36" t="s">
        <v>2437</v>
      </c>
      <c r="X714" s="2">
        <v>398190</v>
      </c>
      <c r="Y714" s="2" t="s">
        <v>55</v>
      </c>
      <c r="Z714" s="14" t="s">
        <v>56</v>
      </c>
      <c r="AA714" s="14">
        <f t="shared" si="36"/>
        <v>358371</v>
      </c>
      <c r="AB714" s="14">
        <f t="shared" si="37"/>
        <v>318552</v>
      </c>
      <c r="AC714" s="14">
        <f t="shared" si="38"/>
        <v>278733</v>
      </c>
      <c r="AD714" s="3" t="s">
        <v>2416</v>
      </c>
      <c r="AE714" s="3" t="s">
        <v>2416</v>
      </c>
      <c r="AF714" s="43" t="s">
        <v>2416</v>
      </c>
      <c r="AG714" s="43">
        <v>33182.5</v>
      </c>
      <c r="AH714" s="43">
        <v>33182.5</v>
      </c>
      <c r="AI714" s="43">
        <v>33182.5</v>
      </c>
      <c r="AJ714" s="43">
        <v>33182.5</v>
      </c>
      <c r="AK714" s="43">
        <v>33182.5</v>
      </c>
      <c r="AL714" s="43">
        <v>33182.5</v>
      </c>
      <c r="AM714" s="43">
        <v>33182.5</v>
      </c>
      <c r="AN714" s="43">
        <v>33182.5</v>
      </c>
      <c r="AO714" s="43">
        <v>33182.5</v>
      </c>
      <c r="AP714" s="43">
        <v>33182.5</v>
      </c>
      <c r="AQ714" s="43">
        <v>33182.5</v>
      </c>
      <c r="AR714" s="43">
        <v>33182.5</v>
      </c>
      <c r="AS714" s="3">
        <v>398190</v>
      </c>
      <c r="AT714" s="272" t="s">
        <v>1025</v>
      </c>
      <c r="AU714" s="15"/>
    </row>
    <row r="715" spans="1:48" ht="16.5" hidden="1" customHeight="1" x14ac:dyDescent="0.35">
      <c r="A715" s="2" t="s">
        <v>222</v>
      </c>
      <c r="B715" s="2" t="s">
        <v>238</v>
      </c>
      <c r="C715" s="2" t="s">
        <v>47</v>
      </c>
      <c r="D715" s="2">
        <v>847</v>
      </c>
      <c r="E715" s="2">
        <v>8470530</v>
      </c>
      <c r="F715" s="2" t="s">
        <v>2412</v>
      </c>
      <c r="G715" s="2">
        <v>1</v>
      </c>
      <c r="H715" s="276">
        <v>421700</v>
      </c>
      <c r="I715" s="2" t="s">
        <v>2438</v>
      </c>
      <c r="J715" s="2" t="s">
        <v>60</v>
      </c>
      <c r="K715" s="2" t="s">
        <v>2413</v>
      </c>
      <c r="L715" s="7">
        <v>847010</v>
      </c>
      <c r="M715" s="2" t="s">
        <v>61</v>
      </c>
      <c r="N715" s="2">
        <v>200179</v>
      </c>
      <c r="O715" s="3" t="s">
        <v>2625</v>
      </c>
      <c r="P715" s="35"/>
      <c r="Q715" s="2"/>
      <c r="R715" s="3"/>
      <c r="S715" s="2" t="s">
        <v>1017</v>
      </c>
      <c r="T715" s="2" t="s">
        <v>157</v>
      </c>
      <c r="U715" s="2">
        <v>1</v>
      </c>
      <c r="V715" s="9">
        <v>250000</v>
      </c>
      <c r="W715" s="36" t="s">
        <v>2439</v>
      </c>
      <c r="X715" s="2">
        <v>250000</v>
      </c>
      <c r="Y715" s="2" t="s">
        <v>55</v>
      </c>
      <c r="Z715" s="14" t="s">
        <v>56</v>
      </c>
      <c r="AA715" s="14">
        <f t="shared" si="36"/>
        <v>225000</v>
      </c>
      <c r="AB715" s="14">
        <f t="shared" si="37"/>
        <v>200000</v>
      </c>
      <c r="AC715" s="14">
        <f t="shared" si="38"/>
        <v>175000</v>
      </c>
      <c r="AD715" s="3" t="s">
        <v>2416</v>
      </c>
      <c r="AE715" s="3" t="s">
        <v>2416</v>
      </c>
      <c r="AF715" s="43" t="s">
        <v>2416</v>
      </c>
      <c r="AG715" s="43"/>
      <c r="AH715" s="43"/>
      <c r="AI715" s="43"/>
      <c r="AJ715" s="43"/>
      <c r="AK715" s="43"/>
      <c r="AL715" s="43"/>
      <c r="AM715" s="43"/>
      <c r="AN715" s="43"/>
      <c r="AO715" s="43"/>
      <c r="AP715" s="43"/>
      <c r="AQ715" s="43"/>
      <c r="AR715" s="43">
        <v>250000</v>
      </c>
      <c r="AS715" s="3">
        <v>250000</v>
      </c>
      <c r="AT715" s="272" t="s">
        <v>1025</v>
      </c>
      <c r="AU715" s="15"/>
    </row>
    <row r="716" spans="1:48" ht="16.5" hidden="1" customHeight="1" x14ac:dyDescent="0.35">
      <c r="A716" s="2" t="s">
        <v>245</v>
      </c>
      <c r="B716" s="2" t="s">
        <v>246</v>
      </c>
      <c r="C716" s="2" t="s">
        <v>47</v>
      </c>
      <c r="D716" s="2">
        <v>847</v>
      </c>
      <c r="E716" s="2">
        <v>8470530</v>
      </c>
      <c r="F716" s="2" t="s">
        <v>2412</v>
      </c>
      <c r="G716" s="2">
        <v>1</v>
      </c>
      <c r="H716" s="276">
        <v>425510</v>
      </c>
      <c r="I716" s="2" t="s">
        <v>247</v>
      </c>
      <c r="J716" s="2" t="s">
        <v>60</v>
      </c>
      <c r="K716" s="2" t="s">
        <v>2413</v>
      </c>
      <c r="L716" s="7">
        <v>847010</v>
      </c>
      <c r="M716" s="2" t="s">
        <v>61</v>
      </c>
      <c r="N716" s="2">
        <v>200179</v>
      </c>
      <c r="O716" s="3" t="s">
        <v>2626</v>
      </c>
      <c r="P716" s="35">
        <v>0</v>
      </c>
      <c r="Q716" s="2">
        <v>20000</v>
      </c>
      <c r="R716" s="3">
        <v>20000</v>
      </c>
      <c r="S716" s="2" t="s">
        <v>344</v>
      </c>
      <c r="T716" s="2" t="s">
        <v>256</v>
      </c>
      <c r="U716" s="2">
        <v>1</v>
      </c>
      <c r="V716" s="3">
        <v>50000</v>
      </c>
      <c r="W716" s="36" t="s">
        <v>2370</v>
      </c>
      <c r="X716" s="2">
        <v>50000</v>
      </c>
      <c r="Y716" s="2" t="s">
        <v>55</v>
      </c>
      <c r="Z716" s="14" t="s">
        <v>56</v>
      </c>
      <c r="AA716" s="14">
        <f t="shared" si="36"/>
        <v>45000</v>
      </c>
      <c r="AB716" s="14">
        <f t="shared" si="37"/>
        <v>40000</v>
      </c>
      <c r="AC716" s="14">
        <f t="shared" si="38"/>
        <v>35000</v>
      </c>
      <c r="AD716" s="3" t="s">
        <v>2416</v>
      </c>
      <c r="AE716" s="3" t="s">
        <v>2416</v>
      </c>
      <c r="AF716" s="43" t="s">
        <v>2416</v>
      </c>
      <c r="AG716" s="43"/>
      <c r="AH716" s="43"/>
      <c r="AI716" s="43">
        <v>25000</v>
      </c>
      <c r="AJ716" s="43"/>
      <c r="AK716" s="43"/>
      <c r="AL716" s="43"/>
      <c r="AM716" s="43"/>
      <c r="AN716" s="43"/>
      <c r="AO716" s="43"/>
      <c r="AP716" s="43"/>
      <c r="AQ716" s="43">
        <v>25000</v>
      </c>
      <c r="AR716" s="43"/>
      <c r="AS716" s="3">
        <v>50000</v>
      </c>
      <c r="AT716" s="272" t="s">
        <v>1025</v>
      </c>
      <c r="AU716" s="15"/>
    </row>
    <row r="717" spans="1:48" ht="16.5" hidden="1" customHeight="1" x14ac:dyDescent="0.35">
      <c r="A717" s="2" t="s">
        <v>189</v>
      </c>
      <c r="B717" s="2" t="s">
        <v>265</v>
      </c>
      <c r="C717" s="2" t="s">
        <v>47</v>
      </c>
      <c r="D717" s="2">
        <v>847</v>
      </c>
      <c r="E717" s="2">
        <v>8470530</v>
      </c>
      <c r="F717" s="2" t="s">
        <v>2412</v>
      </c>
      <c r="G717" s="2">
        <v>1</v>
      </c>
      <c r="H717" s="276">
        <v>425900</v>
      </c>
      <c r="I717" s="2" t="s">
        <v>266</v>
      </c>
      <c r="J717" s="2" t="s">
        <v>60</v>
      </c>
      <c r="K717" s="2" t="s">
        <v>2413</v>
      </c>
      <c r="L717" s="7">
        <v>847010</v>
      </c>
      <c r="M717" s="2" t="s">
        <v>61</v>
      </c>
      <c r="N717" s="2">
        <v>200179</v>
      </c>
      <c r="O717" s="3" t="s">
        <v>2627</v>
      </c>
      <c r="P717" s="35" t="s">
        <v>46</v>
      </c>
      <c r="Q717" s="2">
        <v>30000</v>
      </c>
      <c r="R717" s="3">
        <v>30000</v>
      </c>
      <c r="S717" s="2" t="s">
        <v>268</v>
      </c>
      <c r="T717" s="2" t="s">
        <v>269</v>
      </c>
      <c r="U717" s="2">
        <v>1</v>
      </c>
      <c r="V717" s="3">
        <v>40000</v>
      </c>
      <c r="W717" s="36" t="s">
        <v>2373</v>
      </c>
      <c r="X717" s="2">
        <v>40000</v>
      </c>
      <c r="Y717" s="2" t="s">
        <v>55</v>
      </c>
      <c r="Z717" s="14" t="s">
        <v>56</v>
      </c>
      <c r="AA717" s="14">
        <f t="shared" si="36"/>
        <v>36000</v>
      </c>
      <c r="AB717" s="14">
        <f t="shared" si="37"/>
        <v>32000</v>
      </c>
      <c r="AC717" s="14">
        <f t="shared" si="38"/>
        <v>28000</v>
      </c>
      <c r="AD717" s="3" t="s">
        <v>2416</v>
      </c>
      <c r="AE717" s="3" t="s">
        <v>2416</v>
      </c>
      <c r="AF717" s="43" t="s">
        <v>2416</v>
      </c>
      <c r="AG717" s="43"/>
      <c r="AH717" s="43"/>
      <c r="AI717" s="43"/>
      <c r="AJ717" s="43"/>
      <c r="AK717" s="43">
        <v>20000</v>
      </c>
      <c r="AL717" s="43"/>
      <c r="AM717" s="43"/>
      <c r="AN717" s="43"/>
      <c r="AO717" s="43"/>
      <c r="AP717" s="43"/>
      <c r="AQ717" s="43">
        <v>20000</v>
      </c>
      <c r="AR717" s="43"/>
      <c r="AS717" s="3">
        <v>40000</v>
      </c>
      <c r="AT717" s="272" t="s">
        <v>1025</v>
      </c>
      <c r="AU717" s="15"/>
    </row>
    <row r="718" spans="1:48" ht="16.5" hidden="1" customHeight="1" x14ac:dyDescent="0.35">
      <c r="A718" s="2" t="s">
        <v>161</v>
      </c>
      <c r="B718" s="2" t="s">
        <v>58</v>
      </c>
      <c r="C718" s="2" t="s">
        <v>47</v>
      </c>
      <c r="D718" s="2">
        <v>847</v>
      </c>
      <c r="E718" s="2">
        <v>8470530</v>
      </c>
      <c r="F718" s="2" t="s">
        <v>2412</v>
      </c>
      <c r="G718" s="2">
        <v>1</v>
      </c>
      <c r="H718" s="276">
        <v>426220</v>
      </c>
      <c r="I718" s="2" t="s">
        <v>1477</v>
      </c>
      <c r="J718" s="2" t="s">
        <v>60</v>
      </c>
      <c r="K718" s="2" t="s">
        <v>2413</v>
      </c>
      <c r="L718" s="7">
        <v>847010</v>
      </c>
      <c r="M718" s="2" t="s">
        <v>61</v>
      </c>
      <c r="N718" s="2">
        <v>200179</v>
      </c>
      <c r="O718" s="3" t="s">
        <v>2628</v>
      </c>
      <c r="P718" s="35">
        <v>960436.74</v>
      </c>
      <c r="Q718" s="2">
        <v>960437</v>
      </c>
      <c r="R718" s="3">
        <v>960437</v>
      </c>
      <c r="S718" s="2" t="s">
        <v>2440</v>
      </c>
      <c r="T718" s="2" t="s">
        <v>157</v>
      </c>
      <c r="U718" s="2">
        <v>1</v>
      </c>
      <c r="V718" s="3">
        <v>960437</v>
      </c>
      <c r="W718" s="36" t="s">
        <v>2441</v>
      </c>
      <c r="X718" s="2">
        <v>960437</v>
      </c>
      <c r="Y718" s="2" t="s">
        <v>55</v>
      </c>
      <c r="Z718" s="14" t="s">
        <v>56</v>
      </c>
      <c r="AA718" s="14">
        <f t="shared" si="36"/>
        <v>864393.3</v>
      </c>
      <c r="AB718" s="14">
        <f t="shared" si="37"/>
        <v>768349.60000000009</v>
      </c>
      <c r="AC718" s="14">
        <f t="shared" si="38"/>
        <v>672305.89999999991</v>
      </c>
      <c r="AD718" s="3" t="s">
        <v>2416</v>
      </c>
      <c r="AE718" s="3" t="s">
        <v>2416</v>
      </c>
      <c r="AF718" s="43" t="s">
        <v>2416</v>
      </c>
      <c r="AG718" s="43"/>
      <c r="AH718" s="43"/>
      <c r="AI718" s="43"/>
      <c r="AJ718" s="43"/>
      <c r="AK718" s="43"/>
      <c r="AL718" s="43"/>
      <c r="AM718" s="43"/>
      <c r="AN718" s="43"/>
      <c r="AO718" s="43"/>
      <c r="AP718" s="43"/>
      <c r="AQ718" s="43">
        <v>960437</v>
      </c>
      <c r="AR718" s="43"/>
      <c r="AS718" s="3">
        <v>960437</v>
      </c>
      <c r="AT718" s="272" t="s">
        <v>1025</v>
      </c>
      <c r="AU718" s="15"/>
    </row>
    <row r="719" spans="1:48" ht="16.5" hidden="1" customHeight="1" x14ac:dyDescent="0.35">
      <c r="A719" s="2" t="s">
        <v>161</v>
      </c>
      <c r="B719" s="2" t="s">
        <v>58</v>
      </c>
      <c r="C719" s="2" t="s">
        <v>47</v>
      </c>
      <c r="D719" s="2">
        <v>847</v>
      </c>
      <c r="E719" s="2">
        <v>8470530</v>
      </c>
      <c r="F719" s="2" t="s">
        <v>2412</v>
      </c>
      <c r="G719" s="2">
        <v>1</v>
      </c>
      <c r="H719" s="276">
        <v>426220</v>
      </c>
      <c r="I719" s="2" t="s">
        <v>1477</v>
      </c>
      <c r="J719" s="2" t="s">
        <v>60</v>
      </c>
      <c r="K719" s="2" t="s">
        <v>2429</v>
      </c>
      <c r="L719" s="7">
        <v>847030</v>
      </c>
      <c r="M719" s="2" t="s">
        <v>61</v>
      </c>
      <c r="N719" s="2">
        <v>200179</v>
      </c>
      <c r="O719" s="3" t="s">
        <v>2629</v>
      </c>
      <c r="P719" s="35">
        <v>23713.63</v>
      </c>
      <c r="Q719" s="2">
        <v>23714</v>
      </c>
      <c r="R719" s="3">
        <v>23714</v>
      </c>
      <c r="S719" s="2" t="s">
        <v>2440</v>
      </c>
      <c r="T719" s="2" t="s">
        <v>157</v>
      </c>
      <c r="U719" s="2">
        <v>1</v>
      </c>
      <c r="V719" s="3">
        <v>23714</v>
      </c>
      <c r="W719" s="36" t="s">
        <v>2441</v>
      </c>
      <c r="X719" s="2">
        <v>23714</v>
      </c>
      <c r="Y719" s="2" t="s">
        <v>55</v>
      </c>
      <c r="Z719" s="14" t="s">
        <v>56</v>
      </c>
      <c r="AA719" s="14">
        <f t="shared" si="36"/>
        <v>21342.600000000002</v>
      </c>
      <c r="AB719" s="14">
        <f t="shared" si="37"/>
        <v>18971.2</v>
      </c>
      <c r="AC719" s="14">
        <f t="shared" si="38"/>
        <v>16599.8</v>
      </c>
      <c r="AD719" s="3" t="s">
        <v>2416</v>
      </c>
      <c r="AE719" s="3" t="s">
        <v>2416</v>
      </c>
      <c r="AF719" s="43" t="s">
        <v>2416</v>
      </c>
      <c r="AG719" s="43"/>
      <c r="AH719" s="43"/>
      <c r="AI719" s="43"/>
      <c r="AJ719" s="43"/>
      <c r="AK719" s="43"/>
      <c r="AL719" s="43"/>
      <c r="AM719" s="43"/>
      <c r="AN719" s="43"/>
      <c r="AO719" s="43"/>
      <c r="AP719" s="43"/>
      <c r="AQ719" s="43">
        <v>23714</v>
      </c>
      <c r="AR719" s="43"/>
      <c r="AS719" s="3">
        <v>23714</v>
      </c>
      <c r="AT719" s="272" t="s">
        <v>1025</v>
      </c>
      <c r="AU719" s="15"/>
    </row>
    <row r="720" spans="1:48" ht="16.5" hidden="1" customHeight="1" x14ac:dyDescent="0.35">
      <c r="A720" s="2" t="s">
        <v>161</v>
      </c>
      <c r="B720" s="2" t="s">
        <v>58</v>
      </c>
      <c r="C720" s="2" t="s">
        <v>47</v>
      </c>
      <c r="D720" s="2">
        <v>847</v>
      </c>
      <c r="E720" s="2">
        <v>8470530</v>
      </c>
      <c r="F720" s="2" t="s">
        <v>2412</v>
      </c>
      <c r="G720" s="2">
        <v>1</v>
      </c>
      <c r="H720" s="276">
        <v>426250</v>
      </c>
      <c r="I720" s="2" t="s">
        <v>2442</v>
      </c>
      <c r="J720" s="2" t="s">
        <v>60</v>
      </c>
      <c r="K720" s="2" t="s">
        <v>2413</v>
      </c>
      <c r="L720" s="7">
        <v>847010</v>
      </c>
      <c r="M720" s="2" t="s">
        <v>61</v>
      </c>
      <c r="N720" s="2">
        <v>200179</v>
      </c>
      <c r="O720" s="3" t="s">
        <v>2630</v>
      </c>
      <c r="P720" s="35">
        <v>4650.8100000000004</v>
      </c>
      <c r="Q720" s="2">
        <v>50000</v>
      </c>
      <c r="R720" s="3"/>
      <c r="S720" s="2"/>
      <c r="T720" s="2" t="s">
        <v>62</v>
      </c>
      <c r="U720" s="2"/>
      <c r="V720" s="3"/>
      <c r="W720" s="36"/>
      <c r="X720" s="2">
        <v>0</v>
      </c>
      <c r="Y720" s="2"/>
      <c r="Z720" s="14"/>
      <c r="AA720" s="14">
        <f t="shared" si="36"/>
        <v>0</v>
      </c>
      <c r="AB720" s="14">
        <f t="shared" si="37"/>
        <v>0</v>
      </c>
      <c r="AC720" s="14">
        <f t="shared" si="38"/>
        <v>0</v>
      </c>
      <c r="AD720" s="3" t="s">
        <v>2416</v>
      </c>
      <c r="AE720" s="3" t="s">
        <v>2416</v>
      </c>
      <c r="AF720" s="43" t="s">
        <v>2416</v>
      </c>
      <c r="AG720" s="43"/>
      <c r="AH720" s="43"/>
      <c r="AI720" s="43"/>
      <c r="AJ720" s="43"/>
      <c r="AK720" s="43"/>
      <c r="AL720" s="43"/>
      <c r="AM720" s="43"/>
      <c r="AN720" s="43"/>
      <c r="AO720" s="43"/>
      <c r="AP720" s="43"/>
      <c r="AQ720" s="43"/>
      <c r="AR720" s="43"/>
      <c r="AS720" s="3">
        <v>0</v>
      </c>
      <c r="AT720" s="272" t="s">
        <v>1025</v>
      </c>
      <c r="AU720" s="15"/>
    </row>
    <row r="721" spans="1:47" ht="16.5" hidden="1" customHeight="1" x14ac:dyDescent="0.35">
      <c r="A721" s="2" t="s">
        <v>153</v>
      </c>
      <c r="B721" s="2" t="s">
        <v>58</v>
      </c>
      <c r="C721" s="2" t="s">
        <v>47</v>
      </c>
      <c r="D721" s="2">
        <v>847</v>
      </c>
      <c r="E721" s="2">
        <v>8470530</v>
      </c>
      <c r="F721" s="2" t="s">
        <v>2412</v>
      </c>
      <c r="G721" s="2">
        <v>1</v>
      </c>
      <c r="H721" s="276">
        <v>428090</v>
      </c>
      <c r="I721" s="2" t="s">
        <v>154</v>
      </c>
      <c r="J721" s="2" t="s">
        <v>60</v>
      </c>
      <c r="K721" s="2" t="s">
        <v>50</v>
      </c>
      <c r="L721" s="7">
        <v>847001</v>
      </c>
      <c r="M721" s="2" t="s">
        <v>61</v>
      </c>
      <c r="N721" s="2">
        <v>200179</v>
      </c>
      <c r="O721" s="3" t="s">
        <v>2631</v>
      </c>
      <c r="P721" s="35" t="s">
        <v>46</v>
      </c>
      <c r="Q721" s="2">
        <v>50000</v>
      </c>
      <c r="R721" s="3">
        <v>50000</v>
      </c>
      <c r="S721" s="2" t="s">
        <v>156</v>
      </c>
      <c r="T721" s="2" t="s">
        <v>157</v>
      </c>
      <c r="U721" s="2">
        <v>1</v>
      </c>
      <c r="V721" s="3">
        <v>200000</v>
      </c>
      <c r="W721" s="36" t="s">
        <v>2260</v>
      </c>
      <c r="X721" s="2">
        <v>200000</v>
      </c>
      <c r="Y721" s="2" t="s">
        <v>55</v>
      </c>
      <c r="Z721" s="14" t="s">
        <v>56</v>
      </c>
      <c r="AA721" s="14">
        <f t="shared" si="36"/>
        <v>180000</v>
      </c>
      <c r="AB721" s="14">
        <f t="shared" si="37"/>
        <v>160000</v>
      </c>
      <c r="AC721" s="14">
        <f t="shared" si="38"/>
        <v>140000</v>
      </c>
      <c r="AD721" s="3" t="s">
        <v>2416</v>
      </c>
      <c r="AE721" s="3" t="s">
        <v>2416</v>
      </c>
      <c r="AF721" s="43" t="s">
        <v>2416</v>
      </c>
      <c r="AG721" s="43">
        <v>50000</v>
      </c>
      <c r="AH721" s="43"/>
      <c r="AI721" s="43">
        <v>50000</v>
      </c>
      <c r="AJ721" s="43"/>
      <c r="AK721" s="43">
        <v>50000</v>
      </c>
      <c r="AL721" s="43"/>
      <c r="AM721" s="43">
        <v>50000</v>
      </c>
      <c r="AN721" s="43"/>
      <c r="AO721" s="43"/>
      <c r="AP721" s="43"/>
      <c r="AQ721" s="43"/>
      <c r="AR721" s="43"/>
      <c r="AS721" s="3">
        <v>200000</v>
      </c>
      <c r="AT721" s="272" t="s">
        <v>1025</v>
      </c>
      <c r="AU721" s="15"/>
    </row>
    <row r="722" spans="1:47" ht="16.5" hidden="1" customHeight="1" x14ac:dyDescent="0.35">
      <c r="A722" s="2" t="s">
        <v>161</v>
      </c>
      <c r="B722" s="2" t="s">
        <v>58</v>
      </c>
      <c r="C722" s="2" t="s">
        <v>47</v>
      </c>
      <c r="D722" s="2">
        <v>847</v>
      </c>
      <c r="E722" s="2">
        <v>8470530</v>
      </c>
      <c r="F722" s="2" t="s">
        <v>2412</v>
      </c>
      <c r="G722" s="2">
        <v>1</v>
      </c>
      <c r="H722" s="276">
        <v>432120</v>
      </c>
      <c r="I722" s="2" t="s">
        <v>1480</v>
      </c>
      <c r="J722" s="2" t="s">
        <v>60</v>
      </c>
      <c r="K722" s="2" t="s">
        <v>2413</v>
      </c>
      <c r="L722" s="7">
        <v>847010</v>
      </c>
      <c r="M722" s="2" t="s">
        <v>61</v>
      </c>
      <c r="N722" s="2">
        <v>200179</v>
      </c>
      <c r="O722" s="3" t="s">
        <v>2632</v>
      </c>
      <c r="P722" s="35"/>
      <c r="Q722" s="2"/>
      <c r="R722" s="3"/>
      <c r="S722" s="2" t="s">
        <v>2443</v>
      </c>
      <c r="T722" s="2" t="s">
        <v>515</v>
      </c>
      <c r="U722" s="2">
        <v>1</v>
      </c>
      <c r="V722" s="3">
        <v>13077621</v>
      </c>
      <c r="W722" s="36" t="s">
        <v>2444</v>
      </c>
      <c r="X722" s="10">
        <v>13077621</v>
      </c>
      <c r="Y722" s="2" t="s">
        <v>55</v>
      </c>
      <c r="Z722" s="14" t="s">
        <v>56</v>
      </c>
      <c r="AA722" s="14">
        <f t="shared" si="36"/>
        <v>11769858.9</v>
      </c>
      <c r="AB722" s="14">
        <f t="shared" si="37"/>
        <v>10462096.800000001</v>
      </c>
      <c r="AC722" s="14">
        <f t="shared" si="38"/>
        <v>9154334.6999999993</v>
      </c>
      <c r="AD722" s="3" t="s">
        <v>2416</v>
      </c>
      <c r="AE722" s="3" t="s">
        <v>2416</v>
      </c>
      <c r="AF722" s="43" t="s">
        <v>2416</v>
      </c>
      <c r="AG722" s="43">
        <v>1089801.75</v>
      </c>
      <c r="AH722" s="43">
        <v>1089801.75</v>
      </c>
      <c r="AI722" s="43">
        <v>1089801.75</v>
      </c>
      <c r="AJ722" s="43">
        <v>1089801.75</v>
      </c>
      <c r="AK722" s="43">
        <v>1089801.75</v>
      </c>
      <c r="AL722" s="43">
        <v>1089801.75</v>
      </c>
      <c r="AM722" s="43">
        <v>1089801.75</v>
      </c>
      <c r="AN722" s="43">
        <v>1089801.75</v>
      </c>
      <c r="AO722" s="43">
        <v>1089801.75</v>
      </c>
      <c r="AP722" s="43">
        <v>1089801.75</v>
      </c>
      <c r="AQ722" s="43">
        <v>1089801.75</v>
      </c>
      <c r="AR722" s="43">
        <v>1089801.75</v>
      </c>
      <c r="AS722" s="3">
        <v>13077621</v>
      </c>
      <c r="AT722" s="272" t="s">
        <v>1025</v>
      </c>
      <c r="AU722" s="15"/>
    </row>
    <row r="723" spans="1:47" ht="16.5" hidden="1" customHeight="1" x14ac:dyDescent="0.35">
      <c r="A723" s="2" t="s">
        <v>161</v>
      </c>
      <c r="B723" s="2" t="s">
        <v>58</v>
      </c>
      <c r="C723" s="2" t="s">
        <v>47</v>
      </c>
      <c r="D723" s="2">
        <v>847</v>
      </c>
      <c r="E723" s="2">
        <v>8470530</v>
      </c>
      <c r="F723" s="2" t="s">
        <v>2412</v>
      </c>
      <c r="G723" s="2">
        <v>1</v>
      </c>
      <c r="H723" s="276">
        <v>432120</v>
      </c>
      <c r="I723" s="2" t="s">
        <v>1480</v>
      </c>
      <c r="J723" s="2" t="s">
        <v>60</v>
      </c>
      <c r="K723" s="2" t="s">
        <v>2413</v>
      </c>
      <c r="L723" s="7">
        <v>847010</v>
      </c>
      <c r="M723" s="2" t="s">
        <v>61</v>
      </c>
      <c r="N723" s="2">
        <v>200179</v>
      </c>
      <c r="O723" s="3" t="s">
        <v>2632</v>
      </c>
      <c r="P723" s="35"/>
      <c r="Q723" s="2"/>
      <c r="R723" s="3"/>
      <c r="S723" s="2" t="s">
        <v>2443</v>
      </c>
      <c r="T723" s="2" t="s">
        <v>515</v>
      </c>
      <c r="U723" s="2">
        <v>1</v>
      </c>
      <c r="V723" s="3">
        <v>1000000</v>
      </c>
      <c r="W723" s="36" t="s">
        <v>2445</v>
      </c>
      <c r="X723" s="10">
        <v>1000000</v>
      </c>
      <c r="Y723" s="2" t="s">
        <v>55</v>
      </c>
      <c r="Z723" s="14" t="s">
        <v>56</v>
      </c>
      <c r="AA723" s="14">
        <f t="shared" si="36"/>
        <v>900000</v>
      </c>
      <c r="AB723" s="14">
        <f t="shared" si="37"/>
        <v>800000</v>
      </c>
      <c r="AC723" s="14">
        <f t="shared" si="38"/>
        <v>700000</v>
      </c>
      <c r="AD723" s="3" t="s">
        <v>2416</v>
      </c>
      <c r="AE723" s="3" t="s">
        <v>2416</v>
      </c>
      <c r="AF723" s="43" t="s">
        <v>2416</v>
      </c>
      <c r="AG723" s="43">
        <v>83333.333400000003</v>
      </c>
      <c r="AH723" s="43">
        <v>83333.333400000003</v>
      </c>
      <c r="AI723" s="43">
        <v>83333.333400000003</v>
      </c>
      <c r="AJ723" s="43">
        <v>83333.333400000003</v>
      </c>
      <c r="AK723" s="43">
        <v>83333.333400000003</v>
      </c>
      <c r="AL723" s="43">
        <v>83333.333400000003</v>
      </c>
      <c r="AM723" s="43">
        <v>83333.333400000003</v>
      </c>
      <c r="AN723" s="43">
        <v>83333.333400000003</v>
      </c>
      <c r="AO723" s="43">
        <v>83333.333400000003</v>
      </c>
      <c r="AP723" s="43">
        <v>83333.333400000003</v>
      </c>
      <c r="AQ723" s="43">
        <v>83333.333400000003</v>
      </c>
      <c r="AR723" s="43">
        <v>83333.333400000003</v>
      </c>
      <c r="AS723" s="3">
        <v>1000000</v>
      </c>
      <c r="AT723" s="272" t="s">
        <v>1025</v>
      </c>
      <c r="AU723" s="15"/>
    </row>
    <row r="724" spans="1:47" ht="16.5" hidden="1" customHeight="1" x14ac:dyDescent="0.35">
      <c r="A724" s="2" t="s">
        <v>161</v>
      </c>
      <c r="B724" s="2" t="s">
        <v>58</v>
      </c>
      <c r="C724" s="2" t="s">
        <v>47</v>
      </c>
      <c r="D724" s="2">
        <v>847</v>
      </c>
      <c r="E724" s="2">
        <v>8470530</v>
      </c>
      <c r="F724" s="2" t="s">
        <v>2412</v>
      </c>
      <c r="G724" s="2">
        <v>1</v>
      </c>
      <c r="H724" s="276">
        <v>432120</v>
      </c>
      <c r="I724" s="2" t="s">
        <v>1480</v>
      </c>
      <c r="J724" s="2" t="s">
        <v>60</v>
      </c>
      <c r="K724" s="2" t="s">
        <v>2413</v>
      </c>
      <c r="L724" s="7">
        <v>847010</v>
      </c>
      <c r="M724" s="2" t="s">
        <v>61</v>
      </c>
      <c r="N724" s="2">
        <v>200179</v>
      </c>
      <c r="O724" s="3" t="s">
        <v>2632</v>
      </c>
      <c r="P724" s="35"/>
      <c r="Q724" s="2"/>
      <c r="R724" s="3"/>
      <c r="S724" s="2" t="s">
        <v>2443</v>
      </c>
      <c r="T724" s="2" t="s">
        <v>515</v>
      </c>
      <c r="U724" s="2">
        <v>1</v>
      </c>
      <c r="V724" s="3">
        <v>43500</v>
      </c>
      <c r="W724" s="36" t="s">
        <v>2446</v>
      </c>
      <c r="X724" s="10">
        <v>43500</v>
      </c>
      <c r="Y724" s="2" t="s">
        <v>55</v>
      </c>
      <c r="Z724" s="14" t="s">
        <v>56</v>
      </c>
      <c r="AA724" s="14">
        <f t="shared" si="36"/>
        <v>39150</v>
      </c>
      <c r="AB724" s="14">
        <f t="shared" si="37"/>
        <v>34800</v>
      </c>
      <c r="AC724" s="14">
        <f t="shared" si="38"/>
        <v>30449.999999999996</v>
      </c>
      <c r="AD724" s="3" t="s">
        <v>2416</v>
      </c>
      <c r="AE724" s="3" t="s">
        <v>2416</v>
      </c>
      <c r="AF724" s="43" t="s">
        <v>2416</v>
      </c>
      <c r="AG724" s="43"/>
      <c r="AH724" s="43"/>
      <c r="AI724" s="43">
        <v>43500</v>
      </c>
      <c r="AJ724" s="43"/>
      <c r="AK724" s="43"/>
      <c r="AL724" s="43"/>
      <c r="AM724" s="43"/>
      <c r="AN724" s="43"/>
      <c r="AO724" s="43"/>
      <c r="AP724" s="43"/>
      <c r="AQ724" s="43"/>
      <c r="AR724" s="43"/>
      <c r="AS724" s="3">
        <v>43500</v>
      </c>
      <c r="AT724" s="272" t="s">
        <v>1025</v>
      </c>
      <c r="AU724" s="15"/>
    </row>
    <row r="725" spans="1:47" ht="16.5" hidden="1" customHeight="1" x14ac:dyDescent="0.35">
      <c r="A725" s="2" t="s">
        <v>161</v>
      </c>
      <c r="B725" s="2" t="s">
        <v>58</v>
      </c>
      <c r="C725" s="2" t="s">
        <v>47</v>
      </c>
      <c r="D725" s="2">
        <v>847</v>
      </c>
      <c r="E725" s="2">
        <v>8470530</v>
      </c>
      <c r="F725" s="2" t="s">
        <v>2412</v>
      </c>
      <c r="G725" s="2">
        <v>1</v>
      </c>
      <c r="H725" s="276">
        <v>432120</v>
      </c>
      <c r="I725" s="2" t="s">
        <v>1480</v>
      </c>
      <c r="J725" s="2" t="s">
        <v>60</v>
      </c>
      <c r="K725" s="2" t="s">
        <v>2413</v>
      </c>
      <c r="L725" s="7">
        <v>847010</v>
      </c>
      <c r="M725" s="2" t="s">
        <v>61</v>
      </c>
      <c r="N725" s="2">
        <v>200179</v>
      </c>
      <c r="O725" s="3" t="s">
        <v>2632</v>
      </c>
      <c r="P725" s="35"/>
      <c r="Q725" s="2"/>
      <c r="R725" s="3"/>
      <c r="S725" s="2" t="str">
        <f>VLOOKUP(O725,'[3]Consolidation FMS&amp;HSE 2025'!$O:$P,2,FALSE)</f>
        <v>432120.Bldg maintenance-Business premises-The area of major maintenance HQ-2m</v>
      </c>
      <c r="T725" s="2" t="s">
        <v>515</v>
      </c>
      <c r="U725" s="2">
        <v>1</v>
      </c>
      <c r="V725" s="3">
        <v>60000</v>
      </c>
      <c r="W725" s="36" t="s">
        <v>2447</v>
      </c>
      <c r="X725" s="10">
        <v>60000</v>
      </c>
      <c r="Y725" s="2" t="s">
        <v>55</v>
      </c>
      <c r="Z725" s="14" t="s">
        <v>56</v>
      </c>
      <c r="AA725" s="14">
        <f t="shared" si="36"/>
        <v>54000</v>
      </c>
      <c r="AB725" s="14">
        <f t="shared" si="37"/>
        <v>48000</v>
      </c>
      <c r="AC725" s="14">
        <f t="shared" si="38"/>
        <v>42000</v>
      </c>
      <c r="AD725" s="3" t="s">
        <v>2416</v>
      </c>
      <c r="AE725" s="3" t="s">
        <v>2416</v>
      </c>
      <c r="AF725" s="43" t="s">
        <v>2416</v>
      </c>
      <c r="AG725" s="43"/>
      <c r="AH725" s="43"/>
      <c r="AI725" s="43">
        <v>60000</v>
      </c>
      <c r="AJ725" s="43"/>
      <c r="AK725" s="43"/>
      <c r="AL725" s="43"/>
      <c r="AM725" s="43"/>
      <c r="AN725" s="43"/>
      <c r="AO725" s="43"/>
      <c r="AP725" s="43"/>
      <c r="AQ725" s="43"/>
      <c r="AR725" s="43"/>
      <c r="AS725" s="3">
        <v>60000</v>
      </c>
      <c r="AT725" s="272" t="s">
        <v>1025</v>
      </c>
      <c r="AU725" s="15"/>
    </row>
    <row r="726" spans="1:47" ht="16.5" hidden="1" customHeight="1" x14ac:dyDescent="0.35">
      <c r="A726" s="2" t="s">
        <v>161</v>
      </c>
      <c r="B726" s="2" t="s">
        <v>58</v>
      </c>
      <c r="C726" s="2" t="s">
        <v>47</v>
      </c>
      <c r="D726" s="2">
        <v>847</v>
      </c>
      <c r="E726" s="2">
        <v>8470530</v>
      </c>
      <c r="F726" s="2" t="s">
        <v>2412</v>
      </c>
      <c r="G726" s="2">
        <v>1</v>
      </c>
      <c r="H726" s="276">
        <v>432120</v>
      </c>
      <c r="I726" s="2" t="s">
        <v>1480</v>
      </c>
      <c r="J726" s="2" t="s">
        <v>60</v>
      </c>
      <c r="K726" s="2" t="s">
        <v>2413</v>
      </c>
      <c r="L726" s="7">
        <v>847010</v>
      </c>
      <c r="M726" s="2" t="s">
        <v>61</v>
      </c>
      <c r="N726" s="2">
        <v>200179</v>
      </c>
      <c r="O726" s="3" t="s">
        <v>2632</v>
      </c>
      <c r="P726" s="35">
        <v>424725.24</v>
      </c>
      <c r="Q726" s="2">
        <v>11446037</v>
      </c>
      <c r="R726" s="3">
        <v>11446037</v>
      </c>
      <c r="S726" s="2" t="s">
        <v>2443</v>
      </c>
      <c r="T726" s="2" t="s">
        <v>515</v>
      </c>
      <c r="U726" s="2">
        <v>1</v>
      </c>
      <c r="V726" s="3">
        <v>20000</v>
      </c>
      <c r="W726" s="36" t="s">
        <v>2448</v>
      </c>
      <c r="X726" s="10">
        <v>20000</v>
      </c>
      <c r="Y726" s="2" t="s">
        <v>55</v>
      </c>
      <c r="Z726" s="14" t="s">
        <v>56</v>
      </c>
      <c r="AA726" s="14">
        <f t="shared" si="36"/>
        <v>18000</v>
      </c>
      <c r="AB726" s="14">
        <f t="shared" si="37"/>
        <v>16000</v>
      </c>
      <c r="AC726" s="14">
        <f t="shared" si="38"/>
        <v>14000</v>
      </c>
      <c r="AD726" s="3" t="s">
        <v>2416</v>
      </c>
      <c r="AE726" s="3" t="s">
        <v>2416</v>
      </c>
      <c r="AF726" s="43" t="s">
        <v>2416</v>
      </c>
      <c r="AG726" s="43"/>
      <c r="AH726" s="43"/>
      <c r="AI726" s="43">
        <v>20000</v>
      </c>
      <c r="AJ726" s="43"/>
      <c r="AK726" s="43"/>
      <c r="AL726" s="43"/>
      <c r="AM726" s="43"/>
      <c r="AN726" s="43"/>
      <c r="AO726" s="43"/>
      <c r="AP726" s="43"/>
      <c r="AQ726" s="43"/>
      <c r="AR726" s="43"/>
      <c r="AS726" s="3">
        <v>20000</v>
      </c>
      <c r="AT726" s="272" t="s">
        <v>1025</v>
      </c>
      <c r="AU726" s="15"/>
    </row>
    <row r="727" spans="1:47" ht="16.5" hidden="1" customHeight="1" x14ac:dyDescent="0.35">
      <c r="A727" s="2" t="s">
        <v>161</v>
      </c>
      <c r="B727" s="2" t="s">
        <v>58</v>
      </c>
      <c r="C727" s="2" t="s">
        <v>47</v>
      </c>
      <c r="D727" s="2">
        <v>847</v>
      </c>
      <c r="E727" s="2">
        <v>8470530</v>
      </c>
      <c r="F727" s="2" t="s">
        <v>2412</v>
      </c>
      <c r="G727" s="2">
        <v>1</v>
      </c>
      <c r="H727" s="276">
        <v>432120</v>
      </c>
      <c r="I727" s="2" t="s">
        <v>1480</v>
      </c>
      <c r="J727" s="2" t="s">
        <v>60</v>
      </c>
      <c r="K727" s="2" t="s">
        <v>2413</v>
      </c>
      <c r="L727" s="7">
        <v>847010</v>
      </c>
      <c r="M727" s="2" t="s">
        <v>61</v>
      </c>
      <c r="N727" s="2">
        <v>200179</v>
      </c>
      <c r="O727" s="3" t="s">
        <v>2632</v>
      </c>
      <c r="P727" s="35"/>
      <c r="Q727" s="2"/>
      <c r="R727" s="3"/>
      <c r="S727" s="2" t="s">
        <v>2443</v>
      </c>
      <c r="T727" s="2" t="s">
        <v>515</v>
      </c>
      <c r="U727" s="2">
        <v>1</v>
      </c>
      <c r="V727" s="3">
        <v>121000</v>
      </c>
      <c r="W727" s="36" t="s">
        <v>2449</v>
      </c>
      <c r="X727" s="10">
        <v>121000</v>
      </c>
      <c r="Y727" s="2" t="s">
        <v>55</v>
      </c>
      <c r="Z727" s="14" t="s">
        <v>56</v>
      </c>
      <c r="AA727" s="14">
        <f t="shared" si="36"/>
        <v>108900</v>
      </c>
      <c r="AB727" s="14">
        <f t="shared" si="37"/>
        <v>96800</v>
      </c>
      <c r="AC727" s="14">
        <f t="shared" si="38"/>
        <v>84700</v>
      </c>
      <c r="AD727" s="3" t="s">
        <v>2416</v>
      </c>
      <c r="AE727" s="3" t="s">
        <v>2416</v>
      </c>
      <c r="AF727" s="43" t="s">
        <v>2416</v>
      </c>
      <c r="AG727" s="43"/>
      <c r="AH727" s="43"/>
      <c r="AI727" s="43">
        <v>121000</v>
      </c>
      <c r="AJ727" s="43"/>
      <c r="AK727" s="43"/>
      <c r="AL727" s="43"/>
      <c r="AM727" s="43"/>
      <c r="AN727" s="43"/>
      <c r="AO727" s="43"/>
      <c r="AP727" s="43"/>
      <c r="AQ727" s="43"/>
      <c r="AR727" s="43"/>
      <c r="AS727" s="3">
        <v>121000</v>
      </c>
      <c r="AT727" s="272" t="s">
        <v>1025</v>
      </c>
      <c r="AU727" s="15"/>
    </row>
    <row r="728" spans="1:47" ht="16.5" hidden="1" customHeight="1" x14ac:dyDescent="0.35">
      <c r="A728" s="2" t="s">
        <v>161</v>
      </c>
      <c r="B728" s="2" t="s">
        <v>58</v>
      </c>
      <c r="C728" s="2" t="s">
        <v>47</v>
      </c>
      <c r="D728" s="2">
        <v>847</v>
      </c>
      <c r="E728" s="2">
        <v>8470530</v>
      </c>
      <c r="F728" s="2" t="s">
        <v>2412</v>
      </c>
      <c r="G728" s="2">
        <v>1</v>
      </c>
      <c r="H728" s="276">
        <v>432120</v>
      </c>
      <c r="I728" s="2" t="s">
        <v>1480</v>
      </c>
      <c r="J728" s="2" t="s">
        <v>60</v>
      </c>
      <c r="K728" s="2" t="s">
        <v>2413</v>
      </c>
      <c r="L728" s="7">
        <v>847010</v>
      </c>
      <c r="M728" s="2" t="s">
        <v>61</v>
      </c>
      <c r="N728" s="2">
        <v>200179</v>
      </c>
      <c r="O728" s="3" t="s">
        <v>2632</v>
      </c>
      <c r="P728" s="35"/>
      <c r="Q728" s="2"/>
      <c r="R728" s="3"/>
      <c r="S728" s="2" t="s">
        <v>2443</v>
      </c>
      <c r="T728" s="2" t="s">
        <v>515</v>
      </c>
      <c r="U728" s="2">
        <v>1</v>
      </c>
      <c r="V728" s="3">
        <v>80000</v>
      </c>
      <c r="W728" s="36" t="s">
        <v>2450</v>
      </c>
      <c r="X728" s="10">
        <v>80000</v>
      </c>
      <c r="Y728" s="2" t="s">
        <v>55</v>
      </c>
      <c r="Z728" s="14" t="s">
        <v>56</v>
      </c>
      <c r="AA728" s="14">
        <f t="shared" si="36"/>
        <v>72000</v>
      </c>
      <c r="AB728" s="14">
        <f t="shared" si="37"/>
        <v>64000</v>
      </c>
      <c r="AC728" s="14">
        <f t="shared" si="38"/>
        <v>56000</v>
      </c>
      <c r="AD728" s="3" t="s">
        <v>2416</v>
      </c>
      <c r="AE728" s="3" t="s">
        <v>2416</v>
      </c>
      <c r="AF728" s="43" t="s">
        <v>2416</v>
      </c>
      <c r="AG728" s="43"/>
      <c r="AH728" s="43"/>
      <c r="AI728" s="43">
        <v>80000</v>
      </c>
      <c r="AJ728" s="43"/>
      <c r="AK728" s="43"/>
      <c r="AL728" s="43"/>
      <c r="AM728" s="43"/>
      <c r="AN728" s="43"/>
      <c r="AO728" s="43"/>
      <c r="AP728" s="43"/>
      <c r="AQ728" s="43"/>
      <c r="AR728" s="43"/>
      <c r="AS728" s="3">
        <v>80000</v>
      </c>
      <c r="AT728" s="272" t="s">
        <v>1025</v>
      </c>
      <c r="AU728" s="15"/>
    </row>
    <row r="729" spans="1:47" ht="16.5" hidden="1" customHeight="1" x14ac:dyDescent="0.35">
      <c r="A729" s="2" t="s">
        <v>161</v>
      </c>
      <c r="B729" s="2" t="s">
        <v>58</v>
      </c>
      <c r="C729" s="2" t="s">
        <v>47</v>
      </c>
      <c r="D729" s="2">
        <v>847</v>
      </c>
      <c r="E729" s="2">
        <v>8470530</v>
      </c>
      <c r="F729" s="2" t="s">
        <v>2412</v>
      </c>
      <c r="G729" s="2">
        <v>1</v>
      </c>
      <c r="H729" s="276">
        <v>432120</v>
      </c>
      <c r="I729" s="2" t="s">
        <v>1480</v>
      </c>
      <c r="J729" s="2" t="s">
        <v>60</v>
      </c>
      <c r="K729" s="2" t="s">
        <v>2413</v>
      </c>
      <c r="L729" s="7">
        <v>847010</v>
      </c>
      <c r="M729" s="2" t="s">
        <v>61</v>
      </c>
      <c r="N729" s="2">
        <v>200179</v>
      </c>
      <c r="O729" s="3" t="s">
        <v>2632</v>
      </c>
      <c r="P729" s="35"/>
      <c r="Q729" s="2"/>
      <c r="R729" s="3"/>
      <c r="S729" s="2" t="s">
        <v>2443</v>
      </c>
      <c r="T729" s="2" t="s">
        <v>515</v>
      </c>
      <c r="U729" s="2">
        <v>1</v>
      </c>
      <c r="V729" s="3">
        <v>120000</v>
      </c>
      <c r="W729" s="36" t="s">
        <v>2451</v>
      </c>
      <c r="X729" s="10">
        <v>120000</v>
      </c>
      <c r="Y729" s="2" t="s">
        <v>55</v>
      </c>
      <c r="Z729" s="14" t="s">
        <v>56</v>
      </c>
      <c r="AA729" s="14">
        <f t="shared" si="36"/>
        <v>108000</v>
      </c>
      <c r="AB729" s="14">
        <f t="shared" si="37"/>
        <v>96000</v>
      </c>
      <c r="AC729" s="14">
        <f t="shared" si="38"/>
        <v>84000</v>
      </c>
      <c r="AD729" s="3" t="s">
        <v>2416</v>
      </c>
      <c r="AE729" s="3" t="s">
        <v>2416</v>
      </c>
      <c r="AF729" s="43" t="s">
        <v>2416</v>
      </c>
      <c r="AG729" s="43"/>
      <c r="AH729" s="43"/>
      <c r="AI729" s="43">
        <v>120000</v>
      </c>
      <c r="AJ729" s="43"/>
      <c r="AK729" s="43"/>
      <c r="AL729" s="43"/>
      <c r="AM729" s="43"/>
      <c r="AN729" s="43"/>
      <c r="AO729" s="43"/>
      <c r="AP729" s="43"/>
      <c r="AQ729" s="43"/>
      <c r="AR729" s="43"/>
      <c r="AS729" s="3">
        <v>120000</v>
      </c>
      <c r="AT729" s="272" t="s">
        <v>1025</v>
      </c>
      <c r="AU729" s="15"/>
    </row>
    <row r="730" spans="1:47" ht="16.5" hidden="1" customHeight="1" x14ac:dyDescent="0.35">
      <c r="A730" s="2" t="s">
        <v>161</v>
      </c>
      <c r="B730" s="2" t="s">
        <v>58</v>
      </c>
      <c r="C730" s="2" t="s">
        <v>47</v>
      </c>
      <c r="D730" s="2">
        <v>847</v>
      </c>
      <c r="E730" s="2">
        <v>8470530</v>
      </c>
      <c r="F730" s="2" t="s">
        <v>2412</v>
      </c>
      <c r="G730" s="2">
        <v>1</v>
      </c>
      <c r="H730" s="276">
        <v>432120</v>
      </c>
      <c r="I730" s="2" t="s">
        <v>1480</v>
      </c>
      <c r="J730" s="2" t="s">
        <v>60</v>
      </c>
      <c r="K730" s="2" t="s">
        <v>2413</v>
      </c>
      <c r="L730" s="7">
        <v>847010</v>
      </c>
      <c r="M730" s="2" t="s">
        <v>61</v>
      </c>
      <c r="N730" s="2">
        <v>200179</v>
      </c>
      <c r="O730" s="3" t="s">
        <v>2632</v>
      </c>
      <c r="P730" s="35"/>
      <c r="Q730" s="2"/>
      <c r="R730" s="3"/>
      <c r="S730" s="2" t="s">
        <v>2443</v>
      </c>
      <c r="T730" s="2" t="s">
        <v>515</v>
      </c>
      <c r="U730" s="2">
        <v>1</v>
      </c>
      <c r="V730" s="3">
        <v>130000</v>
      </c>
      <c r="W730" s="36" t="s">
        <v>2452</v>
      </c>
      <c r="X730" s="10">
        <v>130000</v>
      </c>
      <c r="Y730" s="2" t="s">
        <v>55</v>
      </c>
      <c r="Z730" s="14" t="s">
        <v>56</v>
      </c>
      <c r="AA730" s="14">
        <f t="shared" si="36"/>
        <v>117000</v>
      </c>
      <c r="AB730" s="14">
        <f t="shared" si="37"/>
        <v>104000</v>
      </c>
      <c r="AC730" s="14">
        <f t="shared" si="38"/>
        <v>91000</v>
      </c>
      <c r="AD730" s="3" t="s">
        <v>2416</v>
      </c>
      <c r="AE730" s="3" t="s">
        <v>2416</v>
      </c>
      <c r="AF730" s="43" t="s">
        <v>2416</v>
      </c>
      <c r="AG730" s="43"/>
      <c r="AH730" s="43"/>
      <c r="AI730" s="43">
        <v>130000</v>
      </c>
      <c r="AJ730" s="43"/>
      <c r="AK730" s="43"/>
      <c r="AL730" s="43"/>
      <c r="AM730" s="43"/>
      <c r="AN730" s="43"/>
      <c r="AO730" s="43"/>
      <c r="AP730" s="43"/>
      <c r="AQ730" s="43"/>
      <c r="AR730" s="43"/>
      <c r="AS730" s="3">
        <v>130000</v>
      </c>
      <c r="AT730" s="272" t="s">
        <v>1025</v>
      </c>
      <c r="AU730" s="15"/>
    </row>
    <row r="731" spans="1:47" ht="16.5" hidden="1" customHeight="1" x14ac:dyDescent="0.35">
      <c r="A731" s="2" t="s">
        <v>161</v>
      </c>
      <c r="B731" s="2" t="s">
        <v>58</v>
      </c>
      <c r="C731" s="2" t="s">
        <v>47</v>
      </c>
      <c r="D731" s="2">
        <v>847</v>
      </c>
      <c r="E731" s="2">
        <v>8470530</v>
      </c>
      <c r="F731" s="2" t="s">
        <v>2412</v>
      </c>
      <c r="G731" s="2">
        <v>1</v>
      </c>
      <c r="H731" s="276">
        <v>432120</v>
      </c>
      <c r="I731" s="2" t="s">
        <v>1480</v>
      </c>
      <c r="J731" s="2" t="s">
        <v>60</v>
      </c>
      <c r="K731" s="2" t="s">
        <v>2417</v>
      </c>
      <c r="L731" s="7">
        <v>847015</v>
      </c>
      <c r="M731" s="2" t="s">
        <v>61</v>
      </c>
      <c r="N731" s="2">
        <v>200179</v>
      </c>
      <c r="O731" s="3" t="s">
        <v>2638</v>
      </c>
      <c r="P731" s="35">
        <v>5040562.12</v>
      </c>
      <c r="Q731" s="2">
        <v>5071140</v>
      </c>
      <c r="R731" s="3">
        <v>5071140</v>
      </c>
      <c r="S731" s="2" t="s">
        <v>2443</v>
      </c>
      <c r="T731" s="2" t="s">
        <v>515</v>
      </c>
      <c r="U731" s="2">
        <v>1</v>
      </c>
      <c r="V731" s="3">
        <v>8438550</v>
      </c>
      <c r="W731" s="36" t="s">
        <v>2444</v>
      </c>
      <c r="X731" s="10">
        <v>8438550</v>
      </c>
      <c r="Y731" s="2" t="s">
        <v>55</v>
      </c>
      <c r="Z731" s="14" t="s">
        <v>56</v>
      </c>
      <c r="AA731" s="14">
        <f t="shared" si="36"/>
        <v>7594695</v>
      </c>
      <c r="AB731" s="14">
        <f t="shared" si="37"/>
        <v>6750840</v>
      </c>
      <c r="AC731" s="14">
        <f t="shared" si="38"/>
        <v>5906985</v>
      </c>
      <c r="AD731" s="3" t="s">
        <v>2416</v>
      </c>
      <c r="AE731" s="3" t="s">
        <v>2416</v>
      </c>
      <c r="AF731" s="43" t="s">
        <v>2416</v>
      </c>
      <c r="AG731" s="43">
        <v>703212.5</v>
      </c>
      <c r="AH731" s="43">
        <v>703212.5</v>
      </c>
      <c r="AI731" s="43">
        <v>703212.5</v>
      </c>
      <c r="AJ731" s="43">
        <v>703212.5</v>
      </c>
      <c r="AK731" s="43">
        <v>703212.5</v>
      </c>
      <c r="AL731" s="43">
        <v>703212.5</v>
      </c>
      <c r="AM731" s="43">
        <v>703212.5</v>
      </c>
      <c r="AN731" s="43">
        <v>703212.5</v>
      </c>
      <c r="AO731" s="43">
        <v>703212.5</v>
      </c>
      <c r="AP731" s="43">
        <v>703212.5</v>
      </c>
      <c r="AQ731" s="43">
        <v>703212.5</v>
      </c>
      <c r="AR731" s="43">
        <v>703212.5</v>
      </c>
      <c r="AS731" s="3">
        <v>8438550</v>
      </c>
      <c r="AT731" s="272" t="s">
        <v>1025</v>
      </c>
      <c r="AU731" s="15"/>
    </row>
    <row r="732" spans="1:47" ht="16.5" hidden="1" customHeight="1" x14ac:dyDescent="0.35">
      <c r="A732" s="2" t="s">
        <v>161</v>
      </c>
      <c r="B732" s="2" t="s">
        <v>58</v>
      </c>
      <c r="C732" s="2" t="s">
        <v>47</v>
      </c>
      <c r="D732" s="2">
        <v>847</v>
      </c>
      <c r="E732" s="2">
        <v>8470530</v>
      </c>
      <c r="F732" s="2" t="s">
        <v>2412</v>
      </c>
      <c r="G732" s="2">
        <v>1</v>
      </c>
      <c r="H732" s="276">
        <v>432120</v>
      </c>
      <c r="I732" s="2" t="s">
        <v>1480</v>
      </c>
      <c r="J732" s="2" t="s">
        <v>60</v>
      </c>
      <c r="K732" s="2" t="s">
        <v>2417</v>
      </c>
      <c r="L732" s="7">
        <v>847015</v>
      </c>
      <c r="M732" s="2" t="s">
        <v>61</v>
      </c>
      <c r="N732" s="2">
        <v>200179</v>
      </c>
      <c r="O732" s="3" t="s">
        <v>2638</v>
      </c>
      <c r="P732" s="35"/>
      <c r="Q732" s="2"/>
      <c r="R732" s="3"/>
      <c r="S732" s="2" t="s">
        <v>2453</v>
      </c>
      <c r="T732" s="2" t="s">
        <v>515</v>
      </c>
      <c r="U732" s="2">
        <v>1</v>
      </c>
      <c r="V732" s="3">
        <v>98000</v>
      </c>
      <c r="W732" s="36" t="s">
        <v>2446</v>
      </c>
      <c r="X732" s="10">
        <v>98000</v>
      </c>
      <c r="Y732" s="2" t="s">
        <v>55</v>
      </c>
      <c r="Z732" s="14" t="s">
        <v>56</v>
      </c>
      <c r="AA732" s="14">
        <f t="shared" si="36"/>
        <v>88200</v>
      </c>
      <c r="AB732" s="14">
        <f t="shared" si="37"/>
        <v>78400</v>
      </c>
      <c r="AC732" s="14">
        <f t="shared" si="38"/>
        <v>68600</v>
      </c>
      <c r="AD732" s="3" t="s">
        <v>2416</v>
      </c>
      <c r="AE732" s="3" t="s">
        <v>2416</v>
      </c>
      <c r="AF732" s="43" t="s">
        <v>2416</v>
      </c>
      <c r="AG732" s="43"/>
      <c r="AH732" s="43"/>
      <c r="AI732" s="43">
        <v>98000</v>
      </c>
      <c r="AJ732" s="43"/>
      <c r="AK732" s="43"/>
      <c r="AL732" s="43"/>
      <c r="AM732" s="43"/>
      <c r="AN732" s="43"/>
      <c r="AO732" s="43"/>
      <c r="AP732" s="43"/>
      <c r="AQ732" s="43"/>
      <c r="AR732" s="43"/>
      <c r="AS732" s="3">
        <v>98000</v>
      </c>
      <c r="AT732" s="272" t="s">
        <v>1025</v>
      </c>
      <c r="AU732" s="15"/>
    </row>
    <row r="733" spans="1:47" ht="16.5" hidden="1" customHeight="1" x14ac:dyDescent="0.35">
      <c r="A733" s="2" t="s">
        <v>161</v>
      </c>
      <c r="B733" s="2" t="s">
        <v>58</v>
      </c>
      <c r="C733" s="2" t="s">
        <v>47</v>
      </c>
      <c r="D733" s="2">
        <v>847</v>
      </c>
      <c r="E733" s="2">
        <v>8470530</v>
      </c>
      <c r="F733" s="2" t="s">
        <v>2412</v>
      </c>
      <c r="G733" s="2">
        <v>1</v>
      </c>
      <c r="H733" s="276">
        <v>432120</v>
      </c>
      <c r="I733" s="2" t="s">
        <v>1480</v>
      </c>
      <c r="J733" s="2" t="s">
        <v>60</v>
      </c>
      <c r="K733" s="2" t="s">
        <v>2417</v>
      </c>
      <c r="L733" s="7">
        <v>847015</v>
      </c>
      <c r="M733" s="2" t="s">
        <v>61</v>
      </c>
      <c r="N733" s="2">
        <v>200179</v>
      </c>
      <c r="O733" s="3" t="s">
        <v>2638</v>
      </c>
      <c r="P733" s="35"/>
      <c r="Q733" s="2"/>
      <c r="R733" s="3"/>
      <c r="S733" s="2" t="s">
        <v>2443</v>
      </c>
      <c r="T733" s="2" t="s">
        <v>515</v>
      </c>
      <c r="U733" s="2">
        <v>1</v>
      </c>
      <c r="V733" s="3">
        <v>500000</v>
      </c>
      <c r="W733" s="36" t="s">
        <v>2445</v>
      </c>
      <c r="X733" s="10">
        <v>500000</v>
      </c>
      <c r="Y733" s="2" t="s">
        <v>55</v>
      </c>
      <c r="Z733" s="14" t="s">
        <v>56</v>
      </c>
      <c r="AA733" s="14">
        <f t="shared" si="36"/>
        <v>450000</v>
      </c>
      <c r="AB733" s="14">
        <f t="shared" si="37"/>
        <v>400000</v>
      </c>
      <c r="AC733" s="14">
        <f t="shared" si="38"/>
        <v>350000</v>
      </c>
      <c r="AD733" s="3" t="s">
        <v>2416</v>
      </c>
      <c r="AE733" s="3" t="s">
        <v>2416</v>
      </c>
      <c r="AF733" s="43" t="s">
        <v>2416</v>
      </c>
      <c r="AG733" s="43">
        <v>41666.666700000002</v>
      </c>
      <c r="AH733" s="43">
        <v>41666.666700000002</v>
      </c>
      <c r="AI733" s="43">
        <v>41666.666700000002</v>
      </c>
      <c r="AJ733" s="43">
        <v>41666.666700000002</v>
      </c>
      <c r="AK733" s="43">
        <v>41666.666700000002</v>
      </c>
      <c r="AL733" s="43">
        <v>41666.666700000002</v>
      </c>
      <c r="AM733" s="43">
        <v>41666.666700000002</v>
      </c>
      <c r="AN733" s="43">
        <v>41666.666700000002</v>
      </c>
      <c r="AO733" s="43">
        <v>41666.666700000002</v>
      </c>
      <c r="AP733" s="43">
        <v>41666.666700000002</v>
      </c>
      <c r="AQ733" s="43">
        <v>41666.666700000002</v>
      </c>
      <c r="AR733" s="43">
        <v>41666.666700000002</v>
      </c>
      <c r="AS733" s="3">
        <v>500000</v>
      </c>
      <c r="AT733" s="272" t="s">
        <v>1025</v>
      </c>
      <c r="AU733" s="15"/>
    </row>
    <row r="734" spans="1:47" ht="16.5" hidden="1" customHeight="1" x14ac:dyDescent="0.35">
      <c r="A734" s="2" t="s">
        <v>161</v>
      </c>
      <c r="B734" s="2" t="s">
        <v>58</v>
      </c>
      <c r="C734" s="2" t="s">
        <v>47</v>
      </c>
      <c r="D734" s="2">
        <v>847</v>
      </c>
      <c r="E734" s="2">
        <v>8470530</v>
      </c>
      <c r="F734" s="2" t="s">
        <v>2412</v>
      </c>
      <c r="G734" s="2">
        <v>1</v>
      </c>
      <c r="H734" s="276">
        <v>432120</v>
      </c>
      <c r="I734" s="2" t="s">
        <v>1480</v>
      </c>
      <c r="J734" s="2" t="s">
        <v>60</v>
      </c>
      <c r="K734" s="2" t="s">
        <v>2093</v>
      </c>
      <c r="L734" s="7">
        <v>847020</v>
      </c>
      <c r="M734" s="2" t="s">
        <v>61</v>
      </c>
      <c r="N734" s="2">
        <v>200179</v>
      </c>
      <c r="O734" s="3" t="s">
        <v>2639</v>
      </c>
      <c r="P734" s="35"/>
      <c r="Q734" s="2"/>
      <c r="R734" s="3"/>
      <c r="S734" s="2" t="s">
        <v>2453</v>
      </c>
      <c r="T734" s="2" t="s">
        <v>515</v>
      </c>
      <c r="U734" s="2">
        <v>1</v>
      </c>
      <c r="V734" s="3">
        <v>6954646</v>
      </c>
      <c r="W734" s="36" t="s">
        <v>2444</v>
      </c>
      <c r="X734" s="10">
        <v>6954646</v>
      </c>
      <c r="Y734" s="2" t="s">
        <v>55</v>
      </c>
      <c r="Z734" s="14" t="s">
        <v>56</v>
      </c>
      <c r="AA734" s="14">
        <f t="shared" si="36"/>
        <v>6259181.4000000004</v>
      </c>
      <c r="AB734" s="14">
        <f t="shared" si="37"/>
        <v>5563716.8000000007</v>
      </c>
      <c r="AC734" s="14">
        <f t="shared" si="38"/>
        <v>4868252.1999999993</v>
      </c>
      <c r="AD734" s="3" t="s">
        <v>2416</v>
      </c>
      <c r="AE734" s="3" t="s">
        <v>2416</v>
      </c>
      <c r="AF734" s="43" t="s">
        <v>2416</v>
      </c>
      <c r="AG734" s="43">
        <v>579553.83330000006</v>
      </c>
      <c r="AH734" s="43">
        <v>579553.83330000006</v>
      </c>
      <c r="AI734" s="43">
        <v>579553.83330000006</v>
      </c>
      <c r="AJ734" s="43">
        <v>579553.83330000006</v>
      </c>
      <c r="AK734" s="43">
        <v>579553.83330000006</v>
      </c>
      <c r="AL734" s="43">
        <v>579553.83330000006</v>
      </c>
      <c r="AM734" s="43">
        <v>579553.83330000006</v>
      </c>
      <c r="AN734" s="43">
        <v>579553.83330000006</v>
      </c>
      <c r="AO734" s="43">
        <v>579553.83330000006</v>
      </c>
      <c r="AP734" s="43">
        <v>579553.83330000006</v>
      </c>
      <c r="AQ734" s="43">
        <v>579553.83330000006</v>
      </c>
      <c r="AR734" s="43">
        <v>579553.83330000006</v>
      </c>
      <c r="AS734" s="3">
        <v>6954646</v>
      </c>
      <c r="AT734" s="272" t="s">
        <v>1025</v>
      </c>
      <c r="AU734" s="15"/>
    </row>
    <row r="735" spans="1:47" ht="16.5" hidden="1" customHeight="1" x14ac:dyDescent="0.35">
      <c r="A735" s="2" t="s">
        <v>161</v>
      </c>
      <c r="B735" s="2" t="s">
        <v>58</v>
      </c>
      <c r="C735" s="2" t="s">
        <v>47</v>
      </c>
      <c r="D735" s="2">
        <v>847</v>
      </c>
      <c r="E735" s="2">
        <v>8470530</v>
      </c>
      <c r="F735" s="2" t="s">
        <v>2412</v>
      </c>
      <c r="G735" s="2">
        <v>1</v>
      </c>
      <c r="H735" s="276">
        <v>432120</v>
      </c>
      <c r="I735" s="2" t="s">
        <v>1480</v>
      </c>
      <c r="J735" s="2" t="s">
        <v>60</v>
      </c>
      <c r="K735" s="2" t="s">
        <v>2093</v>
      </c>
      <c r="L735" s="7">
        <v>847020</v>
      </c>
      <c r="M735" s="2" t="s">
        <v>61</v>
      </c>
      <c r="N735" s="2">
        <v>200179</v>
      </c>
      <c r="O735" s="3" t="s">
        <v>2639</v>
      </c>
      <c r="P735" s="35"/>
      <c r="Q735" s="2"/>
      <c r="R735" s="3"/>
      <c r="S735" s="2" t="s">
        <v>2453</v>
      </c>
      <c r="T735" s="2" t="s">
        <v>515</v>
      </c>
      <c r="U735" s="2">
        <v>1</v>
      </c>
      <c r="V735" s="3">
        <v>500000</v>
      </c>
      <c r="W735" s="36" t="s">
        <v>2445</v>
      </c>
      <c r="X735" s="10">
        <v>500000</v>
      </c>
      <c r="Y735" s="2" t="s">
        <v>55</v>
      </c>
      <c r="Z735" s="14" t="s">
        <v>56</v>
      </c>
      <c r="AA735" s="14">
        <f t="shared" si="36"/>
        <v>450000</v>
      </c>
      <c r="AB735" s="14">
        <f t="shared" si="37"/>
        <v>400000</v>
      </c>
      <c r="AC735" s="14">
        <f t="shared" si="38"/>
        <v>350000</v>
      </c>
      <c r="AD735" s="3" t="s">
        <v>2416</v>
      </c>
      <c r="AE735" s="3" t="s">
        <v>2416</v>
      </c>
      <c r="AF735" s="43" t="s">
        <v>2416</v>
      </c>
      <c r="AG735" s="43">
        <v>41666.666700000002</v>
      </c>
      <c r="AH735" s="43">
        <v>41666.666700000002</v>
      </c>
      <c r="AI735" s="43">
        <v>41666.666700000002</v>
      </c>
      <c r="AJ735" s="43">
        <v>41666.666700000002</v>
      </c>
      <c r="AK735" s="43">
        <v>41666.666700000002</v>
      </c>
      <c r="AL735" s="43">
        <v>41666.666700000002</v>
      </c>
      <c r="AM735" s="43">
        <v>41666.666700000002</v>
      </c>
      <c r="AN735" s="43">
        <v>41666.666700000002</v>
      </c>
      <c r="AO735" s="43">
        <v>41666.666700000002</v>
      </c>
      <c r="AP735" s="43">
        <v>41666.666700000002</v>
      </c>
      <c r="AQ735" s="43">
        <v>41666.666700000002</v>
      </c>
      <c r="AR735" s="43">
        <v>41666.666700000002</v>
      </c>
      <c r="AS735" s="3">
        <v>500000</v>
      </c>
      <c r="AT735" s="272" t="s">
        <v>1025</v>
      </c>
      <c r="AU735" s="15"/>
    </row>
    <row r="736" spans="1:47" ht="16.5" hidden="1" customHeight="1" x14ac:dyDescent="0.35">
      <c r="A736" s="2" t="s">
        <v>161</v>
      </c>
      <c r="B736" s="2" t="s">
        <v>58</v>
      </c>
      <c r="C736" s="2" t="s">
        <v>47</v>
      </c>
      <c r="D736" s="2">
        <v>847</v>
      </c>
      <c r="E736" s="2">
        <v>8470530</v>
      </c>
      <c r="F736" s="2" t="s">
        <v>2412</v>
      </c>
      <c r="G736" s="2">
        <v>1</v>
      </c>
      <c r="H736" s="276">
        <v>432120</v>
      </c>
      <c r="I736" s="2" t="s">
        <v>1480</v>
      </c>
      <c r="J736" s="2" t="s">
        <v>60</v>
      </c>
      <c r="K736" s="2" t="s">
        <v>2093</v>
      </c>
      <c r="L736" s="7">
        <v>847020</v>
      </c>
      <c r="M736" s="2" t="s">
        <v>61</v>
      </c>
      <c r="N736" s="2">
        <v>200179</v>
      </c>
      <c r="O736" s="3" t="s">
        <v>2639</v>
      </c>
      <c r="P736" s="35"/>
      <c r="Q736" s="2"/>
      <c r="R736" s="3"/>
      <c r="S736" s="2" t="s">
        <v>2453</v>
      </c>
      <c r="T736" s="2" t="s">
        <v>515</v>
      </c>
      <c r="U736" s="2">
        <v>1</v>
      </c>
      <c r="V736" s="3">
        <v>29000</v>
      </c>
      <c r="W736" s="36" t="s">
        <v>2446</v>
      </c>
      <c r="X736" s="10">
        <v>29000</v>
      </c>
      <c r="Y736" s="2" t="s">
        <v>55</v>
      </c>
      <c r="Z736" s="14" t="s">
        <v>56</v>
      </c>
      <c r="AA736" s="14">
        <f t="shared" si="36"/>
        <v>26100</v>
      </c>
      <c r="AB736" s="14">
        <f t="shared" si="37"/>
        <v>23200</v>
      </c>
      <c r="AC736" s="14">
        <f t="shared" si="38"/>
        <v>20300</v>
      </c>
      <c r="AD736" s="3" t="s">
        <v>2416</v>
      </c>
      <c r="AE736" s="3" t="s">
        <v>2416</v>
      </c>
      <c r="AF736" s="43" t="s">
        <v>2416</v>
      </c>
      <c r="AG736" s="43"/>
      <c r="AH736" s="43"/>
      <c r="AI736" s="43">
        <v>29000</v>
      </c>
      <c r="AJ736" s="43"/>
      <c r="AK736" s="43"/>
      <c r="AL736" s="43"/>
      <c r="AM736" s="43"/>
      <c r="AN736" s="43"/>
      <c r="AO736" s="43"/>
      <c r="AP736" s="43"/>
      <c r="AQ736" s="43"/>
      <c r="AR736" s="43"/>
      <c r="AS736" s="3">
        <v>29000</v>
      </c>
      <c r="AT736" s="272" t="s">
        <v>1025</v>
      </c>
      <c r="AU736" s="15"/>
    </row>
    <row r="737" spans="1:49" ht="16.5" hidden="1" customHeight="1" x14ac:dyDescent="0.35">
      <c r="A737" s="2" t="s">
        <v>161</v>
      </c>
      <c r="B737" s="2" t="s">
        <v>58</v>
      </c>
      <c r="C737" s="2" t="s">
        <v>47</v>
      </c>
      <c r="D737" s="2">
        <v>847</v>
      </c>
      <c r="E737" s="2">
        <v>8470530</v>
      </c>
      <c r="F737" s="2" t="s">
        <v>2412</v>
      </c>
      <c r="G737" s="2">
        <v>1</v>
      </c>
      <c r="H737" s="276">
        <v>432120</v>
      </c>
      <c r="I737" s="2" t="s">
        <v>1480</v>
      </c>
      <c r="J737" s="2" t="s">
        <v>60</v>
      </c>
      <c r="K737" s="2" t="s">
        <v>2093</v>
      </c>
      <c r="L737" s="7">
        <v>847020</v>
      </c>
      <c r="M737" s="2" t="s">
        <v>61</v>
      </c>
      <c r="N737" s="2">
        <v>200179</v>
      </c>
      <c r="O737" s="3" t="s">
        <v>2639</v>
      </c>
      <c r="P737" s="35">
        <v>493435.92</v>
      </c>
      <c r="Q737" s="2">
        <v>5446416</v>
      </c>
      <c r="R737" s="3">
        <v>5446416</v>
      </c>
      <c r="S737" s="2" t="s">
        <v>2453</v>
      </c>
      <c r="T737" s="2" t="s">
        <v>515</v>
      </c>
      <c r="U737" s="2">
        <v>1</v>
      </c>
      <c r="V737" s="3">
        <v>14000</v>
      </c>
      <c r="W737" s="36" t="s">
        <v>2454</v>
      </c>
      <c r="X737" s="10">
        <v>14000</v>
      </c>
      <c r="Y737" s="2" t="s">
        <v>55</v>
      </c>
      <c r="Z737" s="14" t="s">
        <v>56</v>
      </c>
      <c r="AA737" s="14">
        <f t="shared" si="36"/>
        <v>12600</v>
      </c>
      <c r="AB737" s="14">
        <f t="shared" si="37"/>
        <v>11200</v>
      </c>
      <c r="AC737" s="14">
        <f t="shared" si="38"/>
        <v>9800</v>
      </c>
      <c r="AD737" s="3" t="s">
        <v>2416</v>
      </c>
      <c r="AE737" s="3" t="s">
        <v>2416</v>
      </c>
      <c r="AF737" s="43" t="s">
        <v>2416</v>
      </c>
      <c r="AG737" s="43"/>
      <c r="AH737" s="43"/>
      <c r="AI737" s="43">
        <v>14000</v>
      </c>
      <c r="AJ737" s="43"/>
      <c r="AK737" s="43"/>
      <c r="AL737" s="43"/>
      <c r="AM737" s="43"/>
      <c r="AN737" s="43"/>
      <c r="AO737" s="43"/>
      <c r="AP737" s="43"/>
      <c r="AQ737" s="43"/>
      <c r="AR737" s="43"/>
      <c r="AS737" s="3">
        <v>14000</v>
      </c>
      <c r="AT737" s="272" t="s">
        <v>1025</v>
      </c>
      <c r="AU737" s="15"/>
    </row>
    <row r="738" spans="1:49" ht="16.5" hidden="1" customHeight="1" x14ac:dyDescent="0.35">
      <c r="A738" s="2" t="s">
        <v>161</v>
      </c>
      <c r="B738" s="2" t="s">
        <v>58</v>
      </c>
      <c r="C738" s="2" t="s">
        <v>47</v>
      </c>
      <c r="D738" s="2">
        <v>847</v>
      </c>
      <c r="E738" s="2">
        <v>8470530</v>
      </c>
      <c r="F738" s="2" t="s">
        <v>2412</v>
      </c>
      <c r="G738" s="2">
        <v>1</v>
      </c>
      <c r="H738" s="276">
        <v>432120</v>
      </c>
      <c r="I738" s="2" t="s">
        <v>1480</v>
      </c>
      <c r="J738" s="2" t="s">
        <v>60</v>
      </c>
      <c r="K738" s="2" t="s">
        <v>2093</v>
      </c>
      <c r="L738" s="7">
        <v>847020</v>
      </c>
      <c r="M738" s="2" t="s">
        <v>61</v>
      </c>
      <c r="N738" s="2">
        <v>200179</v>
      </c>
      <c r="O738" s="3" t="s">
        <v>2639</v>
      </c>
      <c r="P738" s="35"/>
      <c r="Q738" s="2"/>
      <c r="R738" s="3"/>
      <c r="S738" s="2" t="s">
        <v>2453</v>
      </c>
      <c r="T738" s="2" t="s">
        <v>515</v>
      </c>
      <c r="U738" s="2">
        <v>1</v>
      </c>
      <c r="V738" s="3">
        <v>14000</v>
      </c>
      <c r="W738" s="36" t="s">
        <v>2455</v>
      </c>
      <c r="X738" s="10">
        <v>14000</v>
      </c>
      <c r="Y738" s="2" t="s">
        <v>55</v>
      </c>
      <c r="Z738" s="14" t="s">
        <v>56</v>
      </c>
      <c r="AA738" s="14">
        <f t="shared" si="36"/>
        <v>12600</v>
      </c>
      <c r="AB738" s="14">
        <f t="shared" si="37"/>
        <v>11200</v>
      </c>
      <c r="AC738" s="14">
        <f t="shared" si="38"/>
        <v>9800</v>
      </c>
      <c r="AD738" s="3" t="s">
        <v>2416</v>
      </c>
      <c r="AE738" s="3" t="s">
        <v>2416</v>
      </c>
      <c r="AF738" s="43" t="s">
        <v>2416</v>
      </c>
      <c r="AG738" s="43"/>
      <c r="AH738" s="43"/>
      <c r="AI738" s="43">
        <v>14000</v>
      </c>
      <c r="AJ738" s="43"/>
      <c r="AK738" s="43"/>
      <c r="AL738" s="43"/>
      <c r="AM738" s="43"/>
      <c r="AN738" s="43"/>
      <c r="AO738" s="43"/>
      <c r="AP738" s="43"/>
      <c r="AQ738" s="43"/>
      <c r="AR738" s="43"/>
      <c r="AS738" s="3">
        <v>14000</v>
      </c>
      <c r="AT738" s="272" t="s">
        <v>1025</v>
      </c>
      <c r="AU738" s="15"/>
    </row>
    <row r="739" spans="1:49" ht="16.5" hidden="1" customHeight="1" x14ac:dyDescent="0.35">
      <c r="A739" s="2" t="s">
        <v>161</v>
      </c>
      <c r="B739" s="2" t="s">
        <v>58</v>
      </c>
      <c r="C739" s="2" t="s">
        <v>47</v>
      </c>
      <c r="D739" s="2">
        <v>847</v>
      </c>
      <c r="E739" s="2">
        <v>8470530</v>
      </c>
      <c r="F739" s="2" t="s">
        <v>2412</v>
      </c>
      <c r="G739" s="2">
        <v>1</v>
      </c>
      <c r="H739" s="276">
        <v>432120</v>
      </c>
      <c r="I739" s="2" t="s">
        <v>1480</v>
      </c>
      <c r="J739" s="2" t="s">
        <v>60</v>
      </c>
      <c r="K739" s="2" t="s">
        <v>2093</v>
      </c>
      <c r="L739" s="7">
        <v>847020</v>
      </c>
      <c r="M739" s="2" t="s">
        <v>61</v>
      </c>
      <c r="N739" s="2">
        <v>200179</v>
      </c>
      <c r="O739" s="3" t="s">
        <v>2639</v>
      </c>
      <c r="P739" s="35"/>
      <c r="Q739" s="2"/>
      <c r="R739" s="3"/>
      <c r="S739" s="2" t="s">
        <v>2453</v>
      </c>
      <c r="T739" s="2" t="s">
        <v>515</v>
      </c>
      <c r="U739" s="2">
        <v>1</v>
      </c>
      <c r="V739" s="3">
        <v>350000</v>
      </c>
      <c r="W739" s="36" t="s">
        <v>2456</v>
      </c>
      <c r="X739" s="10">
        <v>350000</v>
      </c>
      <c r="Y739" s="2" t="s">
        <v>55</v>
      </c>
      <c r="Z739" s="14" t="s">
        <v>56</v>
      </c>
      <c r="AA739" s="14">
        <f t="shared" si="36"/>
        <v>315000</v>
      </c>
      <c r="AB739" s="14">
        <f t="shared" si="37"/>
        <v>280000</v>
      </c>
      <c r="AC739" s="14">
        <f t="shared" si="38"/>
        <v>244999.99999999997</v>
      </c>
      <c r="AD739" s="3" t="s">
        <v>2416</v>
      </c>
      <c r="AE739" s="3" t="s">
        <v>2416</v>
      </c>
      <c r="AF739" s="43" t="s">
        <v>2416</v>
      </c>
      <c r="AG739" s="43"/>
      <c r="AH739" s="43"/>
      <c r="AI739" s="43">
        <v>350000</v>
      </c>
      <c r="AJ739" s="43"/>
      <c r="AK739" s="43"/>
      <c r="AL739" s="43"/>
      <c r="AM739" s="43"/>
      <c r="AN739" s="43"/>
      <c r="AO739" s="43"/>
      <c r="AP739" s="43"/>
      <c r="AQ739" s="43"/>
      <c r="AR739" s="43"/>
      <c r="AS739" s="3">
        <v>350000</v>
      </c>
      <c r="AT739" s="272" t="s">
        <v>1025</v>
      </c>
      <c r="AU739" s="15"/>
    </row>
    <row r="740" spans="1:49" ht="16.5" hidden="1" customHeight="1" x14ac:dyDescent="0.35">
      <c r="A740" s="2" t="s">
        <v>161</v>
      </c>
      <c r="B740" s="2" t="s">
        <v>58</v>
      </c>
      <c r="C740" s="2" t="s">
        <v>47</v>
      </c>
      <c r="D740" s="2">
        <v>847</v>
      </c>
      <c r="E740" s="2">
        <v>8470530</v>
      </c>
      <c r="F740" s="2" t="s">
        <v>2412</v>
      </c>
      <c r="G740" s="2">
        <v>1</v>
      </c>
      <c r="H740" s="276">
        <v>432120</v>
      </c>
      <c r="I740" s="2" t="s">
        <v>1480</v>
      </c>
      <c r="J740" s="2" t="s">
        <v>60</v>
      </c>
      <c r="K740" s="2" t="s">
        <v>2093</v>
      </c>
      <c r="L740" s="7">
        <v>847020</v>
      </c>
      <c r="M740" s="2" t="s">
        <v>61</v>
      </c>
      <c r="N740" s="2">
        <v>200179</v>
      </c>
      <c r="O740" s="3" t="s">
        <v>2639</v>
      </c>
      <c r="P740" s="35"/>
      <c r="Q740" s="2"/>
      <c r="R740" s="3"/>
      <c r="S740" s="2" t="s">
        <v>2453</v>
      </c>
      <c r="T740" s="2" t="s">
        <v>515</v>
      </c>
      <c r="U740" s="2">
        <v>1</v>
      </c>
      <c r="V740" s="3">
        <v>460000</v>
      </c>
      <c r="W740" s="36" t="s">
        <v>2457</v>
      </c>
      <c r="X740" s="10">
        <v>460000</v>
      </c>
      <c r="Y740" s="2" t="s">
        <v>55</v>
      </c>
      <c r="Z740" s="14" t="s">
        <v>56</v>
      </c>
      <c r="AA740" s="14">
        <f t="shared" si="36"/>
        <v>414000</v>
      </c>
      <c r="AB740" s="14">
        <f t="shared" si="37"/>
        <v>368000</v>
      </c>
      <c r="AC740" s="14">
        <f t="shared" si="38"/>
        <v>322000</v>
      </c>
      <c r="AD740" s="3" t="s">
        <v>2416</v>
      </c>
      <c r="AE740" s="3" t="s">
        <v>2416</v>
      </c>
      <c r="AF740" s="43" t="s">
        <v>2416</v>
      </c>
      <c r="AG740" s="43"/>
      <c r="AH740" s="43"/>
      <c r="AI740" s="43">
        <v>460000</v>
      </c>
      <c r="AJ740" s="43"/>
      <c r="AK740" s="43"/>
      <c r="AL740" s="43"/>
      <c r="AM740" s="43"/>
      <c r="AN740" s="43"/>
      <c r="AO740" s="43"/>
      <c r="AP740" s="43"/>
      <c r="AQ740" s="43"/>
      <c r="AR740" s="43"/>
      <c r="AS740" s="3">
        <v>460000</v>
      </c>
      <c r="AT740" s="272" t="s">
        <v>1025</v>
      </c>
      <c r="AU740" s="15"/>
    </row>
    <row r="741" spans="1:49" ht="16.5" hidden="1" customHeight="1" x14ac:dyDescent="0.35">
      <c r="A741" s="2" t="s">
        <v>161</v>
      </c>
      <c r="B741" s="2" t="s">
        <v>58</v>
      </c>
      <c r="C741" s="2" t="s">
        <v>47</v>
      </c>
      <c r="D741" s="2">
        <v>847</v>
      </c>
      <c r="E741" s="2">
        <v>8470530</v>
      </c>
      <c r="F741" s="2" t="s">
        <v>2412</v>
      </c>
      <c r="G741" s="2">
        <v>1</v>
      </c>
      <c r="H741" s="276">
        <v>432120</v>
      </c>
      <c r="I741" s="2" t="s">
        <v>1480</v>
      </c>
      <c r="J741" s="2" t="s">
        <v>60</v>
      </c>
      <c r="K741" s="2" t="s">
        <v>2093</v>
      </c>
      <c r="L741" s="7">
        <v>847020</v>
      </c>
      <c r="M741" s="2" t="s">
        <v>61</v>
      </c>
      <c r="N741" s="2">
        <v>200179</v>
      </c>
      <c r="O741" s="3" t="s">
        <v>2639</v>
      </c>
      <c r="P741" s="35"/>
      <c r="Q741" s="2"/>
      <c r="R741" s="3"/>
      <c r="S741" s="2" t="s">
        <v>2453</v>
      </c>
      <c r="T741" s="2" t="s">
        <v>515</v>
      </c>
      <c r="U741" s="2">
        <v>1</v>
      </c>
      <c r="V741" s="3">
        <v>230000</v>
      </c>
      <c r="W741" s="36" t="s">
        <v>2458</v>
      </c>
      <c r="X741" s="10">
        <v>230000</v>
      </c>
      <c r="Y741" s="2" t="s">
        <v>55</v>
      </c>
      <c r="Z741" s="14" t="s">
        <v>56</v>
      </c>
      <c r="AA741" s="14">
        <f t="shared" si="36"/>
        <v>207000</v>
      </c>
      <c r="AB741" s="14">
        <f t="shared" si="37"/>
        <v>184000</v>
      </c>
      <c r="AC741" s="14">
        <f t="shared" si="38"/>
        <v>161000</v>
      </c>
      <c r="AD741" s="3" t="s">
        <v>2416</v>
      </c>
      <c r="AE741" s="3" t="s">
        <v>2416</v>
      </c>
      <c r="AF741" s="43" t="s">
        <v>2416</v>
      </c>
      <c r="AG741" s="43"/>
      <c r="AH741" s="43"/>
      <c r="AI741" s="43">
        <v>230000</v>
      </c>
      <c r="AJ741" s="43"/>
      <c r="AK741" s="43"/>
      <c r="AL741" s="43"/>
      <c r="AM741" s="43"/>
      <c r="AN741" s="43"/>
      <c r="AO741" s="43"/>
      <c r="AP741" s="43"/>
      <c r="AQ741" s="43"/>
      <c r="AR741" s="43"/>
      <c r="AS741" s="3">
        <v>230000</v>
      </c>
      <c r="AT741" s="272" t="s">
        <v>1025</v>
      </c>
      <c r="AU741" s="15"/>
    </row>
    <row r="742" spans="1:49" ht="16.5" hidden="1" customHeight="1" x14ac:dyDescent="0.35">
      <c r="A742" s="2" t="s">
        <v>161</v>
      </c>
      <c r="B742" s="2" t="s">
        <v>58</v>
      </c>
      <c r="C742" s="2" t="s">
        <v>47</v>
      </c>
      <c r="D742" s="2">
        <v>847</v>
      </c>
      <c r="E742" s="2">
        <v>8470530</v>
      </c>
      <c r="F742" s="2" t="s">
        <v>2412</v>
      </c>
      <c r="G742" s="2">
        <v>1</v>
      </c>
      <c r="H742" s="276">
        <v>432120</v>
      </c>
      <c r="I742" s="2" t="s">
        <v>1480</v>
      </c>
      <c r="J742" s="2" t="s">
        <v>60</v>
      </c>
      <c r="K742" s="2" t="s">
        <v>2093</v>
      </c>
      <c r="L742" s="7">
        <v>847020</v>
      </c>
      <c r="M742" s="2" t="s">
        <v>61</v>
      </c>
      <c r="N742" s="2">
        <v>200179</v>
      </c>
      <c r="O742" s="3" t="s">
        <v>2639</v>
      </c>
      <c r="P742" s="35"/>
      <c r="Q742" s="2"/>
      <c r="R742" s="3"/>
      <c r="S742" s="2" t="s">
        <v>2453</v>
      </c>
      <c r="T742" s="2" t="s">
        <v>515</v>
      </c>
      <c r="U742" s="2">
        <v>1</v>
      </c>
      <c r="V742" s="3">
        <v>100000</v>
      </c>
      <c r="W742" s="36" t="s">
        <v>2459</v>
      </c>
      <c r="X742" s="10">
        <v>100000</v>
      </c>
      <c r="Y742" s="2" t="s">
        <v>55</v>
      </c>
      <c r="Z742" s="14" t="s">
        <v>56</v>
      </c>
      <c r="AA742" s="14">
        <f t="shared" si="36"/>
        <v>90000</v>
      </c>
      <c r="AB742" s="14">
        <f t="shared" si="37"/>
        <v>80000</v>
      </c>
      <c r="AC742" s="14">
        <f t="shared" si="38"/>
        <v>70000</v>
      </c>
      <c r="AD742" s="3" t="s">
        <v>2416</v>
      </c>
      <c r="AE742" s="3" t="s">
        <v>2416</v>
      </c>
      <c r="AF742" s="43" t="s">
        <v>2416</v>
      </c>
      <c r="AG742" s="43"/>
      <c r="AH742" s="43"/>
      <c r="AI742" s="43">
        <v>100000</v>
      </c>
      <c r="AJ742" s="43"/>
      <c r="AK742" s="43"/>
      <c r="AL742" s="43"/>
      <c r="AM742" s="43"/>
      <c r="AN742" s="43"/>
      <c r="AO742" s="43"/>
      <c r="AP742" s="43"/>
      <c r="AQ742" s="43"/>
      <c r="AR742" s="43"/>
      <c r="AS742" s="3">
        <v>100000</v>
      </c>
      <c r="AT742" s="272" t="s">
        <v>1025</v>
      </c>
      <c r="AU742" s="15"/>
    </row>
    <row r="743" spans="1:49" ht="16.5" hidden="1" customHeight="1" x14ac:dyDescent="0.35">
      <c r="A743" s="2" t="s">
        <v>161</v>
      </c>
      <c r="B743" s="2" t="s">
        <v>58</v>
      </c>
      <c r="C743" s="2" t="s">
        <v>47</v>
      </c>
      <c r="D743" s="2">
        <v>847</v>
      </c>
      <c r="E743" s="2">
        <v>8470530</v>
      </c>
      <c r="F743" s="2" t="s">
        <v>2412</v>
      </c>
      <c r="G743" s="2">
        <v>1</v>
      </c>
      <c r="H743" s="276">
        <v>432120</v>
      </c>
      <c r="I743" s="2" t="s">
        <v>1480</v>
      </c>
      <c r="J743" s="2" t="s">
        <v>60</v>
      </c>
      <c r="K743" s="2" t="s">
        <v>2093</v>
      </c>
      <c r="L743" s="7">
        <v>847020</v>
      </c>
      <c r="M743" s="2" t="s">
        <v>61</v>
      </c>
      <c r="N743" s="2">
        <v>200179</v>
      </c>
      <c r="O743" s="3" t="s">
        <v>2639</v>
      </c>
      <c r="P743" s="35"/>
      <c r="Q743" s="2"/>
      <c r="R743" s="3"/>
      <c r="S743" s="2" t="str">
        <f>VLOOKUP(O743,'[3]Consolidation FMS&amp;HSE 2025'!$O:$P,2,FALSE)</f>
        <v>432120.Bldg maintenance-Business premises-The area of major maintenance HQ-2m</v>
      </c>
      <c r="T743" s="2" t="s">
        <v>515</v>
      </c>
      <c r="U743" s="2">
        <v>1</v>
      </c>
      <c r="V743" s="3">
        <v>150000</v>
      </c>
      <c r="W743" s="36" t="s">
        <v>2460</v>
      </c>
      <c r="X743" s="10">
        <v>150000</v>
      </c>
      <c r="Y743" s="2" t="s">
        <v>55</v>
      </c>
      <c r="Z743" s="14" t="s">
        <v>56</v>
      </c>
      <c r="AA743" s="14">
        <f t="shared" si="36"/>
        <v>135000</v>
      </c>
      <c r="AB743" s="14">
        <f t="shared" si="37"/>
        <v>120000</v>
      </c>
      <c r="AC743" s="14">
        <f t="shared" si="38"/>
        <v>105000</v>
      </c>
      <c r="AD743" s="3" t="s">
        <v>2416</v>
      </c>
      <c r="AE743" s="3" t="s">
        <v>2416</v>
      </c>
      <c r="AF743" s="43" t="s">
        <v>2416</v>
      </c>
      <c r="AG743" s="43"/>
      <c r="AH743" s="43"/>
      <c r="AI743" s="43">
        <v>150000</v>
      </c>
      <c r="AJ743" s="43"/>
      <c r="AK743" s="43"/>
      <c r="AL743" s="43"/>
      <c r="AM743" s="43"/>
      <c r="AN743" s="43"/>
      <c r="AO743" s="43"/>
      <c r="AP743" s="43"/>
      <c r="AQ743" s="43"/>
      <c r="AR743" s="43"/>
      <c r="AS743" s="3">
        <v>150000</v>
      </c>
      <c r="AT743" s="272" t="s">
        <v>1025</v>
      </c>
      <c r="AU743" s="15"/>
    </row>
    <row r="744" spans="1:49" ht="16.5" hidden="1" customHeight="1" x14ac:dyDescent="0.35">
      <c r="A744" s="2" t="s">
        <v>161</v>
      </c>
      <c r="B744" s="2" t="s">
        <v>58</v>
      </c>
      <c r="C744" s="2" t="s">
        <v>47</v>
      </c>
      <c r="D744" s="2">
        <v>847</v>
      </c>
      <c r="E744" s="2">
        <v>8470530</v>
      </c>
      <c r="F744" s="2" t="s">
        <v>2412</v>
      </c>
      <c r="G744" s="2">
        <v>1</v>
      </c>
      <c r="H744" s="276">
        <v>432120</v>
      </c>
      <c r="I744" s="2" t="s">
        <v>1480</v>
      </c>
      <c r="J744" s="2" t="s">
        <v>60</v>
      </c>
      <c r="K744" s="2" t="s">
        <v>2429</v>
      </c>
      <c r="L744" s="7">
        <v>847030</v>
      </c>
      <c r="M744" s="2" t="s">
        <v>61</v>
      </c>
      <c r="N744" s="2">
        <v>200179</v>
      </c>
      <c r="O744" s="3" t="s">
        <v>2642</v>
      </c>
      <c r="P744" s="35"/>
      <c r="Q744" s="2"/>
      <c r="R744" s="3"/>
      <c r="S744" s="2" t="s">
        <v>2453</v>
      </c>
      <c r="T744" s="2" t="s">
        <v>515</v>
      </c>
      <c r="U744" s="2">
        <v>1</v>
      </c>
      <c r="V744" s="3">
        <v>600000</v>
      </c>
      <c r="W744" s="36" t="s">
        <v>2461</v>
      </c>
      <c r="X744" s="10">
        <v>600000</v>
      </c>
      <c r="Y744" s="2" t="s">
        <v>55</v>
      </c>
      <c r="Z744" s="14" t="s">
        <v>56</v>
      </c>
      <c r="AA744" s="14">
        <f t="shared" si="36"/>
        <v>540000</v>
      </c>
      <c r="AB744" s="14">
        <f t="shared" si="37"/>
        <v>480000</v>
      </c>
      <c r="AC744" s="14">
        <f t="shared" si="38"/>
        <v>420000</v>
      </c>
      <c r="AD744" s="3" t="s">
        <v>2416</v>
      </c>
      <c r="AE744" s="3" t="s">
        <v>2416</v>
      </c>
      <c r="AF744" s="43" t="s">
        <v>2416</v>
      </c>
      <c r="AG744" s="43">
        <v>50000</v>
      </c>
      <c r="AH744" s="43">
        <v>50000</v>
      </c>
      <c r="AI744" s="43">
        <v>50000</v>
      </c>
      <c r="AJ744" s="43">
        <v>50000</v>
      </c>
      <c r="AK744" s="43">
        <v>50000</v>
      </c>
      <c r="AL744" s="43">
        <v>50000</v>
      </c>
      <c r="AM744" s="43">
        <v>50000</v>
      </c>
      <c r="AN744" s="43">
        <v>50000</v>
      </c>
      <c r="AO744" s="43">
        <v>50000</v>
      </c>
      <c r="AP744" s="43">
        <v>50000</v>
      </c>
      <c r="AQ744" s="43">
        <v>50000</v>
      </c>
      <c r="AR744" s="43">
        <v>50000</v>
      </c>
      <c r="AS744" s="3">
        <v>600000</v>
      </c>
      <c r="AT744" s="272" t="s">
        <v>1025</v>
      </c>
      <c r="AU744" s="15"/>
    </row>
    <row r="745" spans="1:49" ht="16.5" hidden="1" customHeight="1" x14ac:dyDescent="0.35">
      <c r="A745" s="2" t="s">
        <v>161</v>
      </c>
      <c r="B745" s="2" t="s">
        <v>58</v>
      </c>
      <c r="C745" s="2" t="s">
        <v>47</v>
      </c>
      <c r="D745" s="2">
        <v>847</v>
      </c>
      <c r="E745" s="2">
        <v>8470530</v>
      </c>
      <c r="F745" s="2" t="s">
        <v>2412</v>
      </c>
      <c r="G745" s="2">
        <v>1</v>
      </c>
      <c r="H745" s="276">
        <v>432120</v>
      </c>
      <c r="I745" s="2" t="s">
        <v>1480</v>
      </c>
      <c r="J745" s="2" t="s">
        <v>60</v>
      </c>
      <c r="K745" s="2" t="s">
        <v>2429</v>
      </c>
      <c r="L745" s="7">
        <v>847030</v>
      </c>
      <c r="M745" s="2" t="s">
        <v>61</v>
      </c>
      <c r="N745" s="2">
        <v>200179</v>
      </c>
      <c r="O745" s="3" t="s">
        <v>2642</v>
      </c>
      <c r="P745" s="35"/>
      <c r="Q745" s="2"/>
      <c r="R745" s="3"/>
      <c r="S745" s="2" t="s">
        <v>2453</v>
      </c>
      <c r="T745" s="2" t="s">
        <v>515</v>
      </c>
      <c r="U745" s="2">
        <v>1</v>
      </c>
      <c r="V745" s="3">
        <v>315252</v>
      </c>
      <c r="W745" s="36" t="s">
        <v>2462</v>
      </c>
      <c r="X745" s="10">
        <v>315252</v>
      </c>
      <c r="Y745" s="2" t="s">
        <v>55</v>
      </c>
      <c r="Z745" s="14" t="s">
        <v>56</v>
      </c>
      <c r="AA745" s="14">
        <f t="shared" si="36"/>
        <v>283726.8</v>
      </c>
      <c r="AB745" s="14">
        <f t="shared" si="37"/>
        <v>252201.60000000001</v>
      </c>
      <c r="AC745" s="14">
        <f t="shared" si="38"/>
        <v>220676.4</v>
      </c>
      <c r="AD745" s="3" t="s">
        <v>2416</v>
      </c>
      <c r="AE745" s="3" t="s">
        <v>2416</v>
      </c>
      <c r="AF745" s="43" t="s">
        <v>2416</v>
      </c>
      <c r="AG745" s="43"/>
      <c r="AH745" s="43"/>
      <c r="AI745" s="43"/>
      <c r="AJ745" s="43"/>
      <c r="AK745" s="43">
        <v>315252</v>
      </c>
      <c r="AL745" s="43"/>
      <c r="AM745" s="43"/>
      <c r="AN745" s="43"/>
      <c r="AO745" s="43"/>
      <c r="AP745" s="43"/>
      <c r="AQ745" s="43"/>
      <c r="AR745" s="43"/>
      <c r="AS745" s="3">
        <v>315252</v>
      </c>
      <c r="AT745" s="272" t="s">
        <v>1025</v>
      </c>
      <c r="AU745" s="15"/>
    </row>
    <row r="746" spans="1:49" ht="16.5" hidden="1" customHeight="1" x14ac:dyDescent="0.35">
      <c r="A746" s="2" t="s">
        <v>161</v>
      </c>
      <c r="B746" s="2" t="s">
        <v>58</v>
      </c>
      <c r="C746" s="2" t="s">
        <v>47</v>
      </c>
      <c r="D746" s="2">
        <v>847</v>
      </c>
      <c r="E746" s="2">
        <v>8470530</v>
      </c>
      <c r="F746" s="2" t="s">
        <v>2412</v>
      </c>
      <c r="G746" s="2">
        <v>1</v>
      </c>
      <c r="H746" s="276">
        <v>432120</v>
      </c>
      <c r="I746" s="2" t="s">
        <v>1480</v>
      </c>
      <c r="J746" s="2" t="s">
        <v>60</v>
      </c>
      <c r="K746" s="2" t="s">
        <v>2429</v>
      </c>
      <c r="L746" s="7">
        <v>847030</v>
      </c>
      <c r="M746" s="2" t="s">
        <v>61</v>
      </c>
      <c r="N746" s="2">
        <v>200179</v>
      </c>
      <c r="O746" s="3" t="s">
        <v>2642</v>
      </c>
      <c r="P746" s="35"/>
      <c r="Q746" s="2"/>
      <c r="R746" s="3"/>
      <c r="S746" s="2" t="s">
        <v>2453</v>
      </c>
      <c r="T746" s="2" t="s">
        <v>515</v>
      </c>
      <c r="U746" s="2">
        <v>1</v>
      </c>
      <c r="V746" s="3">
        <v>100000</v>
      </c>
      <c r="W746" s="36" t="s">
        <v>2463</v>
      </c>
      <c r="X746" s="10">
        <v>100000</v>
      </c>
      <c r="Y746" s="2" t="s">
        <v>55</v>
      </c>
      <c r="Z746" s="14" t="s">
        <v>56</v>
      </c>
      <c r="AA746" s="14">
        <f t="shared" si="36"/>
        <v>90000</v>
      </c>
      <c r="AB746" s="14">
        <f t="shared" si="37"/>
        <v>80000</v>
      </c>
      <c r="AC746" s="14">
        <f t="shared" si="38"/>
        <v>70000</v>
      </c>
      <c r="AD746" s="3" t="s">
        <v>2416</v>
      </c>
      <c r="AE746" s="3" t="s">
        <v>2416</v>
      </c>
      <c r="AF746" s="43" t="s">
        <v>2416</v>
      </c>
      <c r="AG746" s="43">
        <v>25000</v>
      </c>
      <c r="AH746" s="43"/>
      <c r="AI746" s="43">
        <v>25000</v>
      </c>
      <c r="AJ746" s="43"/>
      <c r="AK746" s="43">
        <v>25000</v>
      </c>
      <c r="AL746" s="43"/>
      <c r="AM746" s="43"/>
      <c r="AN746" s="43">
        <v>25000</v>
      </c>
      <c r="AO746" s="43"/>
      <c r="AP746" s="43"/>
      <c r="AQ746" s="43"/>
      <c r="AR746" s="43"/>
      <c r="AS746" s="3">
        <v>100000</v>
      </c>
      <c r="AT746" s="272" t="s">
        <v>1025</v>
      </c>
      <c r="AU746" s="15"/>
    </row>
    <row r="747" spans="1:49" ht="16.5" hidden="1" customHeight="1" x14ac:dyDescent="0.35">
      <c r="A747" s="2" t="s">
        <v>161</v>
      </c>
      <c r="B747" s="2" t="s">
        <v>58</v>
      </c>
      <c r="C747" s="2" t="s">
        <v>47</v>
      </c>
      <c r="D747" s="2">
        <v>847</v>
      </c>
      <c r="E747" s="2">
        <v>8470530</v>
      </c>
      <c r="F747" s="2" t="s">
        <v>2412</v>
      </c>
      <c r="G747" s="2">
        <v>1</v>
      </c>
      <c r="H747" s="276">
        <v>432120</v>
      </c>
      <c r="I747" s="2" t="s">
        <v>1480</v>
      </c>
      <c r="J747" s="2" t="s">
        <v>60</v>
      </c>
      <c r="K747" s="2" t="s">
        <v>2429</v>
      </c>
      <c r="L747" s="7">
        <v>847030</v>
      </c>
      <c r="M747" s="2" t="s">
        <v>61</v>
      </c>
      <c r="N747" s="2">
        <v>200179</v>
      </c>
      <c r="O747" s="3" t="s">
        <v>2642</v>
      </c>
      <c r="P747" s="35"/>
      <c r="Q747" s="2"/>
      <c r="R747" s="3"/>
      <c r="S747" s="2" t="s">
        <v>2453</v>
      </c>
      <c r="T747" s="2" t="s">
        <v>515</v>
      </c>
      <c r="U747" s="2">
        <v>1</v>
      </c>
      <c r="V747" s="3">
        <v>240000</v>
      </c>
      <c r="W747" s="36" t="s">
        <v>2464</v>
      </c>
      <c r="X747" s="10">
        <v>240000</v>
      </c>
      <c r="Y747" s="2" t="s">
        <v>55</v>
      </c>
      <c r="Z747" s="14" t="s">
        <v>56</v>
      </c>
      <c r="AA747" s="14">
        <f t="shared" si="36"/>
        <v>216000</v>
      </c>
      <c r="AB747" s="14">
        <f t="shared" si="37"/>
        <v>192000</v>
      </c>
      <c r="AC747" s="14">
        <f t="shared" si="38"/>
        <v>168000</v>
      </c>
      <c r="AD747" s="3" t="s">
        <v>2416</v>
      </c>
      <c r="AE747" s="3" t="s">
        <v>2416</v>
      </c>
      <c r="AF747" s="43" t="s">
        <v>2416</v>
      </c>
      <c r="AG747" s="43">
        <v>20000</v>
      </c>
      <c r="AH747" s="43">
        <v>20000</v>
      </c>
      <c r="AI747" s="43">
        <v>2000</v>
      </c>
      <c r="AJ747" s="43">
        <v>20000</v>
      </c>
      <c r="AK747" s="43">
        <v>20000</v>
      </c>
      <c r="AL747" s="43">
        <v>20000</v>
      </c>
      <c r="AM747" s="43">
        <v>20000</v>
      </c>
      <c r="AN747" s="43">
        <v>20000</v>
      </c>
      <c r="AO747" s="43">
        <v>20000</v>
      </c>
      <c r="AP747" s="43">
        <v>20000</v>
      </c>
      <c r="AQ747" s="43">
        <v>20000</v>
      </c>
      <c r="AR747" s="43">
        <v>20000</v>
      </c>
      <c r="AS747" s="3">
        <v>240000</v>
      </c>
      <c r="AT747" s="272" t="s">
        <v>1025</v>
      </c>
      <c r="AU747" s="15"/>
    </row>
    <row r="748" spans="1:49" ht="16.5" hidden="1" customHeight="1" x14ac:dyDescent="0.35">
      <c r="A748" s="2" t="s">
        <v>161</v>
      </c>
      <c r="B748" s="2" t="s">
        <v>58</v>
      </c>
      <c r="C748" s="2" t="s">
        <v>47</v>
      </c>
      <c r="D748" s="2">
        <v>847</v>
      </c>
      <c r="E748" s="2">
        <v>8470530</v>
      </c>
      <c r="F748" s="2" t="s">
        <v>2412</v>
      </c>
      <c r="G748" s="2">
        <v>1</v>
      </c>
      <c r="H748" s="276">
        <v>432120</v>
      </c>
      <c r="I748" s="2" t="s">
        <v>1480</v>
      </c>
      <c r="J748" s="2" t="s">
        <v>60</v>
      </c>
      <c r="K748" s="2" t="s">
        <v>2429</v>
      </c>
      <c r="L748" s="7">
        <v>847030</v>
      </c>
      <c r="M748" s="2" t="s">
        <v>61</v>
      </c>
      <c r="N748" s="2">
        <v>200179</v>
      </c>
      <c r="O748" s="3" t="s">
        <v>2642</v>
      </c>
      <c r="P748" s="35">
        <v>2914112.1</v>
      </c>
      <c r="Q748" s="2">
        <v>1207678</v>
      </c>
      <c r="R748" s="3">
        <v>1207678</v>
      </c>
      <c r="S748" s="2" t="s">
        <v>2453</v>
      </c>
      <c r="T748" s="2" t="s">
        <v>515</v>
      </c>
      <c r="U748" s="2">
        <v>1</v>
      </c>
      <c r="V748" s="3">
        <v>480000</v>
      </c>
      <c r="W748" s="36" t="s">
        <v>2465</v>
      </c>
      <c r="X748" s="10">
        <v>480000</v>
      </c>
      <c r="Y748" s="2" t="s">
        <v>55</v>
      </c>
      <c r="Z748" s="14" t="s">
        <v>56</v>
      </c>
      <c r="AA748" s="14">
        <f t="shared" si="36"/>
        <v>432000</v>
      </c>
      <c r="AB748" s="14">
        <f t="shared" si="37"/>
        <v>384000</v>
      </c>
      <c r="AC748" s="14">
        <f t="shared" si="38"/>
        <v>336000</v>
      </c>
      <c r="AD748" s="3" t="s">
        <v>2416</v>
      </c>
      <c r="AE748" s="3" t="s">
        <v>2416</v>
      </c>
      <c r="AF748" s="43" t="s">
        <v>2416</v>
      </c>
      <c r="AG748" s="43"/>
      <c r="AH748" s="43"/>
      <c r="AI748" s="43"/>
      <c r="AJ748" s="43">
        <v>40000</v>
      </c>
      <c r="AK748" s="43">
        <v>40000</v>
      </c>
      <c r="AL748" s="43">
        <v>40000</v>
      </c>
      <c r="AM748" s="43">
        <v>40000</v>
      </c>
      <c r="AN748" s="43">
        <v>40000</v>
      </c>
      <c r="AO748" s="43">
        <v>40000</v>
      </c>
      <c r="AP748" s="43">
        <v>40000</v>
      </c>
      <c r="AQ748" s="43">
        <v>40000</v>
      </c>
      <c r="AR748" s="43">
        <v>40000</v>
      </c>
      <c r="AS748" s="3">
        <v>480000</v>
      </c>
      <c r="AT748" s="272" t="s">
        <v>1025</v>
      </c>
      <c r="AU748" s="15"/>
    </row>
    <row r="749" spans="1:49" ht="16.5" hidden="1" customHeight="1" x14ac:dyDescent="0.35">
      <c r="A749" s="2" t="s">
        <v>1535</v>
      </c>
      <c r="B749" s="2" t="s">
        <v>58</v>
      </c>
      <c r="C749" s="2" t="s">
        <v>47</v>
      </c>
      <c r="D749" s="2">
        <v>847</v>
      </c>
      <c r="E749" s="2">
        <v>8470530</v>
      </c>
      <c r="F749" s="2" t="s">
        <v>2412</v>
      </c>
      <c r="G749" s="2">
        <v>1</v>
      </c>
      <c r="H749" s="276">
        <v>432170</v>
      </c>
      <c r="I749" s="2" t="s">
        <v>1536</v>
      </c>
      <c r="J749" s="2" t="s">
        <v>60</v>
      </c>
      <c r="K749" s="2" t="s">
        <v>2413</v>
      </c>
      <c r="L749" s="7">
        <v>847010</v>
      </c>
      <c r="M749" s="2" t="s">
        <v>61</v>
      </c>
      <c r="N749" s="2">
        <v>200179</v>
      </c>
      <c r="O749" s="3" t="s">
        <v>2646</v>
      </c>
      <c r="P749" s="35">
        <v>27198</v>
      </c>
      <c r="Q749" s="2">
        <v>30000</v>
      </c>
      <c r="R749" s="3">
        <v>20000</v>
      </c>
      <c r="S749" s="2" t="s">
        <v>1537</v>
      </c>
      <c r="T749" s="2" t="s">
        <v>157</v>
      </c>
      <c r="U749" s="2">
        <v>1</v>
      </c>
      <c r="V749" s="3">
        <v>30000</v>
      </c>
      <c r="W749" s="36" t="s">
        <v>2466</v>
      </c>
      <c r="X749" s="2">
        <v>30000</v>
      </c>
      <c r="Y749" s="2" t="s">
        <v>55</v>
      </c>
      <c r="Z749" s="14" t="s">
        <v>56</v>
      </c>
      <c r="AA749" s="14">
        <f t="shared" si="36"/>
        <v>27000</v>
      </c>
      <c r="AB749" s="14">
        <f t="shared" si="37"/>
        <v>24000</v>
      </c>
      <c r="AC749" s="14">
        <f t="shared" si="38"/>
        <v>21000</v>
      </c>
      <c r="AD749" s="3" t="s">
        <v>2416</v>
      </c>
      <c r="AE749" s="3" t="s">
        <v>2416</v>
      </c>
      <c r="AF749" s="43" t="s">
        <v>2416</v>
      </c>
      <c r="AG749" s="43"/>
      <c r="AH749" s="43">
        <v>5000</v>
      </c>
      <c r="AI749" s="43"/>
      <c r="AJ749" s="43">
        <v>5000</v>
      </c>
      <c r="AK749" s="43"/>
      <c r="AL749" s="43">
        <v>5000</v>
      </c>
      <c r="AM749" s="43"/>
      <c r="AN749" s="43">
        <v>5000</v>
      </c>
      <c r="AO749" s="43"/>
      <c r="AP749" s="43">
        <v>5000</v>
      </c>
      <c r="AQ749" s="43"/>
      <c r="AR749" s="43">
        <v>5000</v>
      </c>
      <c r="AS749" s="3">
        <v>30000</v>
      </c>
      <c r="AT749" s="272" t="s">
        <v>1025</v>
      </c>
      <c r="AU749" s="15"/>
    </row>
    <row r="750" spans="1:49" ht="16.5" hidden="1" customHeight="1" x14ac:dyDescent="0.35">
      <c r="A750" s="2" t="s">
        <v>161</v>
      </c>
      <c r="B750" s="2" t="s">
        <v>58</v>
      </c>
      <c r="C750" s="2" t="s">
        <v>47</v>
      </c>
      <c r="D750" s="2">
        <v>847</v>
      </c>
      <c r="E750" s="2">
        <v>8470530</v>
      </c>
      <c r="F750" s="2" t="s">
        <v>2412</v>
      </c>
      <c r="G750" s="2">
        <v>1</v>
      </c>
      <c r="H750" s="276">
        <v>432320</v>
      </c>
      <c r="I750" s="2" t="s">
        <v>2467</v>
      </c>
      <c r="J750" s="2" t="s">
        <v>60</v>
      </c>
      <c r="K750" s="2" t="s">
        <v>2413</v>
      </c>
      <c r="L750" s="7">
        <v>847010</v>
      </c>
      <c r="M750" s="2" t="s">
        <v>61</v>
      </c>
      <c r="N750" s="2">
        <v>200179</v>
      </c>
      <c r="O750" s="3" t="s">
        <v>2647</v>
      </c>
      <c r="P750" s="35">
        <v>-1570.38</v>
      </c>
      <c r="Q750" s="2">
        <v>26000</v>
      </c>
      <c r="R750" s="3">
        <v>26000</v>
      </c>
      <c r="S750" s="2" t="s">
        <v>2468</v>
      </c>
      <c r="T750" s="2" t="s">
        <v>157</v>
      </c>
      <c r="U750" s="2">
        <v>1</v>
      </c>
      <c r="V750" s="3">
        <v>25000</v>
      </c>
      <c r="W750" s="36" t="s">
        <v>2469</v>
      </c>
      <c r="X750" s="2">
        <v>25000</v>
      </c>
      <c r="Y750" s="2" t="s">
        <v>55</v>
      </c>
      <c r="Z750" s="14" t="s">
        <v>56</v>
      </c>
      <c r="AA750" s="14">
        <f t="shared" si="36"/>
        <v>22500</v>
      </c>
      <c r="AB750" s="14">
        <f t="shared" si="37"/>
        <v>20000</v>
      </c>
      <c r="AC750" s="14">
        <f t="shared" si="38"/>
        <v>17500</v>
      </c>
      <c r="AD750" s="3" t="s">
        <v>2416</v>
      </c>
      <c r="AE750" s="3" t="s">
        <v>2416</v>
      </c>
      <c r="AF750" s="43" t="s">
        <v>2416</v>
      </c>
      <c r="AG750" s="43"/>
      <c r="AH750" s="43"/>
      <c r="AI750" s="43">
        <v>5000</v>
      </c>
      <c r="AJ750" s="43"/>
      <c r="AK750" s="43"/>
      <c r="AL750" s="43">
        <v>5000</v>
      </c>
      <c r="AM750" s="43"/>
      <c r="AN750" s="43">
        <v>5000</v>
      </c>
      <c r="AO750" s="43"/>
      <c r="AP750" s="43">
        <v>5000</v>
      </c>
      <c r="AQ750" s="43"/>
      <c r="AR750" s="43">
        <v>5000</v>
      </c>
      <c r="AS750" s="3">
        <v>25000</v>
      </c>
      <c r="AT750" s="272" t="s">
        <v>1025</v>
      </c>
      <c r="AU750" s="15"/>
    </row>
    <row r="751" spans="1:49" ht="16.5" hidden="1" customHeight="1" x14ac:dyDescent="0.35">
      <c r="A751" s="2" t="s">
        <v>161</v>
      </c>
      <c r="B751" s="2" t="s">
        <v>58</v>
      </c>
      <c r="C751" s="2" t="s">
        <v>47</v>
      </c>
      <c r="D751" s="2">
        <v>847</v>
      </c>
      <c r="E751" s="2">
        <v>8470530</v>
      </c>
      <c r="F751" s="2" t="s">
        <v>2412</v>
      </c>
      <c r="G751" s="2">
        <v>1</v>
      </c>
      <c r="H751" s="276">
        <v>432320</v>
      </c>
      <c r="I751" s="2" t="s">
        <v>2467</v>
      </c>
      <c r="J751" s="2" t="s">
        <v>60</v>
      </c>
      <c r="K751" s="2" t="s">
        <v>2093</v>
      </c>
      <c r="L751" s="7">
        <v>847020</v>
      </c>
      <c r="M751" s="2" t="s">
        <v>61</v>
      </c>
      <c r="N751" s="2">
        <v>200179</v>
      </c>
      <c r="O751" s="3" t="s">
        <v>2810</v>
      </c>
      <c r="P751" s="35"/>
      <c r="Q751" s="2"/>
      <c r="R751" s="3"/>
      <c r="S751" s="2" t="s">
        <v>2468</v>
      </c>
      <c r="T751" s="2" t="s">
        <v>515</v>
      </c>
      <c r="U751" s="2">
        <v>1</v>
      </c>
      <c r="V751" s="3">
        <v>30000</v>
      </c>
      <c r="W751" s="36" t="s">
        <v>2470</v>
      </c>
      <c r="X751" s="2">
        <v>30000</v>
      </c>
      <c r="Y751" s="2" t="s">
        <v>55</v>
      </c>
      <c r="Z751" s="14" t="s">
        <v>56</v>
      </c>
      <c r="AA751" s="14">
        <f t="shared" si="36"/>
        <v>27000</v>
      </c>
      <c r="AB751" s="14">
        <f t="shared" si="37"/>
        <v>24000</v>
      </c>
      <c r="AC751" s="14">
        <f t="shared" si="38"/>
        <v>21000</v>
      </c>
      <c r="AD751" s="3" t="s">
        <v>2416</v>
      </c>
      <c r="AE751" s="3" t="s">
        <v>2416</v>
      </c>
      <c r="AF751" s="43" t="s">
        <v>2416</v>
      </c>
      <c r="AG751" s="43"/>
      <c r="AH751" s="43"/>
      <c r="AI751" s="43">
        <v>30000</v>
      </c>
      <c r="AJ751" s="43"/>
      <c r="AK751" s="43"/>
      <c r="AL751" s="43"/>
      <c r="AM751" s="43"/>
      <c r="AN751" s="43"/>
      <c r="AO751" s="43"/>
      <c r="AP751" s="43"/>
      <c r="AQ751" s="43"/>
      <c r="AR751" s="43"/>
      <c r="AS751" s="3">
        <v>30000</v>
      </c>
      <c r="AT751" s="272" t="s">
        <v>1025</v>
      </c>
      <c r="AU751" s="15"/>
    </row>
    <row r="752" spans="1:49" ht="16.5" hidden="1" customHeight="1" x14ac:dyDescent="0.35">
      <c r="A752" s="2" t="s">
        <v>46</v>
      </c>
      <c r="B752" s="2" t="s">
        <v>46</v>
      </c>
      <c r="C752" s="2" t="s">
        <v>47</v>
      </c>
      <c r="D752" s="2">
        <v>847</v>
      </c>
      <c r="E752" s="2">
        <v>8470530</v>
      </c>
      <c r="F752" s="2" t="s">
        <v>2412</v>
      </c>
      <c r="G752" s="2">
        <v>1</v>
      </c>
      <c r="H752" s="276">
        <v>429900</v>
      </c>
      <c r="I752" s="2" t="s">
        <v>2359</v>
      </c>
      <c r="J752" s="2" t="s">
        <v>60</v>
      </c>
      <c r="K752" s="2" t="s">
        <v>50</v>
      </c>
      <c r="L752" s="7">
        <v>847001</v>
      </c>
      <c r="M752" s="2" t="s">
        <v>61</v>
      </c>
      <c r="N752" s="2">
        <v>200179</v>
      </c>
      <c r="O752" s="3" t="s">
        <v>2807</v>
      </c>
      <c r="P752" s="35"/>
      <c r="Q752" s="2"/>
      <c r="R752" s="3"/>
      <c r="S752" s="2" t="s">
        <v>2361</v>
      </c>
      <c r="T752" s="2" t="s">
        <v>157</v>
      </c>
      <c r="U752" s="2">
        <v>1</v>
      </c>
      <c r="V752" s="3">
        <v>20000</v>
      </c>
      <c r="W752" s="36" t="s">
        <v>2471</v>
      </c>
      <c r="X752" s="2">
        <v>20000</v>
      </c>
      <c r="Y752" s="2" t="s">
        <v>55</v>
      </c>
      <c r="Z752" s="14" t="s">
        <v>56</v>
      </c>
      <c r="AA752" s="14">
        <f t="shared" si="36"/>
        <v>18000</v>
      </c>
      <c r="AB752" s="14">
        <f t="shared" si="37"/>
        <v>16000</v>
      </c>
      <c r="AC752" s="14">
        <f t="shared" si="38"/>
        <v>14000</v>
      </c>
      <c r="AD752" s="3" t="s">
        <v>2416</v>
      </c>
      <c r="AE752" s="3" t="s">
        <v>2416</v>
      </c>
      <c r="AF752" s="43" t="s">
        <v>2416</v>
      </c>
      <c r="AG752" s="43">
        <v>5000</v>
      </c>
      <c r="AH752" s="43"/>
      <c r="AI752" s="43"/>
      <c r="AJ752" s="43"/>
      <c r="AK752" s="43"/>
      <c r="AL752" s="43">
        <v>5000</v>
      </c>
      <c r="AM752" s="43"/>
      <c r="AN752" s="43"/>
      <c r="AO752" s="43"/>
      <c r="AP752" s="43">
        <v>5000</v>
      </c>
      <c r="AQ752" s="43"/>
      <c r="AR752" s="43">
        <v>5000</v>
      </c>
      <c r="AS752" s="3">
        <v>20000</v>
      </c>
      <c r="AT752" s="272" t="s">
        <v>1025</v>
      </c>
      <c r="AU752" s="15"/>
      <c r="AV752" t="s">
        <v>2472</v>
      </c>
      <c r="AW752" t="s">
        <v>2473</v>
      </c>
    </row>
    <row r="753" spans="1:47" ht="16.5" hidden="1" customHeight="1" x14ac:dyDescent="0.35">
      <c r="A753" s="2" t="s">
        <v>161</v>
      </c>
      <c r="B753" s="2" t="s">
        <v>2474</v>
      </c>
      <c r="C753" s="2" t="s">
        <v>47</v>
      </c>
      <c r="D753" s="2">
        <v>847</v>
      </c>
      <c r="E753" s="2">
        <v>8470530</v>
      </c>
      <c r="F753" s="2" t="s">
        <v>2412</v>
      </c>
      <c r="G753" s="2">
        <v>1</v>
      </c>
      <c r="H753" s="276">
        <v>492200</v>
      </c>
      <c r="I753" s="2" t="s">
        <v>2475</v>
      </c>
      <c r="J753" s="2" t="s">
        <v>60</v>
      </c>
      <c r="K753" s="2" t="s">
        <v>2413</v>
      </c>
      <c r="L753" s="7">
        <v>847010</v>
      </c>
      <c r="M753" s="2" t="s">
        <v>192</v>
      </c>
      <c r="N753" s="2">
        <v>300180</v>
      </c>
      <c r="O753" s="3" t="s">
        <v>2649</v>
      </c>
      <c r="P753" s="35"/>
      <c r="Q753" s="2"/>
      <c r="R753" s="3"/>
      <c r="S753" s="2" t="str">
        <f>VLOOKUP(O753,'[3]Consolidation FMS&amp;HSE 2025'!$O:$P,2,FALSE)</f>
        <v>492200.Capital expense - Buildings-Fitout cost-2m</v>
      </c>
      <c r="T753" s="2" t="s">
        <v>515</v>
      </c>
      <c r="U753" s="2">
        <v>1</v>
      </c>
      <c r="V753" s="3">
        <v>2000000</v>
      </c>
      <c r="W753" s="36" t="s">
        <v>2476</v>
      </c>
      <c r="X753" s="10">
        <v>2000000</v>
      </c>
      <c r="Y753" s="2" t="s">
        <v>210</v>
      </c>
      <c r="Z753" s="14" t="s">
        <v>197</v>
      </c>
      <c r="AA753" s="14">
        <f t="shared" si="36"/>
        <v>1800000</v>
      </c>
      <c r="AB753" s="14">
        <f t="shared" si="37"/>
        <v>1600000</v>
      </c>
      <c r="AC753" s="14">
        <f t="shared" si="38"/>
        <v>1400000</v>
      </c>
      <c r="AD753" s="3" t="s">
        <v>2416</v>
      </c>
      <c r="AE753" s="3" t="s">
        <v>2416</v>
      </c>
      <c r="AF753" s="43" t="s">
        <v>2416</v>
      </c>
      <c r="AG753" s="43"/>
      <c r="AH753" s="43"/>
      <c r="AI753" s="43">
        <v>2000000</v>
      </c>
      <c r="AJ753" s="43"/>
      <c r="AK753" s="43"/>
      <c r="AL753" s="43"/>
      <c r="AM753" s="43"/>
      <c r="AN753" s="43"/>
      <c r="AO753" s="43"/>
      <c r="AP753" s="43"/>
      <c r="AQ753" s="43"/>
      <c r="AR753" s="43"/>
      <c r="AS753" s="3">
        <v>2000000</v>
      </c>
      <c r="AT753" s="272" t="s">
        <v>1025</v>
      </c>
      <c r="AU753" s="15"/>
    </row>
    <row r="754" spans="1:47" ht="16.5" hidden="1" customHeight="1" x14ac:dyDescent="0.35">
      <c r="A754" s="2" t="s">
        <v>161</v>
      </c>
      <c r="B754" s="2" t="s">
        <v>2474</v>
      </c>
      <c r="C754" s="2" t="s">
        <v>47</v>
      </c>
      <c r="D754" s="2">
        <v>847</v>
      </c>
      <c r="E754" s="2">
        <v>8470530</v>
      </c>
      <c r="F754" s="2" t="s">
        <v>2412</v>
      </c>
      <c r="G754" s="2">
        <v>1</v>
      </c>
      <c r="H754" s="276">
        <v>492200</v>
      </c>
      <c r="I754" s="2" t="s">
        <v>2475</v>
      </c>
      <c r="J754" s="2" t="s">
        <v>60</v>
      </c>
      <c r="K754" s="2" t="s">
        <v>2413</v>
      </c>
      <c r="L754" s="7">
        <v>847010</v>
      </c>
      <c r="M754" s="2" t="s">
        <v>192</v>
      </c>
      <c r="N754" s="2">
        <v>300180</v>
      </c>
      <c r="O754" s="3" t="s">
        <v>2649</v>
      </c>
      <c r="P754" s="35">
        <v>0</v>
      </c>
      <c r="Q754" s="2">
        <v>2910350</v>
      </c>
      <c r="R754" s="3">
        <v>2910350</v>
      </c>
      <c r="S754" s="2" t="s">
        <v>2477</v>
      </c>
      <c r="T754" s="2" t="s">
        <v>515</v>
      </c>
      <c r="U754" s="2">
        <v>1</v>
      </c>
      <c r="V754" s="3">
        <v>500000</v>
      </c>
      <c r="W754" s="36" t="s">
        <v>2478</v>
      </c>
      <c r="X754" s="10">
        <v>500000</v>
      </c>
      <c r="Y754" s="2" t="s">
        <v>210</v>
      </c>
      <c r="Z754" s="14" t="s">
        <v>197</v>
      </c>
      <c r="AA754" s="14">
        <f t="shared" si="36"/>
        <v>450000</v>
      </c>
      <c r="AB754" s="14">
        <f t="shared" si="37"/>
        <v>400000</v>
      </c>
      <c r="AC754" s="14">
        <f t="shared" si="38"/>
        <v>350000</v>
      </c>
      <c r="AD754" s="3" t="s">
        <v>2416</v>
      </c>
      <c r="AE754" s="3" t="s">
        <v>2416</v>
      </c>
      <c r="AF754" s="43" t="s">
        <v>2416</v>
      </c>
      <c r="AG754" s="43"/>
      <c r="AH754" s="43"/>
      <c r="AI754" s="43">
        <v>500000</v>
      </c>
      <c r="AJ754" s="43"/>
      <c r="AK754" s="43"/>
      <c r="AL754" s="43"/>
      <c r="AM754" s="43"/>
      <c r="AN754" s="43"/>
      <c r="AO754" s="43"/>
      <c r="AP754" s="43"/>
      <c r="AQ754" s="43"/>
      <c r="AR754" s="43"/>
      <c r="AS754" s="3">
        <v>500000</v>
      </c>
      <c r="AT754" s="272" t="s">
        <v>1025</v>
      </c>
      <c r="AU754" s="15"/>
    </row>
    <row r="755" spans="1:47" ht="16.5" hidden="1" customHeight="1" x14ac:dyDescent="0.35">
      <c r="A755" s="2" t="s">
        <v>161</v>
      </c>
      <c r="B755" s="2" t="s">
        <v>2474</v>
      </c>
      <c r="C755" s="2" t="s">
        <v>47</v>
      </c>
      <c r="D755" s="2">
        <v>847</v>
      </c>
      <c r="E755" s="2">
        <v>8470530</v>
      </c>
      <c r="F755" s="2" t="s">
        <v>2412</v>
      </c>
      <c r="G755" s="2">
        <v>1</v>
      </c>
      <c r="H755" s="276">
        <v>492200</v>
      </c>
      <c r="I755" s="2" t="s">
        <v>2475</v>
      </c>
      <c r="J755" s="2" t="s">
        <v>60</v>
      </c>
      <c r="K755" s="2" t="s">
        <v>2413</v>
      </c>
      <c r="L755" s="7">
        <v>847010</v>
      </c>
      <c r="M755" s="2" t="s">
        <v>192</v>
      </c>
      <c r="N755" s="2">
        <v>300180</v>
      </c>
      <c r="O755" s="3" t="s">
        <v>2649</v>
      </c>
      <c r="P755" s="35">
        <v>25040687.859999999</v>
      </c>
      <c r="Q755" s="2">
        <v>18425319</v>
      </c>
      <c r="R755" s="3">
        <v>18425319</v>
      </c>
      <c r="S755" s="2" t="s">
        <v>2477</v>
      </c>
      <c r="T755" s="2" t="s">
        <v>515</v>
      </c>
      <c r="U755" s="2">
        <v>1</v>
      </c>
      <c r="V755" s="3">
        <v>11000000</v>
      </c>
      <c r="W755" s="36" t="s">
        <v>2479</v>
      </c>
      <c r="X755" s="10">
        <v>11000000</v>
      </c>
      <c r="Y755" s="2" t="s">
        <v>210</v>
      </c>
      <c r="Z755" s="14" t="s">
        <v>197</v>
      </c>
      <c r="AA755" s="14">
        <f t="shared" si="36"/>
        <v>9900000</v>
      </c>
      <c r="AB755" s="14">
        <f t="shared" si="37"/>
        <v>8800000</v>
      </c>
      <c r="AC755" s="14">
        <f t="shared" si="38"/>
        <v>7699999.9999999991</v>
      </c>
      <c r="AD755" s="3" t="s">
        <v>2416</v>
      </c>
      <c r="AE755" s="3" t="s">
        <v>2416</v>
      </c>
      <c r="AF755" s="43" t="s">
        <v>2416</v>
      </c>
      <c r="AG755" s="43"/>
      <c r="AH755" s="43"/>
      <c r="AI755" s="43">
        <v>11000000</v>
      </c>
      <c r="AJ755" s="43"/>
      <c r="AK755" s="43"/>
      <c r="AL755" s="43"/>
      <c r="AM755" s="43"/>
      <c r="AN755" s="43"/>
      <c r="AO755" s="43"/>
      <c r="AP755" s="43"/>
      <c r="AQ755" s="43"/>
      <c r="AR755" s="43"/>
      <c r="AS755" s="3">
        <v>11000000</v>
      </c>
      <c r="AT755" s="272" t="s">
        <v>1025</v>
      </c>
      <c r="AU755" s="15"/>
    </row>
    <row r="756" spans="1:47" ht="16.5" hidden="1" customHeight="1" x14ac:dyDescent="0.35">
      <c r="A756" s="2" t="s">
        <v>161</v>
      </c>
      <c r="B756" s="2" t="s">
        <v>2474</v>
      </c>
      <c r="C756" s="2" t="s">
        <v>47</v>
      </c>
      <c r="D756" s="2">
        <v>847</v>
      </c>
      <c r="E756" s="2">
        <v>8470530</v>
      </c>
      <c r="F756" s="2" t="s">
        <v>2412</v>
      </c>
      <c r="G756" s="2">
        <v>1</v>
      </c>
      <c r="H756" s="276">
        <v>492200</v>
      </c>
      <c r="I756" s="2" t="s">
        <v>2475</v>
      </c>
      <c r="J756" s="2" t="s">
        <v>60</v>
      </c>
      <c r="K756" s="2" t="s">
        <v>2413</v>
      </c>
      <c r="L756" s="7">
        <v>847010</v>
      </c>
      <c r="M756" s="2" t="s">
        <v>192</v>
      </c>
      <c r="N756" s="2">
        <v>300180</v>
      </c>
      <c r="O756" s="3" t="s">
        <v>2649</v>
      </c>
      <c r="P756" s="35"/>
      <c r="Q756" s="2"/>
      <c r="R756" s="3"/>
      <c r="S756" s="2" t="s">
        <v>2477</v>
      </c>
      <c r="T756" s="2" t="s">
        <v>515</v>
      </c>
      <c r="U756" s="2">
        <v>1</v>
      </c>
      <c r="V756" s="3">
        <v>1650000</v>
      </c>
      <c r="W756" s="36" t="s">
        <v>2480</v>
      </c>
      <c r="X756" s="10">
        <v>1650000</v>
      </c>
      <c r="Y756" s="2" t="s">
        <v>210</v>
      </c>
      <c r="Z756" s="14" t="s">
        <v>197</v>
      </c>
      <c r="AA756" s="14">
        <f t="shared" si="36"/>
        <v>1485000</v>
      </c>
      <c r="AB756" s="14">
        <f t="shared" si="37"/>
        <v>1320000</v>
      </c>
      <c r="AC756" s="14">
        <f t="shared" si="38"/>
        <v>1155000</v>
      </c>
      <c r="AD756" s="3" t="s">
        <v>2416</v>
      </c>
      <c r="AE756" s="3" t="s">
        <v>2416</v>
      </c>
      <c r="AF756" s="43" t="s">
        <v>2416</v>
      </c>
      <c r="AG756" s="43"/>
      <c r="AH756" s="43"/>
      <c r="AI756" s="43">
        <v>1650000</v>
      </c>
      <c r="AJ756" s="43"/>
      <c r="AK756" s="43"/>
      <c r="AL756" s="43"/>
      <c r="AM756" s="43"/>
      <c r="AN756" s="43"/>
      <c r="AO756" s="43"/>
      <c r="AP756" s="43"/>
      <c r="AQ756" s="43"/>
      <c r="AR756" s="43"/>
      <c r="AS756" s="3">
        <v>1650000</v>
      </c>
      <c r="AT756" s="272" t="s">
        <v>1025</v>
      </c>
      <c r="AU756" s="15"/>
    </row>
    <row r="757" spans="1:47" ht="16.5" hidden="1" customHeight="1" x14ac:dyDescent="0.35">
      <c r="A757" s="2" t="s">
        <v>161</v>
      </c>
      <c r="B757" s="2" t="s">
        <v>2474</v>
      </c>
      <c r="C757" s="2" t="s">
        <v>47</v>
      </c>
      <c r="D757" s="2">
        <v>847</v>
      </c>
      <c r="E757" s="2">
        <v>8470530</v>
      </c>
      <c r="F757" s="2" t="s">
        <v>2412</v>
      </c>
      <c r="G757" s="2">
        <v>1</v>
      </c>
      <c r="H757" s="276">
        <v>492200</v>
      </c>
      <c r="I757" s="2" t="s">
        <v>2475</v>
      </c>
      <c r="J757" s="2" t="s">
        <v>60</v>
      </c>
      <c r="K757" s="2" t="s">
        <v>2413</v>
      </c>
      <c r="L757" s="7">
        <v>847010</v>
      </c>
      <c r="M757" s="2" t="s">
        <v>192</v>
      </c>
      <c r="N757" s="2">
        <v>300180</v>
      </c>
      <c r="O757" s="3" t="s">
        <v>2649</v>
      </c>
      <c r="P757" s="35"/>
      <c r="Q757" s="2"/>
      <c r="R757" s="3"/>
      <c r="S757" s="2" t="s">
        <v>2477</v>
      </c>
      <c r="T757" s="2" t="s">
        <v>515</v>
      </c>
      <c r="U757" s="2">
        <v>1</v>
      </c>
      <c r="V757" s="3">
        <v>2000000</v>
      </c>
      <c r="W757" s="36" t="s">
        <v>2481</v>
      </c>
      <c r="X757" s="10">
        <v>2000000</v>
      </c>
      <c r="Y757" s="2" t="s">
        <v>210</v>
      </c>
      <c r="Z757" s="14" t="s">
        <v>197</v>
      </c>
      <c r="AA757" s="14">
        <f t="shared" si="36"/>
        <v>1800000</v>
      </c>
      <c r="AB757" s="14">
        <f t="shared" si="37"/>
        <v>1600000</v>
      </c>
      <c r="AC757" s="14">
        <f t="shared" si="38"/>
        <v>1400000</v>
      </c>
      <c r="AD757" s="3" t="s">
        <v>2416</v>
      </c>
      <c r="AE757" s="3" t="s">
        <v>2416</v>
      </c>
      <c r="AF757" s="43" t="s">
        <v>2416</v>
      </c>
      <c r="AG757" s="43"/>
      <c r="AH757" s="43"/>
      <c r="AI757" s="43">
        <v>2000000</v>
      </c>
      <c r="AJ757" s="43"/>
      <c r="AK757" s="43"/>
      <c r="AL757" s="43"/>
      <c r="AM757" s="43"/>
      <c r="AN757" s="43"/>
      <c r="AO757" s="43"/>
      <c r="AP757" s="43"/>
      <c r="AQ757" s="43"/>
      <c r="AR757" s="43"/>
      <c r="AS757" s="3">
        <v>2000000</v>
      </c>
      <c r="AT757" s="272" t="s">
        <v>1025</v>
      </c>
      <c r="AU757" s="15"/>
    </row>
    <row r="758" spans="1:47" ht="16.5" hidden="1" customHeight="1" x14ac:dyDescent="0.35">
      <c r="A758" s="2" t="s">
        <v>161</v>
      </c>
      <c r="B758" s="2" t="s">
        <v>2474</v>
      </c>
      <c r="C758" s="2" t="s">
        <v>47</v>
      </c>
      <c r="D758" s="2">
        <v>847</v>
      </c>
      <c r="E758" s="2">
        <v>8470530</v>
      </c>
      <c r="F758" s="2" t="s">
        <v>2412</v>
      </c>
      <c r="G758" s="2">
        <v>1</v>
      </c>
      <c r="H758" s="276">
        <v>492200</v>
      </c>
      <c r="I758" s="2" t="s">
        <v>2475</v>
      </c>
      <c r="J758" s="2" t="s">
        <v>60</v>
      </c>
      <c r="K758" s="2" t="s">
        <v>2413</v>
      </c>
      <c r="L758" s="7">
        <v>847010</v>
      </c>
      <c r="M758" s="2" t="s">
        <v>192</v>
      </c>
      <c r="N758" s="2">
        <v>300180</v>
      </c>
      <c r="O758" s="3" t="s">
        <v>2649</v>
      </c>
      <c r="P758" s="35"/>
      <c r="Q758" s="2"/>
      <c r="R758" s="3"/>
      <c r="S758" s="2" t="str">
        <f>VLOOKUP(O758,'[3]Consolidation FMS&amp;HSE 2025'!$O:$P,2,FALSE)</f>
        <v>492200.Capital expense - Buildings-Fitout cost-2m</v>
      </c>
      <c r="T758" s="2" t="s">
        <v>515</v>
      </c>
      <c r="U758" s="2">
        <v>1</v>
      </c>
      <c r="V758" s="3">
        <v>1500000</v>
      </c>
      <c r="W758" s="36" t="s">
        <v>2482</v>
      </c>
      <c r="X758" s="10">
        <v>1500000</v>
      </c>
      <c r="Y758" s="2" t="s">
        <v>210</v>
      </c>
      <c r="Z758" s="14" t="s">
        <v>197</v>
      </c>
      <c r="AA758" s="14">
        <f t="shared" si="36"/>
        <v>1350000</v>
      </c>
      <c r="AB758" s="14">
        <f t="shared" si="37"/>
        <v>1200000</v>
      </c>
      <c r="AC758" s="14">
        <f t="shared" si="38"/>
        <v>1050000</v>
      </c>
      <c r="AD758" s="3" t="s">
        <v>2416</v>
      </c>
      <c r="AE758" s="3" t="s">
        <v>2416</v>
      </c>
      <c r="AF758" s="43" t="s">
        <v>2416</v>
      </c>
      <c r="AG758" s="43"/>
      <c r="AH758" s="43"/>
      <c r="AI758" s="43">
        <v>1500000</v>
      </c>
      <c r="AJ758" s="43"/>
      <c r="AK758" s="43"/>
      <c r="AL758" s="43"/>
      <c r="AM758" s="43"/>
      <c r="AN758" s="43"/>
      <c r="AO758" s="43"/>
      <c r="AP758" s="43"/>
      <c r="AQ758" s="43"/>
      <c r="AR758" s="43"/>
      <c r="AS758" s="3">
        <v>1500000</v>
      </c>
      <c r="AT758" s="272" t="s">
        <v>1025</v>
      </c>
      <c r="AU758" s="15"/>
    </row>
    <row r="759" spans="1:47" ht="16.5" hidden="1" customHeight="1" x14ac:dyDescent="0.35">
      <c r="A759" s="2" t="s">
        <v>161</v>
      </c>
      <c r="B759" s="2" t="s">
        <v>2474</v>
      </c>
      <c r="C759" s="2" t="s">
        <v>47</v>
      </c>
      <c r="D759" s="2">
        <v>847</v>
      </c>
      <c r="E759" s="2">
        <v>8470530</v>
      </c>
      <c r="F759" s="2" t="s">
        <v>2412</v>
      </c>
      <c r="G759" s="2">
        <v>1</v>
      </c>
      <c r="H759" s="276">
        <v>492200</v>
      </c>
      <c r="I759" s="2" t="s">
        <v>2475</v>
      </c>
      <c r="J759" s="2" t="s">
        <v>60</v>
      </c>
      <c r="K759" s="2" t="s">
        <v>2413</v>
      </c>
      <c r="L759" s="7">
        <v>847010</v>
      </c>
      <c r="M759" s="2" t="s">
        <v>192</v>
      </c>
      <c r="N759" s="2">
        <v>300180</v>
      </c>
      <c r="O759" s="3" t="s">
        <v>2649</v>
      </c>
      <c r="P759" s="35"/>
      <c r="Q759" s="2"/>
      <c r="R759" s="3"/>
      <c r="S759" s="2" t="str">
        <f>VLOOKUP(O759,'[3]Consolidation FMS&amp;HSE 2025'!$O:$P,2,FALSE)</f>
        <v>492200.Capital expense - Buildings-Fitout cost-2m</v>
      </c>
      <c r="T759" s="2" t="s">
        <v>515</v>
      </c>
      <c r="U759" s="2">
        <v>1</v>
      </c>
      <c r="V759" s="3">
        <v>1500000</v>
      </c>
      <c r="W759" s="36" t="s">
        <v>2483</v>
      </c>
      <c r="X759" s="10">
        <v>1500000</v>
      </c>
      <c r="Y759" s="2" t="s">
        <v>210</v>
      </c>
      <c r="Z759" s="14" t="s">
        <v>197</v>
      </c>
      <c r="AA759" s="14">
        <f t="shared" si="36"/>
        <v>1350000</v>
      </c>
      <c r="AB759" s="14">
        <f t="shared" si="37"/>
        <v>1200000</v>
      </c>
      <c r="AC759" s="14">
        <f t="shared" si="38"/>
        <v>1050000</v>
      </c>
      <c r="AD759" s="3" t="s">
        <v>2416</v>
      </c>
      <c r="AE759" s="3" t="s">
        <v>2416</v>
      </c>
      <c r="AF759" s="43" t="s">
        <v>2416</v>
      </c>
      <c r="AG759" s="43"/>
      <c r="AH759" s="43"/>
      <c r="AI759" s="43">
        <v>1500000</v>
      </c>
      <c r="AJ759" s="43"/>
      <c r="AK759" s="43"/>
      <c r="AL759" s="43"/>
      <c r="AM759" s="43"/>
      <c r="AN759" s="43"/>
      <c r="AO759" s="43"/>
      <c r="AP759" s="43"/>
      <c r="AQ759" s="43"/>
      <c r="AR759" s="43"/>
      <c r="AS759" s="3">
        <v>1500000</v>
      </c>
      <c r="AT759" s="272" t="s">
        <v>1025</v>
      </c>
      <c r="AU759" s="15"/>
    </row>
    <row r="760" spans="1:47" ht="16.5" hidden="1" customHeight="1" x14ac:dyDescent="0.35">
      <c r="A760" s="2" t="s">
        <v>161</v>
      </c>
      <c r="B760" s="2" t="s">
        <v>2474</v>
      </c>
      <c r="C760" s="2" t="s">
        <v>47</v>
      </c>
      <c r="D760" s="2">
        <v>847</v>
      </c>
      <c r="E760" s="2">
        <v>8470530</v>
      </c>
      <c r="F760" s="2" t="s">
        <v>2412</v>
      </c>
      <c r="G760" s="2">
        <v>1</v>
      </c>
      <c r="H760" s="276">
        <v>492200</v>
      </c>
      <c r="I760" s="2" t="s">
        <v>2475</v>
      </c>
      <c r="J760" s="2" t="s">
        <v>60</v>
      </c>
      <c r="K760" s="2" t="s">
        <v>2413</v>
      </c>
      <c r="L760" s="7">
        <v>847010</v>
      </c>
      <c r="M760" s="2" t="s">
        <v>192</v>
      </c>
      <c r="N760" s="2">
        <v>300180</v>
      </c>
      <c r="O760" s="3" t="s">
        <v>2649</v>
      </c>
      <c r="P760" s="35"/>
      <c r="Q760" s="2"/>
      <c r="R760" s="3"/>
      <c r="S760" s="2" t="s">
        <v>2477</v>
      </c>
      <c r="T760" s="2" t="s">
        <v>515</v>
      </c>
      <c r="U760" s="2">
        <v>1</v>
      </c>
      <c r="V760" s="3">
        <v>3000000</v>
      </c>
      <c r="W760" s="36" t="s">
        <v>2484</v>
      </c>
      <c r="X760" s="10">
        <v>3000000</v>
      </c>
      <c r="Y760" s="2" t="s">
        <v>210</v>
      </c>
      <c r="Z760" s="14" t="s">
        <v>197</v>
      </c>
      <c r="AA760" s="14">
        <f t="shared" si="36"/>
        <v>2700000</v>
      </c>
      <c r="AB760" s="14">
        <f t="shared" si="37"/>
        <v>2400000</v>
      </c>
      <c r="AC760" s="14">
        <f t="shared" si="38"/>
        <v>2100000</v>
      </c>
      <c r="AD760" s="3" t="s">
        <v>2416</v>
      </c>
      <c r="AE760" s="3" t="s">
        <v>2416</v>
      </c>
      <c r="AF760" s="43" t="s">
        <v>2416</v>
      </c>
      <c r="AG760" s="43"/>
      <c r="AH760" s="43"/>
      <c r="AI760" s="43">
        <v>3000000</v>
      </c>
      <c r="AJ760" s="43"/>
      <c r="AK760" s="43"/>
      <c r="AL760" s="43"/>
      <c r="AM760" s="43"/>
      <c r="AN760" s="43"/>
      <c r="AO760" s="43"/>
      <c r="AP760" s="43"/>
      <c r="AQ760" s="43"/>
      <c r="AR760" s="43"/>
      <c r="AS760" s="3">
        <v>3000000</v>
      </c>
      <c r="AT760" s="272" t="s">
        <v>1025</v>
      </c>
      <c r="AU760" s="15"/>
    </row>
    <row r="761" spans="1:47" ht="16.5" hidden="1" customHeight="1" x14ac:dyDescent="0.35">
      <c r="A761" s="2" t="s">
        <v>161</v>
      </c>
      <c r="B761" s="2" t="s">
        <v>2474</v>
      </c>
      <c r="C761" s="2" t="s">
        <v>47</v>
      </c>
      <c r="D761" s="2">
        <v>847</v>
      </c>
      <c r="E761" s="2">
        <v>8470530</v>
      </c>
      <c r="F761" s="2" t="s">
        <v>2412</v>
      </c>
      <c r="G761" s="2">
        <v>1</v>
      </c>
      <c r="H761" s="276">
        <v>492200</v>
      </c>
      <c r="I761" s="2" t="s">
        <v>2475</v>
      </c>
      <c r="J761" s="2" t="s">
        <v>60</v>
      </c>
      <c r="K761" s="2" t="s">
        <v>2413</v>
      </c>
      <c r="L761" s="7">
        <v>847010</v>
      </c>
      <c r="M761" s="2" t="s">
        <v>192</v>
      </c>
      <c r="N761" s="2">
        <v>300180</v>
      </c>
      <c r="O761" s="3" t="s">
        <v>2649</v>
      </c>
      <c r="P761" s="35"/>
      <c r="Q761" s="2"/>
      <c r="R761" s="3"/>
      <c r="S761" s="2" t="s">
        <v>2477</v>
      </c>
      <c r="T761" s="2" t="s">
        <v>515</v>
      </c>
      <c r="U761" s="2">
        <v>1</v>
      </c>
      <c r="V761" s="3">
        <v>110000</v>
      </c>
      <c r="W761" s="36" t="s">
        <v>2485</v>
      </c>
      <c r="X761" s="10">
        <v>110000</v>
      </c>
      <c r="Y761" s="2" t="s">
        <v>210</v>
      </c>
      <c r="Z761" s="14" t="s">
        <v>197</v>
      </c>
      <c r="AA761" s="14">
        <f t="shared" si="36"/>
        <v>99000</v>
      </c>
      <c r="AB761" s="14">
        <f t="shared" si="37"/>
        <v>88000</v>
      </c>
      <c r="AC761" s="14">
        <f t="shared" si="38"/>
        <v>77000</v>
      </c>
      <c r="AD761" s="3" t="s">
        <v>2416</v>
      </c>
      <c r="AE761" s="3" t="s">
        <v>2416</v>
      </c>
      <c r="AF761" s="43" t="s">
        <v>2416</v>
      </c>
      <c r="AG761" s="43"/>
      <c r="AH761" s="43"/>
      <c r="AI761" s="43">
        <v>110000</v>
      </c>
      <c r="AJ761" s="43"/>
      <c r="AK761" s="43"/>
      <c r="AL761" s="43"/>
      <c r="AM761" s="43"/>
      <c r="AN761" s="43"/>
      <c r="AO761" s="43"/>
      <c r="AP761" s="43"/>
      <c r="AQ761" s="43"/>
      <c r="AR761" s="43"/>
      <c r="AS761" s="3">
        <v>110000</v>
      </c>
      <c r="AT761" s="272" t="s">
        <v>1025</v>
      </c>
      <c r="AU761" s="15"/>
    </row>
    <row r="762" spans="1:47" ht="16.5" hidden="1" customHeight="1" x14ac:dyDescent="0.35">
      <c r="A762" s="2" t="s">
        <v>161</v>
      </c>
      <c r="B762" s="2" t="s">
        <v>2474</v>
      </c>
      <c r="C762" s="2" t="s">
        <v>47</v>
      </c>
      <c r="D762" s="2">
        <v>847</v>
      </c>
      <c r="E762" s="2">
        <v>8470530</v>
      </c>
      <c r="F762" s="2" t="s">
        <v>2412</v>
      </c>
      <c r="G762" s="2">
        <v>1</v>
      </c>
      <c r="H762" s="276">
        <v>492200</v>
      </c>
      <c r="I762" s="2" t="s">
        <v>2475</v>
      </c>
      <c r="J762" s="2" t="s">
        <v>60</v>
      </c>
      <c r="K762" s="2" t="s">
        <v>2413</v>
      </c>
      <c r="L762" s="7">
        <v>847010</v>
      </c>
      <c r="M762" s="2" t="s">
        <v>192</v>
      </c>
      <c r="N762" s="2">
        <v>300180</v>
      </c>
      <c r="O762" s="3" t="s">
        <v>2649</v>
      </c>
      <c r="P762" s="35"/>
      <c r="Q762" s="2"/>
      <c r="R762" s="3"/>
      <c r="S762" s="2" t="s">
        <v>2477</v>
      </c>
      <c r="T762" s="2" t="s">
        <v>515</v>
      </c>
      <c r="U762" s="2">
        <v>1</v>
      </c>
      <c r="V762" s="3">
        <v>2100000</v>
      </c>
      <c r="W762" s="36" t="s">
        <v>2486</v>
      </c>
      <c r="X762" s="10">
        <v>2100000</v>
      </c>
      <c r="Y762" s="2" t="s">
        <v>210</v>
      </c>
      <c r="Z762" s="14" t="s">
        <v>197</v>
      </c>
      <c r="AA762" s="14">
        <f t="shared" si="36"/>
        <v>1890000</v>
      </c>
      <c r="AB762" s="14">
        <f t="shared" si="37"/>
        <v>1680000</v>
      </c>
      <c r="AC762" s="14">
        <f t="shared" si="38"/>
        <v>1470000</v>
      </c>
      <c r="AD762" s="3" t="s">
        <v>2416</v>
      </c>
      <c r="AE762" s="3" t="s">
        <v>2416</v>
      </c>
      <c r="AF762" s="43" t="s">
        <v>2416</v>
      </c>
      <c r="AG762" s="43"/>
      <c r="AH762" s="43"/>
      <c r="AI762" s="43">
        <v>2100000</v>
      </c>
      <c r="AJ762" s="43"/>
      <c r="AK762" s="43"/>
      <c r="AL762" s="43"/>
      <c r="AM762" s="43"/>
      <c r="AN762" s="43"/>
      <c r="AO762" s="43"/>
      <c r="AP762" s="43"/>
      <c r="AQ762" s="43"/>
      <c r="AR762" s="43"/>
      <c r="AS762" s="3">
        <v>2100000</v>
      </c>
      <c r="AT762" s="272" t="s">
        <v>1025</v>
      </c>
      <c r="AU762" s="15"/>
    </row>
    <row r="763" spans="1:47" ht="16.5" hidden="1" customHeight="1" x14ac:dyDescent="0.35">
      <c r="A763" s="2" t="s">
        <v>161</v>
      </c>
      <c r="B763" s="2" t="s">
        <v>2474</v>
      </c>
      <c r="C763" s="2" t="s">
        <v>47</v>
      </c>
      <c r="D763" s="2">
        <v>847</v>
      </c>
      <c r="E763" s="2">
        <v>8470530</v>
      </c>
      <c r="F763" s="2" t="s">
        <v>2412</v>
      </c>
      <c r="G763" s="2">
        <v>1</v>
      </c>
      <c r="H763" s="276">
        <v>492200</v>
      </c>
      <c r="I763" s="2" t="s">
        <v>2475</v>
      </c>
      <c r="J763" s="2" t="s">
        <v>60</v>
      </c>
      <c r="K763" s="2" t="s">
        <v>2413</v>
      </c>
      <c r="L763" s="7">
        <v>847010</v>
      </c>
      <c r="M763" s="2" t="s">
        <v>192</v>
      </c>
      <c r="N763" s="2">
        <v>300180</v>
      </c>
      <c r="O763" s="3" t="s">
        <v>2649</v>
      </c>
      <c r="P763" s="35"/>
      <c r="Q763" s="2"/>
      <c r="R763" s="3"/>
      <c r="S763" s="2" t="s">
        <v>2477</v>
      </c>
      <c r="T763" s="2" t="s">
        <v>515</v>
      </c>
      <c r="U763" s="2">
        <v>1</v>
      </c>
      <c r="V763" s="3">
        <v>60000</v>
      </c>
      <c r="W763" s="36" t="s">
        <v>2487</v>
      </c>
      <c r="X763" s="10">
        <v>60000</v>
      </c>
      <c r="Y763" s="2" t="s">
        <v>210</v>
      </c>
      <c r="Z763" s="14" t="s">
        <v>197</v>
      </c>
      <c r="AA763" s="14">
        <f t="shared" si="36"/>
        <v>54000</v>
      </c>
      <c r="AB763" s="14">
        <f t="shared" si="37"/>
        <v>48000</v>
      </c>
      <c r="AC763" s="14">
        <f t="shared" si="38"/>
        <v>42000</v>
      </c>
      <c r="AD763" s="3" t="s">
        <v>2416</v>
      </c>
      <c r="AE763" s="3" t="s">
        <v>2416</v>
      </c>
      <c r="AF763" s="43" t="s">
        <v>2416</v>
      </c>
      <c r="AG763" s="43"/>
      <c r="AH763" s="43"/>
      <c r="AI763" s="43">
        <v>60000</v>
      </c>
      <c r="AJ763" s="43"/>
      <c r="AK763" s="43"/>
      <c r="AL763" s="43"/>
      <c r="AM763" s="43"/>
      <c r="AN763" s="43"/>
      <c r="AO763" s="43"/>
      <c r="AP763" s="43"/>
      <c r="AQ763" s="43"/>
      <c r="AR763" s="43"/>
      <c r="AS763" s="3">
        <v>60000</v>
      </c>
      <c r="AT763" s="272" t="s">
        <v>1025</v>
      </c>
      <c r="AU763" s="15"/>
    </row>
    <row r="764" spans="1:47" ht="16.5" hidden="1" customHeight="1" x14ac:dyDescent="0.35">
      <c r="A764" s="2" t="s">
        <v>161</v>
      </c>
      <c r="B764" s="2" t="s">
        <v>2474</v>
      </c>
      <c r="C764" s="2" t="s">
        <v>47</v>
      </c>
      <c r="D764" s="2">
        <v>847</v>
      </c>
      <c r="E764" s="2">
        <v>8470530</v>
      </c>
      <c r="F764" s="2" t="s">
        <v>2412</v>
      </c>
      <c r="G764" s="2">
        <v>1</v>
      </c>
      <c r="H764" s="276">
        <v>492200</v>
      </c>
      <c r="I764" s="2" t="s">
        <v>2475</v>
      </c>
      <c r="J764" s="2" t="s">
        <v>60</v>
      </c>
      <c r="K764" s="2" t="s">
        <v>2413</v>
      </c>
      <c r="L764" s="7">
        <v>847010</v>
      </c>
      <c r="M764" s="2" t="s">
        <v>192</v>
      </c>
      <c r="N764" s="2">
        <v>300180</v>
      </c>
      <c r="O764" s="3" t="s">
        <v>2649</v>
      </c>
      <c r="P764" s="35"/>
      <c r="Q764" s="2"/>
      <c r="R764" s="3"/>
      <c r="S764" s="2" t="s">
        <v>2477</v>
      </c>
      <c r="T764" s="2" t="s">
        <v>515</v>
      </c>
      <c r="U764" s="2">
        <v>1</v>
      </c>
      <c r="V764" s="3">
        <v>300000</v>
      </c>
      <c r="W764" s="36" t="s">
        <v>2488</v>
      </c>
      <c r="X764" s="10">
        <v>300000</v>
      </c>
      <c r="Y764" s="2" t="s">
        <v>210</v>
      </c>
      <c r="Z764" s="14" t="s">
        <v>197</v>
      </c>
      <c r="AA764" s="14">
        <f t="shared" si="36"/>
        <v>270000</v>
      </c>
      <c r="AB764" s="14">
        <f t="shared" si="37"/>
        <v>240000</v>
      </c>
      <c r="AC764" s="14">
        <f t="shared" si="38"/>
        <v>210000</v>
      </c>
      <c r="AD764" s="3" t="s">
        <v>2416</v>
      </c>
      <c r="AE764" s="3" t="s">
        <v>2416</v>
      </c>
      <c r="AF764" s="43" t="s">
        <v>2416</v>
      </c>
      <c r="AG764" s="43"/>
      <c r="AH764" s="43"/>
      <c r="AI764" s="43">
        <v>300000</v>
      </c>
      <c r="AJ764" s="43"/>
      <c r="AK764" s="43"/>
      <c r="AL764" s="43"/>
      <c r="AM764" s="43"/>
      <c r="AN764" s="43"/>
      <c r="AO764" s="43"/>
      <c r="AP764" s="43"/>
      <c r="AQ764" s="43"/>
      <c r="AR764" s="43"/>
      <c r="AS764" s="3">
        <v>300000</v>
      </c>
      <c r="AT764" s="272" t="s">
        <v>1025</v>
      </c>
      <c r="AU764" s="15"/>
    </row>
    <row r="765" spans="1:47" ht="16.5" hidden="1" customHeight="1" x14ac:dyDescent="0.35">
      <c r="A765" s="2" t="s">
        <v>161</v>
      </c>
      <c r="B765" s="2" t="s">
        <v>2474</v>
      </c>
      <c r="C765" s="2" t="s">
        <v>47</v>
      </c>
      <c r="D765" s="2">
        <v>847</v>
      </c>
      <c r="E765" s="2">
        <v>8470530</v>
      </c>
      <c r="F765" s="2" t="s">
        <v>2412</v>
      </c>
      <c r="G765" s="2">
        <v>1</v>
      </c>
      <c r="H765" s="276">
        <v>492200</v>
      </c>
      <c r="I765" s="2" t="s">
        <v>2475</v>
      </c>
      <c r="J765" s="2" t="s">
        <v>60</v>
      </c>
      <c r="K765" s="2" t="s">
        <v>2413</v>
      </c>
      <c r="L765" s="7">
        <v>847010</v>
      </c>
      <c r="M765" s="2" t="s">
        <v>192</v>
      </c>
      <c r="N765" s="2">
        <v>300180</v>
      </c>
      <c r="O765" s="3" t="s">
        <v>2649</v>
      </c>
      <c r="P765" s="35"/>
      <c r="Q765" s="2"/>
      <c r="R765" s="3"/>
      <c r="S765" s="2" t="s">
        <v>2477</v>
      </c>
      <c r="T765" s="2" t="s">
        <v>515</v>
      </c>
      <c r="U765" s="2">
        <v>1</v>
      </c>
      <c r="V765" s="3">
        <v>100000</v>
      </c>
      <c r="W765" s="36" t="s">
        <v>2489</v>
      </c>
      <c r="X765" s="10">
        <v>100000</v>
      </c>
      <c r="Y765" s="2" t="s">
        <v>210</v>
      </c>
      <c r="Z765" s="14" t="s">
        <v>197</v>
      </c>
      <c r="AA765" s="14">
        <f t="shared" si="36"/>
        <v>90000</v>
      </c>
      <c r="AB765" s="14">
        <f t="shared" si="37"/>
        <v>80000</v>
      </c>
      <c r="AC765" s="14">
        <f t="shared" si="38"/>
        <v>70000</v>
      </c>
      <c r="AD765" s="3" t="s">
        <v>2416</v>
      </c>
      <c r="AE765" s="3" t="s">
        <v>2416</v>
      </c>
      <c r="AF765" s="43" t="s">
        <v>2416</v>
      </c>
      <c r="AG765" s="43"/>
      <c r="AH765" s="43"/>
      <c r="AI765" s="43">
        <v>100000</v>
      </c>
      <c r="AJ765" s="43"/>
      <c r="AK765" s="43"/>
      <c r="AL765" s="43"/>
      <c r="AM765" s="43"/>
      <c r="AN765" s="43"/>
      <c r="AO765" s="43"/>
      <c r="AP765" s="43"/>
      <c r="AQ765" s="43"/>
      <c r="AR765" s="43"/>
      <c r="AS765" s="3">
        <v>100000</v>
      </c>
      <c r="AT765" s="272" t="s">
        <v>1025</v>
      </c>
      <c r="AU765" s="15"/>
    </row>
    <row r="766" spans="1:47" ht="16.5" hidden="1" customHeight="1" x14ac:dyDescent="0.35">
      <c r="A766" s="2" t="s">
        <v>161</v>
      </c>
      <c r="B766" s="2" t="s">
        <v>2474</v>
      </c>
      <c r="C766" s="2" t="s">
        <v>47</v>
      </c>
      <c r="D766" s="2">
        <v>847</v>
      </c>
      <c r="E766" s="2">
        <v>8470530</v>
      </c>
      <c r="F766" s="2" t="s">
        <v>2412</v>
      </c>
      <c r="G766" s="2">
        <v>1</v>
      </c>
      <c r="H766" s="276">
        <v>492200</v>
      </c>
      <c r="I766" s="2" t="s">
        <v>2475</v>
      </c>
      <c r="J766" s="2" t="s">
        <v>60</v>
      </c>
      <c r="K766" s="2" t="s">
        <v>2413</v>
      </c>
      <c r="L766" s="7">
        <v>847010</v>
      </c>
      <c r="M766" s="2" t="s">
        <v>192</v>
      </c>
      <c r="N766" s="2">
        <v>300180</v>
      </c>
      <c r="O766" s="3" t="s">
        <v>2649</v>
      </c>
      <c r="P766" s="35"/>
      <c r="Q766" s="2"/>
      <c r="R766" s="3"/>
      <c r="S766" s="2" t="s">
        <v>2477</v>
      </c>
      <c r="T766" s="2" t="s">
        <v>515</v>
      </c>
      <c r="U766" s="2">
        <v>1</v>
      </c>
      <c r="V766" s="3">
        <v>300000</v>
      </c>
      <c r="W766" s="36" t="s">
        <v>2490</v>
      </c>
      <c r="X766" s="10">
        <v>300000</v>
      </c>
      <c r="Y766" s="2" t="s">
        <v>210</v>
      </c>
      <c r="Z766" s="14" t="s">
        <v>197</v>
      </c>
      <c r="AA766" s="14">
        <f t="shared" si="36"/>
        <v>270000</v>
      </c>
      <c r="AB766" s="14">
        <f t="shared" si="37"/>
        <v>240000</v>
      </c>
      <c r="AC766" s="14">
        <f t="shared" si="38"/>
        <v>210000</v>
      </c>
      <c r="AD766" s="3" t="s">
        <v>2416</v>
      </c>
      <c r="AE766" s="3" t="s">
        <v>2416</v>
      </c>
      <c r="AF766" s="43" t="s">
        <v>2416</v>
      </c>
      <c r="AG766" s="43"/>
      <c r="AH766" s="43"/>
      <c r="AI766" s="43">
        <v>300000</v>
      </c>
      <c r="AJ766" s="43"/>
      <c r="AK766" s="43"/>
      <c r="AL766" s="43"/>
      <c r="AM766" s="43"/>
      <c r="AN766" s="43"/>
      <c r="AO766" s="43"/>
      <c r="AP766" s="43"/>
      <c r="AQ766" s="43"/>
      <c r="AR766" s="43"/>
      <c r="AS766" s="3">
        <v>300000</v>
      </c>
      <c r="AT766" s="272" t="s">
        <v>1025</v>
      </c>
      <c r="AU766" s="15"/>
    </row>
    <row r="767" spans="1:47" ht="16.5" hidden="1" customHeight="1" x14ac:dyDescent="0.35">
      <c r="A767" s="2" t="s">
        <v>161</v>
      </c>
      <c r="B767" s="2" t="s">
        <v>2474</v>
      </c>
      <c r="C767" s="2" t="s">
        <v>47</v>
      </c>
      <c r="D767" s="2">
        <v>847</v>
      </c>
      <c r="E767" s="2">
        <v>8470530</v>
      </c>
      <c r="F767" s="2" t="s">
        <v>2412</v>
      </c>
      <c r="G767" s="2">
        <v>1</v>
      </c>
      <c r="H767" s="276">
        <v>492200</v>
      </c>
      <c r="I767" s="2" t="s">
        <v>2475</v>
      </c>
      <c r="J767" s="2" t="s">
        <v>60</v>
      </c>
      <c r="K767" s="2" t="s">
        <v>2413</v>
      </c>
      <c r="L767" s="7">
        <v>847010</v>
      </c>
      <c r="M767" s="2" t="s">
        <v>192</v>
      </c>
      <c r="N767" s="2">
        <v>300180</v>
      </c>
      <c r="O767" s="3" t="s">
        <v>2649</v>
      </c>
      <c r="P767" s="35"/>
      <c r="Q767" s="2"/>
      <c r="R767" s="3"/>
      <c r="S767" s="2" t="s">
        <v>2477</v>
      </c>
      <c r="T767" s="2" t="s">
        <v>515</v>
      </c>
      <c r="U767" s="2">
        <v>1</v>
      </c>
      <c r="V767" s="3">
        <v>100000</v>
      </c>
      <c r="W767" s="36" t="s">
        <v>2491</v>
      </c>
      <c r="X767" s="10">
        <v>100000</v>
      </c>
      <c r="Y767" s="2" t="s">
        <v>210</v>
      </c>
      <c r="Z767" s="14" t="s">
        <v>197</v>
      </c>
      <c r="AA767" s="14">
        <f t="shared" si="36"/>
        <v>90000</v>
      </c>
      <c r="AB767" s="14">
        <f t="shared" si="37"/>
        <v>80000</v>
      </c>
      <c r="AC767" s="14">
        <f t="shared" si="38"/>
        <v>70000</v>
      </c>
      <c r="AD767" s="3" t="s">
        <v>2416</v>
      </c>
      <c r="AE767" s="3" t="s">
        <v>2416</v>
      </c>
      <c r="AF767" s="43" t="s">
        <v>2416</v>
      </c>
      <c r="AG767" s="43"/>
      <c r="AH767" s="43"/>
      <c r="AI767" s="43">
        <v>100000</v>
      </c>
      <c r="AJ767" s="43"/>
      <c r="AK767" s="43"/>
      <c r="AL767" s="43"/>
      <c r="AM767" s="43"/>
      <c r="AN767" s="43"/>
      <c r="AO767" s="43"/>
      <c r="AP767" s="43"/>
      <c r="AQ767" s="43"/>
      <c r="AR767" s="43"/>
      <c r="AS767" s="3">
        <v>100000</v>
      </c>
      <c r="AT767" s="272" t="s">
        <v>1025</v>
      </c>
      <c r="AU767" s="15"/>
    </row>
    <row r="768" spans="1:47" ht="16.5" hidden="1" customHeight="1" x14ac:dyDescent="0.35">
      <c r="A768" s="2" t="s">
        <v>161</v>
      </c>
      <c r="B768" s="2" t="s">
        <v>2474</v>
      </c>
      <c r="C768" s="2" t="s">
        <v>47</v>
      </c>
      <c r="D768" s="2">
        <v>847</v>
      </c>
      <c r="E768" s="2">
        <v>8470530</v>
      </c>
      <c r="F768" s="2" t="s">
        <v>2412</v>
      </c>
      <c r="G768" s="2">
        <v>1</v>
      </c>
      <c r="H768" s="276">
        <v>492200</v>
      </c>
      <c r="I768" s="2" t="s">
        <v>2475</v>
      </c>
      <c r="J768" s="2" t="s">
        <v>60</v>
      </c>
      <c r="K768" s="2" t="s">
        <v>2413</v>
      </c>
      <c r="L768" s="7">
        <v>847010</v>
      </c>
      <c r="M768" s="2" t="s">
        <v>192</v>
      </c>
      <c r="N768" s="2">
        <v>300180</v>
      </c>
      <c r="O768" s="3" t="s">
        <v>2649</v>
      </c>
      <c r="P768" s="35"/>
      <c r="Q768" s="2"/>
      <c r="R768" s="3"/>
      <c r="S768" s="2" t="s">
        <v>2477</v>
      </c>
      <c r="T768" s="2" t="s">
        <v>515</v>
      </c>
      <c r="U768" s="2">
        <v>1</v>
      </c>
      <c r="V768" s="3">
        <v>60000</v>
      </c>
      <c r="W768" s="36" t="s">
        <v>2492</v>
      </c>
      <c r="X768" s="10">
        <v>60000</v>
      </c>
      <c r="Y768" s="2" t="s">
        <v>210</v>
      </c>
      <c r="Z768" s="14" t="s">
        <v>197</v>
      </c>
      <c r="AA768" s="14">
        <f t="shared" si="36"/>
        <v>54000</v>
      </c>
      <c r="AB768" s="14">
        <f t="shared" si="37"/>
        <v>48000</v>
      </c>
      <c r="AC768" s="14">
        <f t="shared" si="38"/>
        <v>42000</v>
      </c>
      <c r="AD768" s="3" t="s">
        <v>2416</v>
      </c>
      <c r="AE768" s="3" t="s">
        <v>2416</v>
      </c>
      <c r="AF768" s="43" t="s">
        <v>2416</v>
      </c>
      <c r="AG768" s="43"/>
      <c r="AH768" s="43"/>
      <c r="AI768" s="43">
        <v>60000</v>
      </c>
      <c r="AJ768" s="43"/>
      <c r="AK768" s="43"/>
      <c r="AL768" s="43"/>
      <c r="AM768" s="43"/>
      <c r="AN768" s="43"/>
      <c r="AO768" s="43"/>
      <c r="AP768" s="43"/>
      <c r="AQ768" s="43"/>
      <c r="AR768" s="43"/>
      <c r="AS768" s="3">
        <v>60000</v>
      </c>
      <c r="AT768" s="272" t="s">
        <v>1025</v>
      </c>
      <c r="AU768" s="15"/>
    </row>
    <row r="769" spans="1:47" ht="16.5" hidden="1" customHeight="1" x14ac:dyDescent="0.35">
      <c r="A769" s="2" t="s">
        <v>161</v>
      </c>
      <c r="B769" s="2" t="s">
        <v>2474</v>
      </c>
      <c r="C769" s="2" t="s">
        <v>47</v>
      </c>
      <c r="D769" s="2">
        <v>847</v>
      </c>
      <c r="E769" s="2">
        <v>8470530</v>
      </c>
      <c r="F769" s="2" t="s">
        <v>2412</v>
      </c>
      <c r="G769" s="2">
        <v>1</v>
      </c>
      <c r="H769" s="276">
        <v>492200</v>
      </c>
      <c r="I769" s="2" t="s">
        <v>2475</v>
      </c>
      <c r="J769" s="2" t="s">
        <v>60</v>
      </c>
      <c r="K769" s="2" t="s">
        <v>2413</v>
      </c>
      <c r="L769" s="7">
        <v>847010</v>
      </c>
      <c r="M769" s="2" t="s">
        <v>192</v>
      </c>
      <c r="N769" s="2">
        <v>300180</v>
      </c>
      <c r="O769" s="3" t="s">
        <v>2649</v>
      </c>
      <c r="P769" s="35"/>
      <c r="Q769" s="2"/>
      <c r="R769" s="3"/>
      <c r="S769" s="2" t="s">
        <v>2477</v>
      </c>
      <c r="T769" s="2" t="s">
        <v>515</v>
      </c>
      <c r="U769" s="2">
        <v>1</v>
      </c>
      <c r="V769" s="3">
        <v>750000</v>
      </c>
      <c r="W769" s="36" t="s">
        <v>2493</v>
      </c>
      <c r="X769" s="10">
        <v>750000</v>
      </c>
      <c r="Y769" s="2" t="s">
        <v>210</v>
      </c>
      <c r="Z769" s="14" t="s">
        <v>197</v>
      </c>
      <c r="AA769" s="14">
        <f t="shared" si="36"/>
        <v>675000</v>
      </c>
      <c r="AB769" s="14">
        <f t="shared" si="37"/>
        <v>600000</v>
      </c>
      <c r="AC769" s="14">
        <f t="shared" si="38"/>
        <v>525000</v>
      </c>
      <c r="AD769" s="3" t="s">
        <v>2416</v>
      </c>
      <c r="AE769" s="3" t="s">
        <v>2416</v>
      </c>
      <c r="AF769" s="43" t="s">
        <v>2416</v>
      </c>
      <c r="AG769" s="43"/>
      <c r="AH769" s="43"/>
      <c r="AI769" s="43">
        <v>750000</v>
      </c>
      <c r="AJ769" s="43"/>
      <c r="AK769" s="43"/>
      <c r="AL769" s="43"/>
      <c r="AM769" s="43"/>
      <c r="AN769" s="43"/>
      <c r="AO769" s="43"/>
      <c r="AP769" s="43"/>
      <c r="AQ769" s="43"/>
      <c r="AR769" s="43"/>
      <c r="AS769" s="3">
        <v>750000</v>
      </c>
      <c r="AT769" s="272" t="s">
        <v>1025</v>
      </c>
      <c r="AU769" s="15"/>
    </row>
    <row r="770" spans="1:47" ht="16.5" hidden="1" customHeight="1" x14ac:dyDescent="0.35">
      <c r="A770" s="2" t="s">
        <v>161</v>
      </c>
      <c r="B770" s="2" t="s">
        <v>2474</v>
      </c>
      <c r="C770" s="2" t="s">
        <v>47</v>
      </c>
      <c r="D770" s="2">
        <v>847</v>
      </c>
      <c r="E770" s="2">
        <v>8470530</v>
      </c>
      <c r="F770" s="2" t="s">
        <v>2412</v>
      </c>
      <c r="G770" s="2">
        <v>1</v>
      </c>
      <c r="H770" s="276">
        <v>492200</v>
      </c>
      <c r="I770" s="2" t="s">
        <v>2475</v>
      </c>
      <c r="J770" s="2" t="s">
        <v>60</v>
      </c>
      <c r="K770" s="2" t="s">
        <v>2413</v>
      </c>
      <c r="L770" s="7">
        <v>847010</v>
      </c>
      <c r="M770" s="2" t="s">
        <v>192</v>
      </c>
      <c r="N770" s="2">
        <v>300180</v>
      </c>
      <c r="O770" s="3" t="s">
        <v>2649</v>
      </c>
      <c r="P770" s="35"/>
      <c r="Q770" s="2"/>
      <c r="R770" s="3"/>
      <c r="S770" s="2" t="s">
        <v>2477</v>
      </c>
      <c r="T770" s="2" t="s">
        <v>515</v>
      </c>
      <c r="U770" s="2">
        <v>1</v>
      </c>
      <c r="V770" s="3">
        <v>1000000</v>
      </c>
      <c r="W770" s="36" t="s">
        <v>2494</v>
      </c>
      <c r="X770" s="10">
        <v>1000000</v>
      </c>
      <c r="Y770" s="2" t="s">
        <v>210</v>
      </c>
      <c r="Z770" s="14" t="s">
        <v>197</v>
      </c>
      <c r="AA770" s="14">
        <f t="shared" ref="AA770:AA833" si="39">X770*0.9</f>
        <v>900000</v>
      </c>
      <c r="AB770" s="14">
        <f t="shared" ref="AB770:AB833" si="40">X770*0.8</f>
        <v>800000</v>
      </c>
      <c r="AC770" s="14">
        <f t="shared" ref="AC770:AC833" si="41">X770*0.7</f>
        <v>700000</v>
      </c>
      <c r="AD770" s="3" t="s">
        <v>2416</v>
      </c>
      <c r="AE770" s="3" t="s">
        <v>2416</v>
      </c>
      <c r="AF770" s="43" t="s">
        <v>2416</v>
      </c>
      <c r="AG770" s="43"/>
      <c r="AH770" s="43"/>
      <c r="AI770" s="43">
        <v>1000000</v>
      </c>
      <c r="AJ770" s="43"/>
      <c r="AK770" s="43"/>
      <c r="AL770" s="43"/>
      <c r="AM770" s="43"/>
      <c r="AN770" s="43"/>
      <c r="AO770" s="43"/>
      <c r="AP770" s="43"/>
      <c r="AQ770" s="43"/>
      <c r="AR770" s="43"/>
      <c r="AS770" s="3">
        <v>1000000</v>
      </c>
      <c r="AT770" s="272" t="s">
        <v>1025</v>
      </c>
      <c r="AU770" s="15"/>
    </row>
    <row r="771" spans="1:47" ht="16.5" hidden="1" customHeight="1" x14ac:dyDescent="0.35">
      <c r="A771" s="2" t="s">
        <v>161</v>
      </c>
      <c r="B771" s="2" t="s">
        <v>2474</v>
      </c>
      <c r="C771" s="2" t="s">
        <v>47</v>
      </c>
      <c r="D771" s="2">
        <v>847</v>
      </c>
      <c r="E771" s="2">
        <v>8470530</v>
      </c>
      <c r="F771" s="2" t="s">
        <v>2412</v>
      </c>
      <c r="G771" s="2">
        <v>1</v>
      </c>
      <c r="H771" s="276">
        <v>492200</v>
      </c>
      <c r="I771" s="2" t="s">
        <v>2475</v>
      </c>
      <c r="J771" s="2" t="s">
        <v>60</v>
      </c>
      <c r="K771" s="2" t="s">
        <v>2413</v>
      </c>
      <c r="L771" s="7">
        <v>847010</v>
      </c>
      <c r="M771" s="2" t="s">
        <v>192</v>
      </c>
      <c r="N771" s="2">
        <v>300180</v>
      </c>
      <c r="O771" s="3" t="s">
        <v>2649</v>
      </c>
      <c r="P771" s="35"/>
      <c r="Q771" s="2" t="s">
        <v>1889</v>
      </c>
      <c r="R771" s="3"/>
      <c r="S771" s="2" t="s">
        <v>2477</v>
      </c>
      <c r="T771" s="2" t="s">
        <v>515</v>
      </c>
      <c r="U771" s="2">
        <v>1</v>
      </c>
      <c r="V771" s="3">
        <v>610000</v>
      </c>
      <c r="W771" s="36" t="s">
        <v>2495</v>
      </c>
      <c r="X771" s="10">
        <v>610000</v>
      </c>
      <c r="Y771" s="2" t="s">
        <v>210</v>
      </c>
      <c r="Z771" s="14" t="s">
        <v>197</v>
      </c>
      <c r="AA771" s="14">
        <f t="shared" si="39"/>
        <v>549000</v>
      </c>
      <c r="AB771" s="14">
        <f t="shared" si="40"/>
        <v>488000</v>
      </c>
      <c r="AC771" s="14">
        <f t="shared" si="41"/>
        <v>427000</v>
      </c>
      <c r="AD771" s="3" t="s">
        <v>2416</v>
      </c>
      <c r="AE771" s="3" t="s">
        <v>2416</v>
      </c>
      <c r="AF771" s="43" t="s">
        <v>2416</v>
      </c>
      <c r="AG771" s="43"/>
      <c r="AH771" s="43"/>
      <c r="AI771" s="43">
        <v>610000</v>
      </c>
      <c r="AJ771" s="43"/>
      <c r="AK771" s="43"/>
      <c r="AL771" s="43"/>
      <c r="AM771" s="43"/>
      <c r="AN771" s="43"/>
      <c r="AO771" s="43"/>
      <c r="AP771" s="43"/>
      <c r="AQ771" s="43"/>
      <c r="AR771" s="43"/>
      <c r="AS771" s="3">
        <v>610000</v>
      </c>
      <c r="AT771" s="272" t="s">
        <v>1025</v>
      </c>
      <c r="AU771" s="15"/>
    </row>
    <row r="772" spans="1:47" ht="16.5" hidden="1" customHeight="1" x14ac:dyDescent="0.35">
      <c r="A772" s="2" t="s">
        <v>161</v>
      </c>
      <c r="B772" s="2" t="s">
        <v>2474</v>
      </c>
      <c r="C772" s="2" t="s">
        <v>47</v>
      </c>
      <c r="D772" s="2">
        <v>847</v>
      </c>
      <c r="E772" s="2">
        <v>8470530</v>
      </c>
      <c r="F772" s="2" t="s">
        <v>2412</v>
      </c>
      <c r="G772" s="2">
        <v>1</v>
      </c>
      <c r="H772" s="276">
        <v>492200</v>
      </c>
      <c r="I772" s="2" t="s">
        <v>2475</v>
      </c>
      <c r="J772" s="2" t="s">
        <v>60</v>
      </c>
      <c r="K772" s="2" t="s">
        <v>2413</v>
      </c>
      <c r="L772" s="7">
        <v>847010</v>
      </c>
      <c r="M772" s="2" t="s">
        <v>192</v>
      </c>
      <c r="N772" s="2">
        <v>300180</v>
      </c>
      <c r="O772" s="3" t="s">
        <v>2649</v>
      </c>
      <c r="P772" s="35"/>
      <c r="Q772" s="2"/>
      <c r="R772" s="3"/>
      <c r="S772" s="2" t="s">
        <v>2477</v>
      </c>
      <c r="T772" s="2" t="s">
        <v>515</v>
      </c>
      <c r="U772" s="2">
        <v>1</v>
      </c>
      <c r="V772" s="3">
        <v>60000</v>
      </c>
      <c r="W772" s="36" t="s">
        <v>2496</v>
      </c>
      <c r="X772" s="10">
        <v>60000</v>
      </c>
      <c r="Y772" s="2" t="s">
        <v>210</v>
      </c>
      <c r="Z772" s="14" t="s">
        <v>197</v>
      </c>
      <c r="AA772" s="14">
        <f t="shared" si="39"/>
        <v>54000</v>
      </c>
      <c r="AB772" s="14">
        <f t="shared" si="40"/>
        <v>48000</v>
      </c>
      <c r="AC772" s="14">
        <f t="shared" si="41"/>
        <v>42000</v>
      </c>
      <c r="AD772" s="3" t="s">
        <v>2416</v>
      </c>
      <c r="AE772" s="3" t="s">
        <v>2416</v>
      </c>
      <c r="AF772" s="43" t="s">
        <v>2416</v>
      </c>
      <c r="AG772" s="43"/>
      <c r="AH772" s="43"/>
      <c r="AI772" s="43">
        <v>60000</v>
      </c>
      <c r="AJ772" s="43"/>
      <c r="AK772" s="43"/>
      <c r="AL772" s="43"/>
      <c r="AM772" s="43"/>
      <c r="AN772" s="43"/>
      <c r="AO772" s="43"/>
      <c r="AP772" s="43"/>
      <c r="AQ772" s="43"/>
      <c r="AR772" s="43"/>
      <c r="AS772" s="3">
        <v>60000</v>
      </c>
      <c r="AT772" s="272" t="s">
        <v>1025</v>
      </c>
      <c r="AU772" s="15"/>
    </row>
    <row r="773" spans="1:47" ht="16.5" hidden="1" customHeight="1" x14ac:dyDescent="0.35">
      <c r="A773" s="2" t="s">
        <v>161</v>
      </c>
      <c r="B773" s="2" t="s">
        <v>2474</v>
      </c>
      <c r="C773" s="2" t="s">
        <v>47</v>
      </c>
      <c r="D773" s="2">
        <v>847</v>
      </c>
      <c r="E773" s="2">
        <v>8470530</v>
      </c>
      <c r="F773" s="2" t="s">
        <v>2412</v>
      </c>
      <c r="G773" s="2">
        <v>1</v>
      </c>
      <c r="H773" s="276">
        <v>492200</v>
      </c>
      <c r="I773" s="2" t="s">
        <v>2475</v>
      </c>
      <c r="J773" s="2" t="s">
        <v>60</v>
      </c>
      <c r="K773" s="2" t="s">
        <v>2413</v>
      </c>
      <c r="L773" s="7">
        <v>847010</v>
      </c>
      <c r="M773" s="2" t="s">
        <v>192</v>
      </c>
      <c r="N773" s="2">
        <v>300180</v>
      </c>
      <c r="O773" s="3" t="s">
        <v>2649</v>
      </c>
      <c r="P773" s="35"/>
      <c r="Q773" s="2"/>
      <c r="R773" s="3"/>
      <c r="S773" s="2" t="s">
        <v>2477</v>
      </c>
      <c r="T773" s="2" t="s">
        <v>515</v>
      </c>
      <c r="U773" s="2">
        <v>1</v>
      </c>
      <c r="V773" s="3">
        <v>350000</v>
      </c>
      <c r="W773" s="36" t="s">
        <v>2497</v>
      </c>
      <c r="X773" s="10">
        <v>350000</v>
      </c>
      <c r="Y773" s="2" t="s">
        <v>210</v>
      </c>
      <c r="Z773" s="14" t="s">
        <v>197</v>
      </c>
      <c r="AA773" s="14">
        <f t="shared" si="39"/>
        <v>315000</v>
      </c>
      <c r="AB773" s="14">
        <f t="shared" si="40"/>
        <v>280000</v>
      </c>
      <c r="AC773" s="14">
        <f t="shared" si="41"/>
        <v>244999.99999999997</v>
      </c>
      <c r="AD773" s="3" t="s">
        <v>2416</v>
      </c>
      <c r="AE773" s="3" t="s">
        <v>2416</v>
      </c>
      <c r="AF773" s="43" t="s">
        <v>2416</v>
      </c>
      <c r="AG773" s="43"/>
      <c r="AH773" s="43"/>
      <c r="AI773" s="43">
        <v>350000</v>
      </c>
      <c r="AJ773" s="43"/>
      <c r="AK773" s="43"/>
      <c r="AL773" s="43"/>
      <c r="AM773" s="43"/>
      <c r="AN773" s="43"/>
      <c r="AO773" s="43"/>
      <c r="AP773" s="43"/>
      <c r="AQ773" s="43"/>
      <c r="AR773" s="43"/>
      <c r="AS773" s="3">
        <v>350000</v>
      </c>
      <c r="AT773" s="272" t="s">
        <v>1025</v>
      </c>
      <c r="AU773" s="15"/>
    </row>
    <row r="774" spans="1:47" ht="16.5" hidden="1" customHeight="1" x14ac:dyDescent="0.35">
      <c r="A774" s="2" t="s">
        <v>161</v>
      </c>
      <c r="B774" s="2" t="s">
        <v>2474</v>
      </c>
      <c r="C774" s="2" t="s">
        <v>47</v>
      </c>
      <c r="D774" s="2">
        <v>847</v>
      </c>
      <c r="E774" s="2">
        <v>8470530</v>
      </c>
      <c r="F774" s="2" t="s">
        <v>2412</v>
      </c>
      <c r="G774" s="2">
        <v>1</v>
      </c>
      <c r="H774" s="276">
        <v>492200</v>
      </c>
      <c r="I774" s="2" t="s">
        <v>2475</v>
      </c>
      <c r="J774" s="2" t="s">
        <v>60</v>
      </c>
      <c r="K774" s="2" t="s">
        <v>2413</v>
      </c>
      <c r="L774" s="7">
        <v>847010</v>
      </c>
      <c r="M774" s="2" t="s">
        <v>192</v>
      </c>
      <c r="N774" s="2">
        <v>300180</v>
      </c>
      <c r="O774" s="3" t="s">
        <v>2649</v>
      </c>
      <c r="P774" s="35"/>
      <c r="Q774" s="2"/>
      <c r="R774" s="3"/>
      <c r="S774" s="2" t="s">
        <v>2477</v>
      </c>
      <c r="T774" s="2" t="s">
        <v>515</v>
      </c>
      <c r="U774" s="2">
        <v>1</v>
      </c>
      <c r="V774" s="3">
        <v>50000</v>
      </c>
      <c r="W774" s="36" t="s">
        <v>2498</v>
      </c>
      <c r="X774" s="10">
        <v>50000</v>
      </c>
      <c r="Y774" s="2" t="s">
        <v>210</v>
      </c>
      <c r="Z774" s="14" t="s">
        <v>197</v>
      </c>
      <c r="AA774" s="14">
        <f t="shared" si="39"/>
        <v>45000</v>
      </c>
      <c r="AB774" s="14">
        <f t="shared" si="40"/>
        <v>40000</v>
      </c>
      <c r="AC774" s="14">
        <f t="shared" si="41"/>
        <v>35000</v>
      </c>
      <c r="AD774" s="3" t="s">
        <v>2416</v>
      </c>
      <c r="AE774" s="3" t="s">
        <v>2416</v>
      </c>
      <c r="AF774" s="43" t="s">
        <v>2416</v>
      </c>
      <c r="AG774" s="43"/>
      <c r="AH774" s="43"/>
      <c r="AI774" s="43">
        <v>50000</v>
      </c>
      <c r="AJ774" s="43"/>
      <c r="AK774" s="43"/>
      <c r="AL774" s="43"/>
      <c r="AM774" s="43"/>
      <c r="AN774" s="43"/>
      <c r="AO774" s="43"/>
      <c r="AP774" s="43"/>
      <c r="AQ774" s="43"/>
      <c r="AR774" s="43"/>
      <c r="AS774" s="3">
        <v>50000</v>
      </c>
      <c r="AT774" s="272" t="s">
        <v>1025</v>
      </c>
      <c r="AU774" s="15"/>
    </row>
    <row r="775" spans="1:47" ht="16.5" hidden="1" customHeight="1" x14ac:dyDescent="0.35">
      <c r="A775" s="2" t="s">
        <v>161</v>
      </c>
      <c r="B775" s="2" t="s">
        <v>2474</v>
      </c>
      <c r="C775" s="2" t="s">
        <v>47</v>
      </c>
      <c r="D775" s="2">
        <v>847</v>
      </c>
      <c r="E775" s="2">
        <v>8470530</v>
      </c>
      <c r="F775" s="2" t="s">
        <v>2412</v>
      </c>
      <c r="G775" s="2">
        <v>1</v>
      </c>
      <c r="H775" s="276">
        <v>492200</v>
      </c>
      <c r="I775" s="2" t="s">
        <v>2475</v>
      </c>
      <c r="J775" s="2" t="s">
        <v>60</v>
      </c>
      <c r="K775" s="2" t="s">
        <v>2413</v>
      </c>
      <c r="L775" s="7">
        <v>847010</v>
      </c>
      <c r="M775" s="2" t="s">
        <v>192</v>
      </c>
      <c r="N775" s="2">
        <v>300180</v>
      </c>
      <c r="O775" s="3" t="s">
        <v>2649</v>
      </c>
      <c r="P775" s="35"/>
      <c r="Q775" s="2"/>
      <c r="R775" s="3"/>
      <c r="S775" s="2" t="str">
        <f>VLOOKUP(O775,'[3]Consolidation FMS&amp;HSE 2025'!$O:$P,2,FALSE)</f>
        <v>492200.Capital expense - Buildings-Fitout cost-2m</v>
      </c>
      <c r="T775" s="2" t="s">
        <v>515</v>
      </c>
      <c r="U775" s="2">
        <v>1</v>
      </c>
      <c r="V775" s="3">
        <v>160000</v>
      </c>
      <c r="W775" s="36" t="s">
        <v>2499</v>
      </c>
      <c r="X775" s="10">
        <v>160000</v>
      </c>
      <c r="Y775" s="2" t="s">
        <v>210</v>
      </c>
      <c r="Z775" s="14" t="s">
        <v>197</v>
      </c>
      <c r="AA775" s="14">
        <f t="shared" si="39"/>
        <v>144000</v>
      </c>
      <c r="AB775" s="14">
        <f t="shared" si="40"/>
        <v>128000</v>
      </c>
      <c r="AC775" s="14">
        <f t="shared" si="41"/>
        <v>112000</v>
      </c>
      <c r="AD775" s="3" t="s">
        <v>2416</v>
      </c>
      <c r="AE775" s="3" t="s">
        <v>2416</v>
      </c>
      <c r="AF775" s="43" t="s">
        <v>2416</v>
      </c>
      <c r="AG775" s="43"/>
      <c r="AH775" s="43"/>
      <c r="AI775" s="43">
        <v>160000</v>
      </c>
      <c r="AJ775" s="43"/>
      <c r="AK775" s="43"/>
      <c r="AL775" s="43"/>
      <c r="AM775" s="43"/>
      <c r="AN775" s="43"/>
      <c r="AO775" s="43"/>
      <c r="AP775" s="43"/>
      <c r="AQ775" s="43"/>
      <c r="AR775" s="43"/>
      <c r="AS775" s="3">
        <v>160000</v>
      </c>
      <c r="AT775" s="272" t="s">
        <v>1025</v>
      </c>
      <c r="AU775" s="15"/>
    </row>
    <row r="776" spans="1:47" ht="16.5" hidden="1" customHeight="1" x14ac:dyDescent="0.35">
      <c r="A776" s="2" t="s">
        <v>161</v>
      </c>
      <c r="B776" s="2" t="s">
        <v>2474</v>
      </c>
      <c r="C776" s="2" t="s">
        <v>47</v>
      </c>
      <c r="D776" s="2">
        <v>847</v>
      </c>
      <c r="E776" s="2">
        <v>8470530</v>
      </c>
      <c r="F776" s="2" t="s">
        <v>2412</v>
      </c>
      <c r="G776" s="2">
        <v>1</v>
      </c>
      <c r="H776" s="276">
        <v>492200</v>
      </c>
      <c r="I776" s="2" t="s">
        <v>2475</v>
      </c>
      <c r="J776" s="2" t="s">
        <v>60</v>
      </c>
      <c r="K776" s="2" t="s">
        <v>2413</v>
      </c>
      <c r="L776" s="7">
        <v>847010</v>
      </c>
      <c r="M776" s="2" t="s">
        <v>192</v>
      </c>
      <c r="N776" s="2">
        <v>300180</v>
      </c>
      <c r="O776" s="3" t="s">
        <v>2649</v>
      </c>
      <c r="P776" s="35"/>
      <c r="Q776" s="2"/>
      <c r="R776" s="3"/>
      <c r="S776" s="2" t="str">
        <f>VLOOKUP(O776,'[3]Consolidation FMS&amp;HSE 2025'!$O:$P,2,FALSE)</f>
        <v>492200.Capital expense - Buildings-Fitout cost-2m</v>
      </c>
      <c r="T776" s="2" t="s">
        <v>515</v>
      </c>
      <c r="U776" s="2">
        <v>1</v>
      </c>
      <c r="V776" s="3">
        <v>300000</v>
      </c>
      <c r="W776" s="36" t="s">
        <v>2500</v>
      </c>
      <c r="X776" s="10">
        <v>300000</v>
      </c>
      <c r="Y776" s="2" t="s">
        <v>210</v>
      </c>
      <c r="Z776" s="14" t="s">
        <v>197</v>
      </c>
      <c r="AA776" s="14">
        <f t="shared" si="39"/>
        <v>270000</v>
      </c>
      <c r="AB776" s="14">
        <f t="shared" si="40"/>
        <v>240000</v>
      </c>
      <c r="AC776" s="14">
        <f t="shared" si="41"/>
        <v>210000</v>
      </c>
      <c r="AD776" s="3" t="s">
        <v>2416</v>
      </c>
      <c r="AE776" s="3" t="s">
        <v>2416</v>
      </c>
      <c r="AF776" s="43" t="s">
        <v>2416</v>
      </c>
      <c r="AG776" s="43"/>
      <c r="AH776" s="43"/>
      <c r="AI776" s="43">
        <v>300000</v>
      </c>
      <c r="AJ776" s="43"/>
      <c r="AK776" s="43"/>
      <c r="AL776" s="43"/>
      <c r="AM776" s="43"/>
      <c r="AN776" s="43"/>
      <c r="AO776" s="43"/>
      <c r="AP776" s="43"/>
      <c r="AQ776" s="43"/>
      <c r="AR776" s="43"/>
      <c r="AS776" s="3">
        <v>300000</v>
      </c>
      <c r="AT776" s="272" t="s">
        <v>1025</v>
      </c>
      <c r="AU776" s="15"/>
    </row>
    <row r="777" spans="1:47" ht="16.5" hidden="1" customHeight="1" x14ac:dyDescent="0.35">
      <c r="A777" s="2" t="s">
        <v>161</v>
      </c>
      <c r="B777" s="2" t="s">
        <v>2474</v>
      </c>
      <c r="C777" s="2" t="s">
        <v>47</v>
      </c>
      <c r="D777" s="2">
        <v>847</v>
      </c>
      <c r="E777" s="2">
        <v>8470530</v>
      </c>
      <c r="F777" s="2" t="s">
        <v>2412</v>
      </c>
      <c r="G777" s="2">
        <v>1</v>
      </c>
      <c r="H777" s="276">
        <v>492200</v>
      </c>
      <c r="I777" s="2" t="s">
        <v>2475</v>
      </c>
      <c r="J777" s="2" t="s">
        <v>60</v>
      </c>
      <c r="K777" s="2" t="s">
        <v>2413</v>
      </c>
      <c r="L777" s="7">
        <v>847010</v>
      </c>
      <c r="M777" s="2" t="s">
        <v>192</v>
      </c>
      <c r="N777" s="2">
        <v>300180</v>
      </c>
      <c r="O777" s="3" t="s">
        <v>2649</v>
      </c>
      <c r="P777" s="35"/>
      <c r="Q777" s="2"/>
      <c r="R777" s="3"/>
      <c r="S777" s="2" t="str">
        <f>VLOOKUP(O777,'[3]Consolidation FMS&amp;HSE 2025'!$O:$P,2,FALSE)</f>
        <v>492200.Capital expense - Buildings-Fitout cost-2m</v>
      </c>
      <c r="T777" s="2" t="s">
        <v>515</v>
      </c>
      <c r="U777" s="2">
        <v>1</v>
      </c>
      <c r="V777" s="3">
        <v>300000</v>
      </c>
      <c r="W777" s="36" t="s">
        <v>2501</v>
      </c>
      <c r="X777" s="10">
        <v>300000</v>
      </c>
      <c r="Y777" s="2" t="s">
        <v>210</v>
      </c>
      <c r="Z777" s="14" t="s">
        <v>197</v>
      </c>
      <c r="AA777" s="14">
        <f t="shared" si="39"/>
        <v>270000</v>
      </c>
      <c r="AB777" s="14">
        <f t="shared" si="40"/>
        <v>240000</v>
      </c>
      <c r="AC777" s="14">
        <f t="shared" si="41"/>
        <v>210000</v>
      </c>
      <c r="AD777" s="3" t="s">
        <v>2416</v>
      </c>
      <c r="AE777" s="3" t="s">
        <v>2416</v>
      </c>
      <c r="AF777" s="43" t="s">
        <v>2416</v>
      </c>
      <c r="AG777" s="43"/>
      <c r="AH777" s="43"/>
      <c r="AI777" s="43">
        <v>300000</v>
      </c>
      <c r="AJ777" s="43"/>
      <c r="AK777" s="43"/>
      <c r="AL777" s="43"/>
      <c r="AM777" s="43"/>
      <c r="AN777" s="43"/>
      <c r="AO777" s="43"/>
      <c r="AP777" s="43"/>
      <c r="AQ777" s="43"/>
      <c r="AR777" s="43"/>
      <c r="AS777" s="3">
        <v>300000</v>
      </c>
      <c r="AT777" s="272" t="s">
        <v>1025</v>
      </c>
      <c r="AU777" s="15"/>
    </row>
    <row r="778" spans="1:47" ht="16.5" hidden="1" customHeight="1" x14ac:dyDescent="0.35">
      <c r="A778" s="2" t="s">
        <v>161</v>
      </c>
      <c r="B778" s="2" t="s">
        <v>2474</v>
      </c>
      <c r="C778" s="2" t="s">
        <v>47</v>
      </c>
      <c r="D778" s="2">
        <v>847</v>
      </c>
      <c r="E778" s="2">
        <v>8470530</v>
      </c>
      <c r="F778" s="2" t="s">
        <v>2412</v>
      </c>
      <c r="G778" s="2">
        <v>1</v>
      </c>
      <c r="H778" s="276">
        <v>492200</v>
      </c>
      <c r="I778" s="2" t="s">
        <v>2475</v>
      </c>
      <c r="J778" s="2" t="s">
        <v>60</v>
      </c>
      <c r="K778" s="2" t="s">
        <v>2413</v>
      </c>
      <c r="L778" s="7">
        <v>847010</v>
      </c>
      <c r="M778" s="2" t="s">
        <v>192</v>
      </c>
      <c r="N778" s="2">
        <v>300180</v>
      </c>
      <c r="O778" s="3" t="s">
        <v>2649</v>
      </c>
      <c r="P778" s="35"/>
      <c r="Q778" s="2"/>
      <c r="R778" s="3"/>
      <c r="S778" s="2" t="str">
        <f>VLOOKUP(O778,'[3]Consolidation FMS&amp;HSE 2025'!$O:$P,2,FALSE)</f>
        <v>492200.Capital expense - Buildings-Fitout cost-2m</v>
      </c>
      <c r="T778" s="2" t="s">
        <v>515</v>
      </c>
      <c r="U778" s="2">
        <v>1</v>
      </c>
      <c r="V778" s="3">
        <v>120000</v>
      </c>
      <c r="W778" s="36" t="s">
        <v>2502</v>
      </c>
      <c r="X778" s="10">
        <v>120000</v>
      </c>
      <c r="Y778" s="2" t="s">
        <v>210</v>
      </c>
      <c r="Z778" s="14" t="s">
        <v>197</v>
      </c>
      <c r="AA778" s="14">
        <f t="shared" si="39"/>
        <v>108000</v>
      </c>
      <c r="AB778" s="14">
        <f t="shared" si="40"/>
        <v>96000</v>
      </c>
      <c r="AC778" s="14">
        <f t="shared" si="41"/>
        <v>84000</v>
      </c>
      <c r="AD778" s="3" t="s">
        <v>2416</v>
      </c>
      <c r="AE778" s="3" t="s">
        <v>2416</v>
      </c>
      <c r="AF778" s="43" t="s">
        <v>2416</v>
      </c>
      <c r="AG778" s="43"/>
      <c r="AH778" s="43"/>
      <c r="AI778" s="43">
        <v>120000</v>
      </c>
      <c r="AJ778" s="43"/>
      <c r="AK778" s="43"/>
      <c r="AL778" s="43"/>
      <c r="AM778" s="43"/>
      <c r="AN778" s="43"/>
      <c r="AO778" s="43"/>
      <c r="AP778" s="43"/>
      <c r="AQ778" s="43"/>
      <c r="AR778" s="43"/>
      <c r="AS778" s="3">
        <v>120000</v>
      </c>
      <c r="AT778" s="272" t="s">
        <v>1025</v>
      </c>
      <c r="AU778" s="15"/>
    </row>
    <row r="779" spans="1:47" ht="16.5" hidden="1" customHeight="1" x14ac:dyDescent="0.35">
      <c r="A779" s="2" t="s">
        <v>161</v>
      </c>
      <c r="B779" s="2" t="s">
        <v>2474</v>
      </c>
      <c r="C779" s="2" t="s">
        <v>47</v>
      </c>
      <c r="D779" s="2">
        <v>847</v>
      </c>
      <c r="E779" s="2">
        <v>8470530</v>
      </c>
      <c r="F779" s="2" t="s">
        <v>2412</v>
      </c>
      <c r="G779" s="2">
        <v>1</v>
      </c>
      <c r="H779" s="276">
        <v>492200</v>
      </c>
      <c r="I779" s="2" t="s">
        <v>2475</v>
      </c>
      <c r="J779" s="2" t="s">
        <v>60</v>
      </c>
      <c r="K779" s="2" t="s">
        <v>2413</v>
      </c>
      <c r="L779" s="7">
        <v>847010</v>
      </c>
      <c r="M779" s="2" t="s">
        <v>192</v>
      </c>
      <c r="N779" s="2">
        <v>300180</v>
      </c>
      <c r="O779" s="3" t="s">
        <v>2649</v>
      </c>
      <c r="P779" s="35"/>
      <c r="Q779" s="2"/>
      <c r="R779" s="3"/>
      <c r="S779" s="2" t="str">
        <f>VLOOKUP(O779,'[3]Consolidation FMS&amp;HSE 2025'!$O:$P,2,FALSE)</f>
        <v>492200.Capital expense - Buildings-Fitout cost-2m</v>
      </c>
      <c r="T779" s="2" t="s">
        <v>515</v>
      </c>
      <c r="U779" s="2">
        <v>1</v>
      </c>
      <c r="V779" s="3">
        <v>270440</v>
      </c>
      <c r="W779" s="36" t="s">
        <v>2503</v>
      </c>
      <c r="X779" s="10">
        <v>270440</v>
      </c>
      <c r="Y779" s="2" t="s">
        <v>210</v>
      </c>
      <c r="Z779" s="14" t="s">
        <v>197</v>
      </c>
      <c r="AA779" s="14">
        <f t="shared" si="39"/>
        <v>243396</v>
      </c>
      <c r="AB779" s="14">
        <f t="shared" si="40"/>
        <v>216352</v>
      </c>
      <c r="AC779" s="14">
        <f t="shared" si="41"/>
        <v>189308</v>
      </c>
      <c r="AD779" s="3" t="s">
        <v>2416</v>
      </c>
      <c r="AE779" s="3" t="s">
        <v>2416</v>
      </c>
      <c r="AF779" s="43" t="s">
        <v>2416</v>
      </c>
      <c r="AG779" s="43"/>
      <c r="AH779" s="43"/>
      <c r="AI779" s="43">
        <v>270440</v>
      </c>
      <c r="AJ779" s="43"/>
      <c r="AK779" s="43"/>
      <c r="AL779" s="43"/>
      <c r="AM779" s="43"/>
      <c r="AN779" s="43"/>
      <c r="AO779" s="43"/>
      <c r="AP779" s="43"/>
      <c r="AQ779" s="43"/>
      <c r="AR779" s="43"/>
      <c r="AS779" s="3">
        <v>270440</v>
      </c>
      <c r="AT779" s="272" t="s">
        <v>1025</v>
      </c>
      <c r="AU779" s="15"/>
    </row>
    <row r="780" spans="1:47" ht="16.5" hidden="1" customHeight="1" x14ac:dyDescent="0.35">
      <c r="A780" s="2" t="s">
        <v>161</v>
      </c>
      <c r="B780" s="2" t="s">
        <v>2474</v>
      </c>
      <c r="C780" s="2" t="s">
        <v>47</v>
      </c>
      <c r="D780" s="2">
        <v>847</v>
      </c>
      <c r="E780" s="2">
        <v>8470530</v>
      </c>
      <c r="F780" s="2" t="s">
        <v>2412</v>
      </c>
      <c r="G780" s="2">
        <v>1</v>
      </c>
      <c r="H780" s="276">
        <v>492200</v>
      </c>
      <c r="I780" s="2" t="s">
        <v>2475</v>
      </c>
      <c r="J780" s="2" t="s">
        <v>60</v>
      </c>
      <c r="K780" s="2" t="s">
        <v>2413</v>
      </c>
      <c r="L780" s="7">
        <v>847010</v>
      </c>
      <c r="M780" s="2" t="s">
        <v>192</v>
      </c>
      <c r="N780" s="2">
        <v>300180</v>
      </c>
      <c r="O780" s="3" t="s">
        <v>2649</v>
      </c>
      <c r="P780" s="35"/>
      <c r="Q780" s="2"/>
      <c r="R780" s="3"/>
      <c r="S780" s="2" t="str">
        <f>VLOOKUP(O780,'[3]Consolidation FMS&amp;HSE 2025'!$O:$P,2,FALSE)</f>
        <v>492200.Capital expense - Buildings-Fitout cost-2m</v>
      </c>
      <c r="T780" s="2" t="s">
        <v>515</v>
      </c>
      <c r="U780" s="2">
        <v>1</v>
      </c>
      <c r="V780" s="3">
        <v>50000</v>
      </c>
      <c r="W780" s="36" t="s">
        <v>2504</v>
      </c>
      <c r="X780" s="10">
        <v>50000</v>
      </c>
      <c r="Y780" s="2" t="s">
        <v>210</v>
      </c>
      <c r="Z780" s="14" t="s">
        <v>197</v>
      </c>
      <c r="AA780" s="14">
        <f t="shared" si="39"/>
        <v>45000</v>
      </c>
      <c r="AB780" s="14">
        <f t="shared" si="40"/>
        <v>40000</v>
      </c>
      <c r="AC780" s="14">
        <f t="shared" si="41"/>
        <v>35000</v>
      </c>
      <c r="AD780" s="3" t="s">
        <v>2416</v>
      </c>
      <c r="AE780" s="3" t="s">
        <v>2416</v>
      </c>
      <c r="AF780" s="43" t="s">
        <v>2416</v>
      </c>
      <c r="AG780" s="43"/>
      <c r="AH780" s="43"/>
      <c r="AI780" s="43">
        <v>50000</v>
      </c>
      <c r="AJ780" s="43"/>
      <c r="AK780" s="43"/>
      <c r="AL780" s="43"/>
      <c r="AM780" s="43"/>
      <c r="AN780" s="43"/>
      <c r="AO780" s="43"/>
      <c r="AP780" s="43"/>
      <c r="AQ780" s="43"/>
      <c r="AR780" s="43"/>
      <c r="AS780" s="3">
        <v>50000</v>
      </c>
      <c r="AT780" s="272" t="s">
        <v>1025</v>
      </c>
      <c r="AU780" s="15"/>
    </row>
    <row r="781" spans="1:47" ht="16.5" hidden="1" customHeight="1" x14ac:dyDescent="0.35">
      <c r="A781" s="2" t="s">
        <v>161</v>
      </c>
      <c r="B781" s="2" t="s">
        <v>2474</v>
      </c>
      <c r="C781" s="2" t="s">
        <v>47</v>
      </c>
      <c r="D781" s="2">
        <v>847</v>
      </c>
      <c r="E781" s="2">
        <v>8470530</v>
      </c>
      <c r="F781" s="2" t="s">
        <v>2412</v>
      </c>
      <c r="G781" s="2">
        <v>1</v>
      </c>
      <c r="H781" s="276">
        <v>492200</v>
      </c>
      <c r="I781" s="2" t="s">
        <v>2475</v>
      </c>
      <c r="J781" s="2" t="s">
        <v>60</v>
      </c>
      <c r="K781" s="2" t="s">
        <v>2413</v>
      </c>
      <c r="L781" s="7">
        <v>847010</v>
      </c>
      <c r="M781" s="2" t="s">
        <v>192</v>
      </c>
      <c r="N781" s="2">
        <v>300180</v>
      </c>
      <c r="O781" s="3" t="s">
        <v>2649</v>
      </c>
      <c r="P781" s="35"/>
      <c r="Q781" s="2"/>
      <c r="R781" s="3"/>
      <c r="S781" s="2" t="str">
        <f>VLOOKUP(O781,'[3]Consolidation FMS&amp;HSE 2025'!$O:$P,2,FALSE)</f>
        <v>492200.Capital expense - Buildings-Fitout cost-2m</v>
      </c>
      <c r="T781" s="2" t="s">
        <v>515</v>
      </c>
      <c r="U781" s="2">
        <v>1</v>
      </c>
      <c r="V781" s="3">
        <v>672120</v>
      </c>
      <c r="W781" s="36" t="s">
        <v>2505</v>
      </c>
      <c r="X781" s="10">
        <v>672120</v>
      </c>
      <c r="Y781" s="2" t="s">
        <v>210</v>
      </c>
      <c r="Z781" s="14" t="s">
        <v>197</v>
      </c>
      <c r="AA781" s="14">
        <f t="shared" si="39"/>
        <v>604908</v>
      </c>
      <c r="AB781" s="14">
        <f t="shared" si="40"/>
        <v>537696</v>
      </c>
      <c r="AC781" s="14">
        <f t="shared" si="41"/>
        <v>470483.99999999994</v>
      </c>
      <c r="AD781" s="3" t="s">
        <v>2416</v>
      </c>
      <c r="AE781" s="3" t="s">
        <v>2416</v>
      </c>
      <c r="AF781" s="43" t="s">
        <v>2416</v>
      </c>
      <c r="AG781" s="43"/>
      <c r="AH781" s="43"/>
      <c r="AI781" s="43">
        <v>672120</v>
      </c>
      <c r="AJ781" s="43"/>
      <c r="AK781" s="43"/>
      <c r="AL781" s="43"/>
      <c r="AM781" s="43"/>
      <c r="AN781" s="43"/>
      <c r="AO781" s="43"/>
      <c r="AP781" s="43"/>
      <c r="AQ781" s="43"/>
      <c r="AR781" s="43"/>
      <c r="AS781" s="3">
        <v>672120</v>
      </c>
      <c r="AT781" s="272" t="s">
        <v>1025</v>
      </c>
      <c r="AU781" s="15"/>
    </row>
    <row r="782" spans="1:47" ht="16.5" hidden="1" customHeight="1" x14ac:dyDescent="0.35">
      <c r="A782" s="2" t="s">
        <v>161</v>
      </c>
      <c r="B782" s="2" t="s">
        <v>2474</v>
      </c>
      <c r="C782" s="2" t="s">
        <v>47</v>
      </c>
      <c r="D782" s="2">
        <v>847</v>
      </c>
      <c r="E782" s="2">
        <v>8470530</v>
      </c>
      <c r="F782" s="2" t="s">
        <v>2412</v>
      </c>
      <c r="G782" s="2">
        <v>1</v>
      </c>
      <c r="H782" s="276">
        <v>492200</v>
      </c>
      <c r="I782" s="2" t="s">
        <v>2475</v>
      </c>
      <c r="J782" s="2" t="s">
        <v>60</v>
      </c>
      <c r="K782" s="2" t="s">
        <v>2413</v>
      </c>
      <c r="L782" s="7">
        <v>847010</v>
      </c>
      <c r="M782" s="2" t="s">
        <v>192</v>
      </c>
      <c r="N782" s="2">
        <v>300180</v>
      </c>
      <c r="O782" s="3" t="s">
        <v>2649</v>
      </c>
      <c r="P782" s="35"/>
      <c r="Q782" s="2"/>
      <c r="R782" s="3"/>
      <c r="S782" s="2" t="str">
        <f>VLOOKUP(O782,'[3]Consolidation FMS&amp;HSE 2025'!$O:$P,2,FALSE)</f>
        <v>492200.Capital expense - Buildings-Fitout cost-2m</v>
      </c>
      <c r="T782" s="2" t="s">
        <v>515</v>
      </c>
      <c r="U782" s="2">
        <v>1</v>
      </c>
      <c r="V782" s="3">
        <v>78000</v>
      </c>
      <c r="W782" s="36" t="s">
        <v>2506</v>
      </c>
      <c r="X782" s="10">
        <v>78000</v>
      </c>
      <c r="Y782" s="2" t="s">
        <v>210</v>
      </c>
      <c r="Z782" s="14" t="s">
        <v>197</v>
      </c>
      <c r="AA782" s="14">
        <f t="shared" si="39"/>
        <v>70200</v>
      </c>
      <c r="AB782" s="14">
        <f t="shared" si="40"/>
        <v>62400</v>
      </c>
      <c r="AC782" s="14">
        <f t="shared" si="41"/>
        <v>54600</v>
      </c>
      <c r="AD782" s="3" t="s">
        <v>2416</v>
      </c>
      <c r="AE782" s="3" t="s">
        <v>2416</v>
      </c>
      <c r="AF782" s="43" t="s">
        <v>2416</v>
      </c>
      <c r="AG782" s="43"/>
      <c r="AH782" s="43"/>
      <c r="AI782" s="43">
        <v>78000</v>
      </c>
      <c r="AJ782" s="43"/>
      <c r="AK782" s="43"/>
      <c r="AL782" s="43"/>
      <c r="AM782" s="43"/>
      <c r="AN782" s="43"/>
      <c r="AO782" s="43"/>
      <c r="AP782" s="43"/>
      <c r="AQ782" s="43"/>
      <c r="AR782" s="43"/>
      <c r="AS782" s="3">
        <v>78000</v>
      </c>
      <c r="AT782" s="272" t="s">
        <v>1025</v>
      </c>
      <c r="AU782" s="15"/>
    </row>
    <row r="783" spans="1:47" ht="16.5" hidden="1" customHeight="1" x14ac:dyDescent="0.35">
      <c r="A783" s="2" t="s">
        <v>161</v>
      </c>
      <c r="B783" s="2" t="s">
        <v>2474</v>
      </c>
      <c r="C783" s="2" t="s">
        <v>47</v>
      </c>
      <c r="D783" s="2">
        <v>847</v>
      </c>
      <c r="E783" s="2">
        <v>8470530</v>
      </c>
      <c r="F783" s="2" t="s">
        <v>2412</v>
      </c>
      <c r="G783" s="2">
        <v>1</v>
      </c>
      <c r="H783" s="276">
        <v>492200</v>
      </c>
      <c r="I783" s="2" t="s">
        <v>2475</v>
      </c>
      <c r="J783" s="2" t="s">
        <v>60</v>
      </c>
      <c r="K783" s="2" t="s">
        <v>2413</v>
      </c>
      <c r="L783" s="7">
        <v>847010</v>
      </c>
      <c r="M783" s="2" t="s">
        <v>192</v>
      </c>
      <c r="N783" s="2">
        <v>300180</v>
      </c>
      <c r="O783" s="3" t="s">
        <v>2649</v>
      </c>
      <c r="P783" s="35"/>
      <c r="Q783" s="2"/>
      <c r="R783" s="3"/>
      <c r="S783" s="2" t="str">
        <f>VLOOKUP(O783,'[3]Consolidation FMS&amp;HSE 2025'!$O:$P,2,FALSE)</f>
        <v>492200.Capital expense - Buildings-Fitout cost-2m</v>
      </c>
      <c r="T783" s="2" t="s">
        <v>515</v>
      </c>
      <c r="U783" s="2">
        <v>1</v>
      </c>
      <c r="V783" s="3">
        <v>2500000</v>
      </c>
      <c r="W783" s="36" t="s">
        <v>2507</v>
      </c>
      <c r="X783" s="10">
        <v>2500000</v>
      </c>
      <c r="Y783" s="2" t="s">
        <v>210</v>
      </c>
      <c r="Z783" s="14" t="s">
        <v>197</v>
      </c>
      <c r="AA783" s="14">
        <f t="shared" si="39"/>
        <v>2250000</v>
      </c>
      <c r="AB783" s="14">
        <f t="shared" si="40"/>
        <v>2000000</v>
      </c>
      <c r="AC783" s="14">
        <f t="shared" si="41"/>
        <v>1750000</v>
      </c>
      <c r="AD783" s="3" t="s">
        <v>2416</v>
      </c>
      <c r="AE783" s="3" t="s">
        <v>2416</v>
      </c>
      <c r="AF783" s="43" t="s">
        <v>2416</v>
      </c>
      <c r="AG783" s="43"/>
      <c r="AH783" s="43"/>
      <c r="AI783" s="43">
        <v>2500000</v>
      </c>
      <c r="AJ783" s="43"/>
      <c r="AK783" s="43"/>
      <c r="AL783" s="43"/>
      <c r="AM783" s="43"/>
      <c r="AN783" s="43"/>
      <c r="AO783" s="43"/>
      <c r="AP783" s="43"/>
      <c r="AQ783" s="43"/>
      <c r="AR783" s="43"/>
      <c r="AS783" s="3">
        <v>2500000</v>
      </c>
      <c r="AT783" s="272" t="s">
        <v>1025</v>
      </c>
      <c r="AU783" s="15"/>
    </row>
    <row r="784" spans="1:47" ht="16.5" hidden="1" customHeight="1" x14ac:dyDescent="0.35">
      <c r="A784" s="2" t="s">
        <v>161</v>
      </c>
      <c r="B784" s="2" t="s">
        <v>2474</v>
      </c>
      <c r="C784" s="2" t="s">
        <v>47</v>
      </c>
      <c r="D784" s="2">
        <v>847</v>
      </c>
      <c r="E784" s="2">
        <v>8470530</v>
      </c>
      <c r="F784" s="2" t="s">
        <v>2412</v>
      </c>
      <c r="G784" s="2">
        <v>1</v>
      </c>
      <c r="H784" s="276">
        <v>492200</v>
      </c>
      <c r="I784" s="2" t="s">
        <v>2475</v>
      </c>
      <c r="J784" s="2" t="s">
        <v>60</v>
      </c>
      <c r="K784" s="2" t="s">
        <v>2413</v>
      </c>
      <c r="L784" s="7">
        <v>847010</v>
      </c>
      <c r="M784" s="2" t="s">
        <v>192</v>
      </c>
      <c r="N784" s="2">
        <v>300180</v>
      </c>
      <c r="O784" s="3" t="s">
        <v>2649</v>
      </c>
      <c r="P784" s="35"/>
      <c r="Q784" s="2"/>
      <c r="R784" s="3"/>
      <c r="S784" s="2" t="str">
        <f>VLOOKUP(O784,'[3]Consolidation FMS&amp;HSE 2025'!$O:$P,2,FALSE)</f>
        <v>492200.Capital expense - Buildings-Fitout cost-2m</v>
      </c>
      <c r="T784" s="2" t="s">
        <v>515</v>
      </c>
      <c r="U784" s="2">
        <v>1</v>
      </c>
      <c r="V784" s="3">
        <v>1750000</v>
      </c>
      <c r="W784" s="36" t="s">
        <v>2508</v>
      </c>
      <c r="X784" s="10">
        <v>1750000</v>
      </c>
      <c r="Y784" s="2" t="s">
        <v>210</v>
      </c>
      <c r="Z784" s="14" t="s">
        <v>197</v>
      </c>
      <c r="AA784" s="14">
        <f t="shared" si="39"/>
        <v>1575000</v>
      </c>
      <c r="AB784" s="14">
        <f t="shared" si="40"/>
        <v>1400000</v>
      </c>
      <c r="AC784" s="14">
        <f t="shared" si="41"/>
        <v>1225000</v>
      </c>
      <c r="AD784" s="3" t="s">
        <v>2416</v>
      </c>
      <c r="AE784" s="3" t="s">
        <v>2416</v>
      </c>
      <c r="AF784" s="43" t="s">
        <v>2416</v>
      </c>
      <c r="AG784" s="43"/>
      <c r="AH784" s="43"/>
      <c r="AI784" s="43">
        <v>1750000</v>
      </c>
      <c r="AJ784" s="43"/>
      <c r="AK784" s="43"/>
      <c r="AL784" s="43"/>
      <c r="AM784" s="43"/>
      <c r="AN784" s="43"/>
      <c r="AO784" s="43"/>
      <c r="AP784" s="43"/>
      <c r="AQ784" s="43"/>
      <c r="AR784" s="43"/>
      <c r="AS784" s="3">
        <v>1750000</v>
      </c>
      <c r="AT784" s="272" t="s">
        <v>1025</v>
      </c>
      <c r="AU784" s="15"/>
    </row>
    <row r="785" spans="1:47" ht="16.5" hidden="1" customHeight="1" x14ac:dyDescent="0.35">
      <c r="A785" s="2" t="s">
        <v>161</v>
      </c>
      <c r="B785" s="2" t="s">
        <v>2474</v>
      </c>
      <c r="C785" s="2" t="s">
        <v>47</v>
      </c>
      <c r="D785" s="2">
        <v>847</v>
      </c>
      <c r="E785" s="2">
        <v>8470530</v>
      </c>
      <c r="F785" s="2" t="s">
        <v>2412</v>
      </c>
      <c r="G785" s="2">
        <v>1</v>
      </c>
      <c r="H785" s="276">
        <v>492200</v>
      </c>
      <c r="I785" s="2" t="s">
        <v>2475</v>
      </c>
      <c r="J785" s="2" t="s">
        <v>60</v>
      </c>
      <c r="K785" s="2" t="s">
        <v>2413</v>
      </c>
      <c r="L785" s="7">
        <v>847010</v>
      </c>
      <c r="M785" s="2" t="s">
        <v>192</v>
      </c>
      <c r="N785" s="2">
        <v>300180</v>
      </c>
      <c r="O785" s="3" t="s">
        <v>2649</v>
      </c>
      <c r="P785" s="35"/>
      <c r="Q785" s="2"/>
      <c r="R785" s="3"/>
      <c r="S785" s="2">
        <v>0</v>
      </c>
      <c r="T785" s="2" t="s">
        <v>62</v>
      </c>
      <c r="U785" s="2">
        <v>1</v>
      </c>
      <c r="V785" s="3"/>
      <c r="W785" s="36"/>
      <c r="X785" s="10">
        <v>0</v>
      </c>
      <c r="Y785" s="2"/>
      <c r="Z785" s="14"/>
      <c r="AA785" s="14">
        <f t="shared" si="39"/>
        <v>0</v>
      </c>
      <c r="AB785" s="14">
        <f t="shared" si="40"/>
        <v>0</v>
      </c>
      <c r="AC785" s="14">
        <f t="shared" si="41"/>
        <v>0</v>
      </c>
      <c r="AD785" s="3"/>
      <c r="AE785" s="3"/>
      <c r="AF785" s="43"/>
      <c r="AG785" s="43"/>
      <c r="AH785" s="43"/>
      <c r="AI785" s="43"/>
      <c r="AJ785" s="43"/>
      <c r="AK785" s="43"/>
      <c r="AL785" s="43"/>
      <c r="AM785" s="43"/>
      <c r="AN785" s="43"/>
      <c r="AO785" s="43"/>
      <c r="AP785" s="43"/>
      <c r="AQ785" s="43"/>
      <c r="AR785" s="43"/>
      <c r="AS785" s="3">
        <v>0</v>
      </c>
      <c r="AT785" s="272"/>
      <c r="AU785" s="15"/>
    </row>
    <row r="786" spans="1:47" ht="16.5" hidden="1" customHeight="1" x14ac:dyDescent="0.35">
      <c r="A786" s="2" t="s">
        <v>161</v>
      </c>
      <c r="B786" s="2" t="s">
        <v>2474</v>
      </c>
      <c r="C786" s="2" t="s">
        <v>47</v>
      </c>
      <c r="D786" s="2">
        <v>847</v>
      </c>
      <c r="E786" s="2">
        <v>8470530</v>
      </c>
      <c r="F786" s="2" t="s">
        <v>2412</v>
      </c>
      <c r="G786" s="2">
        <v>1</v>
      </c>
      <c r="H786" s="276">
        <v>492200</v>
      </c>
      <c r="I786" s="2" t="s">
        <v>2475</v>
      </c>
      <c r="J786" s="2" t="s">
        <v>60</v>
      </c>
      <c r="K786" s="2" t="s">
        <v>2417</v>
      </c>
      <c r="L786" s="7">
        <v>847015</v>
      </c>
      <c r="M786" s="2" t="s">
        <v>192</v>
      </c>
      <c r="N786" s="2">
        <v>300180</v>
      </c>
      <c r="O786" s="3" t="s">
        <v>2656</v>
      </c>
      <c r="P786" s="35">
        <v>1343400</v>
      </c>
      <c r="Q786" s="2">
        <v>0</v>
      </c>
      <c r="R786" s="3"/>
      <c r="S786" s="2" t="s">
        <v>2477</v>
      </c>
      <c r="T786" s="2" t="s">
        <v>515</v>
      </c>
      <c r="U786" s="2">
        <v>1</v>
      </c>
      <c r="V786" s="3">
        <v>200000</v>
      </c>
      <c r="W786" s="36" t="s">
        <v>2509</v>
      </c>
      <c r="X786" s="10">
        <v>200000</v>
      </c>
      <c r="Y786" s="2" t="s">
        <v>210</v>
      </c>
      <c r="Z786" s="14" t="s">
        <v>197</v>
      </c>
      <c r="AA786" s="14">
        <f t="shared" si="39"/>
        <v>180000</v>
      </c>
      <c r="AB786" s="14">
        <f t="shared" si="40"/>
        <v>160000</v>
      </c>
      <c r="AC786" s="14">
        <f t="shared" si="41"/>
        <v>140000</v>
      </c>
      <c r="AD786" s="3" t="s">
        <v>2416</v>
      </c>
      <c r="AE786" s="3" t="s">
        <v>2416</v>
      </c>
      <c r="AF786" s="43" t="s">
        <v>2416</v>
      </c>
      <c r="AG786" s="43"/>
      <c r="AH786" s="43"/>
      <c r="AI786" s="43">
        <v>200000</v>
      </c>
      <c r="AJ786" s="43"/>
      <c r="AK786" s="43"/>
      <c r="AL786" s="43"/>
      <c r="AM786" s="43"/>
      <c r="AN786" s="43"/>
      <c r="AO786" s="43"/>
      <c r="AP786" s="43"/>
      <c r="AQ786" s="43"/>
      <c r="AR786" s="43"/>
      <c r="AS786" s="3">
        <v>200000</v>
      </c>
      <c r="AT786" s="272" t="s">
        <v>1025</v>
      </c>
      <c r="AU786" s="15"/>
    </row>
    <row r="787" spans="1:47" ht="16.5" hidden="1" customHeight="1" x14ac:dyDescent="0.35">
      <c r="A787" s="2" t="s">
        <v>161</v>
      </c>
      <c r="B787" s="2" t="s">
        <v>2474</v>
      </c>
      <c r="C787" s="2" t="s">
        <v>47</v>
      </c>
      <c r="D787" s="2">
        <v>847</v>
      </c>
      <c r="E787" s="2">
        <v>8470530</v>
      </c>
      <c r="F787" s="2" t="s">
        <v>2412</v>
      </c>
      <c r="G787" s="2">
        <v>1</v>
      </c>
      <c r="H787" s="276">
        <v>492200</v>
      </c>
      <c r="I787" s="2" t="s">
        <v>2475</v>
      </c>
      <c r="J787" s="2" t="s">
        <v>60</v>
      </c>
      <c r="K787" s="2" t="s">
        <v>2093</v>
      </c>
      <c r="L787" s="7">
        <v>847020</v>
      </c>
      <c r="M787" s="2" t="s">
        <v>192</v>
      </c>
      <c r="N787" s="2">
        <v>300180</v>
      </c>
      <c r="O787" s="3" t="s">
        <v>2657</v>
      </c>
      <c r="P787" s="35"/>
      <c r="Q787" s="2"/>
      <c r="R787" s="3"/>
      <c r="S787" s="2" t="s">
        <v>2477</v>
      </c>
      <c r="T787" s="2" t="s">
        <v>515</v>
      </c>
      <c r="U787" s="2">
        <v>1</v>
      </c>
      <c r="V787" s="3">
        <v>36800000</v>
      </c>
      <c r="W787" s="36" t="s">
        <v>2510</v>
      </c>
      <c r="X787" s="10">
        <v>36800000</v>
      </c>
      <c r="Y787" s="2" t="s">
        <v>210</v>
      </c>
      <c r="Z787" s="14" t="s">
        <v>197</v>
      </c>
      <c r="AA787" s="14">
        <f t="shared" si="39"/>
        <v>33120000</v>
      </c>
      <c r="AB787" s="14">
        <f t="shared" si="40"/>
        <v>29440000</v>
      </c>
      <c r="AC787" s="14">
        <f t="shared" si="41"/>
        <v>25760000</v>
      </c>
      <c r="AD787" s="3" t="s">
        <v>2416</v>
      </c>
      <c r="AE787" s="3" t="s">
        <v>2416</v>
      </c>
      <c r="AF787" s="43" t="s">
        <v>2416</v>
      </c>
      <c r="AG787" s="43"/>
      <c r="AH787" s="43"/>
      <c r="AI787" s="43">
        <v>36800000</v>
      </c>
      <c r="AJ787" s="43"/>
      <c r="AK787" s="43"/>
      <c r="AL787" s="43"/>
      <c r="AM787" s="43"/>
      <c r="AN787" s="43"/>
      <c r="AO787" s="43"/>
      <c r="AP787" s="43"/>
      <c r="AQ787" s="43"/>
      <c r="AR787" s="43"/>
      <c r="AS787" s="3">
        <v>36800000</v>
      </c>
      <c r="AT787" s="272" t="s">
        <v>1025</v>
      </c>
      <c r="AU787" s="15"/>
    </row>
    <row r="788" spans="1:47" ht="16.5" hidden="1" customHeight="1" x14ac:dyDescent="0.35">
      <c r="A788" s="2" t="s">
        <v>161</v>
      </c>
      <c r="B788" s="2" t="s">
        <v>2474</v>
      </c>
      <c r="C788" s="2" t="s">
        <v>47</v>
      </c>
      <c r="D788" s="2">
        <v>847</v>
      </c>
      <c r="E788" s="2">
        <v>8470530</v>
      </c>
      <c r="F788" s="2" t="s">
        <v>2412</v>
      </c>
      <c r="G788" s="2">
        <v>1</v>
      </c>
      <c r="H788" s="276">
        <v>492200</v>
      </c>
      <c r="I788" s="2" t="s">
        <v>2475</v>
      </c>
      <c r="J788" s="2" t="s">
        <v>60</v>
      </c>
      <c r="K788" s="2" t="s">
        <v>2093</v>
      </c>
      <c r="L788" s="7">
        <v>847020</v>
      </c>
      <c r="M788" s="2" t="s">
        <v>192</v>
      </c>
      <c r="N788" s="2">
        <v>300180</v>
      </c>
      <c r="O788" s="3" t="s">
        <v>2657</v>
      </c>
      <c r="P788" s="35"/>
      <c r="Q788" s="2"/>
      <c r="R788" s="3"/>
      <c r="S788" s="2" t="s">
        <v>2477</v>
      </c>
      <c r="T788" s="2" t="s">
        <v>515</v>
      </c>
      <c r="U788" s="2">
        <v>1</v>
      </c>
      <c r="V788" s="3">
        <v>3000000</v>
      </c>
      <c r="W788" s="36" t="s">
        <v>2511</v>
      </c>
      <c r="X788" s="10">
        <v>3000000</v>
      </c>
      <c r="Y788" s="2" t="s">
        <v>210</v>
      </c>
      <c r="Z788" s="14" t="s">
        <v>197</v>
      </c>
      <c r="AA788" s="14">
        <f t="shared" si="39"/>
        <v>2700000</v>
      </c>
      <c r="AB788" s="14">
        <f t="shared" si="40"/>
        <v>2400000</v>
      </c>
      <c r="AC788" s="14">
        <f t="shared" si="41"/>
        <v>2100000</v>
      </c>
      <c r="AD788" s="3" t="s">
        <v>2416</v>
      </c>
      <c r="AE788" s="3" t="s">
        <v>2416</v>
      </c>
      <c r="AF788" s="43" t="s">
        <v>2416</v>
      </c>
      <c r="AG788" s="43"/>
      <c r="AH788" s="43"/>
      <c r="AI788" s="43">
        <v>3000000</v>
      </c>
      <c r="AJ788" s="43"/>
      <c r="AK788" s="43"/>
      <c r="AL788" s="43"/>
      <c r="AM788" s="43"/>
      <c r="AN788" s="43"/>
      <c r="AO788" s="43"/>
      <c r="AP788" s="43"/>
      <c r="AQ788" s="43"/>
      <c r="AR788" s="43"/>
      <c r="AS788" s="3">
        <v>3000000</v>
      </c>
      <c r="AT788" s="272" t="s">
        <v>1025</v>
      </c>
      <c r="AU788" s="15"/>
    </row>
    <row r="789" spans="1:47" ht="16.5" hidden="1" customHeight="1" x14ac:dyDescent="0.35">
      <c r="A789" s="2" t="s">
        <v>161</v>
      </c>
      <c r="B789" s="2" t="s">
        <v>2474</v>
      </c>
      <c r="C789" s="2" t="s">
        <v>47</v>
      </c>
      <c r="D789" s="2">
        <v>847</v>
      </c>
      <c r="E789" s="2">
        <v>8470530</v>
      </c>
      <c r="F789" s="2" t="s">
        <v>2412</v>
      </c>
      <c r="G789" s="2">
        <v>1</v>
      </c>
      <c r="H789" s="276">
        <v>492200</v>
      </c>
      <c r="I789" s="2" t="s">
        <v>2475</v>
      </c>
      <c r="J789" s="2" t="s">
        <v>60</v>
      </c>
      <c r="K789" s="2" t="s">
        <v>2093</v>
      </c>
      <c r="L789" s="7">
        <v>847020</v>
      </c>
      <c r="M789" s="2" t="s">
        <v>192</v>
      </c>
      <c r="N789" s="2">
        <v>300180</v>
      </c>
      <c r="O789" s="3" t="s">
        <v>2657</v>
      </c>
      <c r="P789" s="35">
        <v>2319769</v>
      </c>
      <c r="Q789" s="2">
        <v>23038949</v>
      </c>
      <c r="R789" s="3">
        <v>23038949</v>
      </c>
      <c r="S789" s="2" t="s">
        <v>2477</v>
      </c>
      <c r="T789" s="2" t="s">
        <v>515</v>
      </c>
      <c r="U789" s="2">
        <v>1</v>
      </c>
      <c r="V789" s="3">
        <v>2000000</v>
      </c>
      <c r="W789" s="36" t="s">
        <v>2512</v>
      </c>
      <c r="X789" s="10">
        <v>2000000</v>
      </c>
      <c r="Y789" s="2" t="s">
        <v>210</v>
      </c>
      <c r="Z789" s="14" t="s">
        <v>197</v>
      </c>
      <c r="AA789" s="14">
        <f t="shared" si="39"/>
        <v>1800000</v>
      </c>
      <c r="AB789" s="14">
        <f t="shared" si="40"/>
        <v>1600000</v>
      </c>
      <c r="AC789" s="14">
        <f t="shared" si="41"/>
        <v>1400000</v>
      </c>
      <c r="AD789" s="3" t="s">
        <v>2416</v>
      </c>
      <c r="AE789" s="3" t="s">
        <v>2416</v>
      </c>
      <c r="AF789" s="43" t="s">
        <v>2416</v>
      </c>
      <c r="AG789" s="43"/>
      <c r="AH789" s="43"/>
      <c r="AI789" s="43">
        <v>2000000</v>
      </c>
      <c r="AJ789" s="43"/>
      <c r="AK789" s="43"/>
      <c r="AL789" s="43"/>
      <c r="AM789" s="43"/>
      <c r="AN789" s="43"/>
      <c r="AO789" s="43"/>
      <c r="AP789" s="43"/>
      <c r="AQ789" s="43"/>
      <c r="AR789" s="43"/>
      <c r="AS789" s="3">
        <v>2000000</v>
      </c>
      <c r="AT789" s="272" t="s">
        <v>1025</v>
      </c>
      <c r="AU789" s="15"/>
    </row>
    <row r="790" spans="1:47" ht="16.5" hidden="1" customHeight="1" x14ac:dyDescent="0.35">
      <c r="A790" s="2" t="s">
        <v>161</v>
      </c>
      <c r="B790" s="2" t="s">
        <v>2474</v>
      </c>
      <c r="C790" s="2" t="s">
        <v>47</v>
      </c>
      <c r="D790" s="2">
        <v>847</v>
      </c>
      <c r="E790" s="2">
        <v>8470530</v>
      </c>
      <c r="F790" s="2" t="s">
        <v>2412</v>
      </c>
      <c r="G790" s="2">
        <v>1</v>
      </c>
      <c r="H790" s="276">
        <v>492200</v>
      </c>
      <c r="I790" s="2" t="s">
        <v>2475</v>
      </c>
      <c r="J790" s="2" t="s">
        <v>60</v>
      </c>
      <c r="K790" s="2" t="s">
        <v>2093</v>
      </c>
      <c r="L790" s="7">
        <v>847020</v>
      </c>
      <c r="M790" s="2" t="s">
        <v>192</v>
      </c>
      <c r="N790" s="2">
        <v>300180</v>
      </c>
      <c r="O790" s="3" t="s">
        <v>2657</v>
      </c>
      <c r="P790" s="35"/>
      <c r="Q790" s="2"/>
      <c r="R790" s="3"/>
      <c r="S790" s="2" t="s">
        <v>2477</v>
      </c>
      <c r="T790" s="2" t="s">
        <v>515</v>
      </c>
      <c r="U790" s="2">
        <v>1</v>
      </c>
      <c r="V790" s="3">
        <v>1600000</v>
      </c>
      <c r="W790" s="36" t="s">
        <v>2513</v>
      </c>
      <c r="X790" s="10">
        <v>1600000</v>
      </c>
      <c r="Y790" s="2" t="s">
        <v>210</v>
      </c>
      <c r="Z790" s="14" t="s">
        <v>197</v>
      </c>
      <c r="AA790" s="14">
        <f t="shared" si="39"/>
        <v>1440000</v>
      </c>
      <c r="AB790" s="14">
        <f t="shared" si="40"/>
        <v>1280000</v>
      </c>
      <c r="AC790" s="14">
        <f t="shared" si="41"/>
        <v>1120000</v>
      </c>
      <c r="AD790" s="3" t="s">
        <v>2416</v>
      </c>
      <c r="AE790" s="3" t="s">
        <v>2416</v>
      </c>
      <c r="AF790" s="43" t="s">
        <v>2416</v>
      </c>
      <c r="AG790" s="43"/>
      <c r="AH790" s="43"/>
      <c r="AI790" s="43">
        <v>1600000</v>
      </c>
      <c r="AJ790" s="43"/>
      <c r="AK790" s="43"/>
      <c r="AL790" s="43"/>
      <c r="AM790" s="43"/>
      <c r="AN790" s="43"/>
      <c r="AO790" s="43"/>
      <c r="AP790" s="43"/>
      <c r="AQ790" s="43"/>
      <c r="AR790" s="43"/>
      <c r="AS790" s="3">
        <v>1600000</v>
      </c>
      <c r="AT790" s="272" t="s">
        <v>1025</v>
      </c>
      <c r="AU790" s="15"/>
    </row>
    <row r="791" spans="1:47" ht="16.5" hidden="1" customHeight="1" x14ac:dyDescent="0.35">
      <c r="A791" s="2" t="s">
        <v>161</v>
      </c>
      <c r="B791" s="2" t="s">
        <v>2474</v>
      </c>
      <c r="C791" s="2" t="s">
        <v>47</v>
      </c>
      <c r="D791" s="2">
        <v>847</v>
      </c>
      <c r="E791" s="2">
        <v>8470530</v>
      </c>
      <c r="F791" s="2" t="s">
        <v>2412</v>
      </c>
      <c r="G791" s="2">
        <v>1</v>
      </c>
      <c r="H791" s="276">
        <v>492200</v>
      </c>
      <c r="I791" s="2" t="s">
        <v>2475</v>
      </c>
      <c r="J791" s="2" t="s">
        <v>60</v>
      </c>
      <c r="K791" s="2" t="s">
        <v>2093</v>
      </c>
      <c r="L791" s="7">
        <v>847020</v>
      </c>
      <c r="M791" s="2" t="s">
        <v>192</v>
      </c>
      <c r="N791" s="2">
        <v>300180</v>
      </c>
      <c r="O791" s="3" t="s">
        <v>2657</v>
      </c>
      <c r="P791" s="35"/>
      <c r="Q791" s="2"/>
      <c r="R791" s="3"/>
      <c r="S791" s="2" t="s">
        <v>2477</v>
      </c>
      <c r="T791" s="2" t="s">
        <v>515</v>
      </c>
      <c r="U791" s="2">
        <v>1</v>
      </c>
      <c r="V791" s="3">
        <v>2000000</v>
      </c>
      <c r="W791" s="36" t="s">
        <v>2514</v>
      </c>
      <c r="X791" s="10">
        <v>2000000</v>
      </c>
      <c r="Y791" s="2" t="s">
        <v>210</v>
      </c>
      <c r="Z791" s="14" t="s">
        <v>197</v>
      </c>
      <c r="AA791" s="14">
        <f t="shared" si="39"/>
        <v>1800000</v>
      </c>
      <c r="AB791" s="14">
        <f t="shared" si="40"/>
        <v>1600000</v>
      </c>
      <c r="AC791" s="14">
        <f t="shared" si="41"/>
        <v>1400000</v>
      </c>
      <c r="AD791" s="3" t="s">
        <v>2416</v>
      </c>
      <c r="AE791" s="3" t="s">
        <v>2416</v>
      </c>
      <c r="AF791" s="43" t="s">
        <v>2416</v>
      </c>
      <c r="AG791" s="43"/>
      <c r="AH791" s="43"/>
      <c r="AI791" s="43">
        <v>2000000</v>
      </c>
      <c r="AJ791" s="43"/>
      <c r="AK791" s="43"/>
      <c r="AL791" s="43"/>
      <c r="AM791" s="43"/>
      <c r="AN791" s="43"/>
      <c r="AO791" s="43"/>
      <c r="AP791" s="43"/>
      <c r="AQ791" s="43"/>
      <c r="AR791" s="43"/>
      <c r="AS791" s="3">
        <v>2000000</v>
      </c>
      <c r="AT791" s="272" t="s">
        <v>1025</v>
      </c>
      <c r="AU791" s="15"/>
    </row>
    <row r="792" spans="1:47" ht="16.5" hidden="1" customHeight="1" x14ac:dyDescent="0.35">
      <c r="A792" s="2" t="s">
        <v>161</v>
      </c>
      <c r="B792" s="2" t="s">
        <v>2474</v>
      </c>
      <c r="C792" s="2" t="s">
        <v>47</v>
      </c>
      <c r="D792" s="2">
        <v>847</v>
      </c>
      <c r="E792" s="2">
        <v>8470530</v>
      </c>
      <c r="F792" s="2" t="s">
        <v>2412</v>
      </c>
      <c r="G792" s="2">
        <v>1</v>
      </c>
      <c r="H792" s="276">
        <v>492200</v>
      </c>
      <c r="I792" s="2" t="s">
        <v>2475</v>
      </c>
      <c r="J792" s="2" t="s">
        <v>60</v>
      </c>
      <c r="K792" s="2" t="s">
        <v>2093</v>
      </c>
      <c r="L792" s="7">
        <v>847020</v>
      </c>
      <c r="M792" s="2" t="s">
        <v>192</v>
      </c>
      <c r="N792" s="2">
        <v>300180</v>
      </c>
      <c r="O792" s="3" t="s">
        <v>2657</v>
      </c>
      <c r="P792" s="35"/>
      <c r="Q792" s="2"/>
      <c r="R792" s="3"/>
      <c r="S792" s="2" t="s">
        <v>2477</v>
      </c>
      <c r="T792" s="2" t="s">
        <v>515</v>
      </c>
      <c r="U792" s="2">
        <v>1</v>
      </c>
      <c r="V792" s="3">
        <v>5000000</v>
      </c>
      <c r="W792" s="36" t="s">
        <v>2515</v>
      </c>
      <c r="X792" s="10">
        <v>5000000</v>
      </c>
      <c r="Y792" s="2" t="s">
        <v>210</v>
      </c>
      <c r="Z792" s="14" t="s">
        <v>197</v>
      </c>
      <c r="AA792" s="14">
        <f t="shared" si="39"/>
        <v>4500000</v>
      </c>
      <c r="AB792" s="14">
        <f t="shared" si="40"/>
        <v>4000000</v>
      </c>
      <c r="AC792" s="14">
        <f t="shared" si="41"/>
        <v>3500000</v>
      </c>
      <c r="AD792" s="3" t="s">
        <v>2416</v>
      </c>
      <c r="AE792" s="3" t="s">
        <v>2416</v>
      </c>
      <c r="AF792" s="43" t="s">
        <v>2416</v>
      </c>
      <c r="AG792" s="43"/>
      <c r="AH792" s="43"/>
      <c r="AI792" s="43">
        <v>5000000</v>
      </c>
      <c r="AJ792" s="43"/>
      <c r="AK792" s="43"/>
      <c r="AL792" s="43"/>
      <c r="AM792" s="43"/>
      <c r="AN792" s="43"/>
      <c r="AO792" s="43"/>
      <c r="AP792" s="43"/>
      <c r="AQ792" s="43"/>
      <c r="AR792" s="43"/>
      <c r="AS792" s="3">
        <v>5000000</v>
      </c>
      <c r="AT792" s="272" t="s">
        <v>1025</v>
      </c>
      <c r="AU792" s="15"/>
    </row>
    <row r="793" spans="1:47" ht="16.5" hidden="1" customHeight="1" x14ac:dyDescent="0.35">
      <c r="A793" s="2" t="s">
        <v>161</v>
      </c>
      <c r="B793" s="2" t="s">
        <v>2474</v>
      </c>
      <c r="C793" s="2" t="s">
        <v>47</v>
      </c>
      <c r="D793" s="2">
        <v>847</v>
      </c>
      <c r="E793" s="2">
        <v>8470530</v>
      </c>
      <c r="F793" s="2" t="s">
        <v>2412</v>
      </c>
      <c r="G793" s="2">
        <v>1</v>
      </c>
      <c r="H793" s="276">
        <v>492200</v>
      </c>
      <c r="I793" s="2" t="s">
        <v>2475</v>
      </c>
      <c r="J793" s="2" t="s">
        <v>60</v>
      </c>
      <c r="K793" s="2" t="s">
        <v>2093</v>
      </c>
      <c r="L793" s="7">
        <v>847020</v>
      </c>
      <c r="M793" s="2" t="s">
        <v>192</v>
      </c>
      <c r="N793" s="2">
        <v>300180</v>
      </c>
      <c r="O793" s="3" t="s">
        <v>2657</v>
      </c>
      <c r="P793" s="35"/>
      <c r="Q793" s="2"/>
      <c r="R793" s="3"/>
      <c r="S793" s="2" t="s">
        <v>2477</v>
      </c>
      <c r="T793" s="2" t="s">
        <v>515</v>
      </c>
      <c r="U793" s="2">
        <v>1</v>
      </c>
      <c r="V793" s="3">
        <v>700000</v>
      </c>
      <c r="W793" s="36" t="s">
        <v>2516</v>
      </c>
      <c r="X793" s="10">
        <v>700000</v>
      </c>
      <c r="Y793" s="2" t="s">
        <v>210</v>
      </c>
      <c r="Z793" s="14" t="s">
        <v>197</v>
      </c>
      <c r="AA793" s="14">
        <f t="shared" si="39"/>
        <v>630000</v>
      </c>
      <c r="AB793" s="14">
        <f t="shared" si="40"/>
        <v>560000</v>
      </c>
      <c r="AC793" s="14">
        <f t="shared" si="41"/>
        <v>489999.99999999994</v>
      </c>
      <c r="AD793" s="3" t="s">
        <v>2416</v>
      </c>
      <c r="AE793" s="3" t="s">
        <v>2416</v>
      </c>
      <c r="AF793" s="43" t="s">
        <v>2416</v>
      </c>
      <c r="AG793" s="43"/>
      <c r="AH793" s="43"/>
      <c r="AI793" s="43">
        <v>700000</v>
      </c>
      <c r="AJ793" s="43"/>
      <c r="AK793" s="43"/>
      <c r="AL793" s="43"/>
      <c r="AM793" s="43"/>
      <c r="AN793" s="43"/>
      <c r="AO793" s="43"/>
      <c r="AP793" s="43"/>
      <c r="AQ793" s="43"/>
      <c r="AR793" s="43"/>
      <c r="AS793" s="3">
        <v>700000</v>
      </c>
      <c r="AT793" s="272" t="s">
        <v>1025</v>
      </c>
      <c r="AU793" s="15"/>
    </row>
    <row r="794" spans="1:47" ht="16.5" hidden="1" customHeight="1" x14ac:dyDescent="0.35">
      <c r="A794" s="2" t="s">
        <v>161</v>
      </c>
      <c r="B794" s="2" t="s">
        <v>2474</v>
      </c>
      <c r="C794" s="2" t="s">
        <v>47</v>
      </c>
      <c r="D794" s="2">
        <v>847</v>
      </c>
      <c r="E794" s="2">
        <v>8470530</v>
      </c>
      <c r="F794" s="2" t="s">
        <v>2412</v>
      </c>
      <c r="G794" s="2">
        <v>1</v>
      </c>
      <c r="H794" s="276">
        <v>492200</v>
      </c>
      <c r="I794" s="2" t="s">
        <v>2475</v>
      </c>
      <c r="J794" s="2" t="s">
        <v>60</v>
      </c>
      <c r="K794" s="2" t="s">
        <v>2093</v>
      </c>
      <c r="L794" s="7">
        <v>847020</v>
      </c>
      <c r="M794" s="2" t="s">
        <v>192</v>
      </c>
      <c r="N794" s="2">
        <v>300180</v>
      </c>
      <c r="O794" s="3" t="s">
        <v>2657</v>
      </c>
      <c r="P794" s="35"/>
      <c r="Q794" s="2"/>
      <c r="R794" s="3"/>
      <c r="S794" s="2" t="s">
        <v>2477</v>
      </c>
      <c r="T794" s="2" t="s">
        <v>515</v>
      </c>
      <c r="U794" s="2">
        <v>1</v>
      </c>
      <c r="V794" s="3">
        <v>520000</v>
      </c>
      <c r="W794" s="36" t="s">
        <v>2517</v>
      </c>
      <c r="X794" s="10">
        <v>520000</v>
      </c>
      <c r="Y794" s="2" t="s">
        <v>210</v>
      </c>
      <c r="Z794" s="14" t="s">
        <v>197</v>
      </c>
      <c r="AA794" s="14">
        <f t="shared" si="39"/>
        <v>468000</v>
      </c>
      <c r="AB794" s="14">
        <f t="shared" si="40"/>
        <v>416000</v>
      </c>
      <c r="AC794" s="14">
        <f t="shared" si="41"/>
        <v>364000</v>
      </c>
      <c r="AD794" s="3" t="s">
        <v>2416</v>
      </c>
      <c r="AE794" s="3" t="s">
        <v>2416</v>
      </c>
      <c r="AF794" s="43" t="s">
        <v>2416</v>
      </c>
      <c r="AG794" s="43"/>
      <c r="AH794" s="43"/>
      <c r="AI794" s="43">
        <v>520000</v>
      </c>
      <c r="AJ794" s="43"/>
      <c r="AK794" s="43"/>
      <c r="AL794" s="43"/>
      <c r="AM794" s="43"/>
      <c r="AN794" s="43"/>
      <c r="AO794" s="43"/>
      <c r="AP794" s="43"/>
      <c r="AQ794" s="43"/>
      <c r="AR794" s="43"/>
      <c r="AS794" s="3">
        <v>520000</v>
      </c>
      <c r="AT794" s="272" t="s">
        <v>1025</v>
      </c>
      <c r="AU794" s="15"/>
    </row>
    <row r="795" spans="1:47" ht="16.5" hidden="1" customHeight="1" x14ac:dyDescent="0.35">
      <c r="A795" s="2" t="s">
        <v>161</v>
      </c>
      <c r="B795" s="2" t="s">
        <v>2474</v>
      </c>
      <c r="C795" s="2" t="s">
        <v>47</v>
      </c>
      <c r="D795" s="2">
        <v>847</v>
      </c>
      <c r="E795" s="2">
        <v>8470530</v>
      </c>
      <c r="F795" s="2" t="s">
        <v>2412</v>
      </c>
      <c r="G795" s="2">
        <v>1</v>
      </c>
      <c r="H795" s="276">
        <v>492200</v>
      </c>
      <c r="I795" s="2" t="s">
        <v>2475</v>
      </c>
      <c r="J795" s="2" t="s">
        <v>60</v>
      </c>
      <c r="K795" s="2" t="s">
        <v>2093</v>
      </c>
      <c r="L795" s="7">
        <v>847020</v>
      </c>
      <c r="M795" s="2" t="s">
        <v>192</v>
      </c>
      <c r="N795" s="2">
        <v>300180</v>
      </c>
      <c r="O795" s="3" t="s">
        <v>2657</v>
      </c>
      <c r="P795" s="35"/>
      <c r="Q795" s="2"/>
      <c r="R795" s="3"/>
      <c r="S795" s="2" t="s">
        <v>2477</v>
      </c>
      <c r="T795" s="2" t="s">
        <v>515</v>
      </c>
      <c r="U795" s="2">
        <v>1</v>
      </c>
      <c r="V795" s="3">
        <v>500000</v>
      </c>
      <c r="W795" s="36" t="s">
        <v>2518</v>
      </c>
      <c r="X795" s="10">
        <v>500000</v>
      </c>
      <c r="Y795" s="2" t="s">
        <v>210</v>
      </c>
      <c r="Z795" s="14" t="s">
        <v>197</v>
      </c>
      <c r="AA795" s="14">
        <f t="shared" si="39"/>
        <v>450000</v>
      </c>
      <c r="AB795" s="14">
        <f t="shared" si="40"/>
        <v>400000</v>
      </c>
      <c r="AC795" s="14">
        <f t="shared" si="41"/>
        <v>350000</v>
      </c>
      <c r="AD795" s="3" t="s">
        <v>2416</v>
      </c>
      <c r="AE795" s="3" t="s">
        <v>2416</v>
      </c>
      <c r="AF795" s="43" t="s">
        <v>2416</v>
      </c>
      <c r="AG795" s="43"/>
      <c r="AH795" s="43"/>
      <c r="AI795" s="43">
        <v>500000</v>
      </c>
      <c r="AJ795" s="43"/>
      <c r="AK795" s="43"/>
      <c r="AL795" s="43"/>
      <c r="AM795" s="43"/>
      <c r="AN795" s="43"/>
      <c r="AO795" s="43"/>
      <c r="AP795" s="43"/>
      <c r="AQ795" s="43"/>
      <c r="AR795" s="43"/>
      <c r="AS795" s="3">
        <v>500000</v>
      </c>
      <c r="AT795" s="272" t="s">
        <v>1025</v>
      </c>
      <c r="AU795" s="15"/>
    </row>
    <row r="796" spans="1:47" ht="16.5" hidden="1" customHeight="1" x14ac:dyDescent="0.35">
      <c r="A796" s="2" t="s">
        <v>161</v>
      </c>
      <c r="B796" s="2" t="s">
        <v>2474</v>
      </c>
      <c r="C796" s="2" t="s">
        <v>47</v>
      </c>
      <c r="D796" s="2">
        <v>847</v>
      </c>
      <c r="E796" s="2">
        <v>8470530</v>
      </c>
      <c r="F796" s="2" t="s">
        <v>2412</v>
      </c>
      <c r="G796" s="2">
        <v>1</v>
      </c>
      <c r="H796" s="276">
        <v>492200</v>
      </c>
      <c r="I796" s="2" t="s">
        <v>2475</v>
      </c>
      <c r="J796" s="2" t="s">
        <v>60</v>
      </c>
      <c r="K796" s="2" t="s">
        <v>2093</v>
      </c>
      <c r="L796" s="7">
        <v>847020</v>
      </c>
      <c r="M796" s="2" t="s">
        <v>192</v>
      </c>
      <c r="N796" s="2">
        <v>300180</v>
      </c>
      <c r="O796" s="3" t="s">
        <v>2657</v>
      </c>
      <c r="P796" s="35"/>
      <c r="Q796" s="2"/>
      <c r="R796" s="3"/>
      <c r="S796" s="2" t="s">
        <v>2477</v>
      </c>
      <c r="T796" s="2" t="s">
        <v>515</v>
      </c>
      <c r="U796" s="2">
        <v>1</v>
      </c>
      <c r="V796" s="3">
        <v>80000</v>
      </c>
      <c r="W796" s="36" t="s">
        <v>2519</v>
      </c>
      <c r="X796" s="10">
        <v>80000</v>
      </c>
      <c r="Y796" s="2" t="s">
        <v>210</v>
      </c>
      <c r="Z796" s="14" t="s">
        <v>197</v>
      </c>
      <c r="AA796" s="14">
        <f t="shared" si="39"/>
        <v>72000</v>
      </c>
      <c r="AB796" s="14">
        <f t="shared" si="40"/>
        <v>64000</v>
      </c>
      <c r="AC796" s="14">
        <f t="shared" si="41"/>
        <v>56000</v>
      </c>
      <c r="AD796" s="3" t="s">
        <v>2416</v>
      </c>
      <c r="AE796" s="3" t="s">
        <v>2416</v>
      </c>
      <c r="AF796" s="43" t="s">
        <v>2416</v>
      </c>
      <c r="AG796" s="43"/>
      <c r="AH796" s="43"/>
      <c r="AI796" s="43">
        <v>80000</v>
      </c>
      <c r="AJ796" s="43"/>
      <c r="AK796" s="43"/>
      <c r="AL796" s="43"/>
      <c r="AM796" s="43"/>
      <c r="AN796" s="43"/>
      <c r="AO796" s="43"/>
      <c r="AP796" s="43"/>
      <c r="AQ796" s="43"/>
      <c r="AR796" s="43"/>
      <c r="AS796" s="3">
        <v>80000</v>
      </c>
      <c r="AT796" s="272" t="s">
        <v>1025</v>
      </c>
      <c r="AU796" s="15"/>
    </row>
    <row r="797" spans="1:47" ht="16.5" hidden="1" customHeight="1" x14ac:dyDescent="0.35">
      <c r="A797" s="2" t="s">
        <v>161</v>
      </c>
      <c r="B797" s="2" t="s">
        <v>2474</v>
      </c>
      <c r="C797" s="2" t="s">
        <v>47</v>
      </c>
      <c r="D797" s="2">
        <v>847</v>
      </c>
      <c r="E797" s="2">
        <v>8470530</v>
      </c>
      <c r="F797" s="2" t="s">
        <v>2412</v>
      </c>
      <c r="G797" s="2">
        <v>1</v>
      </c>
      <c r="H797" s="276">
        <v>492200</v>
      </c>
      <c r="I797" s="2" t="s">
        <v>2475</v>
      </c>
      <c r="J797" s="2" t="s">
        <v>60</v>
      </c>
      <c r="K797" s="2" t="s">
        <v>2093</v>
      </c>
      <c r="L797" s="7">
        <v>847020</v>
      </c>
      <c r="M797" s="2" t="s">
        <v>192</v>
      </c>
      <c r="N797" s="2">
        <v>300180</v>
      </c>
      <c r="O797" s="3" t="s">
        <v>2657</v>
      </c>
      <c r="P797" s="35"/>
      <c r="Q797" s="2"/>
      <c r="R797" s="3"/>
      <c r="S797" s="2" t="s">
        <v>2477</v>
      </c>
      <c r="T797" s="2" t="s">
        <v>515</v>
      </c>
      <c r="U797" s="2">
        <v>1</v>
      </c>
      <c r="V797" s="3">
        <v>100000</v>
      </c>
      <c r="W797" s="36" t="s">
        <v>2520</v>
      </c>
      <c r="X797" s="10">
        <v>100000</v>
      </c>
      <c r="Y797" s="2" t="s">
        <v>210</v>
      </c>
      <c r="Z797" s="14" t="s">
        <v>197</v>
      </c>
      <c r="AA797" s="14">
        <f t="shared" si="39"/>
        <v>90000</v>
      </c>
      <c r="AB797" s="14">
        <f t="shared" si="40"/>
        <v>80000</v>
      </c>
      <c r="AC797" s="14">
        <f t="shared" si="41"/>
        <v>70000</v>
      </c>
      <c r="AD797" s="3" t="s">
        <v>2416</v>
      </c>
      <c r="AE797" s="3" t="s">
        <v>2416</v>
      </c>
      <c r="AF797" s="43" t="s">
        <v>2416</v>
      </c>
      <c r="AG797" s="43"/>
      <c r="AH797" s="43"/>
      <c r="AI797" s="43">
        <v>100000</v>
      </c>
      <c r="AJ797" s="43"/>
      <c r="AK797" s="43"/>
      <c r="AL797" s="43"/>
      <c r="AM797" s="43"/>
      <c r="AN797" s="43"/>
      <c r="AO797" s="43"/>
      <c r="AP797" s="43"/>
      <c r="AQ797" s="43"/>
      <c r="AR797" s="43"/>
      <c r="AS797" s="3">
        <v>100000</v>
      </c>
      <c r="AT797" s="272" t="s">
        <v>1025</v>
      </c>
      <c r="AU797" s="15"/>
    </row>
    <row r="798" spans="1:47" ht="16.5" hidden="1" customHeight="1" x14ac:dyDescent="0.35">
      <c r="A798" s="2" t="s">
        <v>161</v>
      </c>
      <c r="B798" s="2" t="s">
        <v>2474</v>
      </c>
      <c r="C798" s="2" t="s">
        <v>47</v>
      </c>
      <c r="D798" s="2">
        <v>847</v>
      </c>
      <c r="E798" s="2">
        <v>8470530</v>
      </c>
      <c r="F798" s="2" t="s">
        <v>2412</v>
      </c>
      <c r="G798" s="2">
        <v>1</v>
      </c>
      <c r="H798" s="276">
        <v>492200</v>
      </c>
      <c r="I798" s="2" t="s">
        <v>2475</v>
      </c>
      <c r="J798" s="2" t="s">
        <v>60</v>
      </c>
      <c r="K798" s="2" t="s">
        <v>2093</v>
      </c>
      <c r="L798" s="7">
        <v>847020</v>
      </c>
      <c r="M798" s="2" t="s">
        <v>192</v>
      </c>
      <c r="N798" s="2">
        <v>300180</v>
      </c>
      <c r="O798" s="3" t="s">
        <v>2657</v>
      </c>
      <c r="P798" s="35"/>
      <c r="Q798" s="2"/>
      <c r="R798" s="3"/>
      <c r="S798" s="2" t="s">
        <v>2477</v>
      </c>
      <c r="T798" s="2" t="s">
        <v>515</v>
      </c>
      <c r="U798" s="2">
        <v>1</v>
      </c>
      <c r="V798" s="3">
        <v>70000</v>
      </c>
      <c r="W798" s="36" t="s">
        <v>2521</v>
      </c>
      <c r="X798" s="10">
        <v>70000</v>
      </c>
      <c r="Y798" s="2" t="s">
        <v>210</v>
      </c>
      <c r="Z798" s="14" t="s">
        <v>197</v>
      </c>
      <c r="AA798" s="14">
        <f t="shared" si="39"/>
        <v>63000</v>
      </c>
      <c r="AB798" s="14">
        <f t="shared" si="40"/>
        <v>56000</v>
      </c>
      <c r="AC798" s="14">
        <f t="shared" si="41"/>
        <v>49000</v>
      </c>
      <c r="AD798" s="3" t="s">
        <v>2416</v>
      </c>
      <c r="AE798" s="3" t="s">
        <v>2416</v>
      </c>
      <c r="AF798" s="43" t="s">
        <v>2416</v>
      </c>
      <c r="AG798" s="43"/>
      <c r="AH798" s="43"/>
      <c r="AI798" s="43">
        <v>70000</v>
      </c>
      <c r="AJ798" s="43"/>
      <c r="AK798" s="43"/>
      <c r="AL798" s="43"/>
      <c r="AM798" s="43"/>
      <c r="AN798" s="43"/>
      <c r="AO798" s="43"/>
      <c r="AP798" s="43"/>
      <c r="AQ798" s="43"/>
      <c r="AR798" s="43"/>
      <c r="AS798" s="3">
        <v>70000</v>
      </c>
      <c r="AT798" s="272" t="s">
        <v>1025</v>
      </c>
      <c r="AU798" s="15"/>
    </row>
    <row r="799" spans="1:47" ht="16.5" hidden="1" customHeight="1" x14ac:dyDescent="0.35">
      <c r="A799" s="2" t="s">
        <v>161</v>
      </c>
      <c r="B799" s="2" t="s">
        <v>2474</v>
      </c>
      <c r="C799" s="2" t="s">
        <v>47</v>
      </c>
      <c r="D799" s="2">
        <v>847</v>
      </c>
      <c r="E799" s="2">
        <v>8470530</v>
      </c>
      <c r="F799" s="2" t="s">
        <v>2412</v>
      </c>
      <c r="G799" s="2">
        <v>1</v>
      </c>
      <c r="H799" s="276">
        <v>492200</v>
      </c>
      <c r="I799" s="2" t="s">
        <v>2475</v>
      </c>
      <c r="J799" s="2" t="s">
        <v>60</v>
      </c>
      <c r="K799" s="2" t="s">
        <v>2093</v>
      </c>
      <c r="L799" s="7">
        <v>847020</v>
      </c>
      <c r="M799" s="2" t="s">
        <v>192</v>
      </c>
      <c r="N799" s="2">
        <v>300180</v>
      </c>
      <c r="O799" s="3" t="s">
        <v>2657</v>
      </c>
      <c r="P799" s="35"/>
      <c r="Q799" s="2"/>
      <c r="R799" s="3"/>
      <c r="S799" s="2" t="s">
        <v>2477</v>
      </c>
      <c r="T799" s="2" t="s">
        <v>515</v>
      </c>
      <c r="U799" s="2">
        <v>1</v>
      </c>
      <c r="V799" s="3">
        <v>500000</v>
      </c>
      <c r="W799" s="36" t="s">
        <v>2522</v>
      </c>
      <c r="X799" s="10">
        <v>500000</v>
      </c>
      <c r="Y799" s="2" t="s">
        <v>210</v>
      </c>
      <c r="Z799" s="14" t="s">
        <v>197</v>
      </c>
      <c r="AA799" s="14">
        <f t="shared" si="39"/>
        <v>450000</v>
      </c>
      <c r="AB799" s="14">
        <f t="shared" si="40"/>
        <v>400000</v>
      </c>
      <c r="AC799" s="14">
        <f t="shared" si="41"/>
        <v>350000</v>
      </c>
      <c r="AD799" s="3" t="s">
        <v>2416</v>
      </c>
      <c r="AE799" s="3" t="s">
        <v>2416</v>
      </c>
      <c r="AF799" s="43" t="s">
        <v>2416</v>
      </c>
      <c r="AG799" s="43"/>
      <c r="AH799" s="43"/>
      <c r="AI799" s="43">
        <v>500000</v>
      </c>
      <c r="AJ799" s="43"/>
      <c r="AK799" s="43"/>
      <c r="AL799" s="43"/>
      <c r="AM799" s="43"/>
      <c r="AN799" s="43"/>
      <c r="AO799" s="43"/>
      <c r="AP799" s="43"/>
      <c r="AQ799" s="43"/>
      <c r="AR799" s="43"/>
      <c r="AS799" s="3">
        <v>500000</v>
      </c>
      <c r="AT799" s="272" t="s">
        <v>1025</v>
      </c>
      <c r="AU799" s="15"/>
    </row>
    <row r="800" spans="1:47" ht="16.5" hidden="1" customHeight="1" x14ac:dyDescent="0.35">
      <c r="A800" s="2" t="s">
        <v>161</v>
      </c>
      <c r="B800" s="2" t="s">
        <v>2474</v>
      </c>
      <c r="C800" s="2" t="s">
        <v>47</v>
      </c>
      <c r="D800" s="2">
        <v>847</v>
      </c>
      <c r="E800" s="2">
        <v>8470530</v>
      </c>
      <c r="F800" s="2" t="s">
        <v>2412</v>
      </c>
      <c r="G800" s="2">
        <v>1</v>
      </c>
      <c r="H800" s="276">
        <v>492200</v>
      </c>
      <c r="I800" s="2" t="s">
        <v>2475</v>
      </c>
      <c r="J800" s="2" t="s">
        <v>60</v>
      </c>
      <c r="K800" s="2" t="s">
        <v>2093</v>
      </c>
      <c r="L800" s="7">
        <v>847020</v>
      </c>
      <c r="M800" s="2" t="s">
        <v>192</v>
      </c>
      <c r="N800" s="2">
        <v>300180</v>
      </c>
      <c r="O800" s="3" t="s">
        <v>2657</v>
      </c>
      <c r="P800" s="35"/>
      <c r="Q800" s="2"/>
      <c r="R800" s="3"/>
      <c r="S800" s="2" t="s">
        <v>2477</v>
      </c>
      <c r="T800" s="2" t="s">
        <v>515</v>
      </c>
      <c r="U800" s="2">
        <v>1</v>
      </c>
      <c r="V800" s="3">
        <v>2500000</v>
      </c>
      <c r="W800" s="36" t="s">
        <v>2523</v>
      </c>
      <c r="X800" s="10">
        <v>2500000</v>
      </c>
      <c r="Y800" s="2" t="s">
        <v>210</v>
      </c>
      <c r="Z800" s="14" t="s">
        <v>197</v>
      </c>
      <c r="AA800" s="14">
        <f t="shared" si="39"/>
        <v>2250000</v>
      </c>
      <c r="AB800" s="14">
        <f t="shared" si="40"/>
        <v>2000000</v>
      </c>
      <c r="AC800" s="14">
        <f t="shared" si="41"/>
        <v>1750000</v>
      </c>
      <c r="AD800" s="3" t="s">
        <v>2416</v>
      </c>
      <c r="AE800" s="3" t="s">
        <v>2416</v>
      </c>
      <c r="AF800" s="43" t="s">
        <v>2416</v>
      </c>
      <c r="AG800" s="43"/>
      <c r="AH800" s="43"/>
      <c r="AI800" s="43">
        <v>2500000</v>
      </c>
      <c r="AJ800" s="43"/>
      <c r="AK800" s="43"/>
      <c r="AL800" s="43"/>
      <c r="AM800" s="43"/>
      <c r="AN800" s="43"/>
      <c r="AO800" s="43"/>
      <c r="AP800" s="43"/>
      <c r="AQ800" s="43"/>
      <c r="AR800" s="43"/>
      <c r="AS800" s="3">
        <v>2500000</v>
      </c>
      <c r="AT800" s="272" t="s">
        <v>1025</v>
      </c>
      <c r="AU800" s="15"/>
    </row>
    <row r="801" spans="1:47" ht="16.5" hidden="1" customHeight="1" x14ac:dyDescent="0.35">
      <c r="A801" s="2" t="s">
        <v>161</v>
      </c>
      <c r="B801" s="2" t="s">
        <v>2474</v>
      </c>
      <c r="C801" s="2" t="s">
        <v>47</v>
      </c>
      <c r="D801" s="2">
        <v>847</v>
      </c>
      <c r="E801" s="2">
        <v>8470530</v>
      </c>
      <c r="F801" s="2" t="s">
        <v>2412</v>
      </c>
      <c r="G801" s="2">
        <v>1</v>
      </c>
      <c r="H801" s="276">
        <v>492200</v>
      </c>
      <c r="I801" s="2" t="s">
        <v>2475</v>
      </c>
      <c r="J801" s="2" t="s">
        <v>60</v>
      </c>
      <c r="K801" s="2" t="s">
        <v>2093</v>
      </c>
      <c r="L801" s="7">
        <v>847020</v>
      </c>
      <c r="M801" s="2" t="s">
        <v>192</v>
      </c>
      <c r="N801" s="2">
        <v>300180</v>
      </c>
      <c r="O801" s="3" t="s">
        <v>2657</v>
      </c>
      <c r="P801" s="35"/>
      <c r="Q801" s="2"/>
      <c r="R801" s="3"/>
      <c r="S801" s="2" t="s">
        <v>2477</v>
      </c>
      <c r="T801" s="2" t="s">
        <v>515</v>
      </c>
      <c r="U801" s="2">
        <v>1</v>
      </c>
      <c r="V801" s="3">
        <v>1200000</v>
      </c>
      <c r="W801" s="36" t="s">
        <v>2524</v>
      </c>
      <c r="X801" s="10">
        <v>1200000</v>
      </c>
      <c r="Y801" s="2" t="s">
        <v>210</v>
      </c>
      <c r="Z801" s="14" t="s">
        <v>197</v>
      </c>
      <c r="AA801" s="14">
        <f t="shared" si="39"/>
        <v>1080000</v>
      </c>
      <c r="AB801" s="14">
        <f t="shared" si="40"/>
        <v>960000</v>
      </c>
      <c r="AC801" s="14">
        <f t="shared" si="41"/>
        <v>840000</v>
      </c>
      <c r="AD801" s="3" t="s">
        <v>2416</v>
      </c>
      <c r="AE801" s="3" t="s">
        <v>2416</v>
      </c>
      <c r="AF801" s="43" t="s">
        <v>2416</v>
      </c>
      <c r="AG801" s="43"/>
      <c r="AH801" s="43"/>
      <c r="AI801" s="43">
        <v>1200000</v>
      </c>
      <c r="AJ801" s="43"/>
      <c r="AK801" s="43"/>
      <c r="AL801" s="43"/>
      <c r="AM801" s="43"/>
      <c r="AN801" s="43"/>
      <c r="AO801" s="43"/>
      <c r="AP801" s="43"/>
      <c r="AQ801" s="43"/>
      <c r="AR801" s="43"/>
      <c r="AS801" s="3">
        <v>1200000</v>
      </c>
      <c r="AT801" s="272" t="s">
        <v>1025</v>
      </c>
      <c r="AU801" s="15"/>
    </row>
    <row r="802" spans="1:47" ht="16.5" hidden="1" customHeight="1" x14ac:dyDescent="0.35">
      <c r="A802" s="2" t="s">
        <v>161</v>
      </c>
      <c r="B802" s="2" t="s">
        <v>2474</v>
      </c>
      <c r="C802" s="2" t="s">
        <v>47</v>
      </c>
      <c r="D802" s="2">
        <v>847</v>
      </c>
      <c r="E802" s="2">
        <v>8470530</v>
      </c>
      <c r="F802" s="2" t="s">
        <v>2412</v>
      </c>
      <c r="G802" s="2">
        <v>1</v>
      </c>
      <c r="H802" s="276">
        <v>492200</v>
      </c>
      <c r="I802" s="2" t="s">
        <v>2475</v>
      </c>
      <c r="J802" s="2" t="s">
        <v>60</v>
      </c>
      <c r="K802" s="2" t="s">
        <v>2093</v>
      </c>
      <c r="L802" s="7">
        <v>847020</v>
      </c>
      <c r="M802" s="2" t="s">
        <v>192</v>
      </c>
      <c r="N802" s="2">
        <v>300180</v>
      </c>
      <c r="O802" s="3" t="s">
        <v>2657</v>
      </c>
      <c r="P802" s="35"/>
      <c r="Q802" s="2"/>
      <c r="R802" s="3"/>
      <c r="S802" s="2" t="s">
        <v>2477</v>
      </c>
      <c r="T802" s="2" t="s">
        <v>515</v>
      </c>
      <c r="U802" s="2">
        <v>1</v>
      </c>
      <c r="V802" s="3">
        <v>1200000</v>
      </c>
      <c r="W802" s="36" t="s">
        <v>2525</v>
      </c>
      <c r="X802" s="10">
        <v>1200000</v>
      </c>
      <c r="Y802" s="2" t="s">
        <v>210</v>
      </c>
      <c r="Z802" s="14" t="s">
        <v>197</v>
      </c>
      <c r="AA802" s="14">
        <f t="shared" si="39"/>
        <v>1080000</v>
      </c>
      <c r="AB802" s="14">
        <f t="shared" si="40"/>
        <v>960000</v>
      </c>
      <c r="AC802" s="14">
        <f t="shared" si="41"/>
        <v>840000</v>
      </c>
      <c r="AD802" s="3" t="s">
        <v>2416</v>
      </c>
      <c r="AE802" s="3" t="s">
        <v>2416</v>
      </c>
      <c r="AF802" s="43" t="s">
        <v>2416</v>
      </c>
      <c r="AG802" s="43"/>
      <c r="AH802" s="43"/>
      <c r="AI802" s="43">
        <v>1200000</v>
      </c>
      <c r="AJ802" s="43"/>
      <c r="AK802" s="43"/>
      <c r="AL802" s="43"/>
      <c r="AM802" s="43"/>
      <c r="AN802" s="43"/>
      <c r="AO802" s="43"/>
      <c r="AP802" s="43"/>
      <c r="AQ802" s="43"/>
      <c r="AR802" s="43"/>
      <c r="AS802" s="3">
        <v>1200000</v>
      </c>
      <c r="AT802" s="272" t="s">
        <v>1025</v>
      </c>
      <c r="AU802" s="15"/>
    </row>
    <row r="803" spans="1:47" ht="16.5" hidden="1" customHeight="1" x14ac:dyDescent="0.35">
      <c r="A803" s="2" t="s">
        <v>161</v>
      </c>
      <c r="B803" s="2" t="s">
        <v>2474</v>
      </c>
      <c r="C803" s="2" t="s">
        <v>47</v>
      </c>
      <c r="D803" s="2">
        <v>847</v>
      </c>
      <c r="E803" s="2">
        <v>8470530</v>
      </c>
      <c r="F803" s="2" t="s">
        <v>2412</v>
      </c>
      <c r="G803" s="2">
        <v>1</v>
      </c>
      <c r="H803" s="276">
        <v>492200</v>
      </c>
      <c r="I803" s="2" t="s">
        <v>2475</v>
      </c>
      <c r="J803" s="2" t="s">
        <v>60</v>
      </c>
      <c r="K803" s="2" t="s">
        <v>2093</v>
      </c>
      <c r="L803" s="7">
        <v>847020</v>
      </c>
      <c r="M803" s="2" t="s">
        <v>192</v>
      </c>
      <c r="N803" s="2">
        <v>300180</v>
      </c>
      <c r="O803" s="3" t="s">
        <v>2657</v>
      </c>
      <c r="P803" s="35"/>
      <c r="Q803" s="2"/>
      <c r="R803" s="3"/>
      <c r="S803" s="2" t="s">
        <v>2477</v>
      </c>
      <c r="T803" s="2" t="s">
        <v>515</v>
      </c>
      <c r="U803" s="2">
        <v>1</v>
      </c>
      <c r="V803" s="3">
        <v>60000</v>
      </c>
      <c r="W803" s="36" t="s">
        <v>2526</v>
      </c>
      <c r="X803" s="10">
        <v>60000</v>
      </c>
      <c r="Y803" s="2" t="s">
        <v>210</v>
      </c>
      <c r="Z803" s="14" t="s">
        <v>197</v>
      </c>
      <c r="AA803" s="14">
        <f t="shared" si="39"/>
        <v>54000</v>
      </c>
      <c r="AB803" s="14">
        <f t="shared" si="40"/>
        <v>48000</v>
      </c>
      <c r="AC803" s="14">
        <f t="shared" si="41"/>
        <v>42000</v>
      </c>
      <c r="AD803" s="3" t="s">
        <v>2416</v>
      </c>
      <c r="AE803" s="3" t="s">
        <v>2416</v>
      </c>
      <c r="AF803" s="43" t="s">
        <v>2416</v>
      </c>
      <c r="AG803" s="43"/>
      <c r="AH803" s="43"/>
      <c r="AI803" s="43">
        <v>60000</v>
      </c>
      <c r="AJ803" s="43"/>
      <c r="AK803" s="43"/>
      <c r="AL803" s="43"/>
      <c r="AM803" s="43"/>
      <c r="AN803" s="43"/>
      <c r="AO803" s="43"/>
      <c r="AP803" s="43"/>
      <c r="AQ803" s="43"/>
      <c r="AR803" s="43"/>
      <c r="AS803" s="3">
        <v>60000</v>
      </c>
      <c r="AT803" s="272" t="s">
        <v>1025</v>
      </c>
      <c r="AU803" s="15"/>
    </row>
    <row r="804" spans="1:47" ht="16.5" hidden="1" customHeight="1" x14ac:dyDescent="0.35">
      <c r="A804" s="2" t="s">
        <v>161</v>
      </c>
      <c r="B804" s="2" t="s">
        <v>2474</v>
      </c>
      <c r="C804" s="2" t="s">
        <v>47</v>
      </c>
      <c r="D804" s="2">
        <v>847</v>
      </c>
      <c r="E804" s="2">
        <v>8470530</v>
      </c>
      <c r="F804" s="2" t="s">
        <v>2412</v>
      </c>
      <c r="G804" s="2">
        <v>1</v>
      </c>
      <c r="H804" s="276">
        <v>492200</v>
      </c>
      <c r="I804" s="2" t="s">
        <v>2475</v>
      </c>
      <c r="J804" s="2" t="s">
        <v>60</v>
      </c>
      <c r="K804" s="2" t="s">
        <v>2093</v>
      </c>
      <c r="L804" s="7">
        <v>847020</v>
      </c>
      <c r="M804" s="2" t="s">
        <v>192</v>
      </c>
      <c r="N804" s="2">
        <v>300180</v>
      </c>
      <c r="O804" s="3" t="s">
        <v>2657</v>
      </c>
      <c r="P804" s="35"/>
      <c r="Q804" s="2"/>
      <c r="R804" s="3"/>
      <c r="S804" s="2" t="s">
        <v>2477</v>
      </c>
      <c r="T804" s="2" t="s">
        <v>515</v>
      </c>
      <c r="U804" s="2">
        <v>1</v>
      </c>
      <c r="V804" s="3">
        <v>22000</v>
      </c>
      <c r="W804" s="36" t="s">
        <v>2527</v>
      </c>
      <c r="X804" s="10">
        <v>22000</v>
      </c>
      <c r="Y804" s="2" t="s">
        <v>210</v>
      </c>
      <c r="Z804" s="14" t="s">
        <v>197</v>
      </c>
      <c r="AA804" s="14">
        <f t="shared" si="39"/>
        <v>19800</v>
      </c>
      <c r="AB804" s="14">
        <f t="shared" si="40"/>
        <v>17600</v>
      </c>
      <c r="AC804" s="14">
        <f t="shared" si="41"/>
        <v>15399.999999999998</v>
      </c>
      <c r="AD804" s="3" t="s">
        <v>2416</v>
      </c>
      <c r="AE804" s="3" t="s">
        <v>2416</v>
      </c>
      <c r="AF804" s="43" t="s">
        <v>2416</v>
      </c>
      <c r="AG804" s="43"/>
      <c r="AH804" s="43"/>
      <c r="AI804" s="43">
        <v>22000</v>
      </c>
      <c r="AJ804" s="43"/>
      <c r="AK804" s="43"/>
      <c r="AL804" s="43"/>
      <c r="AM804" s="43"/>
      <c r="AN804" s="43"/>
      <c r="AO804" s="43"/>
      <c r="AP804" s="43"/>
      <c r="AQ804" s="43"/>
      <c r="AR804" s="43"/>
      <c r="AS804" s="3">
        <v>22000</v>
      </c>
      <c r="AT804" s="272" t="s">
        <v>1025</v>
      </c>
      <c r="AU804" s="15"/>
    </row>
    <row r="805" spans="1:47" ht="16.5" hidden="1" customHeight="1" x14ac:dyDescent="0.35">
      <c r="A805" s="2" t="s">
        <v>161</v>
      </c>
      <c r="B805" s="2" t="s">
        <v>2474</v>
      </c>
      <c r="C805" s="2" t="s">
        <v>47</v>
      </c>
      <c r="D805" s="2">
        <v>847</v>
      </c>
      <c r="E805" s="2">
        <v>8470530</v>
      </c>
      <c r="F805" s="2" t="s">
        <v>2412</v>
      </c>
      <c r="G805" s="2">
        <v>1</v>
      </c>
      <c r="H805" s="276">
        <v>492200</v>
      </c>
      <c r="I805" s="2" t="s">
        <v>2475</v>
      </c>
      <c r="J805" s="2" t="s">
        <v>60</v>
      </c>
      <c r="K805" s="2" t="s">
        <v>2093</v>
      </c>
      <c r="L805" s="7">
        <v>847020</v>
      </c>
      <c r="M805" s="2" t="s">
        <v>192</v>
      </c>
      <c r="N805" s="2">
        <v>300180</v>
      </c>
      <c r="O805" s="3" t="s">
        <v>2657</v>
      </c>
      <c r="P805" s="35"/>
      <c r="Q805" s="2"/>
      <c r="R805" s="3"/>
      <c r="S805" s="2" t="s">
        <v>2477</v>
      </c>
      <c r="T805" s="2" t="s">
        <v>515</v>
      </c>
      <c r="U805" s="2">
        <v>1</v>
      </c>
      <c r="V805" s="3">
        <v>100000</v>
      </c>
      <c r="W805" s="36" t="s">
        <v>2528</v>
      </c>
      <c r="X805" s="10">
        <v>100000</v>
      </c>
      <c r="Y805" s="2" t="s">
        <v>210</v>
      </c>
      <c r="Z805" s="14" t="s">
        <v>197</v>
      </c>
      <c r="AA805" s="14">
        <f t="shared" si="39"/>
        <v>90000</v>
      </c>
      <c r="AB805" s="14">
        <f t="shared" si="40"/>
        <v>80000</v>
      </c>
      <c r="AC805" s="14">
        <f t="shared" si="41"/>
        <v>70000</v>
      </c>
      <c r="AD805" s="3" t="s">
        <v>2416</v>
      </c>
      <c r="AE805" s="3" t="s">
        <v>2416</v>
      </c>
      <c r="AF805" s="43" t="s">
        <v>2416</v>
      </c>
      <c r="AG805" s="43"/>
      <c r="AH805" s="43"/>
      <c r="AI805" s="43">
        <v>100000</v>
      </c>
      <c r="AJ805" s="43"/>
      <c r="AK805" s="43"/>
      <c r="AL805" s="43"/>
      <c r="AM805" s="43"/>
      <c r="AN805" s="43"/>
      <c r="AO805" s="43"/>
      <c r="AP805" s="43"/>
      <c r="AQ805" s="43"/>
      <c r="AR805" s="43"/>
      <c r="AS805" s="3">
        <v>100000</v>
      </c>
      <c r="AT805" s="272" t="s">
        <v>1025</v>
      </c>
      <c r="AU805" s="15"/>
    </row>
    <row r="806" spans="1:47" ht="16.5" hidden="1" customHeight="1" x14ac:dyDescent="0.35">
      <c r="A806" s="2" t="s">
        <v>161</v>
      </c>
      <c r="B806" s="2" t="s">
        <v>2474</v>
      </c>
      <c r="C806" s="2" t="s">
        <v>47</v>
      </c>
      <c r="D806" s="2">
        <v>847</v>
      </c>
      <c r="E806" s="2">
        <v>8470530</v>
      </c>
      <c r="F806" s="2" t="s">
        <v>2412</v>
      </c>
      <c r="G806" s="2">
        <v>1</v>
      </c>
      <c r="H806" s="276">
        <v>492200</v>
      </c>
      <c r="I806" s="2" t="s">
        <v>2475</v>
      </c>
      <c r="J806" s="2" t="s">
        <v>60</v>
      </c>
      <c r="K806" s="2" t="s">
        <v>2093</v>
      </c>
      <c r="L806" s="7">
        <v>847020</v>
      </c>
      <c r="M806" s="2" t="s">
        <v>192</v>
      </c>
      <c r="N806" s="2">
        <v>300180</v>
      </c>
      <c r="O806" s="3" t="s">
        <v>2657</v>
      </c>
      <c r="P806" s="35"/>
      <c r="Q806" s="2"/>
      <c r="R806" s="3"/>
      <c r="S806" s="2" t="s">
        <v>2477</v>
      </c>
      <c r="T806" s="2" t="s">
        <v>515</v>
      </c>
      <c r="U806" s="2">
        <v>1</v>
      </c>
      <c r="V806" s="3">
        <v>1200000</v>
      </c>
      <c r="W806" s="36" t="s">
        <v>2529</v>
      </c>
      <c r="X806" s="10">
        <v>1200000</v>
      </c>
      <c r="Y806" s="2" t="s">
        <v>210</v>
      </c>
      <c r="Z806" s="14" t="s">
        <v>197</v>
      </c>
      <c r="AA806" s="14">
        <f t="shared" si="39"/>
        <v>1080000</v>
      </c>
      <c r="AB806" s="14">
        <f t="shared" si="40"/>
        <v>960000</v>
      </c>
      <c r="AC806" s="14">
        <f t="shared" si="41"/>
        <v>840000</v>
      </c>
      <c r="AD806" s="3" t="s">
        <v>2416</v>
      </c>
      <c r="AE806" s="3" t="s">
        <v>2416</v>
      </c>
      <c r="AF806" s="43" t="s">
        <v>2416</v>
      </c>
      <c r="AG806" s="43"/>
      <c r="AH806" s="43"/>
      <c r="AI806" s="43">
        <v>1200000</v>
      </c>
      <c r="AJ806" s="43"/>
      <c r="AK806" s="43"/>
      <c r="AL806" s="43"/>
      <c r="AM806" s="43"/>
      <c r="AN806" s="43"/>
      <c r="AO806" s="43"/>
      <c r="AP806" s="43"/>
      <c r="AQ806" s="43"/>
      <c r="AR806" s="43"/>
      <c r="AS806" s="3">
        <v>1200000</v>
      </c>
      <c r="AT806" s="272" t="s">
        <v>1025</v>
      </c>
      <c r="AU806" s="15"/>
    </row>
    <row r="807" spans="1:47" ht="16.5" hidden="1" customHeight="1" x14ac:dyDescent="0.35">
      <c r="A807" s="2" t="s">
        <v>161</v>
      </c>
      <c r="B807" s="2" t="s">
        <v>2474</v>
      </c>
      <c r="C807" s="2" t="s">
        <v>47</v>
      </c>
      <c r="D807" s="2">
        <v>847</v>
      </c>
      <c r="E807" s="2">
        <v>8470530</v>
      </c>
      <c r="F807" s="2" t="s">
        <v>2412</v>
      </c>
      <c r="G807" s="2">
        <v>1</v>
      </c>
      <c r="H807" s="276">
        <v>492200</v>
      </c>
      <c r="I807" s="2" t="s">
        <v>2475</v>
      </c>
      <c r="J807" s="2" t="s">
        <v>60</v>
      </c>
      <c r="K807" s="2" t="s">
        <v>2093</v>
      </c>
      <c r="L807" s="7">
        <v>847020</v>
      </c>
      <c r="M807" s="2" t="s">
        <v>192</v>
      </c>
      <c r="N807" s="2">
        <v>300180</v>
      </c>
      <c r="O807" s="3" t="s">
        <v>2657</v>
      </c>
      <c r="P807" s="35"/>
      <c r="Q807" s="2"/>
      <c r="R807" s="3"/>
      <c r="S807" s="2" t="s">
        <v>2477</v>
      </c>
      <c r="T807" s="2" t="s">
        <v>515</v>
      </c>
      <c r="U807" s="2">
        <v>1</v>
      </c>
      <c r="V807" s="3">
        <v>350000</v>
      </c>
      <c r="W807" s="36" t="s">
        <v>2530</v>
      </c>
      <c r="X807" s="10">
        <v>350000</v>
      </c>
      <c r="Y807" s="2" t="s">
        <v>210</v>
      </c>
      <c r="Z807" s="14" t="s">
        <v>197</v>
      </c>
      <c r="AA807" s="14">
        <f t="shared" si="39"/>
        <v>315000</v>
      </c>
      <c r="AB807" s="14">
        <f t="shared" si="40"/>
        <v>280000</v>
      </c>
      <c r="AC807" s="14">
        <f t="shared" si="41"/>
        <v>244999.99999999997</v>
      </c>
      <c r="AD807" s="3" t="s">
        <v>2416</v>
      </c>
      <c r="AE807" s="3" t="s">
        <v>2416</v>
      </c>
      <c r="AF807" s="43" t="s">
        <v>2416</v>
      </c>
      <c r="AG807" s="43"/>
      <c r="AH807" s="43"/>
      <c r="AI807" s="43">
        <v>350000</v>
      </c>
      <c r="AJ807" s="43"/>
      <c r="AK807" s="43"/>
      <c r="AL807" s="43"/>
      <c r="AM807" s="43"/>
      <c r="AN807" s="43"/>
      <c r="AO807" s="43"/>
      <c r="AP807" s="43"/>
      <c r="AQ807" s="43"/>
      <c r="AR807" s="43"/>
      <c r="AS807" s="3">
        <v>350000</v>
      </c>
      <c r="AT807" s="272" t="s">
        <v>1025</v>
      </c>
      <c r="AU807" s="15"/>
    </row>
    <row r="808" spans="1:47" ht="16.5" hidden="1" customHeight="1" x14ac:dyDescent="0.35">
      <c r="A808" s="2" t="s">
        <v>161</v>
      </c>
      <c r="B808" s="2" t="s">
        <v>2474</v>
      </c>
      <c r="C808" s="2" t="s">
        <v>47</v>
      </c>
      <c r="D808" s="2">
        <v>847</v>
      </c>
      <c r="E808" s="2">
        <v>8470530</v>
      </c>
      <c r="F808" s="2" t="s">
        <v>2412</v>
      </c>
      <c r="G808" s="2">
        <v>1</v>
      </c>
      <c r="H808" s="276">
        <v>492200</v>
      </c>
      <c r="I808" s="2" t="s">
        <v>2475</v>
      </c>
      <c r="J808" s="2" t="s">
        <v>60</v>
      </c>
      <c r="K808" s="2" t="s">
        <v>2093</v>
      </c>
      <c r="L808" s="7">
        <v>847020</v>
      </c>
      <c r="M808" s="2" t="s">
        <v>192</v>
      </c>
      <c r="N808" s="2">
        <v>300180</v>
      </c>
      <c r="O808" s="3" t="s">
        <v>2657</v>
      </c>
      <c r="P808" s="35"/>
      <c r="Q808" s="2"/>
      <c r="R808" s="3"/>
      <c r="S808" s="2" t="s">
        <v>2477</v>
      </c>
      <c r="T808" s="2" t="s">
        <v>515</v>
      </c>
      <c r="U808" s="2">
        <v>1</v>
      </c>
      <c r="V808" s="3">
        <v>600000</v>
      </c>
      <c r="W808" s="36" t="s">
        <v>2531</v>
      </c>
      <c r="X808" s="10">
        <v>600000</v>
      </c>
      <c r="Y808" s="2" t="s">
        <v>210</v>
      </c>
      <c r="Z808" s="14" t="s">
        <v>197</v>
      </c>
      <c r="AA808" s="14">
        <f t="shared" si="39"/>
        <v>540000</v>
      </c>
      <c r="AB808" s="14">
        <f t="shared" si="40"/>
        <v>480000</v>
      </c>
      <c r="AC808" s="14">
        <f t="shared" si="41"/>
        <v>420000</v>
      </c>
      <c r="AD808" s="3" t="s">
        <v>2416</v>
      </c>
      <c r="AE808" s="3" t="s">
        <v>2416</v>
      </c>
      <c r="AF808" s="43" t="s">
        <v>2416</v>
      </c>
      <c r="AG808" s="43"/>
      <c r="AH808" s="43"/>
      <c r="AI808" s="43">
        <v>600000</v>
      </c>
      <c r="AJ808" s="43"/>
      <c r="AK808" s="43"/>
      <c r="AL808" s="43"/>
      <c r="AM808" s="43"/>
      <c r="AN808" s="43"/>
      <c r="AO808" s="43"/>
      <c r="AP808" s="43"/>
      <c r="AQ808" s="43"/>
      <c r="AR808" s="43"/>
      <c r="AS808" s="3">
        <v>600000</v>
      </c>
      <c r="AT808" s="272" t="s">
        <v>1025</v>
      </c>
      <c r="AU808" s="15"/>
    </row>
    <row r="809" spans="1:47" ht="16.5" hidden="1" customHeight="1" x14ac:dyDescent="0.35">
      <c r="A809" s="2" t="s">
        <v>161</v>
      </c>
      <c r="B809" s="2" t="s">
        <v>2474</v>
      </c>
      <c r="C809" s="2" t="s">
        <v>47</v>
      </c>
      <c r="D809" s="2">
        <v>847</v>
      </c>
      <c r="E809" s="2">
        <v>8470530</v>
      </c>
      <c r="F809" s="2" t="s">
        <v>2412</v>
      </c>
      <c r="G809" s="2">
        <v>1</v>
      </c>
      <c r="H809" s="276">
        <v>492200</v>
      </c>
      <c r="I809" s="2" t="s">
        <v>2475</v>
      </c>
      <c r="J809" s="2" t="s">
        <v>60</v>
      </c>
      <c r="K809" s="2" t="s">
        <v>2093</v>
      </c>
      <c r="L809" s="7">
        <v>847020</v>
      </c>
      <c r="M809" s="2" t="s">
        <v>192</v>
      </c>
      <c r="N809" s="2">
        <v>300180</v>
      </c>
      <c r="O809" s="3" t="s">
        <v>2657</v>
      </c>
      <c r="P809" s="35"/>
      <c r="Q809" s="2"/>
      <c r="R809" s="3"/>
      <c r="S809" s="2" t="s">
        <v>2477</v>
      </c>
      <c r="T809" s="2" t="s">
        <v>515</v>
      </c>
      <c r="U809" s="2">
        <v>1</v>
      </c>
      <c r="V809" s="3">
        <v>6000000</v>
      </c>
      <c r="W809" s="36" t="s">
        <v>2532</v>
      </c>
      <c r="X809" s="10">
        <v>6000000</v>
      </c>
      <c r="Y809" s="2" t="s">
        <v>210</v>
      </c>
      <c r="Z809" s="14" t="s">
        <v>197</v>
      </c>
      <c r="AA809" s="14">
        <f t="shared" si="39"/>
        <v>5400000</v>
      </c>
      <c r="AB809" s="14">
        <f t="shared" si="40"/>
        <v>4800000</v>
      </c>
      <c r="AC809" s="14">
        <f t="shared" si="41"/>
        <v>4200000</v>
      </c>
      <c r="AD809" s="3" t="s">
        <v>2416</v>
      </c>
      <c r="AE809" s="3" t="s">
        <v>2416</v>
      </c>
      <c r="AF809" s="43" t="s">
        <v>2416</v>
      </c>
      <c r="AG809" s="43"/>
      <c r="AH809" s="43"/>
      <c r="AI809" s="43">
        <v>6000000</v>
      </c>
      <c r="AJ809" s="43"/>
      <c r="AK809" s="43"/>
      <c r="AL809" s="43"/>
      <c r="AM809" s="43"/>
      <c r="AN809" s="43"/>
      <c r="AO809" s="43"/>
      <c r="AP809" s="43"/>
      <c r="AQ809" s="43"/>
      <c r="AR809" s="43"/>
      <c r="AS809" s="3">
        <v>6000000</v>
      </c>
      <c r="AT809" s="272" t="s">
        <v>1025</v>
      </c>
      <c r="AU809" s="15"/>
    </row>
    <row r="810" spans="1:47" ht="16.5" hidden="1" customHeight="1" x14ac:dyDescent="0.35">
      <c r="A810" s="2" t="s">
        <v>161</v>
      </c>
      <c r="B810" s="2" t="s">
        <v>2474</v>
      </c>
      <c r="C810" s="2" t="s">
        <v>47</v>
      </c>
      <c r="D810" s="2">
        <v>847</v>
      </c>
      <c r="E810" s="2">
        <v>8470530</v>
      </c>
      <c r="F810" s="2" t="s">
        <v>2412</v>
      </c>
      <c r="G810" s="2">
        <v>1</v>
      </c>
      <c r="H810" s="276">
        <v>492200</v>
      </c>
      <c r="I810" s="2" t="s">
        <v>2475</v>
      </c>
      <c r="J810" s="2" t="s">
        <v>60</v>
      </c>
      <c r="K810" s="2" t="s">
        <v>2093</v>
      </c>
      <c r="L810" s="7">
        <v>847020</v>
      </c>
      <c r="M810" s="2" t="s">
        <v>192</v>
      </c>
      <c r="N810" s="2">
        <v>300180</v>
      </c>
      <c r="O810" s="3" t="s">
        <v>2657</v>
      </c>
      <c r="P810" s="35"/>
      <c r="Q810" s="2"/>
      <c r="R810" s="3"/>
      <c r="S810" s="2" t="s">
        <v>2477</v>
      </c>
      <c r="T810" s="2" t="s">
        <v>515</v>
      </c>
      <c r="U810" s="2">
        <v>1</v>
      </c>
      <c r="V810" s="3">
        <v>1000000</v>
      </c>
      <c r="W810" s="36" t="s">
        <v>2533</v>
      </c>
      <c r="X810" s="10">
        <v>1000000</v>
      </c>
      <c r="Y810" s="2" t="s">
        <v>210</v>
      </c>
      <c r="Z810" s="14" t="s">
        <v>197</v>
      </c>
      <c r="AA810" s="14">
        <f t="shared" si="39"/>
        <v>900000</v>
      </c>
      <c r="AB810" s="14">
        <f t="shared" si="40"/>
        <v>800000</v>
      </c>
      <c r="AC810" s="14">
        <f t="shared" si="41"/>
        <v>700000</v>
      </c>
      <c r="AD810" s="3" t="s">
        <v>2416</v>
      </c>
      <c r="AE810" s="3" t="s">
        <v>2416</v>
      </c>
      <c r="AF810" s="43" t="s">
        <v>2416</v>
      </c>
      <c r="AG810" s="43"/>
      <c r="AH810" s="43"/>
      <c r="AI810" s="43">
        <v>1000000</v>
      </c>
      <c r="AJ810" s="43"/>
      <c r="AK810" s="43"/>
      <c r="AL810" s="43"/>
      <c r="AM810" s="43"/>
      <c r="AN810" s="43"/>
      <c r="AO810" s="43"/>
      <c r="AP810" s="43"/>
      <c r="AQ810" s="43"/>
      <c r="AR810" s="43"/>
      <c r="AS810" s="3">
        <v>1000000</v>
      </c>
      <c r="AT810" s="272" t="s">
        <v>1025</v>
      </c>
      <c r="AU810" s="15"/>
    </row>
    <row r="811" spans="1:47" ht="16.5" hidden="1" customHeight="1" x14ac:dyDescent="0.35">
      <c r="A811" s="2" t="s">
        <v>161</v>
      </c>
      <c r="B811" s="2" t="s">
        <v>2474</v>
      </c>
      <c r="C811" s="2" t="s">
        <v>47</v>
      </c>
      <c r="D811" s="2">
        <v>847</v>
      </c>
      <c r="E811" s="2">
        <v>8470530</v>
      </c>
      <c r="F811" s="2" t="s">
        <v>2412</v>
      </c>
      <c r="G811" s="2">
        <v>1</v>
      </c>
      <c r="H811" s="276">
        <v>492200</v>
      </c>
      <c r="I811" s="2" t="s">
        <v>2475</v>
      </c>
      <c r="J811" s="2" t="s">
        <v>60</v>
      </c>
      <c r="K811" s="2" t="s">
        <v>2093</v>
      </c>
      <c r="L811" s="7">
        <v>847020</v>
      </c>
      <c r="M811" s="2" t="s">
        <v>192</v>
      </c>
      <c r="N811" s="2">
        <v>300180</v>
      </c>
      <c r="O811" s="3" t="s">
        <v>2657</v>
      </c>
      <c r="P811" s="35"/>
      <c r="Q811" s="2"/>
      <c r="R811" s="3"/>
      <c r="S811" s="2" t="s">
        <v>2477</v>
      </c>
      <c r="T811" s="2" t="s">
        <v>515</v>
      </c>
      <c r="U811" s="2">
        <v>1</v>
      </c>
      <c r="V811" s="3">
        <v>150000</v>
      </c>
      <c r="W811" s="36" t="s">
        <v>2534</v>
      </c>
      <c r="X811" s="10">
        <v>150000</v>
      </c>
      <c r="Y811" s="2" t="s">
        <v>210</v>
      </c>
      <c r="Z811" s="14" t="s">
        <v>197</v>
      </c>
      <c r="AA811" s="14">
        <f t="shared" si="39"/>
        <v>135000</v>
      </c>
      <c r="AB811" s="14">
        <f t="shared" si="40"/>
        <v>120000</v>
      </c>
      <c r="AC811" s="14">
        <f t="shared" si="41"/>
        <v>105000</v>
      </c>
      <c r="AD811" s="3" t="s">
        <v>2416</v>
      </c>
      <c r="AE811" s="3" t="s">
        <v>2416</v>
      </c>
      <c r="AF811" s="43" t="s">
        <v>2416</v>
      </c>
      <c r="AG811" s="43"/>
      <c r="AH811" s="43"/>
      <c r="AI811" s="43">
        <v>150000</v>
      </c>
      <c r="AJ811" s="43"/>
      <c r="AK811" s="43"/>
      <c r="AL811" s="43"/>
      <c r="AM811" s="43"/>
      <c r="AN811" s="43"/>
      <c r="AO811" s="43"/>
      <c r="AP811" s="43"/>
      <c r="AQ811" s="43"/>
      <c r="AR811" s="43"/>
      <c r="AS811" s="3">
        <v>150000</v>
      </c>
      <c r="AT811" s="272" t="s">
        <v>1025</v>
      </c>
      <c r="AU811" s="15"/>
    </row>
    <row r="812" spans="1:47" ht="16.5" hidden="1" customHeight="1" x14ac:dyDescent="0.35">
      <c r="A812" s="2" t="s">
        <v>161</v>
      </c>
      <c r="B812" s="2" t="s">
        <v>2474</v>
      </c>
      <c r="C812" s="2" t="s">
        <v>47</v>
      </c>
      <c r="D812" s="2">
        <v>847</v>
      </c>
      <c r="E812" s="2">
        <v>8470530</v>
      </c>
      <c r="F812" s="2" t="s">
        <v>2412</v>
      </c>
      <c r="G812" s="2">
        <v>1</v>
      </c>
      <c r="H812" s="276">
        <v>492200</v>
      </c>
      <c r="I812" s="2" t="s">
        <v>2475</v>
      </c>
      <c r="J812" s="2" t="s">
        <v>60</v>
      </c>
      <c r="K812" s="2" t="s">
        <v>2093</v>
      </c>
      <c r="L812" s="7">
        <v>847020</v>
      </c>
      <c r="M812" s="2" t="s">
        <v>192</v>
      </c>
      <c r="N812" s="2">
        <v>300180</v>
      </c>
      <c r="O812" s="3" t="s">
        <v>2657</v>
      </c>
      <c r="P812" s="35"/>
      <c r="Q812" s="2"/>
      <c r="R812" s="3"/>
      <c r="S812" s="2" t="s">
        <v>2477</v>
      </c>
      <c r="T812" s="2" t="s">
        <v>515</v>
      </c>
      <c r="U812" s="2"/>
      <c r="V812" s="3">
        <v>400000</v>
      </c>
      <c r="W812" s="36" t="s">
        <v>2535</v>
      </c>
      <c r="X812" s="10">
        <v>400000</v>
      </c>
      <c r="Y812" s="2" t="s">
        <v>210</v>
      </c>
      <c r="Z812" s="14" t="s">
        <v>197</v>
      </c>
      <c r="AA812" s="14">
        <f t="shared" si="39"/>
        <v>360000</v>
      </c>
      <c r="AB812" s="14">
        <f t="shared" si="40"/>
        <v>320000</v>
      </c>
      <c r="AC812" s="14">
        <f t="shared" si="41"/>
        <v>280000</v>
      </c>
      <c r="AD812" s="3" t="s">
        <v>2416</v>
      </c>
      <c r="AE812" s="3" t="s">
        <v>2416</v>
      </c>
      <c r="AF812" s="43" t="s">
        <v>2416</v>
      </c>
      <c r="AG812" s="43"/>
      <c r="AH812" s="43"/>
      <c r="AI812" s="43">
        <v>400000</v>
      </c>
      <c r="AJ812" s="43"/>
      <c r="AK812" s="43"/>
      <c r="AL812" s="43"/>
      <c r="AM812" s="43"/>
      <c r="AN812" s="43"/>
      <c r="AO812" s="43"/>
      <c r="AP812" s="43"/>
      <c r="AQ812" s="43"/>
      <c r="AR812" s="43"/>
      <c r="AS812" s="3">
        <v>400000</v>
      </c>
      <c r="AT812" s="272" t="s">
        <v>1025</v>
      </c>
      <c r="AU812" s="15"/>
    </row>
    <row r="813" spans="1:47" ht="16.5" hidden="1" customHeight="1" x14ac:dyDescent="0.35">
      <c r="A813" s="2" t="s">
        <v>161</v>
      </c>
      <c r="B813" s="2" t="s">
        <v>2474</v>
      </c>
      <c r="C813" s="2" t="s">
        <v>47</v>
      </c>
      <c r="D813" s="2">
        <v>847</v>
      </c>
      <c r="E813" s="2">
        <v>8470530</v>
      </c>
      <c r="F813" s="2" t="s">
        <v>2412</v>
      </c>
      <c r="G813" s="2">
        <v>1</v>
      </c>
      <c r="H813" s="276">
        <v>492200</v>
      </c>
      <c r="I813" s="2" t="s">
        <v>2475</v>
      </c>
      <c r="J813" s="2" t="s">
        <v>60</v>
      </c>
      <c r="K813" s="2" t="s">
        <v>2093</v>
      </c>
      <c r="L813" s="7">
        <v>847020</v>
      </c>
      <c r="M813" s="2" t="s">
        <v>192</v>
      </c>
      <c r="N813" s="2">
        <v>300180</v>
      </c>
      <c r="O813" s="3" t="s">
        <v>2657</v>
      </c>
      <c r="P813" s="35"/>
      <c r="Q813" s="2"/>
      <c r="R813" s="3"/>
      <c r="S813" s="2" t="s">
        <v>2477</v>
      </c>
      <c r="T813" s="2" t="s">
        <v>515</v>
      </c>
      <c r="U813" s="2"/>
      <c r="V813" s="3">
        <v>500000</v>
      </c>
      <c r="W813" s="36" t="s">
        <v>2536</v>
      </c>
      <c r="X813" s="10">
        <v>500000</v>
      </c>
      <c r="Y813" s="2" t="s">
        <v>210</v>
      </c>
      <c r="Z813" s="14" t="s">
        <v>197</v>
      </c>
      <c r="AA813" s="14">
        <f t="shared" si="39"/>
        <v>450000</v>
      </c>
      <c r="AB813" s="14">
        <f t="shared" si="40"/>
        <v>400000</v>
      </c>
      <c r="AC813" s="14">
        <f t="shared" si="41"/>
        <v>350000</v>
      </c>
      <c r="AD813" s="3" t="s">
        <v>2416</v>
      </c>
      <c r="AE813" s="3" t="s">
        <v>2416</v>
      </c>
      <c r="AF813" s="43" t="s">
        <v>2416</v>
      </c>
      <c r="AG813" s="43"/>
      <c r="AH813" s="43"/>
      <c r="AI813" s="43">
        <v>500000</v>
      </c>
      <c r="AJ813" s="43"/>
      <c r="AK813" s="43"/>
      <c r="AL813" s="43"/>
      <c r="AM813" s="43"/>
      <c r="AN813" s="43"/>
      <c r="AO813" s="43"/>
      <c r="AP813" s="43"/>
      <c r="AQ813" s="43"/>
      <c r="AR813" s="43"/>
      <c r="AS813" s="3">
        <v>500000</v>
      </c>
      <c r="AT813" s="272" t="s">
        <v>1025</v>
      </c>
      <c r="AU813" s="15"/>
    </row>
    <row r="814" spans="1:47" ht="16.5" hidden="1" customHeight="1" x14ac:dyDescent="0.35">
      <c r="A814" s="2" t="s">
        <v>161</v>
      </c>
      <c r="B814" s="2" t="s">
        <v>2474</v>
      </c>
      <c r="C814" s="2" t="s">
        <v>47</v>
      </c>
      <c r="D814" s="2">
        <v>847</v>
      </c>
      <c r="E814" s="2">
        <v>8470530</v>
      </c>
      <c r="F814" s="2" t="s">
        <v>2412</v>
      </c>
      <c r="G814" s="2">
        <v>1</v>
      </c>
      <c r="H814" s="276">
        <v>492610</v>
      </c>
      <c r="I814" s="2" t="s">
        <v>2537</v>
      </c>
      <c r="J814" s="2" t="s">
        <v>60</v>
      </c>
      <c r="K814" s="2" t="s">
        <v>2413</v>
      </c>
      <c r="L814" s="7">
        <v>847010</v>
      </c>
      <c r="M814" s="2" t="s">
        <v>192</v>
      </c>
      <c r="N814" s="2">
        <v>300180</v>
      </c>
      <c r="O814" s="3" t="s">
        <v>2671</v>
      </c>
      <c r="P814" s="35">
        <v>1623493.7</v>
      </c>
      <c r="Q814" s="2">
        <v>2271162</v>
      </c>
      <c r="R814" s="3">
        <v>2271162</v>
      </c>
      <c r="S814" s="2" t="s">
        <v>2538</v>
      </c>
      <c r="T814" s="2" t="s">
        <v>515</v>
      </c>
      <c r="U814" s="2">
        <v>1</v>
      </c>
      <c r="V814" s="3">
        <v>1700000</v>
      </c>
      <c r="W814" s="36" t="s">
        <v>2539</v>
      </c>
      <c r="X814" s="10">
        <v>1700000</v>
      </c>
      <c r="Y814" s="2" t="s">
        <v>210</v>
      </c>
      <c r="Z814" s="14" t="s">
        <v>197</v>
      </c>
      <c r="AA814" s="14">
        <f t="shared" si="39"/>
        <v>1530000</v>
      </c>
      <c r="AB814" s="14">
        <f t="shared" si="40"/>
        <v>1360000</v>
      </c>
      <c r="AC814" s="14">
        <f t="shared" si="41"/>
        <v>1190000</v>
      </c>
      <c r="AD814" s="3" t="s">
        <v>2416</v>
      </c>
      <c r="AE814" s="3" t="s">
        <v>2416</v>
      </c>
      <c r="AF814" s="43" t="s">
        <v>2416</v>
      </c>
      <c r="AG814" s="43"/>
      <c r="AH814" s="43"/>
      <c r="AI814" s="43">
        <v>1700000</v>
      </c>
      <c r="AJ814" s="43"/>
      <c r="AK814" s="43"/>
      <c r="AL814" s="43"/>
      <c r="AM814" s="43"/>
      <c r="AN814" s="43"/>
      <c r="AO814" s="43"/>
      <c r="AP814" s="43"/>
      <c r="AQ814" s="43"/>
      <c r="AR814" s="43"/>
      <c r="AS814" s="3">
        <v>1700000</v>
      </c>
      <c r="AT814" s="272" t="s">
        <v>1025</v>
      </c>
      <c r="AU814" s="15"/>
    </row>
    <row r="815" spans="1:47" ht="16.5" hidden="1" customHeight="1" x14ac:dyDescent="0.35">
      <c r="A815" s="2" t="s">
        <v>161</v>
      </c>
      <c r="B815" s="2" t="s">
        <v>2474</v>
      </c>
      <c r="C815" s="2" t="s">
        <v>47</v>
      </c>
      <c r="D815" s="2">
        <v>847</v>
      </c>
      <c r="E815" s="2">
        <v>8470530</v>
      </c>
      <c r="F815" s="2" t="s">
        <v>2412</v>
      </c>
      <c r="G815" s="2">
        <v>1</v>
      </c>
      <c r="H815" s="276">
        <v>492610</v>
      </c>
      <c r="I815" s="2" t="s">
        <v>2537</v>
      </c>
      <c r="J815" s="2" t="s">
        <v>60</v>
      </c>
      <c r="K815" s="2" t="s">
        <v>2417</v>
      </c>
      <c r="L815" s="7">
        <v>847015</v>
      </c>
      <c r="M815" s="2" t="s">
        <v>192</v>
      </c>
      <c r="N815" s="2">
        <v>300180</v>
      </c>
      <c r="O815" s="3" t="s">
        <v>2672</v>
      </c>
      <c r="P815" s="35">
        <v>142490</v>
      </c>
      <c r="Q815" s="2">
        <v>32800</v>
      </c>
      <c r="R815" s="3">
        <v>32800</v>
      </c>
      <c r="S815" s="2"/>
      <c r="T815" s="2" t="s">
        <v>62</v>
      </c>
      <c r="U815" s="2"/>
      <c r="V815" s="3"/>
      <c r="W815" s="36"/>
      <c r="X815" s="10">
        <v>0</v>
      </c>
      <c r="Y815" s="2" t="s">
        <v>210</v>
      </c>
      <c r="Z815" s="14" t="s">
        <v>197</v>
      </c>
      <c r="AA815" s="14">
        <f t="shared" si="39"/>
        <v>0</v>
      </c>
      <c r="AB815" s="14">
        <f t="shared" si="40"/>
        <v>0</v>
      </c>
      <c r="AC815" s="14">
        <f t="shared" si="41"/>
        <v>0</v>
      </c>
      <c r="AD815" s="3" t="s">
        <v>2416</v>
      </c>
      <c r="AE815" s="3" t="s">
        <v>2416</v>
      </c>
      <c r="AF815" s="43" t="s">
        <v>2416</v>
      </c>
      <c r="AG815" s="43"/>
      <c r="AH815" s="43"/>
      <c r="AI815" s="43"/>
      <c r="AJ815" s="43"/>
      <c r="AK815" s="43"/>
      <c r="AL815" s="43"/>
      <c r="AM815" s="43"/>
      <c r="AN815" s="43"/>
      <c r="AO815" s="43"/>
      <c r="AP815" s="43"/>
      <c r="AQ815" s="43"/>
      <c r="AR815" s="43"/>
      <c r="AS815" s="3"/>
      <c r="AT815" s="272"/>
      <c r="AU815" s="15"/>
    </row>
    <row r="816" spans="1:47" ht="16.5" hidden="1" customHeight="1" x14ac:dyDescent="0.35">
      <c r="A816" s="2" t="s">
        <v>161</v>
      </c>
      <c r="B816" s="2" t="s">
        <v>2474</v>
      </c>
      <c r="C816" s="2" t="s">
        <v>47</v>
      </c>
      <c r="D816" s="2">
        <v>847</v>
      </c>
      <c r="E816" s="2">
        <v>8470530</v>
      </c>
      <c r="F816" s="2" t="s">
        <v>2412</v>
      </c>
      <c r="G816" s="2">
        <v>1</v>
      </c>
      <c r="H816" s="276">
        <v>492610</v>
      </c>
      <c r="I816" s="2" t="s">
        <v>2537</v>
      </c>
      <c r="J816" s="2" t="s">
        <v>60</v>
      </c>
      <c r="K816" s="2" t="s">
        <v>2413</v>
      </c>
      <c r="L816" s="7">
        <v>847010</v>
      </c>
      <c r="M816" s="2" t="s">
        <v>192</v>
      </c>
      <c r="N816" s="2">
        <v>300180</v>
      </c>
      <c r="O816" s="3" t="s">
        <v>2671</v>
      </c>
      <c r="P816" s="35"/>
      <c r="Q816" s="2"/>
      <c r="R816" s="3"/>
      <c r="S816" s="2" t="s">
        <v>2538</v>
      </c>
      <c r="T816" s="2" t="s">
        <v>515</v>
      </c>
      <c r="U816" s="2">
        <v>1</v>
      </c>
      <c r="V816" s="3">
        <v>1600000</v>
      </c>
      <c r="W816" s="36" t="s">
        <v>2540</v>
      </c>
      <c r="X816" s="10">
        <v>1600000</v>
      </c>
      <c r="Y816" s="2" t="s">
        <v>210</v>
      </c>
      <c r="Z816" s="14" t="s">
        <v>197</v>
      </c>
      <c r="AA816" s="14">
        <f t="shared" si="39"/>
        <v>1440000</v>
      </c>
      <c r="AB816" s="14">
        <f t="shared" si="40"/>
        <v>1280000</v>
      </c>
      <c r="AC816" s="14">
        <f t="shared" si="41"/>
        <v>1120000</v>
      </c>
      <c r="AD816" s="3" t="s">
        <v>2416</v>
      </c>
      <c r="AE816" s="3" t="s">
        <v>2416</v>
      </c>
      <c r="AF816" s="43" t="s">
        <v>2416</v>
      </c>
      <c r="AG816" s="43"/>
      <c r="AH816" s="43"/>
      <c r="AI816" s="43">
        <v>1600000</v>
      </c>
      <c r="AJ816" s="43"/>
      <c r="AK816" s="43"/>
      <c r="AL816" s="43"/>
      <c r="AM816" s="43"/>
      <c r="AN816" s="43"/>
      <c r="AO816" s="43"/>
      <c r="AP816" s="43"/>
      <c r="AQ816" s="43"/>
      <c r="AR816" s="43"/>
      <c r="AS816" s="3">
        <v>1600000</v>
      </c>
      <c r="AT816" s="272" t="s">
        <v>1025</v>
      </c>
      <c r="AU816" s="15"/>
    </row>
    <row r="817" spans="1:47" ht="16.5" hidden="1" customHeight="1" x14ac:dyDescent="0.35">
      <c r="A817" s="2" t="s">
        <v>161</v>
      </c>
      <c r="B817" s="2" t="s">
        <v>2474</v>
      </c>
      <c r="C817" s="2" t="s">
        <v>47</v>
      </c>
      <c r="D817" s="2">
        <v>847</v>
      </c>
      <c r="E817" s="2">
        <v>8470530</v>
      </c>
      <c r="F817" s="2" t="s">
        <v>2412</v>
      </c>
      <c r="G817" s="2">
        <v>1</v>
      </c>
      <c r="H817" s="276">
        <v>492610</v>
      </c>
      <c r="I817" s="2" t="s">
        <v>2537</v>
      </c>
      <c r="J817" s="2" t="s">
        <v>60</v>
      </c>
      <c r="K817" s="2" t="s">
        <v>2413</v>
      </c>
      <c r="L817" s="7">
        <v>847010</v>
      </c>
      <c r="M817" s="2" t="s">
        <v>192</v>
      </c>
      <c r="N817" s="2">
        <v>300180</v>
      </c>
      <c r="O817" s="3" t="s">
        <v>2671</v>
      </c>
      <c r="P817" s="35"/>
      <c r="Q817" s="2"/>
      <c r="R817" s="3"/>
      <c r="S817" s="2" t="s">
        <v>2538</v>
      </c>
      <c r="T817" s="2" t="s">
        <v>515</v>
      </c>
      <c r="U817" s="2">
        <v>1</v>
      </c>
      <c r="V817" s="3">
        <v>325000</v>
      </c>
      <c r="W817" s="36" t="s">
        <v>2541</v>
      </c>
      <c r="X817" s="10">
        <v>325000</v>
      </c>
      <c r="Y817" s="2" t="s">
        <v>210</v>
      </c>
      <c r="Z817" s="14" t="s">
        <v>197</v>
      </c>
      <c r="AA817" s="14">
        <f t="shared" si="39"/>
        <v>292500</v>
      </c>
      <c r="AB817" s="14">
        <f t="shared" si="40"/>
        <v>260000</v>
      </c>
      <c r="AC817" s="14">
        <f t="shared" si="41"/>
        <v>227500</v>
      </c>
      <c r="AD817" s="3" t="s">
        <v>2416</v>
      </c>
      <c r="AE817" s="3" t="s">
        <v>2416</v>
      </c>
      <c r="AF817" s="43" t="s">
        <v>2416</v>
      </c>
      <c r="AG817" s="43"/>
      <c r="AH817" s="43"/>
      <c r="AI817" s="43">
        <v>325000</v>
      </c>
      <c r="AJ817" s="43"/>
      <c r="AK817" s="43"/>
      <c r="AL817" s="43"/>
      <c r="AM817" s="43"/>
      <c r="AN817" s="43"/>
      <c r="AO817" s="43"/>
      <c r="AP817" s="43"/>
      <c r="AQ817" s="43"/>
      <c r="AR817" s="43"/>
      <c r="AS817" s="3">
        <v>325000</v>
      </c>
      <c r="AT817" s="272" t="s">
        <v>1025</v>
      </c>
      <c r="AU817" s="15"/>
    </row>
    <row r="818" spans="1:47" ht="16.5" hidden="1" customHeight="1" x14ac:dyDescent="0.35">
      <c r="A818" s="2" t="s">
        <v>161</v>
      </c>
      <c r="B818" s="2" t="s">
        <v>2474</v>
      </c>
      <c r="C818" s="2" t="s">
        <v>47</v>
      </c>
      <c r="D818" s="2">
        <v>847</v>
      </c>
      <c r="E818" s="2">
        <v>8470530</v>
      </c>
      <c r="F818" s="2" t="s">
        <v>2412</v>
      </c>
      <c r="G818" s="2">
        <v>1</v>
      </c>
      <c r="H818" s="276">
        <v>492610</v>
      </c>
      <c r="I818" s="2" t="s">
        <v>2537</v>
      </c>
      <c r="J818" s="2" t="s">
        <v>60</v>
      </c>
      <c r="K818" s="2" t="s">
        <v>2413</v>
      </c>
      <c r="L818" s="7">
        <v>847010</v>
      </c>
      <c r="M818" s="2" t="s">
        <v>192</v>
      </c>
      <c r="N818" s="2">
        <v>300180</v>
      </c>
      <c r="O818" s="3" t="s">
        <v>2671</v>
      </c>
      <c r="P818" s="35"/>
      <c r="Q818" s="2"/>
      <c r="R818" s="3"/>
      <c r="S818" s="37" t="s">
        <v>2538</v>
      </c>
      <c r="T818" s="2" t="s">
        <v>515</v>
      </c>
      <c r="U818" s="2">
        <v>1</v>
      </c>
      <c r="V818" s="3">
        <v>75000</v>
      </c>
      <c r="W818" s="36" t="s">
        <v>2542</v>
      </c>
      <c r="X818" s="10">
        <v>75000</v>
      </c>
      <c r="Y818" s="2" t="s">
        <v>210</v>
      </c>
      <c r="Z818" s="14" t="s">
        <v>197</v>
      </c>
      <c r="AA818" s="14">
        <f t="shared" si="39"/>
        <v>67500</v>
      </c>
      <c r="AB818" s="14">
        <f t="shared" si="40"/>
        <v>60000</v>
      </c>
      <c r="AC818" s="14">
        <f t="shared" si="41"/>
        <v>52500</v>
      </c>
      <c r="AD818" s="3" t="s">
        <v>2416</v>
      </c>
      <c r="AE818" s="3" t="s">
        <v>2416</v>
      </c>
      <c r="AF818" s="43" t="s">
        <v>2416</v>
      </c>
      <c r="AG818" s="43"/>
      <c r="AH818" s="43"/>
      <c r="AI818" s="43">
        <v>75000</v>
      </c>
      <c r="AJ818" s="43"/>
      <c r="AK818" s="43"/>
      <c r="AL818" s="43"/>
      <c r="AM818" s="43"/>
      <c r="AN818" s="43"/>
      <c r="AO818" s="43"/>
      <c r="AP818" s="43"/>
      <c r="AQ818" s="43"/>
      <c r="AR818" s="43"/>
      <c r="AS818" s="3">
        <v>75000</v>
      </c>
      <c r="AT818" s="272" t="s">
        <v>1025</v>
      </c>
      <c r="AU818" s="15"/>
    </row>
    <row r="819" spans="1:47" ht="16.5" hidden="1" customHeight="1" x14ac:dyDescent="0.35">
      <c r="A819" s="2" t="s">
        <v>161</v>
      </c>
      <c r="B819" s="2" t="s">
        <v>2474</v>
      </c>
      <c r="C819" s="2" t="s">
        <v>47</v>
      </c>
      <c r="D819" s="2">
        <v>847</v>
      </c>
      <c r="E819" s="2">
        <v>8470530</v>
      </c>
      <c r="F819" s="2" t="s">
        <v>2412</v>
      </c>
      <c r="G819" s="2">
        <v>1</v>
      </c>
      <c r="H819" s="276">
        <v>492610</v>
      </c>
      <c r="I819" s="2" t="s">
        <v>2537</v>
      </c>
      <c r="J819" s="2" t="s">
        <v>60</v>
      </c>
      <c r="K819" s="2" t="s">
        <v>2413</v>
      </c>
      <c r="L819" s="7">
        <v>847010</v>
      </c>
      <c r="M819" s="2" t="s">
        <v>192</v>
      </c>
      <c r="N819" s="2">
        <v>300180</v>
      </c>
      <c r="O819" s="3" t="s">
        <v>2671</v>
      </c>
      <c r="P819" s="35"/>
      <c r="Q819" s="2"/>
      <c r="R819" s="3"/>
      <c r="S819" s="37" t="s">
        <v>2538</v>
      </c>
      <c r="T819" s="2" t="s">
        <v>515</v>
      </c>
      <c r="U819" s="2">
        <v>1</v>
      </c>
      <c r="V819" s="3">
        <v>450000</v>
      </c>
      <c r="W819" s="36" t="s">
        <v>2543</v>
      </c>
      <c r="X819" s="10">
        <v>450000</v>
      </c>
      <c r="Y819" s="2" t="s">
        <v>210</v>
      </c>
      <c r="Z819" s="14" t="s">
        <v>197</v>
      </c>
      <c r="AA819" s="14">
        <f t="shared" si="39"/>
        <v>405000</v>
      </c>
      <c r="AB819" s="14">
        <f t="shared" si="40"/>
        <v>360000</v>
      </c>
      <c r="AC819" s="14">
        <f t="shared" si="41"/>
        <v>315000</v>
      </c>
      <c r="AD819" s="3" t="s">
        <v>2416</v>
      </c>
      <c r="AE819" s="3" t="s">
        <v>2416</v>
      </c>
      <c r="AF819" s="43" t="s">
        <v>2416</v>
      </c>
      <c r="AG819" s="43"/>
      <c r="AH819" s="43"/>
      <c r="AI819" s="43">
        <v>450000</v>
      </c>
      <c r="AJ819" s="43"/>
      <c r="AK819" s="43"/>
      <c r="AL819" s="43"/>
      <c r="AM819" s="43"/>
      <c r="AN819" s="43"/>
      <c r="AO819" s="43"/>
      <c r="AP819" s="43"/>
      <c r="AQ819" s="43"/>
      <c r="AR819" s="43"/>
      <c r="AS819" s="3">
        <v>450000</v>
      </c>
      <c r="AT819" s="272" t="s">
        <v>1025</v>
      </c>
      <c r="AU819" s="15"/>
    </row>
    <row r="820" spans="1:47" ht="16.5" hidden="1" customHeight="1" x14ac:dyDescent="0.35">
      <c r="A820" s="2" t="s">
        <v>161</v>
      </c>
      <c r="B820" s="2" t="s">
        <v>2474</v>
      </c>
      <c r="C820" s="2" t="s">
        <v>47</v>
      </c>
      <c r="D820" s="2">
        <v>847</v>
      </c>
      <c r="E820" s="2">
        <v>8470530</v>
      </c>
      <c r="F820" s="2" t="s">
        <v>2412</v>
      </c>
      <c r="G820" s="2">
        <v>1</v>
      </c>
      <c r="H820" s="276">
        <v>492610</v>
      </c>
      <c r="I820" s="2" t="s">
        <v>2537</v>
      </c>
      <c r="J820" s="2" t="s">
        <v>60</v>
      </c>
      <c r="K820" s="2" t="s">
        <v>2413</v>
      </c>
      <c r="L820" s="7">
        <v>847010</v>
      </c>
      <c r="M820" s="2" t="s">
        <v>192</v>
      </c>
      <c r="N820" s="2">
        <v>300180</v>
      </c>
      <c r="O820" s="3" t="s">
        <v>2671</v>
      </c>
      <c r="P820" s="35"/>
      <c r="Q820" s="2"/>
      <c r="R820" s="3"/>
      <c r="S820" s="37" t="s">
        <v>2538</v>
      </c>
      <c r="T820" s="2" t="s">
        <v>515</v>
      </c>
      <c r="U820" s="2">
        <v>1</v>
      </c>
      <c r="V820" s="3">
        <v>299594.40000000002</v>
      </c>
      <c r="W820" s="36" t="s">
        <v>2544</v>
      </c>
      <c r="X820" s="10">
        <v>299594.40000000002</v>
      </c>
      <c r="Y820" s="2" t="s">
        <v>210</v>
      </c>
      <c r="Z820" s="14" t="s">
        <v>197</v>
      </c>
      <c r="AA820" s="14">
        <f t="shared" si="39"/>
        <v>269634.96000000002</v>
      </c>
      <c r="AB820" s="14">
        <f t="shared" si="40"/>
        <v>239675.52000000002</v>
      </c>
      <c r="AC820" s="14">
        <f t="shared" si="41"/>
        <v>209716.08000000002</v>
      </c>
      <c r="AD820" s="3" t="s">
        <v>2416</v>
      </c>
      <c r="AE820" s="3" t="s">
        <v>2416</v>
      </c>
      <c r="AF820" s="43" t="s">
        <v>2416</v>
      </c>
      <c r="AG820" s="43"/>
      <c r="AH820" s="43"/>
      <c r="AI820" s="43">
        <v>299594.40000000002</v>
      </c>
      <c r="AJ820" s="43"/>
      <c r="AK820" s="43"/>
      <c r="AL820" s="43"/>
      <c r="AM820" s="43"/>
      <c r="AN820" s="43"/>
      <c r="AO820" s="43"/>
      <c r="AP820" s="43"/>
      <c r="AQ820" s="43"/>
      <c r="AR820" s="43"/>
      <c r="AS820" s="3">
        <v>299594.40000000002</v>
      </c>
      <c r="AT820" s="272" t="s">
        <v>1025</v>
      </c>
      <c r="AU820" s="15"/>
    </row>
    <row r="821" spans="1:47" ht="16.5" hidden="1" customHeight="1" x14ac:dyDescent="0.35">
      <c r="A821" s="2" t="s">
        <v>161</v>
      </c>
      <c r="B821" s="2" t="s">
        <v>2474</v>
      </c>
      <c r="C821" s="2" t="s">
        <v>47</v>
      </c>
      <c r="D821" s="2">
        <v>847</v>
      </c>
      <c r="E821" s="2">
        <v>8470530</v>
      </c>
      <c r="F821" s="2" t="s">
        <v>2412</v>
      </c>
      <c r="G821" s="2">
        <v>1</v>
      </c>
      <c r="H821" s="276">
        <v>492610</v>
      </c>
      <c r="I821" s="2" t="s">
        <v>2537</v>
      </c>
      <c r="J821" s="2" t="s">
        <v>60</v>
      </c>
      <c r="K821" s="2" t="s">
        <v>2413</v>
      </c>
      <c r="L821" s="7">
        <v>847010</v>
      </c>
      <c r="M821" s="2" t="s">
        <v>192</v>
      </c>
      <c r="N821" s="2">
        <v>300180</v>
      </c>
      <c r="O821" s="3" t="s">
        <v>2671</v>
      </c>
      <c r="P821" s="35"/>
      <c r="Q821" s="2"/>
      <c r="R821" s="3"/>
      <c r="S821" s="37" t="s">
        <v>2538</v>
      </c>
      <c r="T821" s="2" t="s">
        <v>515</v>
      </c>
      <c r="U821" s="2">
        <v>1</v>
      </c>
      <c r="V821" s="3">
        <v>300000</v>
      </c>
      <c r="W821" s="36" t="s">
        <v>2545</v>
      </c>
      <c r="X821" s="10">
        <v>300000</v>
      </c>
      <c r="Y821" s="2" t="s">
        <v>210</v>
      </c>
      <c r="Z821" s="14" t="s">
        <v>197</v>
      </c>
      <c r="AA821" s="14">
        <f t="shared" si="39"/>
        <v>270000</v>
      </c>
      <c r="AB821" s="14">
        <f t="shared" si="40"/>
        <v>240000</v>
      </c>
      <c r="AC821" s="14">
        <f t="shared" si="41"/>
        <v>210000</v>
      </c>
      <c r="AD821" s="3" t="s">
        <v>2416</v>
      </c>
      <c r="AE821" s="3" t="s">
        <v>2416</v>
      </c>
      <c r="AF821" s="43" t="s">
        <v>2416</v>
      </c>
      <c r="AG821" s="43"/>
      <c r="AH821" s="43"/>
      <c r="AI821" s="43">
        <v>300000</v>
      </c>
      <c r="AJ821" s="43"/>
      <c r="AK821" s="43"/>
      <c r="AL821" s="43"/>
      <c r="AM821" s="43"/>
      <c r="AN821" s="43"/>
      <c r="AO821" s="43"/>
      <c r="AP821" s="43"/>
      <c r="AQ821" s="43"/>
      <c r="AR821" s="43"/>
      <c r="AS821" s="3">
        <v>300000</v>
      </c>
      <c r="AT821" s="272" t="s">
        <v>1025</v>
      </c>
      <c r="AU821" s="15"/>
    </row>
    <row r="822" spans="1:47" ht="16.5" hidden="1" customHeight="1" x14ac:dyDescent="0.35">
      <c r="A822" s="2" t="s">
        <v>161</v>
      </c>
      <c r="B822" s="2" t="s">
        <v>2474</v>
      </c>
      <c r="C822" s="2" t="s">
        <v>47</v>
      </c>
      <c r="D822" s="2">
        <v>847</v>
      </c>
      <c r="E822" s="2">
        <v>8470530</v>
      </c>
      <c r="F822" s="2" t="s">
        <v>2412</v>
      </c>
      <c r="G822" s="2">
        <v>1</v>
      </c>
      <c r="H822" s="276">
        <v>492610</v>
      </c>
      <c r="I822" s="2" t="s">
        <v>2537</v>
      </c>
      <c r="J822" s="2" t="s">
        <v>60</v>
      </c>
      <c r="K822" s="2" t="s">
        <v>2413</v>
      </c>
      <c r="L822" s="7">
        <v>847010</v>
      </c>
      <c r="M822" s="2" t="s">
        <v>192</v>
      </c>
      <c r="N822" s="2">
        <v>300180</v>
      </c>
      <c r="O822" s="3" t="s">
        <v>2671</v>
      </c>
      <c r="P822" s="35"/>
      <c r="Q822" s="2"/>
      <c r="R822" s="3"/>
      <c r="S822" s="37" t="s">
        <v>2538</v>
      </c>
      <c r="T822" s="2" t="s">
        <v>515</v>
      </c>
      <c r="U822" s="2">
        <v>1</v>
      </c>
      <c r="V822" s="3">
        <v>688500</v>
      </c>
      <c r="W822" s="36" t="s">
        <v>2546</v>
      </c>
      <c r="X822" s="10">
        <v>688500</v>
      </c>
      <c r="Y822" s="2" t="s">
        <v>210</v>
      </c>
      <c r="Z822" s="14" t="s">
        <v>197</v>
      </c>
      <c r="AA822" s="14">
        <f t="shared" si="39"/>
        <v>619650</v>
      </c>
      <c r="AB822" s="14">
        <f t="shared" si="40"/>
        <v>550800</v>
      </c>
      <c r="AC822" s="14">
        <f t="shared" si="41"/>
        <v>481949.99999999994</v>
      </c>
      <c r="AD822" s="3" t="s">
        <v>2416</v>
      </c>
      <c r="AE822" s="3" t="s">
        <v>2416</v>
      </c>
      <c r="AF822" s="43" t="s">
        <v>2416</v>
      </c>
      <c r="AG822" s="43"/>
      <c r="AH822" s="43"/>
      <c r="AI822" s="43">
        <v>688500</v>
      </c>
      <c r="AJ822" s="43"/>
      <c r="AK822" s="43"/>
      <c r="AL822" s="43"/>
      <c r="AM822" s="43"/>
      <c r="AN822" s="43"/>
      <c r="AO822" s="43"/>
      <c r="AP822" s="43"/>
      <c r="AQ822" s="43"/>
      <c r="AR822" s="43"/>
      <c r="AS822" s="3">
        <v>688500</v>
      </c>
      <c r="AT822" s="272" t="s">
        <v>1025</v>
      </c>
      <c r="AU822" s="15"/>
    </row>
    <row r="823" spans="1:47" ht="16.5" hidden="1" customHeight="1" x14ac:dyDescent="0.35">
      <c r="A823" s="2" t="s">
        <v>161</v>
      </c>
      <c r="B823" s="2" t="s">
        <v>2474</v>
      </c>
      <c r="C823" s="2" t="s">
        <v>47</v>
      </c>
      <c r="D823" s="2">
        <v>847</v>
      </c>
      <c r="E823" s="2">
        <v>8470530</v>
      </c>
      <c r="F823" s="2" t="s">
        <v>2412</v>
      </c>
      <c r="G823" s="2">
        <v>1</v>
      </c>
      <c r="H823" s="276">
        <v>492610</v>
      </c>
      <c r="I823" s="2" t="s">
        <v>2537</v>
      </c>
      <c r="J823" s="2" t="s">
        <v>60</v>
      </c>
      <c r="K823" s="2" t="s">
        <v>2413</v>
      </c>
      <c r="L823" s="7">
        <v>847010</v>
      </c>
      <c r="M823" s="2" t="s">
        <v>192</v>
      </c>
      <c r="N823" s="2">
        <v>300180</v>
      </c>
      <c r="O823" s="3" t="s">
        <v>2671</v>
      </c>
      <c r="P823" s="35"/>
      <c r="Q823" s="2"/>
      <c r="R823" s="3"/>
      <c r="S823" s="37" t="s">
        <v>2538</v>
      </c>
      <c r="T823" s="2" t="s">
        <v>515</v>
      </c>
      <c r="U823" s="2">
        <v>1</v>
      </c>
      <c r="V823" s="3">
        <v>554000</v>
      </c>
      <c r="W823" s="36" t="s">
        <v>2547</v>
      </c>
      <c r="X823" s="10">
        <v>554000</v>
      </c>
      <c r="Y823" s="2" t="s">
        <v>210</v>
      </c>
      <c r="Z823" s="14" t="s">
        <v>197</v>
      </c>
      <c r="AA823" s="14">
        <f t="shared" si="39"/>
        <v>498600</v>
      </c>
      <c r="AB823" s="14">
        <f t="shared" si="40"/>
        <v>443200</v>
      </c>
      <c r="AC823" s="14">
        <f t="shared" si="41"/>
        <v>387800</v>
      </c>
      <c r="AD823" s="3" t="s">
        <v>2416</v>
      </c>
      <c r="AE823" s="3" t="s">
        <v>2416</v>
      </c>
      <c r="AF823" s="43" t="s">
        <v>2416</v>
      </c>
      <c r="AG823" s="43"/>
      <c r="AH823" s="43"/>
      <c r="AI823" s="43">
        <v>554000</v>
      </c>
      <c r="AJ823" s="43"/>
      <c r="AK823" s="43"/>
      <c r="AL823" s="43"/>
      <c r="AM823" s="43"/>
      <c r="AN823" s="43"/>
      <c r="AO823" s="43"/>
      <c r="AP823" s="43"/>
      <c r="AQ823" s="43"/>
      <c r="AR823" s="43"/>
      <c r="AS823" s="3">
        <v>554000</v>
      </c>
      <c r="AT823" s="272" t="s">
        <v>1025</v>
      </c>
      <c r="AU823" s="15"/>
    </row>
    <row r="824" spans="1:47" ht="16.5" hidden="1" customHeight="1" x14ac:dyDescent="0.35">
      <c r="A824" s="2" t="s">
        <v>161</v>
      </c>
      <c r="B824" s="2" t="s">
        <v>2474</v>
      </c>
      <c r="C824" s="2" t="s">
        <v>47</v>
      </c>
      <c r="D824" s="2">
        <v>847</v>
      </c>
      <c r="E824" s="2">
        <v>8470530</v>
      </c>
      <c r="F824" s="2" t="s">
        <v>2412</v>
      </c>
      <c r="G824" s="2">
        <v>1</v>
      </c>
      <c r="H824" s="276">
        <v>492610</v>
      </c>
      <c r="I824" s="2" t="s">
        <v>2537</v>
      </c>
      <c r="J824" s="2" t="s">
        <v>60</v>
      </c>
      <c r="K824" s="2" t="s">
        <v>2413</v>
      </c>
      <c r="L824" s="7">
        <v>847010</v>
      </c>
      <c r="M824" s="2" t="s">
        <v>192</v>
      </c>
      <c r="N824" s="2">
        <v>300180</v>
      </c>
      <c r="O824" s="3" t="s">
        <v>2671</v>
      </c>
      <c r="P824" s="35"/>
      <c r="Q824" s="2"/>
      <c r="R824" s="3"/>
      <c r="S824" s="37" t="s">
        <v>2538</v>
      </c>
      <c r="T824" s="2" t="s">
        <v>515</v>
      </c>
      <c r="U824" s="2">
        <v>1</v>
      </c>
      <c r="V824" s="3">
        <v>54500</v>
      </c>
      <c r="W824" s="36" t="s">
        <v>2548</v>
      </c>
      <c r="X824" s="10">
        <v>54500</v>
      </c>
      <c r="Y824" s="2" t="s">
        <v>210</v>
      </c>
      <c r="Z824" s="14" t="s">
        <v>197</v>
      </c>
      <c r="AA824" s="14">
        <f t="shared" si="39"/>
        <v>49050</v>
      </c>
      <c r="AB824" s="14">
        <f t="shared" si="40"/>
        <v>43600</v>
      </c>
      <c r="AC824" s="14">
        <f t="shared" si="41"/>
        <v>38150</v>
      </c>
      <c r="AD824" s="3" t="s">
        <v>2416</v>
      </c>
      <c r="AE824" s="3" t="s">
        <v>2416</v>
      </c>
      <c r="AF824" s="43" t="s">
        <v>2416</v>
      </c>
      <c r="AG824" s="43"/>
      <c r="AH824" s="43"/>
      <c r="AI824" s="43">
        <v>54500</v>
      </c>
      <c r="AJ824" s="43"/>
      <c r="AK824" s="43"/>
      <c r="AL824" s="43"/>
      <c r="AM824" s="43"/>
      <c r="AN824" s="43"/>
      <c r="AO824" s="43"/>
      <c r="AP824" s="43"/>
      <c r="AQ824" s="43"/>
      <c r="AR824" s="43"/>
      <c r="AS824" s="3">
        <v>54500</v>
      </c>
      <c r="AT824" s="272" t="s">
        <v>1025</v>
      </c>
      <c r="AU824" s="15"/>
    </row>
    <row r="825" spans="1:47" ht="16.5" hidden="1" customHeight="1" x14ac:dyDescent="0.35">
      <c r="A825" s="2" t="s">
        <v>161</v>
      </c>
      <c r="B825" s="2" t="s">
        <v>2474</v>
      </c>
      <c r="C825" s="2" t="s">
        <v>47</v>
      </c>
      <c r="D825" s="2">
        <v>847</v>
      </c>
      <c r="E825" s="2">
        <v>8470530</v>
      </c>
      <c r="F825" s="2" t="s">
        <v>2412</v>
      </c>
      <c r="G825" s="2">
        <v>1</v>
      </c>
      <c r="H825" s="276">
        <v>492610</v>
      </c>
      <c r="I825" s="2" t="s">
        <v>2537</v>
      </c>
      <c r="J825" s="2" t="s">
        <v>60</v>
      </c>
      <c r="K825" s="2" t="s">
        <v>2093</v>
      </c>
      <c r="L825" s="7">
        <v>847020</v>
      </c>
      <c r="M825" s="2" t="s">
        <v>192</v>
      </c>
      <c r="N825" s="2">
        <v>300180</v>
      </c>
      <c r="O825" s="3" t="s">
        <v>2673</v>
      </c>
      <c r="P825" s="35" t="s">
        <v>46</v>
      </c>
      <c r="Q825" s="2">
        <v>1375893</v>
      </c>
      <c r="R825" s="3">
        <v>1375893</v>
      </c>
      <c r="S825" s="2" t="s">
        <v>2538</v>
      </c>
      <c r="T825" s="2" t="s">
        <v>515</v>
      </c>
      <c r="U825" s="2">
        <v>1</v>
      </c>
      <c r="V825" s="3">
        <v>280000</v>
      </c>
      <c r="W825" s="36" t="s">
        <v>2549</v>
      </c>
      <c r="X825" s="10">
        <v>280000</v>
      </c>
      <c r="Y825" s="2" t="s">
        <v>210</v>
      </c>
      <c r="Z825" s="14" t="s">
        <v>197</v>
      </c>
      <c r="AA825" s="14">
        <f t="shared" si="39"/>
        <v>252000</v>
      </c>
      <c r="AB825" s="14">
        <f t="shared" si="40"/>
        <v>224000</v>
      </c>
      <c r="AC825" s="14">
        <f t="shared" si="41"/>
        <v>196000</v>
      </c>
      <c r="AD825" s="3" t="s">
        <v>2416</v>
      </c>
      <c r="AE825" s="3" t="s">
        <v>2416</v>
      </c>
      <c r="AF825" s="43" t="s">
        <v>2416</v>
      </c>
      <c r="AG825" s="43"/>
      <c r="AH825" s="43"/>
      <c r="AI825" s="43">
        <v>280000</v>
      </c>
      <c r="AJ825" s="43"/>
      <c r="AK825" s="43"/>
      <c r="AL825" s="43"/>
      <c r="AM825" s="43"/>
      <c r="AN825" s="43"/>
      <c r="AO825" s="43"/>
      <c r="AP825" s="43"/>
      <c r="AQ825" s="43"/>
      <c r="AR825" s="43"/>
      <c r="AS825" s="3">
        <v>280000</v>
      </c>
      <c r="AT825" s="272" t="s">
        <v>1025</v>
      </c>
      <c r="AU825" s="15"/>
    </row>
    <row r="826" spans="1:47" ht="16.5" hidden="1" customHeight="1" x14ac:dyDescent="0.35">
      <c r="A826" s="2" t="s">
        <v>189</v>
      </c>
      <c r="B826" s="2" t="s">
        <v>58</v>
      </c>
      <c r="C826" s="2" t="s">
        <v>47</v>
      </c>
      <c r="D826" s="2">
        <v>847</v>
      </c>
      <c r="E826" s="2">
        <v>8470530</v>
      </c>
      <c r="F826" s="2" t="s">
        <v>2412</v>
      </c>
      <c r="G826" s="2">
        <v>1</v>
      </c>
      <c r="H826" s="276">
        <v>495140</v>
      </c>
      <c r="I826" s="2" t="s">
        <v>541</v>
      </c>
      <c r="J826" s="2" t="s">
        <v>60</v>
      </c>
      <c r="K826" s="2" t="s">
        <v>2413</v>
      </c>
      <c r="L826" s="7">
        <v>847010</v>
      </c>
      <c r="M826" s="2" t="s">
        <v>192</v>
      </c>
      <c r="N826" s="2">
        <v>300180</v>
      </c>
      <c r="O826" s="3" t="s">
        <v>2817</v>
      </c>
      <c r="P826" s="35">
        <v>18149.5</v>
      </c>
      <c r="Q826" s="2">
        <v>30312</v>
      </c>
      <c r="R826" s="3">
        <v>30312</v>
      </c>
      <c r="S826" s="2"/>
      <c r="T826" s="2" t="s">
        <v>62</v>
      </c>
      <c r="U826" s="2"/>
      <c r="V826" s="3"/>
      <c r="W826" s="36"/>
      <c r="X826" s="2">
        <v>0</v>
      </c>
      <c r="Y826" s="2" t="s">
        <v>210</v>
      </c>
      <c r="Z826" s="14" t="s">
        <v>197</v>
      </c>
      <c r="AA826" s="14">
        <f t="shared" si="39"/>
        <v>0</v>
      </c>
      <c r="AB826" s="14">
        <f t="shared" si="40"/>
        <v>0</v>
      </c>
      <c r="AC826" s="14">
        <f t="shared" si="41"/>
        <v>0</v>
      </c>
      <c r="AD826" s="3" t="s">
        <v>2416</v>
      </c>
      <c r="AE826" s="3" t="s">
        <v>2416</v>
      </c>
      <c r="AF826" s="43" t="s">
        <v>2416</v>
      </c>
      <c r="AG826" s="43"/>
      <c r="AH826" s="43"/>
      <c r="AI826" s="43"/>
      <c r="AJ826" s="43"/>
      <c r="AK826" s="43"/>
      <c r="AL826" s="43"/>
      <c r="AM826" s="43"/>
      <c r="AN826" s="43"/>
      <c r="AO826" s="43"/>
      <c r="AP826" s="43"/>
      <c r="AQ826" s="43"/>
      <c r="AR826" s="43"/>
      <c r="AS826" s="3"/>
      <c r="AT826" s="272" t="s">
        <v>1025</v>
      </c>
      <c r="AU826" s="15"/>
    </row>
    <row r="827" spans="1:47" ht="16.5" hidden="1" customHeight="1" x14ac:dyDescent="0.35">
      <c r="A827" s="2" t="s">
        <v>258</v>
      </c>
      <c r="B827" s="2" t="s">
        <v>58</v>
      </c>
      <c r="C827" s="2" t="s">
        <v>47</v>
      </c>
      <c r="D827" s="2">
        <v>847</v>
      </c>
      <c r="E827" s="2">
        <v>8470530</v>
      </c>
      <c r="F827" s="2" t="s">
        <v>2412</v>
      </c>
      <c r="G827" s="2">
        <v>1</v>
      </c>
      <c r="H827" s="276">
        <v>425747</v>
      </c>
      <c r="I827" s="2" t="s">
        <v>2550</v>
      </c>
      <c r="J827" s="2" t="s">
        <v>60</v>
      </c>
      <c r="K827" s="2" t="s">
        <v>2417</v>
      </c>
      <c r="L827" s="7">
        <v>847015</v>
      </c>
      <c r="M827" s="2" t="s">
        <v>61</v>
      </c>
      <c r="N827" s="2">
        <v>200179</v>
      </c>
      <c r="O827" s="3" t="s">
        <v>2795</v>
      </c>
      <c r="P827" s="35">
        <v>18625059</v>
      </c>
      <c r="Q827" s="2" t="s">
        <v>46</v>
      </c>
      <c r="R827" s="3"/>
      <c r="S827" s="2"/>
      <c r="T827" s="2" t="s">
        <v>62</v>
      </c>
      <c r="U827" s="2"/>
      <c r="V827" s="3"/>
      <c r="W827" s="36"/>
      <c r="X827" s="2">
        <v>0</v>
      </c>
      <c r="Y827" s="2" t="s">
        <v>210</v>
      </c>
      <c r="Z827" s="14" t="s">
        <v>197</v>
      </c>
      <c r="AA827" s="14">
        <f t="shared" si="39"/>
        <v>0</v>
      </c>
      <c r="AB827" s="14">
        <f t="shared" si="40"/>
        <v>0</v>
      </c>
      <c r="AC827" s="14">
        <f t="shared" si="41"/>
        <v>0</v>
      </c>
      <c r="AD827" s="3" t="s">
        <v>2416</v>
      </c>
      <c r="AE827" s="3" t="s">
        <v>2416</v>
      </c>
      <c r="AF827" s="43" t="s">
        <v>2416</v>
      </c>
      <c r="AG827" s="43"/>
      <c r="AH827" s="43"/>
      <c r="AI827" s="43"/>
      <c r="AJ827" s="43"/>
      <c r="AK827" s="43"/>
      <c r="AL827" s="43"/>
      <c r="AM827" s="43"/>
      <c r="AN827" s="43"/>
      <c r="AO827" s="43"/>
      <c r="AP827" s="43"/>
      <c r="AQ827" s="43"/>
      <c r="AR827" s="43"/>
      <c r="AS827" s="3"/>
      <c r="AT827" s="272" t="s">
        <v>1025</v>
      </c>
      <c r="AU827" s="15"/>
    </row>
    <row r="828" spans="1:47" ht="16.5" hidden="1" customHeight="1" x14ac:dyDescent="0.35">
      <c r="A828" s="2" t="s">
        <v>161</v>
      </c>
      <c r="B828" s="2" t="s">
        <v>58</v>
      </c>
      <c r="C828" s="2" t="s">
        <v>47</v>
      </c>
      <c r="D828" s="2">
        <v>847</v>
      </c>
      <c r="E828" s="2">
        <v>8470530</v>
      </c>
      <c r="F828" s="2" t="s">
        <v>2412</v>
      </c>
      <c r="G828" s="2">
        <v>1</v>
      </c>
      <c r="H828" s="276">
        <v>426210</v>
      </c>
      <c r="I828" s="2" t="s">
        <v>2551</v>
      </c>
      <c r="J828" s="2" t="s">
        <v>60</v>
      </c>
      <c r="K828" s="2" t="s">
        <v>50</v>
      </c>
      <c r="L828" s="7">
        <v>847001</v>
      </c>
      <c r="M828" s="2" t="s">
        <v>61</v>
      </c>
      <c r="N828" s="2">
        <v>200179</v>
      </c>
      <c r="O828" s="3" t="s">
        <v>2796</v>
      </c>
      <c r="P828" s="35">
        <v>2826</v>
      </c>
      <c r="Q828" s="2" t="s">
        <v>46</v>
      </c>
      <c r="R828" s="3"/>
      <c r="S828" s="2"/>
      <c r="T828" s="2" t="s">
        <v>62</v>
      </c>
      <c r="U828" s="2"/>
      <c r="V828" s="3"/>
      <c r="W828" s="36"/>
      <c r="X828" s="2">
        <v>0</v>
      </c>
      <c r="Y828" s="2" t="s">
        <v>210</v>
      </c>
      <c r="Z828" s="14" t="s">
        <v>197</v>
      </c>
      <c r="AA828" s="14">
        <f t="shared" si="39"/>
        <v>0</v>
      </c>
      <c r="AB828" s="14">
        <f t="shared" si="40"/>
        <v>0</v>
      </c>
      <c r="AC828" s="14">
        <f t="shared" si="41"/>
        <v>0</v>
      </c>
      <c r="AD828" s="3" t="s">
        <v>2416</v>
      </c>
      <c r="AE828" s="3" t="s">
        <v>2416</v>
      </c>
      <c r="AF828" s="43" t="s">
        <v>2416</v>
      </c>
      <c r="AG828" s="43"/>
      <c r="AH828" s="43"/>
      <c r="AI828" s="43"/>
      <c r="AJ828" s="43"/>
      <c r="AK828" s="43"/>
      <c r="AL828" s="43"/>
      <c r="AM828" s="43"/>
      <c r="AN828" s="43"/>
      <c r="AO828" s="43"/>
      <c r="AP828" s="43"/>
      <c r="AQ828" s="43"/>
      <c r="AR828" s="43"/>
      <c r="AS828" s="3"/>
      <c r="AT828" s="272" t="s">
        <v>1025</v>
      </c>
      <c r="AU828" s="15"/>
    </row>
    <row r="829" spans="1:47" ht="16.5" hidden="1" customHeight="1" x14ac:dyDescent="0.35">
      <c r="A829" s="2" t="s">
        <v>161</v>
      </c>
      <c r="B829" s="2" t="s">
        <v>58</v>
      </c>
      <c r="C829" s="2" t="s">
        <v>47</v>
      </c>
      <c r="D829" s="2">
        <v>847</v>
      </c>
      <c r="E829" s="2">
        <v>8470530</v>
      </c>
      <c r="F829" s="2" t="s">
        <v>2412</v>
      </c>
      <c r="G829" s="2">
        <v>1</v>
      </c>
      <c r="H829" s="276">
        <v>426800</v>
      </c>
      <c r="I829" s="2" t="s">
        <v>2552</v>
      </c>
      <c r="J829" s="2" t="s">
        <v>60</v>
      </c>
      <c r="K829" s="2" t="s">
        <v>50</v>
      </c>
      <c r="L829" s="7">
        <v>847001</v>
      </c>
      <c r="M829" s="2" t="s">
        <v>61</v>
      </c>
      <c r="N829" s="2">
        <v>200179</v>
      </c>
      <c r="O829" s="3" t="s">
        <v>2797</v>
      </c>
      <c r="P829" s="35">
        <v>6245</v>
      </c>
      <c r="Q829" s="2" t="s">
        <v>46</v>
      </c>
      <c r="R829" s="3"/>
      <c r="S829" s="2"/>
      <c r="T829" s="2" t="s">
        <v>62</v>
      </c>
      <c r="U829" s="2"/>
      <c r="V829" s="3"/>
      <c r="W829" s="36"/>
      <c r="X829" s="2">
        <v>0</v>
      </c>
      <c r="Y829" s="2" t="s">
        <v>210</v>
      </c>
      <c r="Z829" s="14" t="s">
        <v>197</v>
      </c>
      <c r="AA829" s="14">
        <f t="shared" si="39"/>
        <v>0</v>
      </c>
      <c r="AB829" s="14">
        <f t="shared" si="40"/>
        <v>0</v>
      </c>
      <c r="AC829" s="14">
        <f t="shared" si="41"/>
        <v>0</v>
      </c>
      <c r="AD829" s="3" t="s">
        <v>2416</v>
      </c>
      <c r="AE829" s="3" t="s">
        <v>2416</v>
      </c>
      <c r="AF829" s="43" t="s">
        <v>2416</v>
      </c>
      <c r="AG829" s="43"/>
      <c r="AH829" s="43"/>
      <c r="AI829" s="43"/>
      <c r="AJ829" s="43"/>
      <c r="AK829" s="43"/>
      <c r="AL829" s="43"/>
      <c r="AM829" s="43"/>
      <c r="AN829" s="43"/>
      <c r="AO829" s="43"/>
      <c r="AP829" s="43"/>
      <c r="AQ829" s="43"/>
      <c r="AR829" s="43"/>
      <c r="AS829" s="3"/>
      <c r="AT829" s="272" t="s">
        <v>1025</v>
      </c>
      <c r="AU829" s="15"/>
    </row>
    <row r="830" spans="1:47" ht="16.5" hidden="1" customHeight="1" x14ac:dyDescent="0.35">
      <c r="A830" s="2" t="s">
        <v>71</v>
      </c>
      <c r="B830" s="2" t="s">
        <v>58</v>
      </c>
      <c r="C830" s="2" t="s">
        <v>47</v>
      </c>
      <c r="D830" s="2">
        <v>847</v>
      </c>
      <c r="E830" s="2">
        <v>8470530</v>
      </c>
      <c r="F830" s="2" t="s">
        <v>2412</v>
      </c>
      <c r="G830" s="2">
        <v>1</v>
      </c>
      <c r="H830" s="276">
        <v>426900</v>
      </c>
      <c r="I830" s="2" t="s">
        <v>1080</v>
      </c>
      <c r="J830" s="2" t="s">
        <v>60</v>
      </c>
      <c r="K830" s="2" t="s">
        <v>50</v>
      </c>
      <c r="L830" s="7">
        <v>847001</v>
      </c>
      <c r="M830" s="2" t="s">
        <v>61</v>
      </c>
      <c r="N830" s="2">
        <v>200179</v>
      </c>
      <c r="O830" s="3" t="s">
        <v>2798</v>
      </c>
      <c r="P830" s="35">
        <v>17870.55</v>
      </c>
      <c r="Q830" s="2" t="s">
        <v>46</v>
      </c>
      <c r="R830" s="3"/>
      <c r="S830" s="2"/>
      <c r="T830" s="2" t="s">
        <v>62</v>
      </c>
      <c r="U830" s="2"/>
      <c r="V830" s="3"/>
      <c r="W830" s="36"/>
      <c r="X830" s="2">
        <v>0</v>
      </c>
      <c r="Y830" s="2" t="s">
        <v>210</v>
      </c>
      <c r="Z830" s="14" t="s">
        <v>197</v>
      </c>
      <c r="AA830" s="14">
        <f t="shared" si="39"/>
        <v>0</v>
      </c>
      <c r="AB830" s="14">
        <f t="shared" si="40"/>
        <v>0</v>
      </c>
      <c r="AC830" s="14">
        <f t="shared" si="41"/>
        <v>0</v>
      </c>
      <c r="AD830" s="3" t="s">
        <v>2416</v>
      </c>
      <c r="AE830" s="3" t="s">
        <v>2416</v>
      </c>
      <c r="AF830" s="43" t="s">
        <v>2416</v>
      </c>
      <c r="AG830" s="43"/>
      <c r="AH830" s="43"/>
      <c r="AI830" s="43"/>
      <c r="AJ830" s="43"/>
      <c r="AK830" s="43"/>
      <c r="AL830" s="43"/>
      <c r="AM830" s="43"/>
      <c r="AN830" s="43"/>
      <c r="AO830" s="43"/>
      <c r="AP830" s="43"/>
      <c r="AQ830" s="43"/>
      <c r="AR830" s="43"/>
      <c r="AS830" s="3"/>
      <c r="AT830" s="272" t="s">
        <v>1025</v>
      </c>
      <c r="AU830" s="15"/>
    </row>
    <row r="831" spans="1:47" ht="16.5" hidden="1" customHeight="1" x14ac:dyDescent="0.35">
      <c r="A831" s="2" t="s">
        <v>161</v>
      </c>
      <c r="B831" s="2" t="s">
        <v>58</v>
      </c>
      <c r="C831" s="2" t="s">
        <v>47</v>
      </c>
      <c r="D831" s="2">
        <v>847</v>
      </c>
      <c r="E831" s="2">
        <v>8470530</v>
      </c>
      <c r="F831" s="2" t="s">
        <v>2412</v>
      </c>
      <c r="G831" s="2">
        <v>1</v>
      </c>
      <c r="H831" s="276">
        <v>428111</v>
      </c>
      <c r="I831" s="2" t="s">
        <v>1478</v>
      </c>
      <c r="J831" s="2" t="s">
        <v>60</v>
      </c>
      <c r="K831" s="37" t="s">
        <v>2413</v>
      </c>
      <c r="L831" s="7">
        <v>847010</v>
      </c>
      <c r="M831" s="2" t="s">
        <v>61</v>
      </c>
      <c r="N831" s="2">
        <v>200179</v>
      </c>
      <c r="O831" s="3" t="s">
        <v>2799</v>
      </c>
      <c r="P831" s="35">
        <v>7180435.5099999998</v>
      </c>
      <c r="Q831" s="2" t="s">
        <v>46</v>
      </c>
      <c r="R831" s="3"/>
      <c r="S831" s="2"/>
      <c r="T831" s="2" t="s">
        <v>62</v>
      </c>
      <c r="U831" s="2"/>
      <c r="V831" s="3"/>
      <c r="W831" s="36"/>
      <c r="X831" s="2">
        <v>0</v>
      </c>
      <c r="Y831" s="2" t="s">
        <v>210</v>
      </c>
      <c r="Z831" s="14" t="s">
        <v>197</v>
      </c>
      <c r="AA831" s="14">
        <f t="shared" si="39"/>
        <v>0</v>
      </c>
      <c r="AB831" s="14">
        <f t="shared" si="40"/>
        <v>0</v>
      </c>
      <c r="AC831" s="14">
        <f t="shared" si="41"/>
        <v>0</v>
      </c>
      <c r="AD831" s="3" t="s">
        <v>2416</v>
      </c>
      <c r="AE831" s="3" t="s">
        <v>2416</v>
      </c>
      <c r="AF831" s="43" t="s">
        <v>2416</v>
      </c>
      <c r="AG831" s="43"/>
      <c r="AH831" s="43"/>
      <c r="AI831" s="43"/>
      <c r="AJ831" s="43"/>
      <c r="AK831" s="43"/>
      <c r="AL831" s="43"/>
      <c r="AM831" s="43"/>
      <c r="AN831" s="43"/>
      <c r="AO831" s="43"/>
      <c r="AP831" s="43"/>
      <c r="AQ831" s="43"/>
      <c r="AR831" s="43"/>
      <c r="AS831" s="3"/>
      <c r="AT831" s="272" t="s">
        <v>1025</v>
      </c>
      <c r="AU831" s="15"/>
    </row>
    <row r="832" spans="1:47" ht="16.5" hidden="1" customHeight="1" x14ac:dyDescent="0.35">
      <c r="A832" s="2" t="s">
        <v>161</v>
      </c>
      <c r="B832" s="2" t="s">
        <v>58</v>
      </c>
      <c r="C832" s="2" t="s">
        <v>47</v>
      </c>
      <c r="D832" s="2">
        <v>847</v>
      </c>
      <c r="E832" s="2">
        <v>8470530</v>
      </c>
      <c r="F832" s="2" t="s">
        <v>2412</v>
      </c>
      <c r="G832" s="2">
        <v>1</v>
      </c>
      <c r="H832" s="276">
        <v>428111</v>
      </c>
      <c r="I832" s="2" t="s">
        <v>1478</v>
      </c>
      <c r="J832" s="2" t="s">
        <v>60</v>
      </c>
      <c r="K832" s="2" t="s">
        <v>2417</v>
      </c>
      <c r="L832" s="7">
        <v>847015</v>
      </c>
      <c r="M832" s="2" t="s">
        <v>61</v>
      </c>
      <c r="N832" s="2">
        <v>200179</v>
      </c>
      <c r="O832" s="3" t="s">
        <v>2802</v>
      </c>
      <c r="P832" s="35">
        <v>3253301.43</v>
      </c>
      <c r="Q832" s="2" t="s">
        <v>46</v>
      </c>
      <c r="R832" s="3"/>
      <c r="S832" s="2"/>
      <c r="T832" s="2" t="s">
        <v>62</v>
      </c>
      <c r="U832" s="2"/>
      <c r="V832" s="3"/>
      <c r="W832" s="36"/>
      <c r="X832" s="2">
        <v>0</v>
      </c>
      <c r="Y832" s="2" t="s">
        <v>210</v>
      </c>
      <c r="Z832" s="14" t="s">
        <v>197</v>
      </c>
      <c r="AA832" s="14">
        <f t="shared" si="39"/>
        <v>0</v>
      </c>
      <c r="AB832" s="14">
        <f t="shared" si="40"/>
        <v>0</v>
      </c>
      <c r="AC832" s="14">
        <f t="shared" si="41"/>
        <v>0</v>
      </c>
      <c r="AD832" s="3" t="s">
        <v>2416</v>
      </c>
      <c r="AE832" s="3" t="s">
        <v>2416</v>
      </c>
      <c r="AF832" s="43" t="s">
        <v>2416</v>
      </c>
      <c r="AG832" s="43"/>
      <c r="AH832" s="43"/>
      <c r="AI832" s="43"/>
      <c r="AJ832" s="43"/>
      <c r="AK832" s="43"/>
      <c r="AL832" s="43"/>
      <c r="AM832" s="43"/>
      <c r="AN832" s="43"/>
      <c r="AO832" s="43"/>
      <c r="AP832" s="43"/>
      <c r="AQ832" s="43"/>
      <c r="AR832" s="43"/>
      <c r="AS832" s="3"/>
      <c r="AT832" s="272" t="s">
        <v>1025</v>
      </c>
      <c r="AU832" s="15"/>
    </row>
    <row r="833" spans="1:49" ht="16.5" hidden="1" customHeight="1" x14ac:dyDescent="0.35">
      <c r="A833" s="2" t="s">
        <v>161</v>
      </c>
      <c r="B833" s="2" t="s">
        <v>58</v>
      </c>
      <c r="C833" s="2" t="s">
        <v>47</v>
      </c>
      <c r="D833" s="2">
        <v>847</v>
      </c>
      <c r="E833" s="2">
        <v>8470530</v>
      </c>
      <c r="F833" s="2" t="s">
        <v>2412</v>
      </c>
      <c r="G833" s="2">
        <v>1</v>
      </c>
      <c r="H833" s="276">
        <v>428111</v>
      </c>
      <c r="I833" s="2" t="s">
        <v>1478</v>
      </c>
      <c r="J833" s="2" t="s">
        <v>60</v>
      </c>
      <c r="K833" s="2" t="s">
        <v>2093</v>
      </c>
      <c r="L833" s="7">
        <v>847020</v>
      </c>
      <c r="M833" s="2" t="s">
        <v>61</v>
      </c>
      <c r="N833" s="2">
        <v>200179</v>
      </c>
      <c r="O833" s="3" t="s">
        <v>2801</v>
      </c>
      <c r="P833" s="35">
        <v>3847536.23</v>
      </c>
      <c r="Q833" s="2" t="s">
        <v>46</v>
      </c>
      <c r="R833" s="3"/>
      <c r="S833" s="2"/>
      <c r="T833" s="2" t="s">
        <v>62</v>
      </c>
      <c r="U833" s="2"/>
      <c r="V833" s="3"/>
      <c r="W833" s="36"/>
      <c r="X833" s="2">
        <v>0</v>
      </c>
      <c r="Y833" s="2" t="s">
        <v>210</v>
      </c>
      <c r="Z833" s="14" t="s">
        <v>197</v>
      </c>
      <c r="AA833" s="14">
        <f t="shared" si="39"/>
        <v>0</v>
      </c>
      <c r="AB833" s="14">
        <f t="shared" si="40"/>
        <v>0</v>
      </c>
      <c r="AC833" s="14">
        <f t="shared" si="41"/>
        <v>0</v>
      </c>
      <c r="AD833" s="3" t="s">
        <v>2416</v>
      </c>
      <c r="AE833" s="3" t="s">
        <v>2416</v>
      </c>
      <c r="AF833" s="43" t="s">
        <v>2416</v>
      </c>
      <c r="AG833" s="43"/>
      <c r="AH833" s="43"/>
      <c r="AI833" s="43"/>
      <c r="AJ833" s="43"/>
      <c r="AK833" s="43"/>
      <c r="AL833" s="43"/>
      <c r="AM833" s="43"/>
      <c r="AN833" s="43"/>
      <c r="AO833" s="43"/>
      <c r="AP833" s="43"/>
      <c r="AQ833" s="43"/>
      <c r="AR833" s="43"/>
      <c r="AS833" s="3"/>
      <c r="AT833" s="272" t="s">
        <v>1025</v>
      </c>
      <c r="AU833" s="15"/>
    </row>
    <row r="834" spans="1:49" ht="16.5" hidden="1" customHeight="1" x14ac:dyDescent="0.35">
      <c r="A834" s="2" t="s">
        <v>161</v>
      </c>
      <c r="B834" s="2" t="s">
        <v>58</v>
      </c>
      <c r="C834" s="2" t="s">
        <v>47</v>
      </c>
      <c r="D834" s="2">
        <v>847</v>
      </c>
      <c r="E834" s="2">
        <v>8470530</v>
      </c>
      <c r="F834" s="2" t="s">
        <v>2412</v>
      </c>
      <c r="G834" s="2">
        <v>1</v>
      </c>
      <c r="H834" s="276">
        <v>428111</v>
      </c>
      <c r="I834" s="2" t="s">
        <v>1478</v>
      </c>
      <c r="J834" s="2" t="s">
        <v>60</v>
      </c>
      <c r="K834" s="2" t="s">
        <v>2429</v>
      </c>
      <c r="L834" s="7">
        <v>847030</v>
      </c>
      <c r="M834" s="2" t="s">
        <v>61</v>
      </c>
      <c r="N834" s="2">
        <v>200179</v>
      </c>
      <c r="O834" s="3" t="s">
        <v>2800</v>
      </c>
      <c r="P834" s="35">
        <v>215086.31</v>
      </c>
      <c r="Q834" s="2" t="s">
        <v>46</v>
      </c>
      <c r="R834" s="3"/>
      <c r="S834" s="2"/>
      <c r="T834" s="2" t="s">
        <v>62</v>
      </c>
      <c r="U834" s="2"/>
      <c r="V834" s="3"/>
      <c r="W834" s="36"/>
      <c r="X834" s="2">
        <v>0</v>
      </c>
      <c r="Y834" s="2" t="s">
        <v>210</v>
      </c>
      <c r="Z834" s="14" t="s">
        <v>197</v>
      </c>
      <c r="AA834" s="14">
        <f t="shared" ref="AA834:AA895" si="42">X834*0.9</f>
        <v>0</v>
      </c>
      <c r="AB834" s="14">
        <f t="shared" ref="AB834:AB895" si="43">X834*0.8</f>
        <v>0</v>
      </c>
      <c r="AC834" s="14">
        <f t="shared" ref="AC834:AC895" si="44">X834*0.7</f>
        <v>0</v>
      </c>
      <c r="AD834" s="3" t="s">
        <v>2416</v>
      </c>
      <c r="AE834" s="3" t="s">
        <v>2416</v>
      </c>
      <c r="AF834" s="43" t="s">
        <v>2416</v>
      </c>
      <c r="AG834" s="43"/>
      <c r="AH834" s="43"/>
      <c r="AI834" s="43"/>
      <c r="AJ834" s="43"/>
      <c r="AK834" s="43"/>
      <c r="AL834" s="43"/>
      <c r="AM834" s="43"/>
      <c r="AN834" s="43"/>
      <c r="AO834" s="43"/>
      <c r="AP834" s="43"/>
      <c r="AQ834" s="43"/>
      <c r="AR834" s="43"/>
      <c r="AS834" s="3"/>
      <c r="AT834" s="272" t="s">
        <v>1025</v>
      </c>
      <c r="AU834" s="15"/>
    </row>
    <row r="835" spans="1:49" ht="16.5" hidden="1" customHeight="1" x14ac:dyDescent="0.35">
      <c r="A835" s="2" t="s">
        <v>161</v>
      </c>
      <c r="B835" s="2" t="s">
        <v>58</v>
      </c>
      <c r="C835" s="2" t="s">
        <v>47</v>
      </c>
      <c r="D835" s="2">
        <v>847</v>
      </c>
      <c r="E835" s="2">
        <v>8470530</v>
      </c>
      <c r="F835" s="2" t="s">
        <v>2412</v>
      </c>
      <c r="G835" s="2">
        <v>1</v>
      </c>
      <c r="H835" s="276">
        <v>428112</v>
      </c>
      <c r="I835" s="2" t="s">
        <v>1479</v>
      </c>
      <c r="J835" s="2" t="s">
        <v>60</v>
      </c>
      <c r="K835" s="2" t="s">
        <v>2413</v>
      </c>
      <c r="L835" s="7">
        <v>847010</v>
      </c>
      <c r="M835" s="2" t="s">
        <v>61</v>
      </c>
      <c r="N835" s="2">
        <v>200179</v>
      </c>
      <c r="O835" s="3" t="s">
        <v>2803</v>
      </c>
      <c r="P835" s="35">
        <v>1089518.06</v>
      </c>
      <c r="Q835" s="2" t="s">
        <v>46</v>
      </c>
      <c r="R835" s="3"/>
      <c r="S835" s="2"/>
      <c r="T835" s="2" t="s">
        <v>62</v>
      </c>
      <c r="U835" s="2"/>
      <c r="V835" s="3"/>
      <c r="W835" s="36"/>
      <c r="X835" s="2">
        <v>0</v>
      </c>
      <c r="Y835" s="2" t="s">
        <v>210</v>
      </c>
      <c r="Z835" s="14" t="s">
        <v>197</v>
      </c>
      <c r="AA835" s="14">
        <f t="shared" si="42"/>
        <v>0</v>
      </c>
      <c r="AB835" s="14">
        <f t="shared" si="43"/>
        <v>0</v>
      </c>
      <c r="AC835" s="14">
        <f t="shared" si="44"/>
        <v>0</v>
      </c>
      <c r="AD835" s="3" t="s">
        <v>2416</v>
      </c>
      <c r="AE835" s="3" t="s">
        <v>2416</v>
      </c>
      <c r="AF835" s="43" t="s">
        <v>2416</v>
      </c>
      <c r="AG835" s="43"/>
      <c r="AH835" s="43"/>
      <c r="AI835" s="43"/>
      <c r="AJ835" s="43"/>
      <c r="AK835" s="43"/>
      <c r="AL835" s="43"/>
      <c r="AM835" s="43"/>
      <c r="AN835" s="43"/>
      <c r="AO835" s="43"/>
      <c r="AP835" s="43"/>
      <c r="AQ835" s="43"/>
      <c r="AR835" s="43"/>
      <c r="AS835" s="3"/>
      <c r="AT835" s="272" t="s">
        <v>1025</v>
      </c>
      <c r="AU835" s="15"/>
    </row>
    <row r="836" spans="1:49" ht="16.5" hidden="1" customHeight="1" x14ac:dyDescent="0.35">
      <c r="A836" s="2" t="s">
        <v>161</v>
      </c>
      <c r="B836" s="2" t="s">
        <v>58</v>
      </c>
      <c r="C836" s="2" t="s">
        <v>47</v>
      </c>
      <c r="D836" s="2">
        <v>847</v>
      </c>
      <c r="E836" s="2">
        <v>8470530</v>
      </c>
      <c r="F836" s="2" t="s">
        <v>2412</v>
      </c>
      <c r="G836" s="2">
        <v>1</v>
      </c>
      <c r="H836" s="276">
        <v>428112</v>
      </c>
      <c r="I836" s="2" t="s">
        <v>1479</v>
      </c>
      <c r="J836" s="2" t="s">
        <v>60</v>
      </c>
      <c r="K836" s="2" t="s">
        <v>2417</v>
      </c>
      <c r="L836" s="7">
        <v>847015</v>
      </c>
      <c r="M836" s="2" t="s">
        <v>61</v>
      </c>
      <c r="N836" s="2">
        <v>200179</v>
      </c>
      <c r="O836" s="3" t="s">
        <v>2805</v>
      </c>
      <c r="P836" s="35">
        <v>857985.93</v>
      </c>
      <c r="Q836" s="2" t="s">
        <v>46</v>
      </c>
      <c r="R836" s="3"/>
      <c r="S836" s="2"/>
      <c r="T836" s="2" t="s">
        <v>62</v>
      </c>
      <c r="U836" s="2"/>
      <c r="V836" s="3"/>
      <c r="W836" s="36"/>
      <c r="X836" s="2">
        <v>0</v>
      </c>
      <c r="Y836" s="2" t="s">
        <v>210</v>
      </c>
      <c r="Z836" s="14" t="s">
        <v>197</v>
      </c>
      <c r="AA836" s="14">
        <f t="shared" si="42"/>
        <v>0</v>
      </c>
      <c r="AB836" s="14">
        <f t="shared" si="43"/>
        <v>0</v>
      </c>
      <c r="AC836" s="14">
        <f t="shared" si="44"/>
        <v>0</v>
      </c>
      <c r="AD836" s="3" t="s">
        <v>2416</v>
      </c>
      <c r="AE836" s="3" t="s">
        <v>2416</v>
      </c>
      <c r="AF836" s="43" t="s">
        <v>2416</v>
      </c>
      <c r="AG836" s="43"/>
      <c r="AH836" s="43"/>
      <c r="AI836" s="43"/>
      <c r="AJ836" s="43"/>
      <c r="AK836" s="43"/>
      <c r="AL836" s="43"/>
      <c r="AM836" s="43"/>
      <c r="AN836" s="43"/>
      <c r="AO836" s="43"/>
      <c r="AP836" s="43"/>
      <c r="AQ836" s="43"/>
      <c r="AR836" s="43"/>
      <c r="AS836" s="3"/>
      <c r="AT836" s="272" t="s">
        <v>1025</v>
      </c>
      <c r="AU836" s="15"/>
    </row>
    <row r="837" spans="1:49" ht="16.5" hidden="1" customHeight="1" x14ac:dyDescent="0.35">
      <c r="A837" s="2" t="s">
        <v>161</v>
      </c>
      <c r="B837" s="2" t="s">
        <v>58</v>
      </c>
      <c r="C837" s="2" t="s">
        <v>47</v>
      </c>
      <c r="D837" s="2">
        <v>847</v>
      </c>
      <c r="E837" s="2">
        <v>8470530</v>
      </c>
      <c r="F837" s="2" t="s">
        <v>2412</v>
      </c>
      <c r="G837" s="2">
        <v>1</v>
      </c>
      <c r="H837" s="276">
        <v>428112</v>
      </c>
      <c r="I837" s="2" t="s">
        <v>1479</v>
      </c>
      <c r="J837" s="2" t="s">
        <v>60</v>
      </c>
      <c r="K837" s="2" t="s">
        <v>2093</v>
      </c>
      <c r="L837" s="7">
        <v>847020</v>
      </c>
      <c r="M837" s="2" t="s">
        <v>61</v>
      </c>
      <c r="N837" s="2">
        <v>200179</v>
      </c>
      <c r="O837" s="3" t="s">
        <v>2804</v>
      </c>
      <c r="P837" s="35">
        <v>1515252.2</v>
      </c>
      <c r="Q837" s="2" t="s">
        <v>46</v>
      </c>
      <c r="R837" s="3"/>
      <c r="S837" s="2"/>
      <c r="T837" s="2" t="s">
        <v>62</v>
      </c>
      <c r="U837" s="2"/>
      <c r="V837" s="3"/>
      <c r="W837" s="36"/>
      <c r="X837" s="2">
        <v>0</v>
      </c>
      <c r="Y837" s="2" t="s">
        <v>210</v>
      </c>
      <c r="Z837" s="14" t="s">
        <v>197</v>
      </c>
      <c r="AA837" s="14">
        <f t="shared" si="42"/>
        <v>0</v>
      </c>
      <c r="AB837" s="14">
        <f t="shared" si="43"/>
        <v>0</v>
      </c>
      <c r="AC837" s="14">
        <f t="shared" si="44"/>
        <v>0</v>
      </c>
      <c r="AD837" s="3" t="s">
        <v>2416</v>
      </c>
      <c r="AE837" s="3" t="s">
        <v>2416</v>
      </c>
      <c r="AF837" s="43" t="s">
        <v>2416</v>
      </c>
      <c r="AG837" s="43"/>
      <c r="AH837" s="43"/>
      <c r="AI837" s="43"/>
      <c r="AJ837" s="43"/>
      <c r="AK837" s="43"/>
      <c r="AL837" s="43"/>
      <c r="AM837" s="43"/>
      <c r="AN837" s="43"/>
      <c r="AO837" s="43"/>
      <c r="AP837" s="43"/>
      <c r="AQ837" s="43"/>
      <c r="AR837" s="43"/>
      <c r="AS837" s="3"/>
      <c r="AT837" s="272" t="s">
        <v>1025</v>
      </c>
      <c r="AU837" s="15"/>
    </row>
    <row r="838" spans="1:49" ht="16.5" hidden="1" customHeight="1" x14ac:dyDescent="0.35">
      <c r="A838" s="2" t="s">
        <v>189</v>
      </c>
      <c r="B838" s="2" t="s">
        <v>58</v>
      </c>
      <c r="C838" s="2" t="s">
        <v>47</v>
      </c>
      <c r="D838" s="2">
        <v>847</v>
      </c>
      <c r="E838" s="2">
        <v>8470530</v>
      </c>
      <c r="F838" s="2" t="s">
        <v>2412</v>
      </c>
      <c r="G838" s="2">
        <v>1</v>
      </c>
      <c r="H838" s="276">
        <v>429900</v>
      </c>
      <c r="I838" s="2" t="s">
        <v>2359</v>
      </c>
      <c r="J838" s="2" t="s">
        <v>60</v>
      </c>
      <c r="K838" s="2" t="s">
        <v>50</v>
      </c>
      <c r="L838" s="7">
        <v>847001</v>
      </c>
      <c r="M838" s="2" t="s">
        <v>61</v>
      </c>
      <c r="N838" s="2">
        <v>200179</v>
      </c>
      <c r="O838" s="3" t="s">
        <v>2807</v>
      </c>
      <c r="P838" s="35">
        <v>155101</v>
      </c>
      <c r="Q838" s="2" t="s">
        <v>46</v>
      </c>
      <c r="R838" s="3"/>
      <c r="S838" s="2"/>
      <c r="T838" s="2" t="s">
        <v>62</v>
      </c>
      <c r="U838" s="2"/>
      <c r="V838" s="3"/>
      <c r="W838" s="36"/>
      <c r="X838" s="2">
        <v>0</v>
      </c>
      <c r="Y838" s="2" t="s">
        <v>210</v>
      </c>
      <c r="Z838" s="14" t="s">
        <v>197</v>
      </c>
      <c r="AA838" s="14">
        <f t="shared" si="42"/>
        <v>0</v>
      </c>
      <c r="AB838" s="14">
        <f t="shared" si="43"/>
        <v>0</v>
      </c>
      <c r="AC838" s="14">
        <f t="shared" si="44"/>
        <v>0</v>
      </c>
      <c r="AD838" s="3" t="s">
        <v>2416</v>
      </c>
      <c r="AE838" s="3" t="s">
        <v>2416</v>
      </c>
      <c r="AF838" s="43" t="s">
        <v>2416</v>
      </c>
      <c r="AG838" s="43"/>
      <c r="AH838" s="43"/>
      <c r="AI838" s="43"/>
      <c r="AJ838" s="43"/>
      <c r="AK838" s="43"/>
      <c r="AL838" s="43"/>
      <c r="AM838" s="43"/>
      <c r="AN838" s="43"/>
      <c r="AO838" s="43"/>
      <c r="AP838" s="43"/>
      <c r="AQ838" s="43"/>
      <c r="AR838" s="43"/>
      <c r="AS838" s="3"/>
      <c r="AT838" s="272" t="s">
        <v>1025</v>
      </c>
      <c r="AU838" s="15"/>
    </row>
    <row r="839" spans="1:49" ht="16.5" hidden="1" customHeight="1" x14ac:dyDescent="0.35">
      <c r="A839" s="2" t="s">
        <v>161</v>
      </c>
      <c r="B839" s="2" t="s">
        <v>58</v>
      </c>
      <c r="C839" s="2" t="s">
        <v>47</v>
      </c>
      <c r="D839" s="2">
        <v>847</v>
      </c>
      <c r="E839" s="2">
        <v>8470530</v>
      </c>
      <c r="F839" s="2" t="s">
        <v>2412</v>
      </c>
      <c r="G839" s="2">
        <v>1</v>
      </c>
      <c r="H839" s="276">
        <v>430330</v>
      </c>
      <c r="I839" s="2" t="s">
        <v>2553</v>
      </c>
      <c r="J839" s="2" t="s">
        <v>60</v>
      </c>
      <c r="K839" s="2" t="s">
        <v>50</v>
      </c>
      <c r="L839" s="7">
        <v>847001</v>
      </c>
      <c r="M839" s="2" t="s">
        <v>61</v>
      </c>
      <c r="N839" s="2">
        <v>200179</v>
      </c>
      <c r="O839" s="3" t="s">
        <v>2808</v>
      </c>
      <c r="P839" s="35">
        <v>-3600</v>
      </c>
      <c r="Q839" s="2" t="s">
        <v>46</v>
      </c>
      <c r="R839" s="3"/>
      <c r="S839" s="2"/>
      <c r="T839" s="2" t="s">
        <v>62</v>
      </c>
      <c r="U839" s="2"/>
      <c r="V839" s="3"/>
      <c r="W839" s="36"/>
      <c r="X839" s="2">
        <v>0</v>
      </c>
      <c r="Y839" s="2" t="s">
        <v>210</v>
      </c>
      <c r="Z839" s="14" t="s">
        <v>197</v>
      </c>
      <c r="AA839" s="14">
        <f t="shared" si="42"/>
        <v>0</v>
      </c>
      <c r="AB839" s="14">
        <f t="shared" si="43"/>
        <v>0</v>
      </c>
      <c r="AC839" s="14">
        <f t="shared" si="44"/>
        <v>0</v>
      </c>
      <c r="AD839" s="3" t="s">
        <v>2416</v>
      </c>
      <c r="AE839" s="3" t="s">
        <v>2416</v>
      </c>
      <c r="AF839" s="43" t="s">
        <v>2416</v>
      </c>
      <c r="AG839" s="43"/>
      <c r="AH839" s="43"/>
      <c r="AI839" s="43"/>
      <c r="AJ839" s="43"/>
      <c r="AK839" s="43"/>
      <c r="AL839" s="43"/>
      <c r="AM839" s="43"/>
      <c r="AN839" s="43"/>
      <c r="AO839" s="43"/>
      <c r="AP839" s="43"/>
      <c r="AQ839" s="43"/>
      <c r="AR839" s="43"/>
      <c r="AS839" s="3"/>
      <c r="AT839" s="272" t="s">
        <v>1025</v>
      </c>
      <c r="AU839" s="15"/>
    </row>
    <row r="840" spans="1:49" ht="16.5" hidden="1" customHeight="1" x14ac:dyDescent="0.35">
      <c r="A840" s="2" t="s">
        <v>161</v>
      </c>
      <c r="B840" s="2" t="s">
        <v>58</v>
      </c>
      <c r="C840" s="2" t="s">
        <v>47</v>
      </c>
      <c r="D840" s="2">
        <v>847</v>
      </c>
      <c r="E840" s="2">
        <v>8470530</v>
      </c>
      <c r="F840" s="2" t="s">
        <v>2412</v>
      </c>
      <c r="G840" s="2">
        <v>1</v>
      </c>
      <c r="H840" s="276">
        <v>432120</v>
      </c>
      <c r="I840" s="2" t="s">
        <v>1480</v>
      </c>
      <c r="J840" s="2" t="s">
        <v>60</v>
      </c>
      <c r="K840" s="2" t="s">
        <v>2411</v>
      </c>
      <c r="L840" s="7">
        <v>847951</v>
      </c>
      <c r="M840" s="2" t="s">
        <v>61</v>
      </c>
      <c r="N840" s="2">
        <v>200179</v>
      </c>
      <c r="O840" s="3" t="s">
        <v>2809</v>
      </c>
      <c r="P840" s="35">
        <v>8580</v>
      </c>
      <c r="Q840" s="2" t="s">
        <v>46</v>
      </c>
      <c r="R840" s="3"/>
      <c r="S840" s="2"/>
      <c r="T840" s="2" t="s">
        <v>62</v>
      </c>
      <c r="U840" s="2"/>
      <c r="V840" s="3"/>
      <c r="W840" s="36"/>
      <c r="X840" s="10">
        <v>0</v>
      </c>
      <c r="Y840" s="2" t="s">
        <v>210</v>
      </c>
      <c r="Z840" s="14" t="s">
        <v>197</v>
      </c>
      <c r="AA840" s="14">
        <f t="shared" si="42"/>
        <v>0</v>
      </c>
      <c r="AB840" s="14">
        <f t="shared" si="43"/>
        <v>0</v>
      </c>
      <c r="AC840" s="14">
        <f t="shared" si="44"/>
        <v>0</v>
      </c>
      <c r="AD840" s="3" t="s">
        <v>2416</v>
      </c>
      <c r="AE840" s="3" t="s">
        <v>2416</v>
      </c>
      <c r="AF840" s="43" t="s">
        <v>2416</v>
      </c>
      <c r="AG840" s="43"/>
      <c r="AH840" s="43"/>
      <c r="AI840" s="43"/>
      <c r="AJ840" s="43"/>
      <c r="AK840" s="43"/>
      <c r="AL840" s="43"/>
      <c r="AM840" s="43"/>
      <c r="AN840" s="43"/>
      <c r="AO840" s="43"/>
      <c r="AP840" s="43"/>
      <c r="AQ840" s="43"/>
      <c r="AR840" s="43"/>
      <c r="AS840" s="3"/>
      <c r="AT840" s="272" t="s">
        <v>1025</v>
      </c>
      <c r="AU840" s="15"/>
    </row>
    <row r="841" spans="1:49" ht="16.5" hidden="1" customHeight="1" x14ac:dyDescent="0.35">
      <c r="A841" s="2" t="s">
        <v>161</v>
      </c>
      <c r="B841" s="2" t="s">
        <v>58</v>
      </c>
      <c r="C841" s="2" t="s">
        <v>47</v>
      </c>
      <c r="D841" s="2">
        <v>847</v>
      </c>
      <c r="E841" s="2">
        <v>8470530</v>
      </c>
      <c r="F841" s="2" t="s">
        <v>2412</v>
      </c>
      <c r="G841" s="2">
        <v>1</v>
      </c>
      <c r="H841" s="276">
        <v>432540</v>
      </c>
      <c r="I841" s="2" t="s">
        <v>2554</v>
      </c>
      <c r="J841" s="2" t="s">
        <v>60</v>
      </c>
      <c r="K841" s="2" t="s">
        <v>50</v>
      </c>
      <c r="L841" s="7">
        <v>847001</v>
      </c>
      <c r="M841" s="2" t="s">
        <v>61</v>
      </c>
      <c r="N841" s="2">
        <v>200179</v>
      </c>
      <c r="O841" s="3" t="s">
        <v>2811</v>
      </c>
      <c r="P841" s="35">
        <v>14584.21</v>
      </c>
      <c r="Q841" s="2" t="s">
        <v>46</v>
      </c>
      <c r="R841" s="3"/>
      <c r="S841" s="2"/>
      <c r="T841" s="2" t="s">
        <v>62</v>
      </c>
      <c r="U841" s="2"/>
      <c r="V841" s="3"/>
      <c r="W841" s="36"/>
      <c r="X841" s="2">
        <v>0</v>
      </c>
      <c r="Y841" s="2" t="s">
        <v>210</v>
      </c>
      <c r="Z841" s="14" t="s">
        <v>197</v>
      </c>
      <c r="AA841" s="14">
        <f t="shared" si="42"/>
        <v>0</v>
      </c>
      <c r="AB841" s="14">
        <f t="shared" si="43"/>
        <v>0</v>
      </c>
      <c r="AC841" s="14">
        <f t="shared" si="44"/>
        <v>0</v>
      </c>
      <c r="AD841" s="3" t="s">
        <v>2416</v>
      </c>
      <c r="AE841" s="3" t="s">
        <v>2416</v>
      </c>
      <c r="AF841" s="43" t="s">
        <v>2416</v>
      </c>
      <c r="AG841" s="43"/>
      <c r="AH841" s="43"/>
      <c r="AI841" s="43"/>
      <c r="AJ841" s="43"/>
      <c r="AK841" s="43"/>
      <c r="AL841" s="43"/>
      <c r="AM841" s="43"/>
      <c r="AN841" s="43"/>
      <c r="AO841" s="43"/>
      <c r="AP841" s="43"/>
      <c r="AQ841" s="43"/>
      <c r="AR841" s="43"/>
      <c r="AS841" s="3"/>
      <c r="AT841" s="272" t="s">
        <v>1025</v>
      </c>
      <c r="AU841" s="15"/>
    </row>
    <row r="842" spans="1:49" ht="16.5" hidden="1" customHeight="1" x14ac:dyDescent="0.35">
      <c r="A842" s="2" t="s">
        <v>161</v>
      </c>
      <c r="B842" s="2" t="s">
        <v>58</v>
      </c>
      <c r="C842" s="2" t="s">
        <v>47</v>
      </c>
      <c r="D842" s="2">
        <v>847</v>
      </c>
      <c r="E842" s="2">
        <v>8470530</v>
      </c>
      <c r="F842" s="2" t="s">
        <v>2412</v>
      </c>
      <c r="G842" s="2">
        <v>1</v>
      </c>
      <c r="H842" s="276">
        <v>432540</v>
      </c>
      <c r="I842" s="2" t="s">
        <v>2554</v>
      </c>
      <c r="J842" s="2" t="s">
        <v>60</v>
      </c>
      <c r="K842" s="2" t="s">
        <v>50</v>
      </c>
      <c r="L842" s="7">
        <v>847001</v>
      </c>
      <c r="M842" s="2" t="s">
        <v>61</v>
      </c>
      <c r="N842" s="2">
        <v>200179</v>
      </c>
      <c r="O842" s="3" t="s">
        <v>2811</v>
      </c>
      <c r="P842" s="35">
        <v>3160</v>
      </c>
      <c r="Q842" s="2" t="s">
        <v>46</v>
      </c>
      <c r="R842" s="3"/>
      <c r="S842" s="2"/>
      <c r="T842" s="2" t="s">
        <v>62</v>
      </c>
      <c r="U842" s="2"/>
      <c r="V842" s="3"/>
      <c r="W842" s="36"/>
      <c r="X842" s="2">
        <v>0</v>
      </c>
      <c r="Y842" s="2" t="s">
        <v>210</v>
      </c>
      <c r="Z842" s="14" t="s">
        <v>197</v>
      </c>
      <c r="AA842" s="14">
        <f t="shared" si="42"/>
        <v>0</v>
      </c>
      <c r="AB842" s="14">
        <f t="shared" si="43"/>
        <v>0</v>
      </c>
      <c r="AC842" s="14">
        <f t="shared" si="44"/>
        <v>0</v>
      </c>
      <c r="AD842" s="3" t="s">
        <v>2416</v>
      </c>
      <c r="AE842" s="3" t="s">
        <v>2416</v>
      </c>
      <c r="AF842" s="43" t="s">
        <v>2416</v>
      </c>
      <c r="AG842" s="43"/>
      <c r="AH842" s="43"/>
      <c r="AI842" s="43"/>
      <c r="AJ842" s="43"/>
      <c r="AK842" s="43"/>
      <c r="AL842" s="43"/>
      <c r="AM842" s="43"/>
      <c r="AN842" s="43"/>
      <c r="AO842" s="43"/>
      <c r="AP842" s="43"/>
      <c r="AQ842" s="43"/>
      <c r="AR842" s="43"/>
      <c r="AS842" s="3"/>
      <c r="AT842" s="272" t="s">
        <v>1025</v>
      </c>
      <c r="AU842" s="15"/>
    </row>
    <row r="843" spans="1:49" ht="16.5" hidden="1" customHeight="1" x14ac:dyDescent="0.35">
      <c r="A843" s="2" t="s">
        <v>189</v>
      </c>
      <c r="B843" s="2" t="s">
        <v>58</v>
      </c>
      <c r="C843" s="2" t="s">
        <v>47</v>
      </c>
      <c r="D843" s="2">
        <v>847</v>
      </c>
      <c r="E843" s="2">
        <v>8470530</v>
      </c>
      <c r="F843" s="2" t="s">
        <v>2412</v>
      </c>
      <c r="G843" s="2">
        <v>1</v>
      </c>
      <c r="H843" s="276">
        <v>436110</v>
      </c>
      <c r="I843" s="2" t="s">
        <v>190</v>
      </c>
      <c r="J843" s="2" t="s">
        <v>60</v>
      </c>
      <c r="K843" s="2" t="s">
        <v>50</v>
      </c>
      <c r="L843" s="7">
        <v>847001</v>
      </c>
      <c r="M843" s="2" t="s">
        <v>61</v>
      </c>
      <c r="N843" s="2">
        <v>200179</v>
      </c>
      <c r="O843" s="3" t="s">
        <v>2813</v>
      </c>
      <c r="P843" s="35">
        <v>299549.53000000003</v>
      </c>
      <c r="Q843" s="2" t="s">
        <v>46</v>
      </c>
      <c r="R843" s="3"/>
      <c r="S843" s="2"/>
      <c r="T843" s="2" t="s">
        <v>62</v>
      </c>
      <c r="U843" s="2"/>
      <c r="V843" s="3"/>
      <c r="W843" s="36"/>
      <c r="X843" s="2">
        <v>0</v>
      </c>
      <c r="Y843" s="2" t="s">
        <v>210</v>
      </c>
      <c r="Z843" s="14" t="s">
        <v>197</v>
      </c>
      <c r="AA843" s="14">
        <f t="shared" si="42"/>
        <v>0</v>
      </c>
      <c r="AB843" s="14">
        <f t="shared" si="43"/>
        <v>0</v>
      </c>
      <c r="AC843" s="14">
        <f t="shared" si="44"/>
        <v>0</v>
      </c>
      <c r="AD843" s="3" t="s">
        <v>2416</v>
      </c>
      <c r="AE843" s="3" t="s">
        <v>2416</v>
      </c>
      <c r="AF843" s="43" t="s">
        <v>2416</v>
      </c>
      <c r="AG843" s="43"/>
      <c r="AH843" s="43"/>
      <c r="AI843" s="43"/>
      <c r="AJ843" s="43"/>
      <c r="AK843" s="43"/>
      <c r="AL843" s="43"/>
      <c r="AM843" s="43"/>
      <c r="AN843" s="43"/>
      <c r="AO843" s="43"/>
      <c r="AP843" s="43"/>
      <c r="AQ843" s="43"/>
      <c r="AR843" s="43"/>
      <c r="AS843" s="3"/>
      <c r="AT843" s="272" t="s">
        <v>1025</v>
      </c>
      <c r="AU843" s="15"/>
    </row>
    <row r="844" spans="1:49" ht="16.5" hidden="1" customHeight="1" x14ac:dyDescent="0.35">
      <c r="A844" s="2" t="s">
        <v>189</v>
      </c>
      <c r="B844" s="2" t="s">
        <v>58</v>
      </c>
      <c r="C844" s="2" t="s">
        <v>47</v>
      </c>
      <c r="D844" s="2">
        <v>847</v>
      </c>
      <c r="E844" s="2">
        <v>8470530</v>
      </c>
      <c r="F844" s="2" t="s">
        <v>2412</v>
      </c>
      <c r="G844" s="2">
        <v>1</v>
      </c>
      <c r="H844" s="276">
        <v>436110</v>
      </c>
      <c r="I844" s="2" t="s">
        <v>190</v>
      </c>
      <c r="J844" s="2" t="s">
        <v>60</v>
      </c>
      <c r="K844" s="2" t="s">
        <v>50</v>
      </c>
      <c r="L844" s="7">
        <v>847001</v>
      </c>
      <c r="M844" s="2" t="s">
        <v>61</v>
      </c>
      <c r="N844" s="2">
        <v>200179</v>
      </c>
      <c r="O844" s="3" t="s">
        <v>2813</v>
      </c>
      <c r="P844" s="35">
        <v>94794.3</v>
      </c>
      <c r="Q844" s="2" t="s">
        <v>46</v>
      </c>
      <c r="R844" s="3"/>
      <c r="S844" s="2"/>
      <c r="T844" s="2" t="s">
        <v>62</v>
      </c>
      <c r="U844" s="2"/>
      <c r="V844" s="3"/>
      <c r="W844" s="36"/>
      <c r="X844" s="2">
        <v>0</v>
      </c>
      <c r="Y844" s="2" t="s">
        <v>210</v>
      </c>
      <c r="Z844" s="14" t="s">
        <v>197</v>
      </c>
      <c r="AA844" s="14">
        <f t="shared" si="42"/>
        <v>0</v>
      </c>
      <c r="AB844" s="14">
        <f t="shared" si="43"/>
        <v>0</v>
      </c>
      <c r="AC844" s="14">
        <f t="shared" si="44"/>
        <v>0</v>
      </c>
      <c r="AD844" s="3" t="s">
        <v>2416</v>
      </c>
      <c r="AE844" s="3" t="s">
        <v>2416</v>
      </c>
      <c r="AF844" s="43" t="s">
        <v>2416</v>
      </c>
      <c r="AG844" s="43"/>
      <c r="AH844" s="43"/>
      <c r="AI844" s="43"/>
      <c r="AJ844" s="43"/>
      <c r="AK844" s="43"/>
      <c r="AL844" s="43"/>
      <c r="AM844" s="43"/>
      <c r="AN844" s="43"/>
      <c r="AO844" s="43"/>
      <c r="AP844" s="43"/>
      <c r="AQ844" s="43"/>
      <c r="AR844" s="43"/>
      <c r="AS844" s="3"/>
      <c r="AT844" s="272" t="s">
        <v>1025</v>
      </c>
      <c r="AU844" s="15"/>
    </row>
    <row r="845" spans="1:49" ht="16.5" hidden="1" customHeight="1" x14ac:dyDescent="0.35">
      <c r="A845" s="2" t="s">
        <v>161</v>
      </c>
      <c r="B845" s="2" t="s">
        <v>58</v>
      </c>
      <c r="C845" s="2" t="s">
        <v>47</v>
      </c>
      <c r="D845" s="2">
        <v>847</v>
      </c>
      <c r="E845" s="2">
        <v>8470530</v>
      </c>
      <c r="F845" s="2" t="s">
        <v>2412</v>
      </c>
      <c r="G845" s="2">
        <v>1</v>
      </c>
      <c r="H845" s="276">
        <v>436220</v>
      </c>
      <c r="I845" s="2" t="s">
        <v>2555</v>
      </c>
      <c r="J845" s="2" t="s">
        <v>60</v>
      </c>
      <c r="K845" s="2" t="s">
        <v>50</v>
      </c>
      <c r="L845" s="7">
        <v>847001</v>
      </c>
      <c r="M845" s="2" t="s">
        <v>61</v>
      </c>
      <c r="N845" s="2">
        <v>200179</v>
      </c>
      <c r="O845" s="3" t="s">
        <v>2814</v>
      </c>
      <c r="P845" s="35">
        <v>222400</v>
      </c>
      <c r="Q845" s="2" t="s">
        <v>46</v>
      </c>
      <c r="R845" s="3"/>
      <c r="S845" s="2"/>
      <c r="T845" s="2" t="s">
        <v>62</v>
      </c>
      <c r="U845" s="2"/>
      <c r="V845" s="3"/>
      <c r="W845" s="36"/>
      <c r="X845" s="2">
        <v>0</v>
      </c>
      <c r="Y845" s="2" t="s">
        <v>210</v>
      </c>
      <c r="Z845" s="14" t="s">
        <v>197</v>
      </c>
      <c r="AA845" s="14">
        <f t="shared" si="42"/>
        <v>0</v>
      </c>
      <c r="AB845" s="14">
        <f t="shared" si="43"/>
        <v>0</v>
      </c>
      <c r="AC845" s="14">
        <f t="shared" si="44"/>
        <v>0</v>
      </c>
      <c r="AD845" s="3" t="s">
        <v>2416</v>
      </c>
      <c r="AE845" s="3" t="s">
        <v>2416</v>
      </c>
      <c r="AF845" s="43" t="s">
        <v>2416</v>
      </c>
      <c r="AG845" s="43"/>
      <c r="AH845" s="43"/>
      <c r="AI845" s="43"/>
      <c r="AJ845" s="43"/>
      <c r="AK845" s="43"/>
      <c r="AL845" s="43"/>
      <c r="AM845" s="43"/>
      <c r="AN845" s="43"/>
      <c r="AO845" s="43"/>
      <c r="AP845" s="43"/>
      <c r="AQ845" s="43"/>
      <c r="AR845" s="43"/>
      <c r="AS845" s="3"/>
      <c r="AT845" s="272" t="s">
        <v>1025</v>
      </c>
      <c r="AU845" s="15"/>
    </row>
    <row r="846" spans="1:49" ht="16.5" hidden="1" customHeight="1" x14ac:dyDescent="0.35">
      <c r="A846" s="2" t="s">
        <v>161</v>
      </c>
      <c r="B846" s="2" t="s">
        <v>220</v>
      </c>
      <c r="C846" s="2" t="s">
        <v>47</v>
      </c>
      <c r="D846" s="2">
        <v>847</v>
      </c>
      <c r="E846" s="2">
        <v>8470530</v>
      </c>
      <c r="F846" s="2" t="s">
        <v>2412</v>
      </c>
      <c r="G846" s="2">
        <v>1</v>
      </c>
      <c r="H846" s="276">
        <v>492316</v>
      </c>
      <c r="I846" s="2" t="s">
        <v>221</v>
      </c>
      <c r="J846" s="2" t="s">
        <v>60</v>
      </c>
      <c r="K846" s="2" t="s">
        <v>50</v>
      </c>
      <c r="L846" s="7">
        <v>847001</v>
      </c>
      <c r="M846" s="2" t="s">
        <v>192</v>
      </c>
      <c r="N846" s="2">
        <v>300180</v>
      </c>
      <c r="O846" s="3" t="s">
        <v>2816</v>
      </c>
      <c r="P846" s="35">
        <v>146450</v>
      </c>
      <c r="Q846" s="2" t="s">
        <v>46</v>
      </c>
      <c r="R846" s="3"/>
      <c r="S846" s="2"/>
      <c r="T846" s="2" t="s">
        <v>62</v>
      </c>
      <c r="U846" s="2"/>
      <c r="V846" s="3"/>
      <c r="W846" s="36"/>
      <c r="X846" s="2">
        <v>0</v>
      </c>
      <c r="Y846" s="2" t="s">
        <v>210</v>
      </c>
      <c r="Z846" s="14" t="s">
        <v>197</v>
      </c>
      <c r="AA846" s="14">
        <f t="shared" si="42"/>
        <v>0</v>
      </c>
      <c r="AB846" s="14">
        <f t="shared" si="43"/>
        <v>0</v>
      </c>
      <c r="AC846" s="14">
        <f t="shared" si="44"/>
        <v>0</v>
      </c>
      <c r="AD846" s="3" t="s">
        <v>2416</v>
      </c>
      <c r="AE846" s="3" t="s">
        <v>2416</v>
      </c>
      <c r="AF846" s="43" t="s">
        <v>2416</v>
      </c>
      <c r="AG846" s="43"/>
      <c r="AH846" s="43"/>
      <c r="AI846" s="43"/>
      <c r="AJ846" s="43"/>
      <c r="AK846" s="43"/>
      <c r="AL846" s="43"/>
      <c r="AM846" s="43"/>
      <c r="AN846" s="43"/>
      <c r="AO846" s="43"/>
      <c r="AP846" s="43"/>
      <c r="AQ846" s="43"/>
      <c r="AR846" s="43"/>
      <c r="AS846" s="3"/>
      <c r="AT846" s="272" t="s">
        <v>1025</v>
      </c>
      <c r="AU846" s="15"/>
    </row>
    <row r="847" spans="1:49" ht="16.5" hidden="1" customHeight="1" x14ac:dyDescent="0.35">
      <c r="A847" s="2">
        <v>0</v>
      </c>
      <c r="B847" s="2" t="s">
        <v>58</v>
      </c>
      <c r="C847" s="2" t="s">
        <v>47</v>
      </c>
      <c r="D847" s="2">
        <v>847</v>
      </c>
      <c r="E847" s="2">
        <v>8470530</v>
      </c>
      <c r="F847" s="2" t="s">
        <v>2412</v>
      </c>
      <c r="G847" s="2">
        <v>1</v>
      </c>
      <c r="H847" s="276">
        <v>495110</v>
      </c>
      <c r="I847" s="2" t="s">
        <v>213</v>
      </c>
      <c r="J847" s="2" t="s">
        <v>60</v>
      </c>
      <c r="K847" s="2" t="s">
        <v>50</v>
      </c>
      <c r="L847" s="7">
        <v>847001</v>
      </c>
      <c r="M847" s="2" t="s">
        <v>192</v>
      </c>
      <c r="N847" s="2">
        <v>300180</v>
      </c>
      <c r="O847" s="3" t="s">
        <v>2667</v>
      </c>
      <c r="P847" s="35"/>
      <c r="Q847" s="2"/>
      <c r="R847" s="3"/>
      <c r="S847" s="2" t="str">
        <f>VLOOKUP(O847,'[3]Consolidation FMS&amp;HSE 2025'!$O:$P,2,FALSE)</f>
        <v>495110.Computer software-TBD-TBD</v>
      </c>
      <c r="T847" s="37" t="s">
        <v>201</v>
      </c>
      <c r="U847" s="2">
        <v>1</v>
      </c>
      <c r="V847" s="3">
        <v>1800000</v>
      </c>
      <c r="W847" s="36" t="s">
        <v>2556</v>
      </c>
      <c r="X847" s="2">
        <v>1800000</v>
      </c>
      <c r="Y847" s="2" t="s">
        <v>210</v>
      </c>
      <c r="Z847" s="14" t="s">
        <v>197</v>
      </c>
      <c r="AA847" s="14">
        <f t="shared" si="42"/>
        <v>1620000</v>
      </c>
      <c r="AB847" s="14">
        <f t="shared" si="43"/>
        <v>1440000</v>
      </c>
      <c r="AC847" s="14">
        <f t="shared" si="44"/>
        <v>1260000</v>
      </c>
      <c r="AD847" s="3" t="s">
        <v>2416</v>
      </c>
      <c r="AE847" s="3" t="s">
        <v>2416</v>
      </c>
      <c r="AF847" s="43" t="s">
        <v>2416</v>
      </c>
      <c r="AG847" s="43"/>
      <c r="AH847" s="43">
        <v>1800000</v>
      </c>
      <c r="AI847" s="43"/>
      <c r="AJ847" s="43"/>
      <c r="AK847" s="43"/>
      <c r="AL847" s="43"/>
      <c r="AM847" s="43"/>
      <c r="AN847" s="43"/>
      <c r="AO847" s="43"/>
      <c r="AP847" s="43"/>
      <c r="AQ847" s="43"/>
      <c r="AR847" s="43"/>
      <c r="AS847" s="3">
        <v>1800000</v>
      </c>
      <c r="AT847" s="272" t="s">
        <v>1025</v>
      </c>
      <c r="AU847" s="15"/>
    </row>
    <row r="848" spans="1:49" ht="16.5" hidden="1" customHeight="1" x14ac:dyDescent="0.35">
      <c r="A848" s="2" t="s">
        <v>71</v>
      </c>
      <c r="B848" s="2" t="s">
        <v>58</v>
      </c>
      <c r="C848" s="2" t="s">
        <v>47</v>
      </c>
      <c r="D848" s="2">
        <v>847</v>
      </c>
      <c r="E848" s="2">
        <v>8470540</v>
      </c>
      <c r="F848" s="2" t="s">
        <v>2557</v>
      </c>
      <c r="G848" s="2">
        <v>1</v>
      </c>
      <c r="H848" s="276">
        <v>413310</v>
      </c>
      <c r="I848" s="2" t="s">
        <v>2558</v>
      </c>
      <c r="J848" s="2" t="s">
        <v>60</v>
      </c>
      <c r="K848" s="2" t="s">
        <v>2413</v>
      </c>
      <c r="L848" s="7">
        <v>847010</v>
      </c>
      <c r="M848" s="2" t="s">
        <v>61</v>
      </c>
      <c r="N848" s="2">
        <v>200179</v>
      </c>
      <c r="O848" s="3" t="s">
        <v>2790</v>
      </c>
      <c r="P848" s="35">
        <v>2818066.67</v>
      </c>
      <c r="Q848" s="2">
        <v>589128</v>
      </c>
      <c r="R848" s="3">
        <v>589128</v>
      </c>
      <c r="S848" s="2" t="s">
        <v>2559</v>
      </c>
      <c r="T848" s="2" t="s">
        <v>1423</v>
      </c>
      <c r="U848" s="2">
        <v>1</v>
      </c>
      <c r="V848" s="3">
        <v>953248</v>
      </c>
      <c r="W848" s="36" t="s">
        <v>2560</v>
      </c>
      <c r="X848" s="2">
        <v>953248</v>
      </c>
      <c r="Y848" s="2" t="s">
        <v>55</v>
      </c>
      <c r="Z848" s="14" t="s">
        <v>56</v>
      </c>
      <c r="AA848" s="14">
        <f t="shared" si="42"/>
        <v>857923.20000000007</v>
      </c>
      <c r="AB848" s="14">
        <f t="shared" si="43"/>
        <v>762598.40000000002</v>
      </c>
      <c r="AC848" s="14">
        <f t="shared" si="44"/>
        <v>667273.6</v>
      </c>
      <c r="AD848" s="3" t="s">
        <v>2561</v>
      </c>
      <c r="AE848" s="3" t="s">
        <v>2562</v>
      </c>
      <c r="AF848" s="43" t="s">
        <v>2562</v>
      </c>
      <c r="AG848" s="43">
        <v>79437.333400000003</v>
      </c>
      <c r="AH848" s="43">
        <v>79437.333400000003</v>
      </c>
      <c r="AI848" s="43">
        <v>79437.333400000003</v>
      </c>
      <c r="AJ848" s="43">
        <v>79437.333400000003</v>
      </c>
      <c r="AK848" s="43">
        <v>79437.333400000003</v>
      </c>
      <c r="AL848" s="43">
        <v>79437.333400000003</v>
      </c>
      <c r="AM848" s="43">
        <v>79437.333400000003</v>
      </c>
      <c r="AN848" s="43">
        <v>79437.333400000003</v>
      </c>
      <c r="AO848" s="43">
        <v>79437.333400000003</v>
      </c>
      <c r="AP848" s="43">
        <v>79437.333400000003</v>
      </c>
      <c r="AQ848" s="43">
        <v>79437.332999999999</v>
      </c>
      <c r="AR848" s="43">
        <v>79437.332999999999</v>
      </c>
      <c r="AS848" s="3">
        <v>953248</v>
      </c>
      <c r="AT848" s="272" t="s">
        <v>816</v>
      </c>
      <c r="AU848" s="15"/>
      <c r="AW848" t="s">
        <v>2563</v>
      </c>
    </row>
    <row r="849" spans="1:49" ht="16.5" hidden="1" customHeight="1" x14ac:dyDescent="0.35">
      <c r="A849" s="2" t="s">
        <v>71</v>
      </c>
      <c r="B849" s="2" t="s">
        <v>58</v>
      </c>
      <c r="C849" s="2" t="s">
        <v>47</v>
      </c>
      <c r="D849" s="2">
        <v>847</v>
      </c>
      <c r="E849" s="2">
        <v>8470540</v>
      </c>
      <c r="F849" s="2" t="s">
        <v>2557</v>
      </c>
      <c r="G849" s="2">
        <v>1</v>
      </c>
      <c r="H849" s="276">
        <v>413310</v>
      </c>
      <c r="I849" s="2" t="s">
        <v>2558</v>
      </c>
      <c r="J849" s="2" t="s">
        <v>60</v>
      </c>
      <c r="K849" s="2" t="s">
        <v>2413</v>
      </c>
      <c r="L849" s="7" t="s">
        <v>2418</v>
      </c>
      <c r="M849" s="2" t="s">
        <v>61</v>
      </c>
      <c r="N849" s="2">
        <v>200179</v>
      </c>
      <c r="O849" s="3" t="s">
        <v>2790</v>
      </c>
      <c r="P849" s="35"/>
      <c r="Q849" s="2"/>
      <c r="R849" s="3"/>
      <c r="S849" s="2" t="s">
        <v>2559</v>
      </c>
      <c r="T849" s="2" t="s">
        <v>1423</v>
      </c>
      <c r="U849" s="2">
        <v>1</v>
      </c>
      <c r="V849" s="3">
        <v>421800</v>
      </c>
      <c r="W849" s="36" t="s">
        <v>2564</v>
      </c>
      <c r="X849" s="2">
        <v>421800</v>
      </c>
      <c r="Y849" s="2" t="s">
        <v>55</v>
      </c>
      <c r="Z849" s="14" t="s">
        <v>56</v>
      </c>
      <c r="AA849" s="14">
        <f t="shared" si="42"/>
        <v>379620</v>
      </c>
      <c r="AB849" s="14">
        <f t="shared" si="43"/>
        <v>337440</v>
      </c>
      <c r="AC849" s="14">
        <f t="shared" si="44"/>
        <v>295260</v>
      </c>
      <c r="AD849" s="3" t="s">
        <v>2562</v>
      </c>
      <c r="AE849" s="3" t="s">
        <v>2562</v>
      </c>
      <c r="AF849" s="43" t="s">
        <v>2562</v>
      </c>
      <c r="AG849" s="43">
        <v>35150</v>
      </c>
      <c r="AH849" s="43">
        <v>35150</v>
      </c>
      <c r="AI849" s="43">
        <v>35150</v>
      </c>
      <c r="AJ849" s="43">
        <v>35150</v>
      </c>
      <c r="AK849" s="43">
        <v>35150</v>
      </c>
      <c r="AL849" s="43">
        <v>35150</v>
      </c>
      <c r="AM849" s="43">
        <v>35150</v>
      </c>
      <c r="AN849" s="43">
        <v>35150</v>
      </c>
      <c r="AO849" s="43">
        <v>35150</v>
      </c>
      <c r="AP849" s="43">
        <v>35150</v>
      </c>
      <c r="AQ849" s="43">
        <v>35150</v>
      </c>
      <c r="AR849" s="43">
        <v>35150</v>
      </c>
      <c r="AS849" s="3">
        <v>421800</v>
      </c>
      <c r="AT849" s="272" t="s">
        <v>816</v>
      </c>
      <c r="AU849" s="15"/>
      <c r="AW849" t="s">
        <v>2563</v>
      </c>
    </row>
    <row r="850" spans="1:49" ht="16.5" hidden="1" customHeight="1" x14ac:dyDescent="0.35">
      <c r="A850" s="2" t="s">
        <v>71</v>
      </c>
      <c r="B850" s="2" t="s">
        <v>58</v>
      </c>
      <c r="C850" s="2" t="s">
        <v>47</v>
      </c>
      <c r="D850" s="2">
        <v>847</v>
      </c>
      <c r="E850" s="2">
        <v>8470540</v>
      </c>
      <c r="F850" s="2" t="s">
        <v>2557</v>
      </c>
      <c r="G850" s="2">
        <v>1</v>
      </c>
      <c r="H850" s="276">
        <v>413310</v>
      </c>
      <c r="I850" s="2" t="s">
        <v>2558</v>
      </c>
      <c r="J850" s="2" t="s">
        <v>60</v>
      </c>
      <c r="K850" s="2" t="s">
        <v>2413</v>
      </c>
      <c r="L850" s="7" t="s">
        <v>2418</v>
      </c>
      <c r="M850" s="2" t="s">
        <v>61</v>
      </c>
      <c r="N850" s="2">
        <v>200179</v>
      </c>
      <c r="O850" s="3" t="s">
        <v>2790</v>
      </c>
      <c r="P850" s="35"/>
      <c r="Q850" s="2"/>
      <c r="R850" s="3"/>
      <c r="S850" s="2" t="s">
        <v>2559</v>
      </c>
      <c r="T850" s="2" t="s">
        <v>1423</v>
      </c>
      <c r="U850" s="2">
        <v>1</v>
      </c>
      <c r="V850" s="3">
        <v>190000</v>
      </c>
      <c r="W850" s="36" t="s">
        <v>2565</v>
      </c>
      <c r="X850" s="2">
        <v>190000</v>
      </c>
      <c r="Y850" s="2" t="s">
        <v>55</v>
      </c>
      <c r="Z850" s="14" t="s">
        <v>56</v>
      </c>
      <c r="AA850" s="14">
        <f t="shared" si="42"/>
        <v>171000</v>
      </c>
      <c r="AB850" s="14">
        <f t="shared" si="43"/>
        <v>152000</v>
      </c>
      <c r="AC850" s="14">
        <f t="shared" si="44"/>
        <v>133000</v>
      </c>
      <c r="AD850" s="3" t="s">
        <v>2562</v>
      </c>
      <c r="AE850" s="3" t="s">
        <v>2562</v>
      </c>
      <c r="AF850" s="43" t="s">
        <v>2562</v>
      </c>
      <c r="AG850" s="43">
        <v>15833.3334</v>
      </c>
      <c r="AH850" s="43">
        <v>15833.3334</v>
      </c>
      <c r="AI850" s="43">
        <v>15833.3334</v>
      </c>
      <c r="AJ850" s="43">
        <v>15833.3334</v>
      </c>
      <c r="AK850" s="43">
        <v>15833.3334</v>
      </c>
      <c r="AL850" s="43">
        <v>15833.3334</v>
      </c>
      <c r="AM850" s="43">
        <v>15833.3334</v>
      </c>
      <c r="AN850" s="43">
        <v>15833.3334</v>
      </c>
      <c r="AO850" s="43">
        <v>15833.3334</v>
      </c>
      <c r="AP850" s="43">
        <v>15833.3334</v>
      </c>
      <c r="AQ850" s="43">
        <v>15833.333000000001</v>
      </c>
      <c r="AR850" s="43">
        <v>15833.333000000001</v>
      </c>
      <c r="AS850" s="3">
        <v>190000.00000000003</v>
      </c>
      <c r="AT850" s="272" t="s">
        <v>816</v>
      </c>
      <c r="AU850" s="15"/>
      <c r="AW850" t="s">
        <v>2563</v>
      </c>
    </row>
    <row r="851" spans="1:49" ht="16.5" hidden="1" customHeight="1" x14ac:dyDescent="0.35">
      <c r="A851" s="2" t="s">
        <v>71</v>
      </c>
      <c r="B851" s="2" t="s">
        <v>58</v>
      </c>
      <c r="C851" s="2" t="s">
        <v>47</v>
      </c>
      <c r="D851" s="2">
        <v>847</v>
      </c>
      <c r="E851" s="2">
        <v>8470540</v>
      </c>
      <c r="F851" s="2" t="s">
        <v>2557</v>
      </c>
      <c r="G851" s="2">
        <v>1</v>
      </c>
      <c r="H851" s="276">
        <v>413310</v>
      </c>
      <c r="I851" s="2" t="s">
        <v>2558</v>
      </c>
      <c r="J851" s="2" t="s">
        <v>60</v>
      </c>
      <c r="K851" s="2" t="s">
        <v>2413</v>
      </c>
      <c r="L851" s="7" t="s">
        <v>2418</v>
      </c>
      <c r="M851" s="2" t="s">
        <v>61</v>
      </c>
      <c r="N851" s="2">
        <v>200179</v>
      </c>
      <c r="O851" s="3" t="s">
        <v>2790</v>
      </c>
      <c r="P851" s="35"/>
      <c r="Q851" s="2"/>
      <c r="R851" s="3"/>
      <c r="S851" s="2" t="s">
        <v>2559</v>
      </c>
      <c r="T851" s="2" t="s">
        <v>1423</v>
      </c>
      <c r="U851" s="2">
        <v>1</v>
      </c>
      <c r="V851" s="3">
        <v>447260</v>
      </c>
      <c r="W851" s="36" t="s">
        <v>2566</v>
      </c>
      <c r="X851" s="2">
        <v>447260</v>
      </c>
      <c r="Y851" s="2" t="s">
        <v>55</v>
      </c>
      <c r="Z851" s="14" t="s">
        <v>56</v>
      </c>
      <c r="AA851" s="14">
        <f t="shared" si="42"/>
        <v>402534</v>
      </c>
      <c r="AB851" s="14">
        <f t="shared" si="43"/>
        <v>357808</v>
      </c>
      <c r="AC851" s="14">
        <f t="shared" si="44"/>
        <v>313082</v>
      </c>
      <c r="AD851" s="3" t="s">
        <v>2562</v>
      </c>
      <c r="AE851" s="3" t="s">
        <v>2562</v>
      </c>
      <c r="AF851" s="43" t="s">
        <v>2562</v>
      </c>
      <c r="AG851" s="43">
        <v>37271.666700000002</v>
      </c>
      <c r="AH851" s="43">
        <v>37271.666700000002</v>
      </c>
      <c r="AI851" s="43">
        <v>37271.666700000002</v>
      </c>
      <c r="AJ851" s="43">
        <v>37271.666700000002</v>
      </c>
      <c r="AK851" s="43">
        <v>37271.666700000002</v>
      </c>
      <c r="AL851" s="43">
        <v>37271.666700000002</v>
      </c>
      <c r="AM851" s="43">
        <v>37271.666700000002</v>
      </c>
      <c r="AN851" s="43">
        <v>37271.666700000002</v>
      </c>
      <c r="AO851" s="43">
        <v>37271.666700000002</v>
      </c>
      <c r="AP851" s="43">
        <v>37271.666700000002</v>
      </c>
      <c r="AQ851" s="43">
        <v>37271.666700000002</v>
      </c>
      <c r="AR851" s="43">
        <v>37271.666299999997</v>
      </c>
      <c r="AS851" s="3">
        <v>447260</v>
      </c>
      <c r="AT851" s="272" t="s">
        <v>816</v>
      </c>
      <c r="AU851" s="15"/>
      <c r="AW851" t="s">
        <v>2563</v>
      </c>
    </row>
    <row r="852" spans="1:49" ht="16.5" hidden="1" customHeight="1" x14ac:dyDescent="0.35">
      <c r="A852" s="2" t="s">
        <v>189</v>
      </c>
      <c r="B852" s="2" t="s">
        <v>58</v>
      </c>
      <c r="C852" s="2" t="s">
        <v>47</v>
      </c>
      <c r="D852" s="2">
        <v>847</v>
      </c>
      <c r="E852" s="2">
        <v>8470540</v>
      </c>
      <c r="F852" s="2" t="s">
        <v>2557</v>
      </c>
      <c r="G852" s="2">
        <v>1</v>
      </c>
      <c r="H852" s="276">
        <v>422900</v>
      </c>
      <c r="I852" s="2" t="s">
        <v>1139</v>
      </c>
      <c r="J852" s="2" t="s">
        <v>60</v>
      </c>
      <c r="K852" s="2" t="s">
        <v>2413</v>
      </c>
      <c r="L852" s="7" t="s">
        <v>2418</v>
      </c>
      <c r="M852" s="2" t="s">
        <v>61</v>
      </c>
      <c r="N852" s="2">
        <v>200179</v>
      </c>
      <c r="O852" s="3" t="s">
        <v>2679</v>
      </c>
      <c r="P852" s="35"/>
      <c r="Q852" s="2"/>
      <c r="R852" s="3"/>
      <c r="S852" s="2" t="s">
        <v>2567</v>
      </c>
      <c r="T852" s="2" t="s">
        <v>1109</v>
      </c>
      <c r="U852" s="2">
        <v>1</v>
      </c>
      <c r="V852" s="3">
        <v>900000</v>
      </c>
      <c r="W852" s="36" t="s">
        <v>2568</v>
      </c>
      <c r="X852" s="2">
        <v>900000</v>
      </c>
      <c r="Y852" s="2" t="s">
        <v>55</v>
      </c>
      <c r="Z852" s="14" t="s">
        <v>56</v>
      </c>
      <c r="AA852" s="14">
        <f t="shared" si="42"/>
        <v>810000</v>
      </c>
      <c r="AB852" s="14">
        <f t="shared" si="43"/>
        <v>720000</v>
      </c>
      <c r="AC852" s="14">
        <f t="shared" si="44"/>
        <v>630000</v>
      </c>
      <c r="AD852" s="3" t="s">
        <v>2562</v>
      </c>
      <c r="AE852" s="3" t="s">
        <v>2562</v>
      </c>
      <c r="AF852" s="43" t="s">
        <v>2562</v>
      </c>
      <c r="AG852" s="43">
        <v>75000</v>
      </c>
      <c r="AH852" s="43">
        <v>75000</v>
      </c>
      <c r="AI852" s="43">
        <v>75000</v>
      </c>
      <c r="AJ852" s="43">
        <v>75000</v>
      </c>
      <c r="AK852" s="43">
        <v>75000</v>
      </c>
      <c r="AL852" s="43">
        <v>75000</v>
      </c>
      <c r="AM852" s="43">
        <v>75000</v>
      </c>
      <c r="AN852" s="43">
        <v>75000</v>
      </c>
      <c r="AO852" s="43">
        <v>75000</v>
      </c>
      <c r="AP852" s="43">
        <v>75000</v>
      </c>
      <c r="AQ852" s="43">
        <v>75000</v>
      </c>
      <c r="AR852" s="43">
        <v>75000</v>
      </c>
      <c r="AS852" s="3">
        <v>900000</v>
      </c>
      <c r="AT852" s="272" t="s">
        <v>816</v>
      </c>
      <c r="AU852" s="15"/>
    </row>
    <row r="853" spans="1:49" ht="16.5" hidden="1" customHeight="1" x14ac:dyDescent="0.35">
      <c r="A853" s="2" t="s">
        <v>161</v>
      </c>
      <c r="B853" s="2" t="s">
        <v>58</v>
      </c>
      <c r="C853" s="2" t="s">
        <v>47</v>
      </c>
      <c r="D853" s="2">
        <v>847</v>
      </c>
      <c r="E853" s="2">
        <v>8470540</v>
      </c>
      <c r="F853" s="2" t="s">
        <v>2557</v>
      </c>
      <c r="G853" s="2">
        <v>1</v>
      </c>
      <c r="H853" s="276">
        <v>426800</v>
      </c>
      <c r="I853" s="2" t="s">
        <v>2552</v>
      </c>
      <c r="J853" s="2" t="s">
        <v>60</v>
      </c>
      <c r="K853" s="2" t="s">
        <v>2413</v>
      </c>
      <c r="L853" s="7">
        <v>847010</v>
      </c>
      <c r="M853" s="2" t="s">
        <v>61</v>
      </c>
      <c r="N853" s="2">
        <v>200179</v>
      </c>
      <c r="O853" s="3" t="s">
        <v>2680</v>
      </c>
      <c r="P853" s="35" t="s">
        <v>46</v>
      </c>
      <c r="Q853" s="2">
        <v>10000</v>
      </c>
      <c r="R853" s="3">
        <v>10000</v>
      </c>
      <c r="S853" s="2" t="s">
        <v>2569</v>
      </c>
      <c r="T853" s="2" t="s">
        <v>68</v>
      </c>
      <c r="U853" s="2">
        <v>1</v>
      </c>
      <c r="V853" s="3">
        <v>10000</v>
      </c>
      <c r="W853" s="36" t="s">
        <v>2570</v>
      </c>
      <c r="X853" s="2">
        <v>10000</v>
      </c>
      <c r="Y853" s="2" t="s">
        <v>55</v>
      </c>
      <c r="Z853" s="14" t="s">
        <v>56</v>
      </c>
      <c r="AA853" s="14">
        <f t="shared" si="42"/>
        <v>9000</v>
      </c>
      <c r="AB853" s="14">
        <f t="shared" si="43"/>
        <v>8000</v>
      </c>
      <c r="AC853" s="14">
        <f t="shared" si="44"/>
        <v>7000</v>
      </c>
      <c r="AD853" s="3" t="s">
        <v>2562</v>
      </c>
      <c r="AE853" s="3" t="s">
        <v>2562</v>
      </c>
      <c r="AF853" s="43" t="s">
        <v>2562</v>
      </c>
      <c r="AG853" s="43">
        <v>833.33339999999998</v>
      </c>
      <c r="AH853" s="43">
        <v>833.33339999999998</v>
      </c>
      <c r="AI853" s="43">
        <v>833.33339999999998</v>
      </c>
      <c r="AJ853" s="43">
        <v>833.33339999999998</v>
      </c>
      <c r="AK853" s="43">
        <v>833.33339999999998</v>
      </c>
      <c r="AL853" s="43">
        <v>833.33339999999998</v>
      </c>
      <c r="AM853" s="43">
        <v>833.33339999999998</v>
      </c>
      <c r="AN853" s="43">
        <v>833.33339999999998</v>
      </c>
      <c r="AO853" s="43">
        <v>833.33339999999998</v>
      </c>
      <c r="AP853" s="43">
        <v>833.33339999999998</v>
      </c>
      <c r="AQ853" s="43">
        <v>833.33299999999997</v>
      </c>
      <c r="AR853" s="43">
        <v>833.33299999999997</v>
      </c>
      <c r="AS853" s="3">
        <v>9999.9999999999982</v>
      </c>
      <c r="AT853" s="272" t="s">
        <v>816</v>
      </c>
      <c r="AU853" s="15"/>
    </row>
    <row r="854" spans="1:49" ht="16.5" hidden="1" customHeight="1" x14ac:dyDescent="0.35">
      <c r="A854" s="2" t="s">
        <v>71</v>
      </c>
      <c r="B854" s="2" t="s">
        <v>58</v>
      </c>
      <c r="C854" s="2" t="s">
        <v>47</v>
      </c>
      <c r="D854" s="2">
        <v>847</v>
      </c>
      <c r="E854" s="2">
        <v>8470540</v>
      </c>
      <c r="F854" s="2" t="s">
        <v>2557</v>
      </c>
      <c r="G854" s="2">
        <v>1</v>
      </c>
      <c r="H854" s="276">
        <v>426900</v>
      </c>
      <c r="I854" s="2" t="s">
        <v>1080</v>
      </c>
      <c r="J854" s="2" t="s">
        <v>60</v>
      </c>
      <c r="K854" s="2" t="s">
        <v>2413</v>
      </c>
      <c r="L854" s="7">
        <v>847010</v>
      </c>
      <c r="M854" s="2" t="s">
        <v>61</v>
      </c>
      <c r="N854" s="2">
        <v>200179</v>
      </c>
      <c r="O854" s="3" t="s">
        <v>2681</v>
      </c>
      <c r="P854" s="35" t="s">
        <v>46</v>
      </c>
      <c r="Q854" s="2">
        <v>30000</v>
      </c>
      <c r="R854" s="3">
        <v>30000</v>
      </c>
      <c r="S854" s="2" t="s">
        <v>2571</v>
      </c>
      <c r="T854" s="2" t="s">
        <v>157</v>
      </c>
      <c r="U854" s="2">
        <v>1</v>
      </c>
      <c r="V854" s="3">
        <v>30000</v>
      </c>
      <c r="W854" s="36" t="s">
        <v>2572</v>
      </c>
      <c r="X854" s="2">
        <v>30000</v>
      </c>
      <c r="Y854" s="2" t="s">
        <v>55</v>
      </c>
      <c r="Z854" s="14" t="s">
        <v>56</v>
      </c>
      <c r="AA854" s="14">
        <f t="shared" si="42"/>
        <v>27000</v>
      </c>
      <c r="AB854" s="14">
        <f t="shared" si="43"/>
        <v>24000</v>
      </c>
      <c r="AC854" s="14">
        <f t="shared" si="44"/>
        <v>21000</v>
      </c>
      <c r="AD854" s="3" t="s">
        <v>2562</v>
      </c>
      <c r="AE854" s="3" t="s">
        <v>2562</v>
      </c>
      <c r="AF854" s="43" t="s">
        <v>2562</v>
      </c>
      <c r="AG854" s="43">
        <v>2500</v>
      </c>
      <c r="AH854" s="43">
        <v>2500</v>
      </c>
      <c r="AI854" s="43">
        <v>2500</v>
      </c>
      <c r="AJ854" s="43">
        <v>2500</v>
      </c>
      <c r="AK854" s="43">
        <v>2500</v>
      </c>
      <c r="AL854" s="43">
        <v>2500</v>
      </c>
      <c r="AM854" s="43">
        <v>2500</v>
      </c>
      <c r="AN854" s="43">
        <v>2500</v>
      </c>
      <c r="AO854" s="43">
        <v>2500</v>
      </c>
      <c r="AP854" s="43">
        <v>2500</v>
      </c>
      <c r="AQ854" s="43">
        <v>2500</v>
      </c>
      <c r="AR854" s="43">
        <v>2500</v>
      </c>
      <c r="AS854" s="3">
        <v>30000</v>
      </c>
      <c r="AT854" s="272" t="s">
        <v>816</v>
      </c>
      <c r="AU854" s="15"/>
    </row>
    <row r="855" spans="1:49" ht="16.5" hidden="1" customHeight="1" x14ac:dyDescent="0.35">
      <c r="A855" s="2" t="s">
        <v>161</v>
      </c>
      <c r="B855" s="2" t="s">
        <v>58</v>
      </c>
      <c r="C855" s="2" t="s">
        <v>47</v>
      </c>
      <c r="D855" s="2">
        <v>847</v>
      </c>
      <c r="E855" s="2">
        <v>8470540</v>
      </c>
      <c r="F855" s="2" t="s">
        <v>2557</v>
      </c>
      <c r="G855" s="2">
        <v>1</v>
      </c>
      <c r="H855" s="276">
        <v>428111</v>
      </c>
      <c r="I855" s="2" t="s">
        <v>1478</v>
      </c>
      <c r="J855" s="2" t="s">
        <v>60</v>
      </c>
      <c r="K855" s="2" t="s">
        <v>2413</v>
      </c>
      <c r="L855" s="7">
        <v>847010</v>
      </c>
      <c r="M855" s="2" t="s">
        <v>61</v>
      </c>
      <c r="N855" s="2">
        <v>200179</v>
      </c>
      <c r="O855" s="3" t="s">
        <v>2682</v>
      </c>
      <c r="P855" s="35" t="s">
        <v>46</v>
      </c>
      <c r="Q855" s="2">
        <v>7349560</v>
      </c>
      <c r="R855" s="3">
        <v>7349560</v>
      </c>
      <c r="S855" s="2" t="s">
        <v>2573</v>
      </c>
      <c r="T855" s="2" t="s">
        <v>2574</v>
      </c>
      <c r="U855" s="2">
        <v>1</v>
      </c>
      <c r="V855" s="3">
        <v>9664500</v>
      </c>
      <c r="W855" s="36" t="s">
        <v>2575</v>
      </c>
      <c r="X855" s="2">
        <v>9664500</v>
      </c>
      <c r="Y855" s="2" t="s">
        <v>55</v>
      </c>
      <c r="Z855" s="14" t="s">
        <v>56</v>
      </c>
      <c r="AA855" s="14">
        <f t="shared" si="42"/>
        <v>8698050</v>
      </c>
      <c r="AB855" s="14">
        <f t="shared" si="43"/>
        <v>7731600</v>
      </c>
      <c r="AC855" s="14">
        <f t="shared" si="44"/>
        <v>6765150</v>
      </c>
      <c r="AD855" s="3" t="s">
        <v>2562</v>
      </c>
      <c r="AE855" s="3" t="s">
        <v>2562</v>
      </c>
      <c r="AF855" s="43" t="s">
        <v>2562</v>
      </c>
      <c r="AG855" s="43">
        <v>805375</v>
      </c>
      <c r="AH855" s="43">
        <v>805375</v>
      </c>
      <c r="AI855" s="43">
        <v>805375</v>
      </c>
      <c r="AJ855" s="43">
        <v>805375</v>
      </c>
      <c r="AK855" s="43">
        <v>805375</v>
      </c>
      <c r="AL855" s="43">
        <v>805375</v>
      </c>
      <c r="AM855" s="43">
        <v>805375</v>
      </c>
      <c r="AN855" s="43">
        <v>805375</v>
      </c>
      <c r="AO855" s="43">
        <v>805375</v>
      </c>
      <c r="AP855" s="43">
        <v>805375</v>
      </c>
      <c r="AQ855" s="43">
        <v>805375</v>
      </c>
      <c r="AR855" s="43">
        <v>805375</v>
      </c>
      <c r="AS855" s="3">
        <v>9664500</v>
      </c>
      <c r="AT855" s="272"/>
      <c r="AU855" s="15"/>
    </row>
    <row r="856" spans="1:49" ht="16.5" hidden="1" customHeight="1" x14ac:dyDescent="0.35">
      <c r="A856" s="2" t="s">
        <v>161</v>
      </c>
      <c r="B856" s="2" t="s">
        <v>58</v>
      </c>
      <c r="C856" s="2" t="s">
        <v>47</v>
      </c>
      <c r="D856" s="2">
        <v>847</v>
      </c>
      <c r="E856" s="2">
        <v>8470540</v>
      </c>
      <c r="F856" s="2" t="s">
        <v>2557</v>
      </c>
      <c r="G856" s="2">
        <v>1</v>
      </c>
      <c r="H856" s="276">
        <v>428111</v>
      </c>
      <c r="I856" s="2" t="s">
        <v>1478</v>
      </c>
      <c r="J856" s="2" t="s">
        <v>60</v>
      </c>
      <c r="K856" s="2" t="s">
        <v>2417</v>
      </c>
      <c r="L856" s="7">
        <v>847015</v>
      </c>
      <c r="M856" s="2" t="s">
        <v>61</v>
      </c>
      <c r="N856" s="2">
        <v>200179</v>
      </c>
      <c r="O856" s="3" t="s">
        <v>2683</v>
      </c>
      <c r="P856" s="35" t="s">
        <v>46</v>
      </c>
      <c r="Q856" s="2">
        <v>4615084</v>
      </c>
      <c r="R856" s="3">
        <v>4615084</v>
      </c>
      <c r="S856" s="2" t="s">
        <v>2576</v>
      </c>
      <c r="T856" s="2" t="s">
        <v>2574</v>
      </c>
      <c r="U856" s="2">
        <v>1</v>
      </c>
      <c r="V856" s="3">
        <v>4615084</v>
      </c>
      <c r="W856" s="36" t="s">
        <v>2575</v>
      </c>
      <c r="X856" s="2">
        <v>4615084</v>
      </c>
      <c r="Y856" s="2" t="s">
        <v>55</v>
      </c>
      <c r="Z856" s="14" t="s">
        <v>56</v>
      </c>
      <c r="AA856" s="14">
        <f t="shared" si="42"/>
        <v>4153575.6</v>
      </c>
      <c r="AB856" s="14">
        <f t="shared" si="43"/>
        <v>3692067.2</v>
      </c>
      <c r="AC856" s="14">
        <f t="shared" si="44"/>
        <v>3230558.8</v>
      </c>
      <c r="AD856" s="3" t="s">
        <v>2562</v>
      </c>
      <c r="AE856" s="3" t="s">
        <v>2562</v>
      </c>
      <c r="AF856" s="43" t="s">
        <v>2562</v>
      </c>
      <c r="AG856" s="43">
        <v>384590.3333</v>
      </c>
      <c r="AH856" s="43">
        <v>384590.3333</v>
      </c>
      <c r="AI856" s="43">
        <v>384590.3333</v>
      </c>
      <c r="AJ856" s="43">
        <v>384590.3333</v>
      </c>
      <c r="AK856" s="43">
        <v>384590.3333</v>
      </c>
      <c r="AL856" s="43">
        <v>384590.3333</v>
      </c>
      <c r="AM856" s="43">
        <v>384590.3333</v>
      </c>
      <c r="AN856" s="43">
        <v>384590.3333</v>
      </c>
      <c r="AO856" s="43">
        <v>384590.3333</v>
      </c>
      <c r="AP856" s="43">
        <v>384590.3333</v>
      </c>
      <c r="AQ856" s="43">
        <v>384590.3333</v>
      </c>
      <c r="AR856" s="43">
        <v>384590.3333</v>
      </c>
      <c r="AS856" s="3">
        <v>4615084</v>
      </c>
      <c r="AT856" s="272"/>
      <c r="AU856" s="15"/>
    </row>
    <row r="857" spans="1:49" ht="16.5" hidden="1" customHeight="1" x14ac:dyDescent="0.35">
      <c r="A857" s="2" t="s">
        <v>161</v>
      </c>
      <c r="B857" s="2" t="s">
        <v>58</v>
      </c>
      <c r="C857" s="2" t="s">
        <v>47</v>
      </c>
      <c r="D857" s="2">
        <v>847</v>
      </c>
      <c r="E857" s="2">
        <v>8470540</v>
      </c>
      <c r="F857" s="2" t="s">
        <v>2557</v>
      </c>
      <c r="G857" s="2">
        <v>1</v>
      </c>
      <c r="H857" s="276">
        <v>428111</v>
      </c>
      <c r="I857" s="2" t="s">
        <v>1478</v>
      </c>
      <c r="J857" s="2" t="s">
        <v>60</v>
      </c>
      <c r="K857" s="2" t="s">
        <v>2093</v>
      </c>
      <c r="L857" s="7">
        <v>847020</v>
      </c>
      <c r="M857" s="2" t="s">
        <v>61</v>
      </c>
      <c r="N857" s="2">
        <v>200179</v>
      </c>
      <c r="O857" s="3" t="s">
        <v>2684</v>
      </c>
      <c r="P857" s="35" t="s">
        <v>46</v>
      </c>
      <c r="Q857" s="2">
        <v>3058446</v>
      </c>
      <c r="R857" s="3">
        <v>3058446</v>
      </c>
      <c r="S857" s="2" t="s">
        <v>2576</v>
      </c>
      <c r="T857" s="2" t="s">
        <v>2574</v>
      </c>
      <c r="U857" s="2">
        <v>1</v>
      </c>
      <c r="V857" s="3">
        <v>3976000</v>
      </c>
      <c r="W857" s="36" t="s">
        <v>2575</v>
      </c>
      <c r="X857" s="2">
        <v>3976000</v>
      </c>
      <c r="Y857" s="2" t="s">
        <v>55</v>
      </c>
      <c r="Z857" s="14" t="s">
        <v>56</v>
      </c>
      <c r="AA857" s="14">
        <f t="shared" si="42"/>
        <v>3578400</v>
      </c>
      <c r="AB857" s="14">
        <f t="shared" si="43"/>
        <v>3180800</v>
      </c>
      <c r="AC857" s="14">
        <f t="shared" si="44"/>
        <v>2783200</v>
      </c>
      <c r="AD857" s="3" t="s">
        <v>2562</v>
      </c>
      <c r="AE857" s="3" t="s">
        <v>2562</v>
      </c>
      <c r="AF857" s="43" t="s">
        <v>2562</v>
      </c>
      <c r="AG857" s="43">
        <v>331333.33299999998</v>
      </c>
      <c r="AH857" s="43">
        <v>331333.33299999998</v>
      </c>
      <c r="AI857" s="43">
        <v>331333.33299999998</v>
      </c>
      <c r="AJ857" s="43">
        <v>331333.33299999998</v>
      </c>
      <c r="AK857" s="43">
        <v>331333.33299999998</v>
      </c>
      <c r="AL857" s="43">
        <v>331333.33299999998</v>
      </c>
      <c r="AM857" s="43">
        <v>331333.33299999998</v>
      </c>
      <c r="AN857" s="43">
        <v>331333.33299999998</v>
      </c>
      <c r="AO857" s="43">
        <v>331333.33299999998</v>
      </c>
      <c r="AP857" s="43">
        <v>331333.33299999998</v>
      </c>
      <c r="AQ857" s="43">
        <v>331333.33299999998</v>
      </c>
      <c r="AR857" s="43">
        <v>331333.33299999998</v>
      </c>
      <c r="AS857" s="3">
        <v>3976000</v>
      </c>
      <c r="AT857" s="272" t="s">
        <v>816</v>
      </c>
      <c r="AU857" s="15"/>
    </row>
    <row r="858" spans="1:49" ht="16.5" hidden="1" customHeight="1" x14ac:dyDescent="0.35">
      <c r="A858" s="2" t="s">
        <v>161</v>
      </c>
      <c r="B858" s="2" t="s">
        <v>58</v>
      </c>
      <c r="C858" s="2" t="s">
        <v>47</v>
      </c>
      <c r="D858" s="2">
        <v>847</v>
      </c>
      <c r="E858" s="2">
        <v>8470540</v>
      </c>
      <c r="F858" s="2" t="s">
        <v>2557</v>
      </c>
      <c r="G858" s="2">
        <v>1</v>
      </c>
      <c r="H858" s="276">
        <v>428111</v>
      </c>
      <c r="I858" s="2" t="s">
        <v>1478</v>
      </c>
      <c r="J858" s="2" t="s">
        <v>60</v>
      </c>
      <c r="K858" s="2" t="s">
        <v>2429</v>
      </c>
      <c r="L858" s="7">
        <v>847030</v>
      </c>
      <c r="M858" s="2" t="s">
        <v>61</v>
      </c>
      <c r="N858" s="2">
        <v>200179</v>
      </c>
      <c r="O858" s="3" t="s">
        <v>2685</v>
      </c>
      <c r="P858" s="35" t="s">
        <v>46</v>
      </c>
      <c r="Q858" s="2">
        <v>442627</v>
      </c>
      <c r="R858" s="3">
        <v>442627</v>
      </c>
      <c r="S858" s="2" t="s">
        <v>2577</v>
      </c>
      <c r="T858" s="2" t="s">
        <v>62</v>
      </c>
      <c r="U858" s="2">
        <v>1</v>
      </c>
      <c r="V858" s="3">
        <v>442627</v>
      </c>
      <c r="W858" s="36" t="s">
        <v>2575</v>
      </c>
      <c r="X858" s="2">
        <v>442627</v>
      </c>
      <c r="Y858" s="2" t="s">
        <v>55</v>
      </c>
      <c r="Z858" s="14" t="s">
        <v>56</v>
      </c>
      <c r="AA858" s="14">
        <f t="shared" si="42"/>
        <v>398364.3</v>
      </c>
      <c r="AB858" s="14">
        <f t="shared" si="43"/>
        <v>354101.60000000003</v>
      </c>
      <c r="AC858" s="14">
        <f t="shared" si="44"/>
        <v>309838.89999999997</v>
      </c>
      <c r="AD858" s="3" t="s">
        <v>2562</v>
      </c>
      <c r="AE858" s="3" t="s">
        <v>2562</v>
      </c>
      <c r="AF858" s="43" t="s">
        <v>2562</v>
      </c>
      <c r="AG858" s="43">
        <v>36885.583400000003</v>
      </c>
      <c r="AH858" s="43">
        <v>36885.583400000003</v>
      </c>
      <c r="AI858" s="43">
        <v>36885.583400000003</v>
      </c>
      <c r="AJ858" s="43">
        <v>36885.583400000003</v>
      </c>
      <c r="AK858" s="43">
        <v>36885.583400000003</v>
      </c>
      <c r="AL858" s="43">
        <v>36885.583400000003</v>
      </c>
      <c r="AM858" s="43">
        <v>36885.583400000003</v>
      </c>
      <c r="AN858" s="43">
        <v>36885.583400000003</v>
      </c>
      <c r="AO858" s="43">
        <v>36885.583400000003</v>
      </c>
      <c r="AP858" s="43">
        <v>36885.583400000003</v>
      </c>
      <c r="AQ858" s="43">
        <v>36885.583400000003</v>
      </c>
      <c r="AR858" s="43">
        <v>36885.583400000003</v>
      </c>
      <c r="AS858" s="3">
        <v>442627</v>
      </c>
      <c r="AT858" s="272" t="s">
        <v>816</v>
      </c>
      <c r="AU858" s="15"/>
    </row>
    <row r="859" spans="1:49" ht="16.5" hidden="1" customHeight="1" x14ac:dyDescent="0.35">
      <c r="A859" s="2" t="s">
        <v>161</v>
      </c>
      <c r="B859" s="2" t="s">
        <v>58</v>
      </c>
      <c r="C859" s="2" t="s">
        <v>47</v>
      </c>
      <c r="D859" s="2">
        <v>847</v>
      </c>
      <c r="E859" s="2">
        <v>8470540</v>
      </c>
      <c r="F859" s="2" t="s">
        <v>2557</v>
      </c>
      <c r="G859" s="2">
        <v>1</v>
      </c>
      <c r="H859" s="276">
        <v>428112</v>
      </c>
      <c r="I859" s="2" t="s">
        <v>1479</v>
      </c>
      <c r="J859" s="2" t="s">
        <v>60</v>
      </c>
      <c r="K859" s="2" t="s">
        <v>2413</v>
      </c>
      <c r="L859" s="7">
        <v>847010</v>
      </c>
      <c r="M859" s="2" t="s">
        <v>61</v>
      </c>
      <c r="N859" s="2">
        <v>200179</v>
      </c>
      <c r="O859" s="3" t="s">
        <v>2686</v>
      </c>
      <c r="P859" s="35" t="s">
        <v>46</v>
      </c>
      <c r="Q859" s="2">
        <v>1153128</v>
      </c>
      <c r="R859" s="3">
        <v>1153128</v>
      </c>
      <c r="S859" s="2" t="s">
        <v>2578</v>
      </c>
      <c r="T859" s="2" t="s">
        <v>515</v>
      </c>
      <c r="U859" s="2">
        <v>1</v>
      </c>
      <c r="V859" s="3">
        <v>1500000</v>
      </c>
      <c r="W859" s="36" t="s">
        <v>2579</v>
      </c>
      <c r="X859" s="2">
        <v>1500000</v>
      </c>
      <c r="Y859" s="2" t="s">
        <v>55</v>
      </c>
      <c r="Z859" s="14" t="s">
        <v>56</v>
      </c>
      <c r="AA859" s="14">
        <f t="shared" si="42"/>
        <v>1350000</v>
      </c>
      <c r="AB859" s="14">
        <f t="shared" si="43"/>
        <v>1200000</v>
      </c>
      <c r="AC859" s="14">
        <f t="shared" si="44"/>
        <v>1050000</v>
      </c>
      <c r="AD859" s="3" t="s">
        <v>2562</v>
      </c>
      <c r="AE859" s="3" t="s">
        <v>2562</v>
      </c>
      <c r="AF859" s="43" t="s">
        <v>2562</v>
      </c>
      <c r="AG859" s="43">
        <v>125000</v>
      </c>
      <c r="AH859" s="43">
        <v>125000</v>
      </c>
      <c r="AI859" s="43">
        <v>125000</v>
      </c>
      <c r="AJ859" s="43">
        <v>125000</v>
      </c>
      <c r="AK859" s="43">
        <v>125000</v>
      </c>
      <c r="AL859" s="43">
        <v>125000</v>
      </c>
      <c r="AM859" s="43">
        <v>125000</v>
      </c>
      <c r="AN859" s="43">
        <v>125000</v>
      </c>
      <c r="AO859" s="43">
        <v>125000</v>
      </c>
      <c r="AP859" s="43">
        <v>125000</v>
      </c>
      <c r="AQ859" s="43">
        <v>125000</v>
      </c>
      <c r="AR859" s="43">
        <v>125000</v>
      </c>
      <c r="AS859" s="3">
        <v>1500000</v>
      </c>
      <c r="AT859" s="272" t="s">
        <v>816</v>
      </c>
      <c r="AU859" s="15"/>
    </row>
    <row r="860" spans="1:49" ht="16.5" hidden="1" customHeight="1" x14ac:dyDescent="0.35">
      <c r="A860" s="2" t="s">
        <v>161</v>
      </c>
      <c r="B860" s="2" t="s">
        <v>58</v>
      </c>
      <c r="C860" s="2" t="s">
        <v>47</v>
      </c>
      <c r="D860" s="2">
        <v>847</v>
      </c>
      <c r="E860" s="2">
        <v>8470540</v>
      </c>
      <c r="F860" s="2" t="s">
        <v>2557</v>
      </c>
      <c r="G860" s="2">
        <v>1</v>
      </c>
      <c r="H860" s="276">
        <v>428112</v>
      </c>
      <c r="I860" s="2" t="s">
        <v>1479</v>
      </c>
      <c r="J860" s="2" t="s">
        <v>60</v>
      </c>
      <c r="K860" s="2" t="s">
        <v>2417</v>
      </c>
      <c r="L860" s="7">
        <v>847015</v>
      </c>
      <c r="M860" s="2" t="s">
        <v>61</v>
      </c>
      <c r="N860" s="2">
        <v>200179</v>
      </c>
      <c r="O860" s="3" t="s">
        <v>2687</v>
      </c>
      <c r="P860" s="35" t="s">
        <v>46</v>
      </c>
      <c r="Q860" s="2">
        <v>1681399</v>
      </c>
      <c r="R860" s="3">
        <v>1681399</v>
      </c>
      <c r="S860" s="2" t="s">
        <v>2580</v>
      </c>
      <c r="T860" s="2" t="s">
        <v>515</v>
      </c>
      <c r="U860" s="2">
        <v>1</v>
      </c>
      <c r="V860" s="3">
        <v>1681399</v>
      </c>
      <c r="W860" s="36" t="s">
        <v>2579</v>
      </c>
      <c r="X860" s="2">
        <v>1681399</v>
      </c>
      <c r="Y860" s="2" t="s">
        <v>55</v>
      </c>
      <c r="Z860" s="14" t="s">
        <v>56</v>
      </c>
      <c r="AA860" s="14">
        <f t="shared" si="42"/>
        <v>1513259.1</v>
      </c>
      <c r="AB860" s="14">
        <f t="shared" si="43"/>
        <v>1345119.2000000002</v>
      </c>
      <c r="AC860" s="14">
        <f t="shared" si="44"/>
        <v>1176979.2999999998</v>
      </c>
      <c r="AD860" s="3" t="s">
        <v>2562</v>
      </c>
      <c r="AE860" s="3" t="s">
        <v>2562</v>
      </c>
      <c r="AF860" s="43" t="s">
        <v>2562</v>
      </c>
      <c r="AG860" s="43">
        <v>140116.5833</v>
      </c>
      <c r="AH860" s="43">
        <v>140116.5833</v>
      </c>
      <c r="AI860" s="43">
        <v>140116.5833</v>
      </c>
      <c r="AJ860" s="43">
        <v>140116.5833</v>
      </c>
      <c r="AK860" s="43">
        <v>140116.5833</v>
      </c>
      <c r="AL860" s="43">
        <v>140116.5833</v>
      </c>
      <c r="AM860" s="43">
        <v>140116.5833</v>
      </c>
      <c r="AN860" s="43">
        <v>140116.5833</v>
      </c>
      <c r="AO860" s="43">
        <v>140116.5833</v>
      </c>
      <c r="AP860" s="43">
        <v>140116.5833</v>
      </c>
      <c r="AQ860" s="43">
        <v>140116.5833</v>
      </c>
      <c r="AR860" s="43">
        <v>140116.5833</v>
      </c>
      <c r="AS860" s="3">
        <v>1681399</v>
      </c>
      <c r="AT860" s="272" t="s">
        <v>816</v>
      </c>
      <c r="AU860" s="15"/>
    </row>
    <row r="861" spans="1:49" ht="16.5" hidden="1" customHeight="1" x14ac:dyDescent="0.35">
      <c r="A861" s="2" t="s">
        <v>161</v>
      </c>
      <c r="B861" s="2" t="s">
        <v>58</v>
      </c>
      <c r="C861" s="2" t="s">
        <v>47</v>
      </c>
      <c r="D861" s="2">
        <v>847</v>
      </c>
      <c r="E861" s="2">
        <v>8470540</v>
      </c>
      <c r="F861" s="2" t="s">
        <v>2557</v>
      </c>
      <c r="G861" s="2">
        <v>1</v>
      </c>
      <c r="H861" s="276">
        <v>428112</v>
      </c>
      <c r="I861" s="2" t="s">
        <v>1479</v>
      </c>
      <c r="J861" s="2" t="s">
        <v>60</v>
      </c>
      <c r="K861" s="2" t="s">
        <v>2093</v>
      </c>
      <c r="L861" s="7">
        <v>847020</v>
      </c>
      <c r="M861" s="2" t="s">
        <v>61</v>
      </c>
      <c r="N861" s="2">
        <v>200179</v>
      </c>
      <c r="O861" s="3" t="s">
        <v>2688</v>
      </c>
      <c r="P861" s="35" t="s">
        <v>46</v>
      </c>
      <c r="Q861" s="2">
        <v>1703132</v>
      </c>
      <c r="R861" s="3">
        <v>1703132</v>
      </c>
      <c r="S861" s="2" t="s">
        <v>2581</v>
      </c>
      <c r="T861" s="2" t="s">
        <v>62</v>
      </c>
      <c r="U861" s="2">
        <v>1</v>
      </c>
      <c r="V861" s="3">
        <v>1873450</v>
      </c>
      <c r="W861" s="36" t="s">
        <v>2579</v>
      </c>
      <c r="X861" s="2">
        <v>1873450</v>
      </c>
      <c r="Y861" s="2" t="s">
        <v>55</v>
      </c>
      <c r="Z861" s="14" t="s">
        <v>56</v>
      </c>
      <c r="AA861" s="14">
        <f t="shared" si="42"/>
        <v>1686105</v>
      </c>
      <c r="AB861" s="14">
        <f t="shared" si="43"/>
        <v>1498760</v>
      </c>
      <c r="AC861" s="14">
        <f t="shared" si="44"/>
        <v>1311415</v>
      </c>
      <c r="AD861" s="3" t="s">
        <v>2562</v>
      </c>
      <c r="AE861" s="3" t="s">
        <v>2562</v>
      </c>
      <c r="AF861" s="43" t="s">
        <v>2562</v>
      </c>
      <c r="AG861" s="43">
        <v>156120.8333</v>
      </c>
      <c r="AH861" s="43">
        <v>156120.8333</v>
      </c>
      <c r="AI861" s="43">
        <v>156120.8333</v>
      </c>
      <c r="AJ861" s="43">
        <v>156120.8333</v>
      </c>
      <c r="AK861" s="43">
        <v>156120.8333</v>
      </c>
      <c r="AL861" s="43">
        <v>156120.8333</v>
      </c>
      <c r="AM861" s="43">
        <v>156120.8333</v>
      </c>
      <c r="AN861" s="43">
        <v>156120.8333</v>
      </c>
      <c r="AO861" s="43">
        <v>156120.8333</v>
      </c>
      <c r="AP861" s="43">
        <v>156120.8333</v>
      </c>
      <c r="AQ861" s="43">
        <v>156120.8333</v>
      </c>
      <c r="AR861" s="43">
        <v>156120.8333</v>
      </c>
      <c r="AS861" s="3">
        <v>1873450</v>
      </c>
      <c r="AT861" s="272" t="s">
        <v>816</v>
      </c>
      <c r="AU861" s="15"/>
    </row>
    <row r="862" spans="1:49" ht="16.5" hidden="1" customHeight="1" x14ac:dyDescent="0.35">
      <c r="A862" s="2" t="s">
        <v>161</v>
      </c>
      <c r="B862" s="2" t="s">
        <v>58</v>
      </c>
      <c r="C862" s="2" t="s">
        <v>47</v>
      </c>
      <c r="D862" s="2">
        <v>847</v>
      </c>
      <c r="E862" s="2">
        <v>8470540</v>
      </c>
      <c r="F862" s="2" t="s">
        <v>2557</v>
      </c>
      <c r="G862" s="2">
        <v>1</v>
      </c>
      <c r="H862" s="276">
        <v>428112</v>
      </c>
      <c r="I862" s="2" t="s">
        <v>1479</v>
      </c>
      <c r="J862" s="2" t="s">
        <v>60</v>
      </c>
      <c r="K862" s="2" t="s">
        <v>2429</v>
      </c>
      <c r="L862" s="7">
        <v>847030</v>
      </c>
      <c r="M862" s="2" t="s">
        <v>61</v>
      </c>
      <c r="N862" s="2">
        <v>200179</v>
      </c>
      <c r="O862" s="3" t="s">
        <v>2689</v>
      </c>
      <c r="P862" s="35" t="s">
        <v>46</v>
      </c>
      <c r="Q862" s="2">
        <v>153570</v>
      </c>
      <c r="R862" s="3">
        <v>153570</v>
      </c>
      <c r="S862" s="2" t="s">
        <v>2578</v>
      </c>
      <c r="T862" s="2" t="s">
        <v>515</v>
      </c>
      <c r="U862" s="2">
        <v>1</v>
      </c>
      <c r="V862" s="3">
        <v>153570</v>
      </c>
      <c r="W862" s="36" t="s">
        <v>2579</v>
      </c>
      <c r="X862" s="2">
        <v>153570</v>
      </c>
      <c r="Y862" s="2" t="s">
        <v>55</v>
      </c>
      <c r="Z862" s="14" t="s">
        <v>56</v>
      </c>
      <c r="AA862" s="14">
        <f t="shared" si="42"/>
        <v>138213</v>
      </c>
      <c r="AB862" s="14">
        <f t="shared" si="43"/>
        <v>122856</v>
      </c>
      <c r="AC862" s="14">
        <f t="shared" si="44"/>
        <v>107499</v>
      </c>
      <c r="AD862" s="3" t="s">
        <v>2562</v>
      </c>
      <c r="AE862" s="3" t="s">
        <v>2562</v>
      </c>
      <c r="AF862" s="43" t="s">
        <v>2562</v>
      </c>
      <c r="AG862" s="43">
        <v>12797.5</v>
      </c>
      <c r="AH862" s="43">
        <v>12797.5</v>
      </c>
      <c r="AI862" s="43">
        <v>12797.5</v>
      </c>
      <c r="AJ862" s="43">
        <v>12797.5</v>
      </c>
      <c r="AK862" s="43">
        <v>12797.5</v>
      </c>
      <c r="AL862" s="43">
        <v>12797.5</v>
      </c>
      <c r="AM862" s="43">
        <v>12797.5</v>
      </c>
      <c r="AN862" s="43">
        <v>12797.5</v>
      </c>
      <c r="AO862" s="43">
        <v>12797.5</v>
      </c>
      <c r="AP862" s="43">
        <v>12797.5</v>
      </c>
      <c r="AQ862" s="43">
        <v>12797.5</v>
      </c>
      <c r="AR862" s="43">
        <v>12797.5</v>
      </c>
      <c r="AS862" s="3">
        <v>153570</v>
      </c>
      <c r="AT862" s="272" t="s">
        <v>816</v>
      </c>
      <c r="AU862" s="15"/>
    </row>
    <row r="863" spans="1:49" ht="16.5" hidden="1" customHeight="1" x14ac:dyDescent="0.35">
      <c r="A863" s="2" t="s">
        <v>189</v>
      </c>
      <c r="B863" s="2" t="s">
        <v>58</v>
      </c>
      <c r="C863" s="2" t="s">
        <v>47</v>
      </c>
      <c r="D863" s="2">
        <v>847</v>
      </c>
      <c r="E863" s="2">
        <v>8470540</v>
      </c>
      <c r="F863" s="2" t="s">
        <v>2557</v>
      </c>
      <c r="G863" s="2">
        <v>1</v>
      </c>
      <c r="H863" s="276">
        <v>429900</v>
      </c>
      <c r="I863" s="2" t="s">
        <v>2359</v>
      </c>
      <c r="J863" s="2" t="s">
        <v>60</v>
      </c>
      <c r="K863" s="2" t="s">
        <v>2413</v>
      </c>
      <c r="L863" s="7">
        <v>847010</v>
      </c>
      <c r="M863" s="2" t="s">
        <v>61</v>
      </c>
      <c r="N863" s="2">
        <v>200179</v>
      </c>
      <c r="O863" s="3" t="s">
        <v>2690</v>
      </c>
      <c r="P863" s="35" t="s">
        <v>46</v>
      </c>
      <c r="Q863" s="2">
        <v>44000</v>
      </c>
      <c r="R863" s="3">
        <v>44000</v>
      </c>
      <c r="S863" s="2" t="s">
        <v>2361</v>
      </c>
      <c r="T863" s="2" t="s">
        <v>1418</v>
      </c>
      <c r="U863" s="2">
        <v>1</v>
      </c>
      <c r="V863" s="3">
        <v>44000</v>
      </c>
      <c r="W863" s="36" t="s">
        <v>2582</v>
      </c>
      <c r="X863" s="2">
        <v>44000</v>
      </c>
      <c r="Y863" s="2" t="s">
        <v>55</v>
      </c>
      <c r="Z863" s="14" t="s">
        <v>56</v>
      </c>
      <c r="AA863" s="14">
        <f t="shared" si="42"/>
        <v>39600</v>
      </c>
      <c r="AB863" s="14">
        <f t="shared" si="43"/>
        <v>35200</v>
      </c>
      <c r="AC863" s="14">
        <f t="shared" si="44"/>
        <v>30799.999999999996</v>
      </c>
      <c r="AD863" s="3" t="s">
        <v>2562</v>
      </c>
      <c r="AE863" s="3" t="s">
        <v>2562</v>
      </c>
      <c r="AF863" s="43" t="s">
        <v>2562</v>
      </c>
      <c r="AG863" s="43">
        <v>3666.6667000000002</v>
      </c>
      <c r="AH863" s="43">
        <v>3666.6667000000002</v>
      </c>
      <c r="AI863" s="43">
        <v>3666.6667000000002</v>
      </c>
      <c r="AJ863" s="43">
        <v>3666.6667000000002</v>
      </c>
      <c r="AK863" s="43">
        <v>3666.6667000000002</v>
      </c>
      <c r="AL863" s="43">
        <v>3666.6667000000002</v>
      </c>
      <c r="AM863" s="43">
        <v>3666.6667000000002</v>
      </c>
      <c r="AN863" s="43">
        <v>3666.6667000000002</v>
      </c>
      <c r="AO863" s="43">
        <v>3666.6667000000002</v>
      </c>
      <c r="AP863" s="43">
        <v>3666.6667000000002</v>
      </c>
      <c r="AQ863" s="43">
        <v>3666.6666</v>
      </c>
      <c r="AR863" s="43">
        <v>3666.6664000000001</v>
      </c>
      <c r="AS863" s="3">
        <v>44000.000000000007</v>
      </c>
      <c r="AT863" s="272" t="s">
        <v>816</v>
      </c>
      <c r="AU863" s="15"/>
    </row>
    <row r="864" spans="1:49" ht="16.5" hidden="1" customHeight="1" x14ac:dyDescent="0.35">
      <c r="A864" s="2" t="s">
        <v>189</v>
      </c>
      <c r="B864" s="2" t="s">
        <v>58</v>
      </c>
      <c r="C864" s="2" t="s">
        <v>47</v>
      </c>
      <c r="D864" s="2">
        <v>847</v>
      </c>
      <c r="E864" s="2">
        <v>8470540</v>
      </c>
      <c r="F864" s="2" t="s">
        <v>2557</v>
      </c>
      <c r="G864" s="2">
        <v>1</v>
      </c>
      <c r="H864" s="276">
        <v>429900</v>
      </c>
      <c r="I864" s="2" t="s">
        <v>2359</v>
      </c>
      <c r="J864" s="2" t="s">
        <v>60</v>
      </c>
      <c r="K864" s="2" t="s">
        <v>2413</v>
      </c>
      <c r="L864" s="7" t="s">
        <v>2418</v>
      </c>
      <c r="M864" s="2" t="s">
        <v>61</v>
      </c>
      <c r="N864" s="2">
        <v>200179</v>
      </c>
      <c r="O864" s="3" t="s">
        <v>2690</v>
      </c>
      <c r="P864" s="35"/>
      <c r="Q864" s="2"/>
      <c r="R864" s="3"/>
      <c r="S864" s="2" t="s">
        <v>2361</v>
      </c>
      <c r="T864" s="2" t="s">
        <v>1418</v>
      </c>
      <c r="U864" s="2">
        <v>1</v>
      </c>
      <c r="V864" s="3">
        <v>4000</v>
      </c>
      <c r="W864" s="36" t="s">
        <v>2583</v>
      </c>
      <c r="X864" s="2">
        <v>4000</v>
      </c>
      <c r="Y864" s="2" t="s">
        <v>55</v>
      </c>
      <c r="Z864" s="14" t="s">
        <v>56</v>
      </c>
      <c r="AA864" s="14">
        <f t="shared" si="42"/>
        <v>3600</v>
      </c>
      <c r="AB864" s="14">
        <f t="shared" si="43"/>
        <v>3200</v>
      </c>
      <c r="AC864" s="14">
        <f t="shared" si="44"/>
        <v>2800</v>
      </c>
      <c r="AD864" s="3" t="s">
        <v>2562</v>
      </c>
      <c r="AE864" s="3" t="s">
        <v>2562</v>
      </c>
      <c r="AF864" s="43" t="s">
        <v>2562</v>
      </c>
      <c r="AG864" s="43"/>
      <c r="AH864" s="43"/>
      <c r="AI864" s="43">
        <v>4000</v>
      </c>
      <c r="AJ864" s="43"/>
      <c r="AK864" s="43"/>
      <c r="AL864" s="43"/>
      <c r="AM864" s="43"/>
      <c r="AN864" s="43"/>
      <c r="AO864" s="43"/>
      <c r="AP864" s="43"/>
      <c r="AQ864" s="43"/>
      <c r="AR864" s="43"/>
      <c r="AS864" s="3">
        <v>4000</v>
      </c>
      <c r="AT864" s="272" t="s">
        <v>816</v>
      </c>
      <c r="AU864" s="15"/>
    </row>
    <row r="865" spans="1:47" ht="16.5" hidden="1" customHeight="1" x14ac:dyDescent="0.35">
      <c r="A865" s="2" t="s">
        <v>161</v>
      </c>
      <c r="B865" s="2" t="s">
        <v>58</v>
      </c>
      <c r="C865" s="2" t="s">
        <v>47</v>
      </c>
      <c r="D865" s="2">
        <v>847</v>
      </c>
      <c r="E865" s="2">
        <v>8470540</v>
      </c>
      <c r="F865" s="2" t="s">
        <v>2557</v>
      </c>
      <c r="G865" s="2">
        <v>1</v>
      </c>
      <c r="H865" s="276">
        <v>430330</v>
      </c>
      <c r="I865" s="2" t="s">
        <v>2553</v>
      </c>
      <c r="J865" s="2" t="s">
        <v>60</v>
      </c>
      <c r="K865" s="2" t="s">
        <v>2413</v>
      </c>
      <c r="L865" s="7">
        <v>847010</v>
      </c>
      <c r="M865" s="2" t="s">
        <v>61</v>
      </c>
      <c r="N865" s="2">
        <v>200179</v>
      </c>
      <c r="O865" s="3" t="s">
        <v>2691</v>
      </c>
      <c r="P865" s="35">
        <v>581760</v>
      </c>
      <c r="Q865" s="2">
        <v>967680</v>
      </c>
      <c r="R865" s="3">
        <v>967680</v>
      </c>
      <c r="S865" s="2" t="s">
        <v>2584</v>
      </c>
      <c r="T865" s="2" t="s">
        <v>269</v>
      </c>
      <c r="U865" s="2">
        <v>1</v>
      </c>
      <c r="V865" s="3">
        <v>1100004</v>
      </c>
      <c r="W865" s="36" t="s">
        <v>2585</v>
      </c>
      <c r="X865" s="2">
        <v>1100004</v>
      </c>
      <c r="Y865" s="2" t="s">
        <v>55</v>
      </c>
      <c r="Z865" s="14" t="s">
        <v>56</v>
      </c>
      <c r="AA865" s="14">
        <f t="shared" si="42"/>
        <v>990003.6</v>
      </c>
      <c r="AB865" s="14">
        <f t="shared" si="43"/>
        <v>880003.20000000007</v>
      </c>
      <c r="AC865" s="14">
        <f t="shared" si="44"/>
        <v>770002.79999999993</v>
      </c>
      <c r="AD865" s="3" t="s">
        <v>2562</v>
      </c>
      <c r="AE865" s="3" t="s">
        <v>2562</v>
      </c>
      <c r="AF865" s="43" t="s">
        <v>2562</v>
      </c>
      <c r="AG865" s="43">
        <v>91667</v>
      </c>
      <c r="AH865" s="43">
        <v>91667</v>
      </c>
      <c r="AI865" s="43">
        <v>91667</v>
      </c>
      <c r="AJ865" s="43">
        <v>91667</v>
      </c>
      <c r="AK865" s="43">
        <v>91667</v>
      </c>
      <c r="AL865" s="43">
        <v>91667</v>
      </c>
      <c r="AM865" s="43">
        <v>91667</v>
      </c>
      <c r="AN865" s="43">
        <v>91667</v>
      </c>
      <c r="AO865" s="43">
        <v>91667</v>
      </c>
      <c r="AP865" s="43">
        <v>91667</v>
      </c>
      <c r="AQ865" s="43">
        <v>91667</v>
      </c>
      <c r="AR865" s="43">
        <v>91667</v>
      </c>
      <c r="AS865" s="3">
        <v>1100004</v>
      </c>
      <c r="AT865" s="272" t="s">
        <v>816</v>
      </c>
      <c r="AU865" s="15"/>
    </row>
    <row r="866" spans="1:47" ht="16.5" hidden="1" customHeight="1" x14ac:dyDescent="0.35">
      <c r="A866" s="2" t="s">
        <v>161</v>
      </c>
      <c r="B866" s="2" t="s">
        <v>58</v>
      </c>
      <c r="C866" s="2" t="s">
        <v>47</v>
      </c>
      <c r="D866" s="2">
        <v>847</v>
      </c>
      <c r="E866" s="2">
        <v>8470540</v>
      </c>
      <c r="F866" s="2" t="s">
        <v>2557</v>
      </c>
      <c r="G866" s="2">
        <v>1</v>
      </c>
      <c r="H866" s="276">
        <v>430330</v>
      </c>
      <c r="I866" s="2" t="s">
        <v>2553</v>
      </c>
      <c r="J866" s="2" t="s">
        <v>60</v>
      </c>
      <c r="K866" s="2" t="s">
        <v>2413</v>
      </c>
      <c r="L866" s="7" t="s">
        <v>2418</v>
      </c>
      <c r="M866" s="2" t="s">
        <v>61</v>
      </c>
      <c r="N866" s="2">
        <v>200179</v>
      </c>
      <c r="O866" s="3" t="s">
        <v>2691</v>
      </c>
      <c r="P866" s="35"/>
      <c r="Q866" s="2"/>
      <c r="R866" s="3"/>
      <c r="S866" s="2" t="s">
        <v>2584</v>
      </c>
      <c r="T866" s="2" t="s">
        <v>269</v>
      </c>
      <c r="U866" s="2">
        <v>1</v>
      </c>
      <c r="V866" s="3">
        <v>770120.77</v>
      </c>
      <c r="W866" s="36" t="s">
        <v>2586</v>
      </c>
      <c r="X866" s="2">
        <v>770120.77</v>
      </c>
      <c r="Y866" s="2" t="s">
        <v>55</v>
      </c>
      <c r="Z866" s="14" t="s">
        <v>56</v>
      </c>
      <c r="AA866" s="14">
        <f t="shared" si="42"/>
        <v>693108.69300000009</v>
      </c>
      <c r="AB866" s="14">
        <f t="shared" si="43"/>
        <v>616096.61600000004</v>
      </c>
      <c r="AC866" s="14">
        <f t="shared" si="44"/>
        <v>539084.53899999999</v>
      </c>
      <c r="AD866" s="3" t="s">
        <v>2562</v>
      </c>
      <c r="AE866" s="3" t="s">
        <v>2562</v>
      </c>
      <c r="AF866" s="43" t="s">
        <v>2562</v>
      </c>
      <c r="AG866" s="43">
        <v>64176.730900000002</v>
      </c>
      <c r="AH866" s="43">
        <v>64176.730900000002</v>
      </c>
      <c r="AI866" s="43">
        <v>64176.730900000002</v>
      </c>
      <c r="AJ866" s="43">
        <v>64176.730900000002</v>
      </c>
      <c r="AK866" s="43">
        <v>64176.730900000002</v>
      </c>
      <c r="AL866" s="43">
        <v>64176.730900000002</v>
      </c>
      <c r="AM866" s="43">
        <v>64176.730900000002</v>
      </c>
      <c r="AN866" s="43">
        <v>64176.730900000002</v>
      </c>
      <c r="AO866" s="43">
        <v>64176.730900000002</v>
      </c>
      <c r="AP866" s="43">
        <v>64176.730900000002</v>
      </c>
      <c r="AQ866" s="43">
        <v>64176.730900000002</v>
      </c>
      <c r="AR866" s="43">
        <v>64176.730900000002</v>
      </c>
      <c r="AS866" s="3">
        <v>770120.77079999994</v>
      </c>
      <c r="AT866" s="272" t="s">
        <v>816</v>
      </c>
      <c r="AU866" s="15"/>
    </row>
    <row r="867" spans="1:47" ht="16.5" hidden="1" customHeight="1" x14ac:dyDescent="0.35">
      <c r="A867" s="2" t="s">
        <v>161</v>
      </c>
      <c r="B867" s="2" t="s">
        <v>58</v>
      </c>
      <c r="C867" s="2" t="s">
        <v>47</v>
      </c>
      <c r="D867" s="2">
        <v>847</v>
      </c>
      <c r="E867" s="2">
        <v>8470540</v>
      </c>
      <c r="F867" s="2" t="s">
        <v>2557</v>
      </c>
      <c r="G867" s="2">
        <v>1</v>
      </c>
      <c r="H867" s="276">
        <v>432540</v>
      </c>
      <c r="I867" s="2" t="s">
        <v>2554</v>
      </c>
      <c r="J867" s="2" t="s">
        <v>60</v>
      </c>
      <c r="K867" s="2" t="s">
        <v>2413</v>
      </c>
      <c r="L867" s="7">
        <v>847010</v>
      </c>
      <c r="M867" s="2" t="s">
        <v>61</v>
      </c>
      <c r="N867" s="2">
        <v>200179</v>
      </c>
      <c r="O867" s="3" t="s">
        <v>2692</v>
      </c>
      <c r="P867" s="35">
        <v>37508.81</v>
      </c>
      <c r="Q867" s="2">
        <v>140000</v>
      </c>
      <c r="R867" s="3">
        <v>140000</v>
      </c>
      <c r="S867" s="2" t="s">
        <v>2587</v>
      </c>
      <c r="T867" s="2" t="s">
        <v>2588</v>
      </c>
      <c r="U867" s="2">
        <v>1</v>
      </c>
      <c r="V867" s="3">
        <v>140000</v>
      </c>
      <c r="W867" s="36" t="s">
        <v>2589</v>
      </c>
      <c r="X867" s="2">
        <v>140000</v>
      </c>
      <c r="Y867" s="2" t="s">
        <v>55</v>
      </c>
      <c r="Z867" s="14" t="s">
        <v>56</v>
      </c>
      <c r="AA867" s="14">
        <f t="shared" si="42"/>
        <v>126000</v>
      </c>
      <c r="AB867" s="14">
        <f t="shared" si="43"/>
        <v>112000</v>
      </c>
      <c r="AC867" s="14">
        <f t="shared" si="44"/>
        <v>98000</v>
      </c>
      <c r="AD867" s="3" t="s">
        <v>2562</v>
      </c>
      <c r="AE867" s="3" t="s">
        <v>2562</v>
      </c>
      <c r="AF867" s="43" t="s">
        <v>2562</v>
      </c>
      <c r="AG867" s="43">
        <v>11666.6667</v>
      </c>
      <c r="AH867" s="43">
        <v>11666.6667</v>
      </c>
      <c r="AI867" s="43">
        <v>11666.6667</v>
      </c>
      <c r="AJ867" s="43">
        <v>11666.6667</v>
      </c>
      <c r="AK867" s="43">
        <v>11666.6667</v>
      </c>
      <c r="AL867" s="43">
        <v>11666.6667</v>
      </c>
      <c r="AM867" s="43">
        <v>11666.6667</v>
      </c>
      <c r="AN867" s="43">
        <v>11666.6667</v>
      </c>
      <c r="AO867" s="43">
        <v>11666.6667</v>
      </c>
      <c r="AP867" s="43">
        <v>11666.6667</v>
      </c>
      <c r="AQ867" s="43">
        <v>11666.6667</v>
      </c>
      <c r="AR867" s="43">
        <v>11666.666300000001</v>
      </c>
      <c r="AS867" s="3">
        <v>140000</v>
      </c>
      <c r="AT867" s="272" t="s">
        <v>816</v>
      </c>
      <c r="AU867" s="15"/>
    </row>
    <row r="868" spans="1:47" ht="16.5" hidden="1" customHeight="1" x14ac:dyDescent="0.35">
      <c r="A868" s="2" t="s">
        <v>189</v>
      </c>
      <c r="B868" s="2" t="s">
        <v>58</v>
      </c>
      <c r="C868" s="2" t="s">
        <v>47</v>
      </c>
      <c r="D868" s="2">
        <v>847</v>
      </c>
      <c r="E868" s="2">
        <v>8470540</v>
      </c>
      <c r="F868" s="2" t="s">
        <v>2557</v>
      </c>
      <c r="G868" s="2">
        <v>1</v>
      </c>
      <c r="H868" s="276">
        <v>435410</v>
      </c>
      <c r="I868" s="2" t="s">
        <v>2590</v>
      </c>
      <c r="J868" s="2" t="s">
        <v>60</v>
      </c>
      <c r="K868" s="2" t="s">
        <v>2093</v>
      </c>
      <c r="L868" s="7">
        <v>847020</v>
      </c>
      <c r="M868" s="2" t="s">
        <v>61</v>
      </c>
      <c r="N868" s="2">
        <v>200179</v>
      </c>
      <c r="O868" s="3" t="s">
        <v>2694</v>
      </c>
      <c r="P868" s="35">
        <v>0</v>
      </c>
      <c r="Q868" s="2">
        <v>675690</v>
      </c>
      <c r="R868" s="3">
        <v>675690</v>
      </c>
      <c r="S868" s="2" t="s">
        <v>2591</v>
      </c>
      <c r="T868" s="2" t="s">
        <v>157</v>
      </c>
      <c r="U868" s="2">
        <v>1</v>
      </c>
      <c r="V868" s="3">
        <v>840000</v>
      </c>
      <c r="W868" s="36" t="s">
        <v>2592</v>
      </c>
      <c r="X868" s="2">
        <v>840000</v>
      </c>
      <c r="Y868" s="2" t="s">
        <v>55</v>
      </c>
      <c r="Z868" s="14" t="s">
        <v>56</v>
      </c>
      <c r="AA868" s="14">
        <f t="shared" si="42"/>
        <v>756000</v>
      </c>
      <c r="AB868" s="14">
        <f t="shared" si="43"/>
        <v>672000</v>
      </c>
      <c r="AC868" s="14">
        <f t="shared" si="44"/>
        <v>588000</v>
      </c>
      <c r="AD868" s="3" t="s">
        <v>2562</v>
      </c>
      <c r="AE868" s="3" t="s">
        <v>2562</v>
      </c>
      <c r="AF868" s="43" t="s">
        <v>2562</v>
      </c>
      <c r="AG868" s="43">
        <v>70000</v>
      </c>
      <c r="AH868" s="43">
        <v>70000</v>
      </c>
      <c r="AI868" s="43">
        <v>70000</v>
      </c>
      <c r="AJ868" s="43">
        <v>70000</v>
      </c>
      <c r="AK868" s="43">
        <v>70000</v>
      </c>
      <c r="AL868" s="43">
        <v>70000</v>
      </c>
      <c r="AM868" s="43">
        <v>70000</v>
      </c>
      <c r="AN868" s="43">
        <v>70000</v>
      </c>
      <c r="AO868" s="43">
        <v>70000</v>
      </c>
      <c r="AP868" s="43">
        <v>70000</v>
      </c>
      <c r="AQ868" s="43">
        <v>70000</v>
      </c>
      <c r="AR868" s="43">
        <v>70000</v>
      </c>
      <c r="AS868" s="3">
        <v>840000</v>
      </c>
      <c r="AT868" s="272" t="s">
        <v>816</v>
      </c>
      <c r="AU868" s="15"/>
    </row>
    <row r="869" spans="1:47" ht="16.5" hidden="1" customHeight="1" x14ac:dyDescent="0.35">
      <c r="A869" s="2" t="s">
        <v>161</v>
      </c>
      <c r="B869" s="2" t="s">
        <v>58</v>
      </c>
      <c r="C869" s="2" t="s">
        <v>47</v>
      </c>
      <c r="D869" s="2">
        <v>847</v>
      </c>
      <c r="E869" s="2">
        <v>8470540</v>
      </c>
      <c r="F869" s="2" t="s">
        <v>2557</v>
      </c>
      <c r="G869" s="2">
        <v>1</v>
      </c>
      <c r="H869" s="276">
        <v>435740</v>
      </c>
      <c r="I869" s="2" t="s">
        <v>2593</v>
      </c>
      <c r="J869" s="2" t="s">
        <v>60</v>
      </c>
      <c r="K869" s="2" t="s">
        <v>2413</v>
      </c>
      <c r="L869" s="7">
        <v>847010</v>
      </c>
      <c r="M869" s="2" t="s">
        <v>61</v>
      </c>
      <c r="N869" s="2">
        <v>200179</v>
      </c>
      <c r="O869" s="3" t="s">
        <v>2695</v>
      </c>
      <c r="P869" s="35" t="s">
        <v>46</v>
      </c>
      <c r="Q869" s="2">
        <v>336000</v>
      </c>
      <c r="R869" s="3">
        <v>336000</v>
      </c>
      <c r="S869" s="2" t="s">
        <v>2594</v>
      </c>
      <c r="T869" s="2" t="s">
        <v>2595</v>
      </c>
      <c r="U869" s="2">
        <v>1</v>
      </c>
      <c r="V869" s="3">
        <v>336000</v>
      </c>
      <c r="W869" s="36" t="s">
        <v>2596</v>
      </c>
      <c r="X869" s="2">
        <v>336000</v>
      </c>
      <c r="Y869" s="2" t="s">
        <v>55</v>
      </c>
      <c r="Z869" s="14" t="s">
        <v>56</v>
      </c>
      <c r="AA869" s="14">
        <f t="shared" si="42"/>
        <v>302400</v>
      </c>
      <c r="AB869" s="14">
        <f t="shared" si="43"/>
        <v>268800</v>
      </c>
      <c r="AC869" s="14">
        <f t="shared" si="44"/>
        <v>235199.99999999997</v>
      </c>
      <c r="AD869" s="3" t="s">
        <v>2562</v>
      </c>
      <c r="AE869" s="3" t="s">
        <v>2562</v>
      </c>
      <c r="AF869" s="43" t="s">
        <v>2562</v>
      </c>
      <c r="AG869" s="43">
        <v>28000</v>
      </c>
      <c r="AH869" s="43">
        <v>28000</v>
      </c>
      <c r="AI869" s="43">
        <v>28000</v>
      </c>
      <c r="AJ869" s="43">
        <v>28000</v>
      </c>
      <c r="AK869" s="43">
        <v>28000</v>
      </c>
      <c r="AL869" s="43">
        <v>28000</v>
      </c>
      <c r="AM869" s="43">
        <v>28000</v>
      </c>
      <c r="AN869" s="43">
        <v>28000</v>
      </c>
      <c r="AO869" s="43">
        <v>28000</v>
      </c>
      <c r="AP869" s="43">
        <v>28000</v>
      </c>
      <c r="AQ869" s="43">
        <v>28000</v>
      </c>
      <c r="AR869" s="43">
        <v>28000</v>
      </c>
      <c r="AS869" s="3">
        <v>336000</v>
      </c>
      <c r="AT869" s="272" t="s">
        <v>816</v>
      </c>
      <c r="AU869" s="15"/>
    </row>
    <row r="870" spans="1:47" ht="16.5" hidden="1" customHeight="1" x14ac:dyDescent="0.35">
      <c r="A870" s="2" t="s">
        <v>161</v>
      </c>
      <c r="B870" s="2" t="s">
        <v>58</v>
      </c>
      <c r="C870" s="2" t="s">
        <v>47</v>
      </c>
      <c r="D870" s="2">
        <v>847</v>
      </c>
      <c r="E870" s="2">
        <v>8470540</v>
      </c>
      <c r="F870" s="2" t="s">
        <v>2557</v>
      </c>
      <c r="G870" s="2">
        <v>1</v>
      </c>
      <c r="H870" s="276">
        <v>426250</v>
      </c>
      <c r="I870" s="2" t="s">
        <v>2442</v>
      </c>
      <c r="J870" s="2" t="s">
        <v>60</v>
      </c>
      <c r="K870" s="2" t="s">
        <v>2413</v>
      </c>
      <c r="L870" s="7" t="s">
        <v>2418</v>
      </c>
      <c r="M870" s="2" t="s">
        <v>61</v>
      </c>
      <c r="N870" s="2">
        <v>200179</v>
      </c>
      <c r="O870" s="3" t="s">
        <v>2696</v>
      </c>
      <c r="P870" s="35"/>
      <c r="Q870" s="2"/>
      <c r="R870" s="3"/>
      <c r="S870" s="2" t="s">
        <v>2597</v>
      </c>
      <c r="T870" s="2" t="s">
        <v>269</v>
      </c>
      <c r="U870" s="2">
        <v>1</v>
      </c>
      <c r="V870" s="3">
        <v>50000</v>
      </c>
      <c r="W870" s="36" t="s">
        <v>2598</v>
      </c>
      <c r="X870" s="2">
        <v>50000</v>
      </c>
      <c r="Y870" s="2" t="s">
        <v>55</v>
      </c>
      <c r="Z870" s="14" t="s">
        <v>56</v>
      </c>
      <c r="AA870" s="14">
        <f t="shared" si="42"/>
        <v>45000</v>
      </c>
      <c r="AB870" s="14">
        <f t="shared" si="43"/>
        <v>40000</v>
      </c>
      <c r="AC870" s="14">
        <f t="shared" si="44"/>
        <v>35000</v>
      </c>
      <c r="AD870" s="3" t="s">
        <v>2562</v>
      </c>
      <c r="AE870" s="3" t="s">
        <v>2562</v>
      </c>
      <c r="AF870" s="43" t="s">
        <v>2562</v>
      </c>
      <c r="AG870" s="43"/>
      <c r="AH870" s="43">
        <v>10000</v>
      </c>
      <c r="AI870" s="43"/>
      <c r="AJ870" s="43">
        <v>10000</v>
      </c>
      <c r="AK870" s="43"/>
      <c r="AL870" s="43">
        <v>10000</v>
      </c>
      <c r="AM870" s="43"/>
      <c r="AN870" s="43">
        <v>10000</v>
      </c>
      <c r="AO870" s="43"/>
      <c r="AP870" s="43">
        <v>10000</v>
      </c>
      <c r="AQ870" s="43"/>
      <c r="AR870" s="43"/>
      <c r="AS870" s="3">
        <v>50000</v>
      </c>
      <c r="AT870" s="272" t="s">
        <v>816</v>
      </c>
      <c r="AU870" s="15"/>
    </row>
    <row r="871" spans="1:47" ht="16.5" hidden="1" customHeight="1" x14ac:dyDescent="0.35">
      <c r="A871" s="2" t="s">
        <v>189</v>
      </c>
      <c r="B871" s="2" t="s">
        <v>58</v>
      </c>
      <c r="C871" s="2" t="s">
        <v>47</v>
      </c>
      <c r="D871" s="2">
        <v>847</v>
      </c>
      <c r="E871" s="2">
        <v>8470540</v>
      </c>
      <c r="F871" s="2" t="s">
        <v>2557</v>
      </c>
      <c r="G871" s="2">
        <v>1</v>
      </c>
      <c r="H871" s="276">
        <v>436110</v>
      </c>
      <c r="I871" s="2" t="s">
        <v>190</v>
      </c>
      <c r="J871" s="2" t="s">
        <v>60</v>
      </c>
      <c r="K871" s="2" t="s">
        <v>2413</v>
      </c>
      <c r="L871" s="7">
        <v>847010</v>
      </c>
      <c r="M871" s="2" t="s">
        <v>61</v>
      </c>
      <c r="N871" s="2">
        <v>200179</v>
      </c>
      <c r="O871" s="3" t="s">
        <v>2697</v>
      </c>
      <c r="P871" s="35" t="s">
        <v>46</v>
      </c>
      <c r="Q871" s="2">
        <v>193910</v>
      </c>
      <c r="R871" s="3"/>
      <c r="S871" s="2" t="s">
        <v>488</v>
      </c>
      <c r="T871" s="2" t="s">
        <v>157</v>
      </c>
      <c r="U871" s="2">
        <v>1</v>
      </c>
      <c r="V871" s="3">
        <v>85700</v>
      </c>
      <c r="W871" s="36" t="s">
        <v>2599</v>
      </c>
      <c r="X871" s="2">
        <v>85700</v>
      </c>
      <c r="Y871" s="2" t="s">
        <v>55</v>
      </c>
      <c r="Z871" s="14" t="s">
        <v>56</v>
      </c>
      <c r="AA871" s="14">
        <f t="shared" si="42"/>
        <v>77130</v>
      </c>
      <c r="AB871" s="14">
        <f t="shared" si="43"/>
        <v>68560</v>
      </c>
      <c r="AC871" s="14">
        <f t="shared" si="44"/>
        <v>59989.999999999993</v>
      </c>
      <c r="AD871" s="3" t="s">
        <v>2562</v>
      </c>
      <c r="AE871" s="3" t="s">
        <v>2562</v>
      </c>
      <c r="AF871" s="43" t="s">
        <v>2562</v>
      </c>
      <c r="AG871" s="43">
        <v>7141.6666999999998</v>
      </c>
      <c r="AH871" s="43">
        <v>7141.6666999999998</v>
      </c>
      <c r="AI871" s="43">
        <v>7141.6666999999998</v>
      </c>
      <c r="AJ871" s="43">
        <v>7141.6666999999998</v>
      </c>
      <c r="AK871" s="43">
        <v>7141.6666999999998</v>
      </c>
      <c r="AL871" s="43">
        <v>7141.6666999999998</v>
      </c>
      <c r="AM871" s="43">
        <v>7141.6666999999998</v>
      </c>
      <c r="AN871" s="43">
        <v>7141.6666999999998</v>
      </c>
      <c r="AO871" s="43">
        <v>7141.6666999999998</v>
      </c>
      <c r="AP871" s="43">
        <v>7141.6666999999998</v>
      </c>
      <c r="AQ871" s="43">
        <v>7141.6666999999998</v>
      </c>
      <c r="AR871" s="43">
        <v>7141.6662999999999</v>
      </c>
      <c r="AS871" s="3">
        <v>85700</v>
      </c>
      <c r="AT871" s="272" t="s">
        <v>816</v>
      </c>
      <c r="AU871" s="15"/>
    </row>
    <row r="872" spans="1:47" ht="16.5" hidden="1" customHeight="1" x14ac:dyDescent="0.35">
      <c r="A872" s="2" t="s">
        <v>222</v>
      </c>
      <c r="B872" s="2" t="s">
        <v>58</v>
      </c>
      <c r="C872" s="2" t="s">
        <v>2711</v>
      </c>
      <c r="D872" s="2">
        <v>847</v>
      </c>
      <c r="E872" s="2">
        <v>8470110</v>
      </c>
      <c r="F872" s="2" t="s">
        <v>2712</v>
      </c>
      <c r="G872" s="2">
        <v>1</v>
      </c>
      <c r="H872" s="276">
        <v>420550</v>
      </c>
      <c r="I872" s="2" t="s">
        <v>225</v>
      </c>
      <c r="J872" s="2" t="s">
        <v>60</v>
      </c>
      <c r="K872" s="2" t="s">
        <v>50</v>
      </c>
      <c r="L872" s="7">
        <v>847001</v>
      </c>
      <c r="M872" s="2" t="s">
        <v>61</v>
      </c>
      <c r="N872" s="2">
        <v>200179</v>
      </c>
      <c r="O872" s="3" t="s">
        <v>2713</v>
      </c>
      <c r="P872" s="2">
        <v>0</v>
      </c>
      <c r="Q872" s="35">
        <v>30000</v>
      </c>
      <c r="R872" s="2">
        <v>30000</v>
      </c>
      <c r="S872" s="3" t="s">
        <v>227</v>
      </c>
      <c r="T872" s="2" t="s">
        <v>157</v>
      </c>
      <c r="U872" s="2">
        <v>1</v>
      </c>
      <c r="V872" s="2">
        <v>100000</v>
      </c>
      <c r="W872" s="3" t="s">
        <v>2714</v>
      </c>
      <c r="X872" s="36">
        <v>100000</v>
      </c>
      <c r="Y872" s="2" t="s">
        <v>210</v>
      </c>
      <c r="Z872" s="2" t="s">
        <v>197</v>
      </c>
      <c r="AA872" s="14">
        <f t="shared" si="42"/>
        <v>90000</v>
      </c>
      <c r="AB872" s="14">
        <f t="shared" si="43"/>
        <v>80000</v>
      </c>
      <c r="AC872" s="14">
        <f t="shared" si="44"/>
        <v>70000</v>
      </c>
      <c r="AD872" s="3" t="s">
        <v>2715</v>
      </c>
      <c r="AE872" s="3" t="s">
        <v>2715</v>
      </c>
      <c r="AF872" s="3" t="s">
        <v>2715</v>
      </c>
      <c r="AG872" s="43"/>
      <c r="AH872" s="43"/>
      <c r="AI872" s="43"/>
      <c r="AJ872" s="43"/>
      <c r="AK872" s="43"/>
      <c r="AL872" s="43"/>
      <c r="AM872" s="43"/>
      <c r="AN872" s="43"/>
      <c r="AO872" s="43"/>
      <c r="AP872" s="43"/>
      <c r="AQ872" s="43">
        <v>100000</v>
      </c>
      <c r="AR872" s="43">
        <v>0</v>
      </c>
      <c r="AS872" s="43">
        <v>100000</v>
      </c>
      <c r="AT872" s="3" t="s">
        <v>237</v>
      </c>
      <c r="AU872" s="272"/>
    </row>
    <row r="873" spans="1:47" ht="16.5" hidden="1" customHeight="1" x14ac:dyDescent="0.35">
      <c r="A873" s="2" t="s">
        <v>222</v>
      </c>
      <c r="B873" s="2" t="s">
        <v>58</v>
      </c>
      <c r="C873" s="2" t="s">
        <v>2711</v>
      </c>
      <c r="D873" s="2">
        <v>847</v>
      </c>
      <c r="E873" s="2">
        <v>8470110</v>
      </c>
      <c r="F873" s="2" t="s">
        <v>2712</v>
      </c>
      <c r="G873" s="2">
        <v>1</v>
      </c>
      <c r="H873" s="276">
        <v>420570</v>
      </c>
      <c r="I873" s="2" t="s">
        <v>231</v>
      </c>
      <c r="J873" s="2" t="s">
        <v>60</v>
      </c>
      <c r="K873" s="2" t="s">
        <v>50</v>
      </c>
      <c r="L873" s="7">
        <v>847001</v>
      </c>
      <c r="M873" s="2" t="s">
        <v>61</v>
      </c>
      <c r="N873" s="2">
        <v>200179</v>
      </c>
      <c r="O873" s="3" t="s">
        <v>2716</v>
      </c>
      <c r="P873" s="2">
        <v>0</v>
      </c>
      <c r="Q873" s="35">
        <v>3684121</v>
      </c>
      <c r="R873" s="2">
        <v>3684121</v>
      </c>
      <c r="S873" s="3" t="s">
        <v>233</v>
      </c>
      <c r="T873" s="2" t="s">
        <v>234</v>
      </c>
      <c r="U873" s="2">
        <v>1</v>
      </c>
      <c r="V873" s="2">
        <v>5000000</v>
      </c>
      <c r="W873" s="3" t="s">
        <v>3365</v>
      </c>
      <c r="X873" s="36">
        <v>5000000</v>
      </c>
      <c r="Y873" s="2" t="s">
        <v>210</v>
      </c>
      <c r="Z873" s="2" t="s">
        <v>197</v>
      </c>
      <c r="AA873" s="14">
        <f t="shared" si="42"/>
        <v>4500000</v>
      </c>
      <c r="AB873" s="14">
        <f t="shared" si="43"/>
        <v>4000000</v>
      </c>
      <c r="AC873" s="14">
        <f t="shared" si="44"/>
        <v>3500000</v>
      </c>
      <c r="AD873" s="3" t="s">
        <v>2715</v>
      </c>
      <c r="AE873" s="3" t="s">
        <v>2715</v>
      </c>
      <c r="AF873" s="3" t="s">
        <v>2715</v>
      </c>
      <c r="AG873" s="43"/>
      <c r="AH873" s="43"/>
      <c r="AI873" s="43"/>
      <c r="AJ873" s="43"/>
      <c r="AK873" s="43"/>
      <c r="AL873" s="43"/>
      <c r="AM873" s="43">
        <v>2500000</v>
      </c>
      <c r="AN873" s="43"/>
      <c r="AO873" s="43"/>
      <c r="AP873" s="43"/>
      <c r="AQ873" s="43">
        <v>2500000</v>
      </c>
      <c r="AR873" s="43"/>
      <c r="AS873" s="43">
        <v>5000000</v>
      </c>
      <c r="AT873" s="3" t="s">
        <v>237</v>
      </c>
      <c r="AU873" s="272"/>
    </row>
    <row r="874" spans="1:47" ht="16.5" hidden="1" customHeight="1" x14ac:dyDescent="0.35">
      <c r="A874" s="2" t="s">
        <v>71</v>
      </c>
      <c r="B874" s="2" t="s">
        <v>1010</v>
      </c>
      <c r="C874" s="2" t="s">
        <v>2711</v>
      </c>
      <c r="D874" s="2">
        <v>847</v>
      </c>
      <c r="E874" s="2">
        <v>8470110</v>
      </c>
      <c r="F874" s="2" t="s">
        <v>2712</v>
      </c>
      <c r="G874" s="2">
        <v>1</v>
      </c>
      <c r="H874" s="276">
        <v>421000</v>
      </c>
      <c r="I874" s="2" t="s">
        <v>1011</v>
      </c>
      <c r="J874" s="2" t="s">
        <v>60</v>
      </c>
      <c r="K874" s="2" t="s">
        <v>50</v>
      </c>
      <c r="L874" s="7">
        <v>847001</v>
      </c>
      <c r="M874" s="2" t="s">
        <v>61</v>
      </c>
      <c r="N874" s="2">
        <v>200179</v>
      </c>
      <c r="O874" s="3" t="s">
        <v>2717</v>
      </c>
      <c r="P874" s="2">
        <v>0</v>
      </c>
      <c r="Q874" s="35">
        <v>200000</v>
      </c>
      <c r="R874" s="2">
        <v>200000</v>
      </c>
      <c r="S874" s="3" t="s">
        <v>1013</v>
      </c>
      <c r="T874" s="2" t="s">
        <v>269</v>
      </c>
      <c r="U874" s="2">
        <v>1</v>
      </c>
      <c r="V874" s="2">
        <v>200000</v>
      </c>
      <c r="W874" s="3" t="s">
        <v>2718</v>
      </c>
      <c r="X874" s="36">
        <v>200000</v>
      </c>
      <c r="Y874" s="2" t="s">
        <v>210</v>
      </c>
      <c r="Z874" s="2" t="s">
        <v>197</v>
      </c>
      <c r="AA874" s="14">
        <f t="shared" si="42"/>
        <v>180000</v>
      </c>
      <c r="AB874" s="14">
        <f t="shared" si="43"/>
        <v>160000</v>
      </c>
      <c r="AC874" s="14">
        <f t="shared" si="44"/>
        <v>140000</v>
      </c>
      <c r="AD874" s="3" t="s">
        <v>2715</v>
      </c>
      <c r="AE874" s="3" t="s">
        <v>2715</v>
      </c>
      <c r="AF874" s="3" t="s">
        <v>2715</v>
      </c>
      <c r="AG874" s="43"/>
      <c r="AH874" s="43"/>
      <c r="AI874" s="43"/>
      <c r="AJ874" s="43"/>
      <c r="AK874" s="43"/>
      <c r="AL874" s="43">
        <v>100000</v>
      </c>
      <c r="AM874" s="43"/>
      <c r="AN874" s="43"/>
      <c r="AO874" s="43"/>
      <c r="AP874" s="43"/>
      <c r="AQ874" s="43">
        <v>100000</v>
      </c>
      <c r="AR874" s="43"/>
      <c r="AS874" s="43">
        <v>200000</v>
      </c>
      <c r="AT874" s="3" t="s">
        <v>365</v>
      </c>
      <c r="AU874" s="272"/>
    </row>
    <row r="875" spans="1:47" ht="16.5" hidden="1" customHeight="1" x14ac:dyDescent="0.35">
      <c r="A875" s="2" t="s">
        <v>245</v>
      </c>
      <c r="B875" s="2" t="s">
        <v>246</v>
      </c>
      <c r="C875" s="2" t="s">
        <v>2711</v>
      </c>
      <c r="D875" s="2">
        <v>847</v>
      </c>
      <c r="E875" s="2">
        <v>8470110</v>
      </c>
      <c r="F875" s="2" t="s">
        <v>2712</v>
      </c>
      <c r="G875" s="2">
        <v>1</v>
      </c>
      <c r="H875" s="276">
        <v>425510</v>
      </c>
      <c r="I875" s="2" t="s">
        <v>247</v>
      </c>
      <c r="J875" s="2" t="s">
        <v>60</v>
      </c>
      <c r="K875" s="2" t="s">
        <v>50</v>
      </c>
      <c r="L875" s="7">
        <v>847001</v>
      </c>
      <c r="M875" s="2" t="s">
        <v>61</v>
      </c>
      <c r="N875" s="2">
        <v>200179</v>
      </c>
      <c r="O875" s="3" t="s">
        <v>2719</v>
      </c>
      <c r="P875" s="2">
        <v>-188793.94</v>
      </c>
      <c r="Q875" s="35">
        <v>300000</v>
      </c>
      <c r="R875" s="2">
        <v>300000</v>
      </c>
      <c r="S875" s="3" t="s">
        <v>344</v>
      </c>
      <c r="T875" s="2" t="s">
        <v>256</v>
      </c>
      <c r="U875" s="2">
        <v>1</v>
      </c>
      <c r="V875" s="2">
        <v>300000</v>
      </c>
      <c r="W875" s="3" t="s">
        <v>2720</v>
      </c>
      <c r="X875" s="36">
        <v>300000</v>
      </c>
      <c r="Y875" s="2" t="s">
        <v>55</v>
      </c>
      <c r="Z875" s="2" t="s">
        <v>56</v>
      </c>
      <c r="AA875" s="14">
        <f t="shared" si="42"/>
        <v>270000</v>
      </c>
      <c r="AB875" s="14">
        <f t="shared" si="43"/>
        <v>240000</v>
      </c>
      <c r="AC875" s="14">
        <f t="shared" si="44"/>
        <v>210000</v>
      </c>
      <c r="AD875" s="3" t="s">
        <v>2715</v>
      </c>
      <c r="AE875" s="3" t="s">
        <v>2715</v>
      </c>
      <c r="AF875" s="3" t="s">
        <v>2715</v>
      </c>
      <c r="AG875" s="43"/>
      <c r="AH875" s="43"/>
      <c r="AI875" s="43"/>
      <c r="AJ875" s="43"/>
      <c r="AK875" s="43"/>
      <c r="AL875" s="43"/>
      <c r="AM875" s="43"/>
      <c r="AN875" s="43"/>
      <c r="AO875" s="43"/>
      <c r="AP875" s="43"/>
      <c r="AQ875" s="43">
        <v>300000</v>
      </c>
      <c r="AR875" s="43"/>
      <c r="AS875" s="43">
        <v>300000</v>
      </c>
      <c r="AT875" s="3" t="s">
        <v>379</v>
      </c>
      <c r="AU875" s="272"/>
    </row>
    <row r="876" spans="1:47" ht="16.5" hidden="1" customHeight="1" x14ac:dyDescent="0.35">
      <c r="A876" s="2" t="s">
        <v>245</v>
      </c>
      <c r="B876" s="2" t="s">
        <v>58</v>
      </c>
      <c r="C876" s="2" t="s">
        <v>2711</v>
      </c>
      <c r="D876" s="2">
        <v>847</v>
      </c>
      <c r="E876" s="2">
        <v>8470110</v>
      </c>
      <c r="F876" s="2" t="s">
        <v>2712</v>
      </c>
      <c r="G876" s="2">
        <v>1</v>
      </c>
      <c r="H876" s="276">
        <v>425550</v>
      </c>
      <c r="I876" s="2" t="s">
        <v>253</v>
      </c>
      <c r="J876" s="2" t="s">
        <v>60</v>
      </c>
      <c r="K876" s="2" t="s">
        <v>50</v>
      </c>
      <c r="L876" s="7">
        <v>847001</v>
      </c>
      <c r="M876" s="2" t="s">
        <v>61</v>
      </c>
      <c r="N876" s="2">
        <v>200179</v>
      </c>
      <c r="O876" s="3" t="s">
        <v>2721</v>
      </c>
      <c r="P876" s="2" t="s">
        <v>46</v>
      </c>
      <c r="Q876" s="35">
        <v>300000</v>
      </c>
      <c r="R876" s="2">
        <v>300000</v>
      </c>
      <c r="S876" s="3" t="s">
        <v>255</v>
      </c>
      <c r="T876" s="2" t="s">
        <v>256</v>
      </c>
      <c r="U876" s="2">
        <v>1</v>
      </c>
      <c r="V876" s="2">
        <v>300000</v>
      </c>
      <c r="W876" s="3" t="s">
        <v>2722</v>
      </c>
      <c r="X876" s="36">
        <v>300000</v>
      </c>
      <c r="Y876" s="2" t="s">
        <v>55</v>
      </c>
      <c r="Z876" s="2" t="s">
        <v>56</v>
      </c>
      <c r="AA876" s="14">
        <f t="shared" si="42"/>
        <v>270000</v>
      </c>
      <c r="AB876" s="14">
        <f t="shared" si="43"/>
        <v>240000</v>
      </c>
      <c r="AC876" s="14">
        <f t="shared" si="44"/>
        <v>210000</v>
      </c>
      <c r="AD876" s="3" t="s">
        <v>2715</v>
      </c>
      <c r="AE876" s="3" t="s">
        <v>2715</v>
      </c>
      <c r="AF876" s="3" t="s">
        <v>2715</v>
      </c>
      <c r="AG876" s="43"/>
      <c r="AH876" s="43"/>
      <c r="AI876" s="43"/>
      <c r="AJ876" s="43"/>
      <c r="AK876" s="43"/>
      <c r="AL876" s="43"/>
      <c r="AM876" s="43"/>
      <c r="AN876" s="43"/>
      <c r="AO876" s="43">
        <v>150000</v>
      </c>
      <c r="AP876" s="43"/>
      <c r="AQ876" s="43">
        <v>150000</v>
      </c>
      <c r="AR876" s="43"/>
      <c r="AS876" s="43">
        <v>300000</v>
      </c>
      <c r="AT876" s="3" t="s">
        <v>379</v>
      </c>
      <c r="AU876" s="272"/>
    </row>
    <row r="877" spans="1:47" ht="16.5" hidden="1" customHeight="1" x14ac:dyDescent="0.35">
      <c r="A877" s="2" t="s">
        <v>189</v>
      </c>
      <c r="B877" s="2" t="s">
        <v>265</v>
      </c>
      <c r="C877" s="2" t="s">
        <v>2711</v>
      </c>
      <c r="D877" s="2">
        <v>847</v>
      </c>
      <c r="E877" s="2">
        <v>8470110</v>
      </c>
      <c r="F877" s="2" t="s">
        <v>2712</v>
      </c>
      <c r="G877" s="2">
        <v>1</v>
      </c>
      <c r="H877" s="276">
        <v>425900</v>
      </c>
      <c r="I877" s="2" t="s">
        <v>266</v>
      </c>
      <c r="J877" s="2" t="s">
        <v>60</v>
      </c>
      <c r="K877" s="2" t="s">
        <v>50</v>
      </c>
      <c r="L877" s="7">
        <v>847001</v>
      </c>
      <c r="M877" s="2" t="s">
        <v>61</v>
      </c>
      <c r="N877" s="2">
        <v>200179</v>
      </c>
      <c r="O877" s="3" t="s">
        <v>2723</v>
      </c>
      <c r="P877" s="2">
        <v>1327.5</v>
      </c>
      <c r="Q877" s="35">
        <v>10000</v>
      </c>
      <c r="R877" s="2">
        <v>10000</v>
      </c>
      <c r="S877" s="3" t="s">
        <v>268</v>
      </c>
      <c r="T877" s="2" t="s">
        <v>269</v>
      </c>
      <c r="U877" s="2">
        <v>1</v>
      </c>
      <c r="V877" s="2">
        <v>50000</v>
      </c>
      <c r="W877" s="3" t="s">
        <v>2724</v>
      </c>
      <c r="X877" s="36">
        <v>50000</v>
      </c>
      <c r="Y877" s="2" t="s">
        <v>55</v>
      </c>
      <c r="Z877" s="2" t="s">
        <v>56</v>
      </c>
      <c r="AA877" s="14">
        <f t="shared" si="42"/>
        <v>45000</v>
      </c>
      <c r="AB877" s="14">
        <f t="shared" si="43"/>
        <v>40000</v>
      </c>
      <c r="AC877" s="14">
        <f t="shared" si="44"/>
        <v>35000</v>
      </c>
      <c r="AD877" s="3" t="s">
        <v>2715</v>
      </c>
      <c r="AE877" s="3" t="s">
        <v>2715</v>
      </c>
      <c r="AF877" s="3" t="s">
        <v>2715</v>
      </c>
      <c r="AG877" s="43">
        <v>4000</v>
      </c>
      <c r="AH877" s="43">
        <v>4000</v>
      </c>
      <c r="AI877" s="43">
        <v>4000</v>
      </c>
      <c r="AJ877" s="43">
        <v>4000</v>
      </c>
      <c r="AK877" s="43">
        <v>4000</v>
      </c>
      <c r="AL877" s="43">
        <v>4000</v>
      </c>
      <c r="AM877" s="43">
        <v>4000</v>
      </c>
      <c r="AN877" s="43">
        <v>5000</v>
      </c>
      <c r="AO877" s="43">
        <v>4000</v>
      </c>
      <c r="AP877" s="43">
        <v>4000</v>
      </c>
      <c r="AQ877" s="43">
        <v>5000</v>
      </c>
      <c r="AR877" s="43">
        <v>4000</v>
      </c>
      <c r="AS877" s="43">
        <v>50000</v>
      </c>
      <c r="AT877" s="3" t="s">
        <v>379</v>
      </c>
      <c r="AU877" s="272"/>
    </row>
    <row r="878" spans="1:47" ht="16.5" hidden="1" customHeight="1" x14ac:dyDescent="0.35">
      <c r="A878" s="2" t="s">
        <v>153</v>
      </c>
      <c r="B878" s="2" t="s">
        <v>58</v>
      </c>
      <c r="C878" s="2" t="s">
        <v>2711</v>
      </c>
      <c r="D878" s="2">
        <v>847</v>
      </c>
      <c r="E878" s="2">
        <v>8470110</v>
      </c>
      <c r="F878" s="2" t="s">
        <v>2712</v>
      </c>
      <c r="G878" s="2">
        <v>1</v>
      </c>
      <c r="H878" s="276">
        <v>428090</v>
      </c>
      <c r="I878" s="2" t="s">
        <v>154</v>
      </c>
      <c r="J878" s="2" t="s">
        <v>60</v>
      </c>
      <c r="K878" s="2" t="s">
        <v>50</v>
      </c>
      <c r="L878" s="7">
        <v>847001</v>
      </c>
      <c r="M878" s="2" t="s">
        <v>61</v>
      </c>
      <c r="N878" s="2">
        <v>200179</v>
      </c>
      <c r="O878" s="3" t="s">
        <v>2725</v>
      </c>
      <c r="P878" s="2">
        <v>15480.75</v>
      </c>
      <c r="Q878" s="35">
        <v>1000000</v>
      </c>
      <c r="R878" s="2">
        <v>1000000</v>
      </c>
      <c r="S878" s="3" t="s">
        <v>156</v>
      </c>
      <c r="T878" s="2" t="s">
        <v>157</v>
      </c>
      <c r="U878" s="2">
        <v>1</v>
      </c>
      <c r="V878" s="2">
        <v>1000000</v>
      </c>
      <c r="W878" s="3" t="s">
        <v>2358</v>
      </c>
      <c r="X878" s="36">
        <v>1000000</v>
      </c>
      <c r="Y878" s="2" t="s">
        <v>210</v>
      </c>
      <c r="Z878" s="2" t="s">
        <v>197</v>
      </c>
      <c r="AA878" s="14">
        <f t="shared" si="42"/>
        <v>900000</v>
      </c>
      <c r="AB878" s="14">
        <f t="shared" si="43"/>
        <v>800000</v>
      </c>
      <c r="AC878" s="14">
        <f t="shared" si="44"/>
        <v>700000</v>
      </c>
      <c r="AD878" s="3" t="s">
        <v>2715</v>
      </c>
      <c r="AE878" s="3" t="s">
        <v>2715</v>
      </c>
      <c r="AF878" s="3" t="s">
        <v>2715</v>
      </c>
      <c r="AG878" s="43"/>
      <c r="AH878" s="43"/>
      <c r="AI878" s="43">
        <v>250000</v>
      </c>
      <c r="AJ878" s="43"/>
      <c r="AK878" s="43"/>
      <c r="AL878" s="43">
        <v>250000</v>
      </c>
      <c r="AM878" s="43"/>
      <c r="AN878" s="43"/>
      <c r="AO878" s="43">
        <v>250000</v>
      </c>
      <c r="AP878" s="43"/>
      <c r="AQ878" s="43"/>
      <c r="AR878" s="43">
        <v>250000</v>
      </c>
      <c r="AS878" s="43">
        <v>1000000</v>
      </c>
      <c r="AT878" s="3" t="s">
        <v>237</v>
      </c>
      <c r="AU878" s="272"/>
    </row>
    <row r="879" spans="1:47" ht="16.5" hidden="1" customHeight="1" x14ac:dyDescent="0.35">
      <c r="A879" s="2" t="s">
        <v>1242</v>
      </c>
      <c r="B879" s="2" t="s">
        <v>58</v>
      </c>
      <c r="C879" s="2" t="s">
        <v>2711</v>
      </c>
      <c r="D879" s="2">
        <v>847</v>
      </c>
      <c r="E879" s="2">
        <v>8470110</v>
      </c>
      <c r="F879" s="2" t="s">
        <v>2712</v>
      </c>
      <c r="G879" s="2">
        <v>1</v>
      </c>
      <c r="H879" s="276">
        <v>428400</v>
      </c>
      <c r="I879" s="2" t="s">
        <v>2726</v>
      </c>
      <c r="J879" s="2" t="s">
        <v>60</v>
      </c>
      <c r="K879" s="2" t="s">
        <v>50</v>
      </c>
      <c r="L879" s="7">
        <v>847001</v>
      </c>
      <c r="M879" s="2" t="s">
        <v>61</v>
      </c>
      <c r="N879" s="2">
        <v>200179</v>
      </c>
      <c r="O879" s="3" t="s">
        <v>2727</v>
      </c>
      <c r="P879" s="2" t="s">
        <v>46</v>
      </c>
      <c r="Q879" s="35">
        <v>50000</v>
      </c>
      <c r="R879" s="2">
        <v>50000</v>
      </c>
      <c r="S879" s="3" t="s">
        <v>2728</v>
      </c>
      <c r="T879" s="2" t="s">
        <v>2729</v>
      </c>
      <c r="U879" s="2">
        <v>1</v>
      </c>
      <c r="V879" s="2">
        <v>50000</v>
      </c>
      <c r="W879" s="3" t="s">
        <v>2730</v>
      </c>
      <c r="X879" s="36">
        <v>50000</v>
      </c>
      <c r="Y879" s="2" t="s">
        <v>210</v>
      </c>
      <c r="Z879" s="2" t="s">
        <v>197</v>
      </c>
      <c r="AA879" s="14">
        <f t="shared" si="42"/>
        <v>45000</v>
      </c>
      <c r="AB879" s="14">
        <f t="shared" si="43"/>
        <v>40000</v>
      </c>
      <c r="AC879" s="14">
        <f t="shared" si="44"/>
        <v>35000</v>
      </c>
      <c r="AD879" s="3" t="s">
        <v>2715</v>
      </c>
      <c r="AE879" s="3" t="s">
        <v>2715</v>
      </c>
      <c r="AF879" s="3" t="s">
        <v>2715</v>
      </c>
      <c r="AG879" s="43"/>
      <c r="AH879" s="43"/>
      <c r="AI879" s="43"/>
      <c r="AJ879" s="43"/>
      <c r="AK879" s="43"/>
      <c r="AL879" s="43"/>
      <c r="AM879" s="43"/>
      <c r="AN879" s="43"/>
      <c r="AO879" s="43"/>
      <c r="AP879" s="43"/>
      <c r="AQ879" s="43">
        <v>50000</v>
      </c>
      <c r="AR879" s="43"/>
      <c r="AS879" s="43">
        <v>50000</v>
      </c>
      <c r="AT879" s="3" t="s">
        <v>237</v>
      </c>
      <c r="AU879" s="272"/>
    </row>
    <row r="880" spans="1:47" ht="16.5" hidden="1" customHeight="1" x14ac:dyDescent="0.35">
      <c r="A880" s="2" t="s">
        <v>245</v>
      </c>
      <c r="B880" s="2" t="s">
        <v>246</v>
      </c>
      <c r="C880" s="2" t="s">
        <v>2711</v>
      </c>
      <c r="D880" s="2">
        <v>847</v>
      </c>
      <c r="E880" s="2">
        <v>8470110</v>
      </c>
      <c r="F880" s="2" t="s">
        <v>2712</v>
      </c>
      <c r="G880" s="2">
        <v>1</v>
      </c>
      <c r="H880" s="276">
        <v>428640</v>
      </c>
      <c r="I880" s="2" t="s">
        <v>279</v>
      </c>
      <c r="J880" s="2" t="s">
        <v>60</v>
      </c>
      <c r="K880" s="2" t="s">
        <v>50</v>
      </c>
      <c r="L880" s="7">
        <v>847001</v>
      </c>
      <c r="M880" s="2" t="s">
        <v>61</v>
      </c>
      <c r="N880" s="2">
        <v>200179</v>
      </c>
      <c r="O880" s="3" t="s">
        <v>2731</v>
      </c>
      <c r="P880" s="2">
        <v>0</v>
      </c>
      <c r="Q880" s="35">
        <v>100000</v>
      </c>
      <c r="R880" s="2">
        <v>100000</v>
      </c>
      <c r="S880" s="3" t="s">
        <v>1452</v>
      </c>
      <c r="T880" s="2" t="s">
        <v>269</v>
      </c>
      <c r="U880" s="2">
        <v>1</v>
      </c>
      <c r="V880" s="10">
        <v>50000</v>
      </c>
      <c r="W880" s="3" t="s">
        <v>2732</v>
      </c>
      <c r="X880" s="36">
        <v>50000</v>
      </c>
      <c r="Y880" s="2" t="s">
        <v>55</v>
      </c>
      <c r="Z880" s="2" t="s">
        <v>56</v>
      </c>
      <c r="AA880" s="14">
        <f t="shared" si="42"/>
        <v>45000</v>
      </c>
      <c r="AB880" s="14">
        <f t="shared" si="43"/>
        <v>40000</v>
      </c>
      <c r="AC880" s="14">
        <f t="shared" si="44"/>
        <v>35000</v>
      </c>
      <c r="AD880" s="3" t="s">
        <v>2715</v>
      </c>
      <c r="AE880" s="3" t="s">
        <v>2715</v>
      </c>
      <c r="AF880" s="3" t="s">
        <v>2715</v>
      </c>
      <c r="AG880" s="43"/>
      <c r="AH880" s="43"/>
      <c r="AI880" s="43">
        <v>12500</v>
      </c>
      <c r="AJ880" s="43"/>
      <c r="AK880" s="43"/>
      <c r="AL880" s="43">
        <v>12500</v>
      </c>
      <c r="AM880" s="43"/>
      <c r="AN880" s="43"/>
      <c r="AO880" s="43">
        <v>12500</v>
      </c>
      <c r="AP880" s="43"/>
      <c r="AQ880" s="43"/>
      <c r="AR880" s="43">
        <v>12500</v>
      </c>
      <c r="AS880" s="43">
        <v>50000</v>
      </c>
      <c r="AT880" s="3" t="s">
        <v>379</v>
      </c>
      <c r="AU880" s="272"/>
    </row>
    <row r="881" spans="1:47" ht="16.5" hidden="1" customHeight="1" x14ac:dyDescent="0.35">
      <c r="A881" s="2" t="s">
        <v>189</v>
      </c>
      <c r="B881" s="2" t="s">
        <v>58</v>
      </c>
      <c r="C881" s="2" t="s">
        <v>2711</v>
      </c>
      <c r="D881" s="2">
        <v>847</v>
      </c>
      <c r="E881" s="2">
        <v>8470120</v>
      </c>
      <c r="F881" s="2" t="s">
        <v>2733</v>
      </c>
      <c r="G881" s="2">
        <v>1</v>
      </c>
      <c r="H881" s="276">
        <v>420120</v>
      </c>
      <c r="I881" s="2" t="s">
        <v>2734</v>
      </c>
      <c r="J881" s="2" t="s">
        <v>60</v>
      </c>
      <c r="K881" s="2" t="s">
        <v>50</v>
      </c>
      <c r="L881" s="7">
        <v>847001</v>
      </c>
      <c r="M881" s="2" t="s">
        <v>61</v>
      </c>
      <c r="N881" s="2">
        <v>200179</v>
      </c>
      <c r="O881" s="3" t="s">
        <v>2735</v>
      </c>
      <c r="P881" s="2">
        <v>383814</v>
      </c>
      <c r="Q881" s="35">
        <v>420000</v>
      </c>
      <c r="R881" s="2">
        <v>500000</v>
      </c>
      <c r="S881" s="3" t="s">
        <v>2736</v>
      </c>
      <c r="T881" s="2" t="s">
        <v>157</v>
      </c>
      <c r="U881" s="2">
        <v>6</v>
      </c>
      <c r="V881" s="2">
        <v>70000</v>
      </c>
      <c r="W881" s="3" t="s">
        <v>2737</v>
      </c>
      <c r="X881" s="36">
        <v>420000</v>
      </c>
      <c r="Y881" s="2" t="s">
        <v>55</v>
      </c>
      <c r="Z881" s="2" t="s">
        <v>56</v>
      </c>
      <c r="AA881" s="14">
        <f t="shared" si="42"/>
        <v>378000</v>
      </c>
      <c r="AB881" s="14">
        <f t="shared" si="43"/>
        <v>336000</v>
      </c>
      <c r="AC881" s="14">
        <f t="shared" si="44"/>
        <v>294000</v>
      </c>
      <c r="AD881" s="3" t="s">
        <v>2738</v>
      </c>
      <c r="AE881" s="3" t="s">
        <v>2738</v>
      </c>
      <c r="AF881" s="3" t="s">
        <v>2738</v>
      </c>
      <c r="AG881" s="43"/>
      <c r="AH881" s="43"/>
      <c r="AI881" s="43">
        <v>70000</v>
      </c>
      <c r="AJ881" s="43"/>
      <c r="AK881" s="43"/>
      <c r="AL881" s="43">
        <v>140000</v>
      </c>
      <c r="AM881" s="43"/>
      <c r="AN881" s="43"/>
      <c r="AO881" s="43">
        <v>140000</v>
      </c>
      <c r="AP881" s="43"/>
      <c r="AQ881" s="43">
        <v>70000</v>
      </c>
      <c r="AR881" s="43"/>
      <c r="AS881" s="43">
        <v>420000</v>
      </c>
      <c r="AT881" s="3" t="s">
        <v>237</v>
      </c>
      <c r="AU881" s="272"/>
    </row>
    <row r="882" spans="1:47" ht="16.5" hidden="1" customHeight="1" x14ac:dyDescent="0.35">
      <c r="A882" s="2" t="s">
        <v>189</v>
      </c>
      <c r="B882" s="2" t="s">
        <v>58</v>
      </c>
      <c r="C882" s="2" t="s">
        <v>2711</v>
      </c>
      <c r="D882" s="2">
        <v>847</v>
      </c>
      <c r="E882" s="2">
        <v>8470120</v>
      </c>
      <c r="F882" s="2" t="s">
        <v>2733</v>
      </c>
      <c r="G882" s="2">
        <v>1</v>
      </c>
      <c r="H882" s="276">
        <v>420120</v>
      </c>
      <c r="I882" s="2" t="s">
        <v>2734</v>
      </c>
      <c r="J882" s="2" t="s">
        <v>60</v>
      </c>
      <c r="K882" s="2" t="s">
        <v>50</v>
      </c>
      <c r="L882" s="7" t="s">
        <v>51</v>
      </c>
      <c r="M882" s="2" t="s">
        <v>61</v>
      </c>
      <c r="N882" s="2">
        <v>200179</v>
      </c>
      <c r="O882" s="3" t="s">
        <v>2735</v>
      </c>
      <c r="P882" s="2"/>
      <c r="Q882" s="35">
        <v>100000</v>
      </c>
      <c r="R882" s="2"/>
      <c r="S882" s="3" t="s">
        <v>2736</v>
      </c>
      <c r="T882" s="2" t="s">
        <v>157</v>
      </c>
      <c r="U882" s="2">
        <v>1</v>
      </c>
      <c r="V882" s="2">
        <v>100000</v>
      </c>
      <c r="W882" s="3" t="s">
        <v>2739</v>
      </c>
      <c r="X882" s="36">
        <v>100000</v>
      </c>
      <c r="Y882" s="2" t="s">
        <v>55</v>
      </c>
      <c r="Z882" s="2" t="s">
        <v>197</v>
      </c>
      <c r="AA882" s="14">
        <f t="shared" si="42"/>
        <v>90000</v>
      </c>
      <c r="AB882" s="14">
        <f t="shared" si="43"/>
        <v>80000</v>
      </c>
      <c r="AC882" s="14">
        <f t="shared" si="44"/>
        <v>70000</v>
      </c>
      <c r="AD882" s="3" t="s">
        <v>2740</v>
      </c>
      <c r="AE882" s="3" t="s">
        <v>2740</v>
      </c>
      <c r="AF882" s="3" t="s">
        <v>2740</v>
      </c>
      <c r="AG882" s="43"/>
      <c r="AH882" s="43"/>
      <c r="AI882" s="43"/>
      <c r="AJ882" s="43"/>
      <c r="AK882" s="43"/>
      <c r="AL882" s="43">
        <v>50000</v>
      </c>
      <c r="AM882" s="43"/>
      <c r="AN882" s="43"/>
      <c r="AO882" s="43">
        <v>50000</v>
      </c>
      <c r="AP882" s="43"/>
      <c r="AQ882" s="43"/>
      <c r="AR882" s="43"/>
      <c r="AS882" s="43">
        <v>100000</v>
      </c>
      <c r="AT882" s="3" t="s">
        <v>237</v>
      </c>
      <c r="AU882" s="272"/>
    </row>
    <row r="883" spans="1:47" ht="16.5" hidden="1" customHeight="1" x14ac:dyDescent="0.35">
      <c r="A883" s="2" t="s">
        <v>63</v>
      </c>
      <c r="B883" s="2" t="s">
        <v>64</v>
      </c>
      <c r="C883" s="2" t="s">
        <v>2711</v>
      </c>
      <c r="D883" s="2">
        <v>847</v>
      </c>
      <c r="E883" s="2">
        <v>8470120</v>
      </c>
      <c r="F883" s="2" t="s">
        <v>2733</v>
      </c>
      <c r="G883" s="2">
        <v>1</v>
      </c>
      <c r="H883" s="276">
        <v>426610</v>
      </c>
      <c r="I883" s="2" t="s">
        <v>694</v>
      </c>
      <c r="J883" s="2" t="s">
        <v>60</v>
      </c>
      <c r="K883" s="2" t="s">
        <v>50</v>
      </c>
      <c r="L883" s="7">
        <v>847001</v>
      </c>
      <c r="M883" s="2" t="s">
        <v>61</v>
      </c>
      <c r="N883" s="2">
        <v>200179</v>
      </c>
      <c r="O883" s="3" t="s">
        <v>2741</v>
      </c>
      <c r="P883" s="2" t="s">
        <v>46</v>
      </c>
      <c r="Q883" s="35">
        <v>56000</v>
      </c>
      <c r="R883" s="2">
        <v>55612</v>
      </c>
      <c r="S883" s="3" t="s">
        <v>274</v>
      </c>
      <c r="T883" s="2" t="s">
        <v>157</v>
      </c>
      <c r="U883" s="2">
        <v>1</v>
      </c>
      <c r="V883" s="2">
        <v>24889</v>
      </c>
      <c r="W883" s="3" t="s">
        <v>2742</v>
      </c>
      <c r="X883" s="36">
        <v>24889</v>
      </c>
      <c r="Y883" s="2" t="s">
        <v>55</v>
      </c>
      <c r="Z883" s="2" t="s">
        <v>56</v>
      </c>
      <c r="AA883" s="14">
        <f t="shared" si="42"/>
        <v>22400.100000000002</v>
      </c>
      <c r="AB883" s="14">
        <f t="shared" si="43"/>
        <v>19911.2</v>
      </c>
      <c r="AC883" s="14">
        <f t="shared" si="44"/>
        <v>17422.3</v>
      </c>
      <c r="AD883" s="3" t="s">
        <v>2743</v>
      </c>
      <c r="AE883" s="3" t="s">
        <v>2743</v>
      </c>
      <c r="AF883" s="3" t="s">
        <v>2743</v>
      </c>
      <c r="AG883" s="43"/>
      <c r="AH883" s="43"/>
      <c r="AI883" s="43"/>
      <c r="AJ883" s="43"/>
      <c r="AK883" s="43"/>
      <c r="AL883" s="43">
        <v>24889</v>
      </c>
      <c r="AM883" s="43"/>
      <c r="AN883" s="43"/>
      <c r="AO883" s="43"/>
      <c r="AP883" s="43"/>
      <c r="AQ883" s="43"/>
      <c r="AR883" s="43"/>
      <c r="AS883" s="43">
        <v>24889</v>
      </c>
      <c r="AT883" s="3" t="s">
        <v>816</v>
      </c>
      <c r="AU883" s="272"/>
    </row>
    <row r="884" spans="1:47" ht="16.5" hidden="1" customHeight="1" x14ac:dyDescent="0.35">
      <c r="A884" s="2" t="s">
        <v>71</v>
      </c>
      <c r="B884" s="2" t="s">
        <v>1010</v>
      </c>
      <c r="C884" s="2" t="s">
        <v>2711</v>
      </c>
      <c r="D884" s="2">
        <v>847</v>
      </c>
      <c r="E884" s="2">
        <v>8470121</v>
      </c>
      <c r="F884" s="2" t="s">
        <v>2744</v>
      </c>
      <c r="G884" s="2">
        <v>1</v>
      </c>
      <c r="H884" s="276">
        <v>421000</v>
      </c>
      <c r="I884" s="2" t="s">
        <v>1011</v>
      </c>
      <c r="J884" s="2" t="s">
        <v>60</v>
      </c>
      <c r="K884" s="2" t="s">
        <v>50</v>
      </c>
      <c r="L884" s="7">
        <v>847001</v>
      </c>
      <c r="M884" s="2" t="s">
        <v>61</v>
      </c>
      <c r="N884" s="2">
        <v>200179</v>
      </c>
      <c r="O884" s="3" t="s">
        <v>2745</v>
      </c>
      <c r="P884" s="2"/>
      <c r="Q884" s="35"/>
      <c r="R884" s="2"/>
      <c r="S884" s="3" t="s">
        <v>2746</v>
      </c>
      <c r="T884" s="2" t="s">
        <v>1109</v>
      </c>
      <c r="U884" s="2">
        <v>2</v>
      </c>
      <c r="V884" s="2">
        <v>25000</v>
      </c>
      <c r="W884" s="3" t="s">
        <v>2747</v>
      </c>
      <c r="X884" s="36">
        <v>50000</v>
      </c>
      <c r="Y884" s="2" t="s">
        <v>55</v>
      </c>
      <c r="Z884" s="2" t="s">
        <v>56</v>
      </c>
      <c r="AA884" s="14">
        <f t="shared" si="42"/>
        <v>45000</v>
      </c>
      <c r="AB884" s="14">
        <f t="shared" si="43"/>
        <v>40000</v>
      </c>
      <c r="AC884" s="14">
        <f t="shared" si="44"/>
        <v>35000</v>
      </c>
      <c r="AD884" s="3" t="s">
        <v>2748</v>
      </c>
      <c r="AE884" s="3" t="s">
        <v>2749</v>
      </c>
      <c r="AF884" s="3" t="s">
        <v>2749</v>
      </c>
      <c r="AG884" s="43"/>
      <c r="AH884" s="43"/>
      <c r="AI884" s="43"/>
      <c r="AJ884" s="43"/>
      <c r="AK884" s="43"/>
      <c r="AL884" s="43"/>
      <c r="AM884" s="43"/>
      <c r="AN884" s="43"/>
      <c r="AO884" s="43"/>
      <c r="AP884" s="43"/>
      <c r="AQ884" s="43">
        <v>50000</v>
      </c>
      <c r="AR884" s="43">
        <v>0</v>
      </c>
      <c r="AS884" s="43">
        <v>50000</v>
      </c>
      <c r="AT884" s="3" t="s">
        <v>816</v>
      </c>
      <c r="AU884" s="272"/>
    </row>
    <row r="885" spans="1:47" ht="16.5" hidden="1" customHeight="1" x14ac:dyDescent="0.35">
      <c r="A885" s="2" t="s">
        <v>189</v>
      </c>
      <c r="B885" s="2" t="s">
        <v>265</v>
      </c>
      <c r="C885" s="2" t="s">
        <v>2711</v>
      </c>
      <c r="D885" s="2">
        <v>847</v>
      </c>
      <c r="E885" s="2">
        <v>8470121</v>
      </c>
      <c r="F885" s="2" t="s">
        <v>2744</v>
      </c>
      <c r="G885" s="2">
        <v>1</v>
      </c>
      <c r="H885" s="276">
        <v>425900</v>
      </c>
      <c r="I885" s="2" t="s">
        <v>266</v>
      </c>
      <c r="J885" s="2" t="s">
        <v>60</v>
      </c>
      <c r="K885" s="2" t="s">
        <v>50</v>
      </c>
      <c r="L885" s="7">
        <v>847001</v>
      </c>
      <c r="M885" s="2" t="s">
        <v>61</v>
      </c>
      <c r="N885" s="2">
        <v>200179</v>
      </c>
      <c r="O885" s="3" t="s">
        <v>2750</v>
      </c>
      <c r="P885" s="2"/>
      <c r="Q885" s="35"/>
      <c r="R885" s="2"/>
      <c r="S885" s="3" t="s">
        <v>268</v>
      </c>
      <c r="T885" s="2" t="s">
        <v>269</v>
      </c>
      <c r="U885" s="2">
        <v>5</v>
      </c>
      <c r="V885" s="2">
        <v>3000</v>
      </c>
      <c r="W885" s="3" t="s">
        <v>2751</v>
      </c>
      <c r="X885" s="36">
        <v>15000</v>
      </c>
      <c r="Y885" s="2" t="s">
        <v>210</v>
      </c>
      <c r="Z885" s="2" t="s">
        <v>56</v>
      </c>
      <c r="AA885" s="14">
        <f t="shared" si="42"/>
        <v>13500</v>
      </c>
      <c r="AB885" s="14">
        <f t="shared" si="43"/>
        <v>12000</v>
      </c>
      <c r="AC885" s="14">
        <f t="shared" si="44"/>
        <v>10500</v>
      </c>
      <c r="AD885" s="3" t="s">
        <v>2752</v>
      </c>
      <c r="AE885" s="3" t="s">
        <v>2752</v>
      </c>
      <c r="AF885" s="3" t="s">
        <v>2752</v>
      </c>
      <c r="AG885" s="43"/>
      <c r="AH885" s="43"/>
      <c r="AI885" s="43"/>
      <c r="AJ885" s="43"/>
      <c r="AK885" s="43"/>
      <c r="AL885" s="43"/>
      <c r="AM885" s="43"/>
      <c r="AN885" s="43"/>
      <c r="AO885" s="43"/>
      <c r="AP885" s="43"/>
      <c r="AQ885" s="43">
        <v>15000</v>
      </c>
      <c r="AR885" s="43"/>
      <c r="AS885" s="43">
        <v>15000</v>
      </c>
      <c r="AT885" s="3" t="s">
        <v>816</v>
      </c>
      <c r="AU885" s="272"/>
    </row>
    <row r="886" spans="1:47" ht="16.5" hidden="1" customHeight="1" x14ac:dyDescent="0.35">
      <c r="A886" s="2" t="s">
        <v>71</v>
      </c>
      <c r="B886" s="2" t="s">
        <v>1010</v>
      </c>
      <c r="C886" s="2" t="s">
        <v>2711</v>
      </c>
      <c r="D886" s="2">
        <v>847</v>
      </c>
      <c r="E886" s="2">
        <v>8470121</v>
      </c>
      <c r="F886" s="2" t="s">
        <v>2744</v>
      </c>
      <c r="G886" s="2">
        <v>1</v>
      </c>
      <c r="H886" s="276">
        <v>421000</v>
      </c>
      <c r="I886" s="2" t="s">
        <v>1011</v>
      </c>
      <c r="J886" s="2" t="s">
        <v>60</v>
      </c>
      <c r="K886" s="2" t="s">
        <v>50</v>
      </c>
      <c r="L886" s="7">
        <v>847001</v>
      </c>
      <c r="M886" s="2" t="s">
        <v>61</v>
      </c>
      <c r="N886" s="2">
        <v>200179</v>
      </c>
      <c r="O886" s="3" t="s">
        <v>2745</v>
      </c>
      <c r="P886" s="2"/>
      <c r="Q886" s="35"/>
      <c r="R886" s="2"/>
      <c r="S886" s="3" t="s">
        <v>2753</v>
      </c>
      <c r="T886" s="2" t="s">
        <v>1109</v>
      </c>
      <c r="U886" s="2">
        <v>5</v>
      </c>
      <c r="V886" s="2">
        <v>20000</v>
      </c>
      <c r="W886" s="3" t="s">
        <v>2747</v>
      </c>
      <c r="X886" s="36">
        <v>100000</v>
      </c>
      <c r="Y886" s="2" t="s">
        <v>55</v>
      </c>
      <c r="Z886" s="2" t="s">
        <v>56</v>
      </c>
      <c r="AA886" s="14">
        <f t="shared" si="42"/>
        <v>90000</v>
      </c>
      <c r="AB886" s="14">
        <f t="shared" si="43"/>
        <v>80000</v>
      </c>
      <c r="AC886" s="14">
        <f t="shared" si="44"/>
        <v>70000</v>
      </c>
      <c r="AD886" s="3" t="s">
        <v>2754</v>
      </c>
      <c r="AE886" s="3" t="s">
        <v>2754</v>
      </c>
      <c r="AF886" s="3" t="s">
        <v>2754</v>
      </c>
      <c r="AG886" s="43"/>
      <c r="AH886" s="43"/>
      <c r="AI886" s="43"/>
      <c r="AJ886" s="43"/>
      <c r="AK886" s="43"/>
      <c r="AL886" s="43"/>
      <c r="AM886" s="43"/>
      <c r="AN886" s="43"/>
      <c r="AO886" s="43"/>
      <c r="AP886" s="43"/>
      <c r="AQ886" s="43">
        <v>100000</v>
      </c>
      <c r="AR886" s="43"/>
      <c r="AS886" s="43">
        <v>100000</v>
      </c>
      <c r="AT886" s="3" t="s">
        <v>816</v>
      </c>
      <c r="AU886" s="272"/>
    </row>
    <row r="887" spans="1:47" ht="16.5" hidden="1" customHeight="1" x14ac:dyDescent="0.35">
      <c r="A887" s="2" t="s">
        <v>222</v>
      </c>
      <c r="B887" s="2" t="s">
        <v>238</v>
      </c>
      <c r="C887" s="2" t="s">
        <v>2711</v>
      </c>
      <c r="D887" s="2">
        <v>847</v>
      </c>
      <c r="E887" s="2">
        <v>8470121</v>
      </c>
      <c r="F887" s="2" t="s">
        <v>2744</v>
      </c>
      <c r="G887" s="2">
        <v>1</v>
      </c>
      <c r="H887" s="276">
        <v>421700</v>
      </c>
      <c r="I887" s="2" t="s">
        <v>2438</v>
      </c>
      <c r="J887" s="2" t="s">
        <v>60</v>
      </c>
      <c r="K887" s="2" t="s">
        <v>50</v>
      </c>
      <c r="L887" s="7">
        <v>847001</v>
      </c>
      <c r="M887" s="2" t="s">
        <v>61</v>
      </c>
      <c r="N887" s="2">
        <v>200179</v>
      </c>
      <c r="O887" s="3" t="s">
        <v>2755</v>
      </c>
      <c r="P887" s="2"/>
      <c r="Q887" s="35"/>
      <c r="R887" s="2"/>
      <c r="S887" s="3" t="s">
        <v>1017</v>
      </c>
      <c r="T887" s="2" t="s">
        <v>157</v>
      </c>
      <c r="U887" s="2">
        <v>2</v>
      </c>
      <c r="V887" s="10">
        <v>75000</v>
      </c>
      <c r="W887" s="3" t="s">
        <v>2747</v>
      </c>
      <c r="X887" s="36">
        <v>150000</v>
      </c>
      <c r="Y887" s="2" t="s">
        <v>55</v>
      </c>
      <c r="Z887" s="2" t="s">
        <v>56</v>
      </c>
      <c r="AA887" s="14">
        <f t="shared" si="42"/>
        <v>135000</v>
      </c>
      <c r="AB887" s="14">
        <f t="shared" si="43"/>
        <v>120000</v>
      </c>
      <c r="AC887" s="14">
        <f t="shared" si="44"/>
        <v>105000</v>
      </c>
      <c r="AD887" s="3" t="s">
        <v>2754</v>
      </c>
      <c r="AE887" s="3" t="s">
        <v>2754</v>
      </c>
      <c r="AF887" s="3" t="s">
        <v>2754</v>
      </c>
      <c r="AG887" s="43"/>
      <c r="AH887" s="43"/>
      <c r="AI887" s="43"/>
      <c r="AJ887" s="43"/>
      <c r="AK887" s="43"/>
      <c r="AL887" s="43"/>
      <c r="AM887" s="43"/>
      <c r="AN887" s="43"/>
      <c r="AO887" s="43"/>
      <c r="AP887" s="43"/>
      <c r="AQ887" s="43">
        <v>150000</v>
      </c>
      <c r="AR887" s="43"/>
      <c r="AS887" s="43">
        <v>150000</v>
      </c>
      <c r="AT887" s="3" t="s">
        <v>816</v>
      </c>
      <c r="AU887" s="272"/>
    </row>
    <row r="888" spans="1:47" ht="16.5" hidden="1" customHeight="1" x14ac:dyDescent="0.35">
      <c r="A888" s="2" t="s">
        <v>63</v>
      </c>
      <c r="B888" s="2" t="s">
        <v>64</v>
      </c>
      <c r="C888" s="2" t="s">
        <v>2711</v>
      </c>
      <c r="D888" s="2">
        <v>847</v>
      </c>
      <c r="E888" s="2">
        <v>8470121</v>
      </c>
      <c r="F888" s="2" t="s">
        <v>2744</v>
      </c>
      <c r="G888" s="2">
        <v>1</v>
      </c>
      <c r="H888" s="276">
        <v>426610</v>
      </c>
      <c r="I888" s="2" t="s">
        <v>694</v>
      </c>
      <c r="J888" s="2" t="s">
        <v>60</v>
      </c>
      <c r="K888" s="2" t="s">
        <v>50</v>
      </c>
      <c r="L888" s="7">
        <v>847001</v>
      </c>
      <c r="M888" s="2" t="s">
        <v>61</v>
      </c>
      <c r="N888" s="2">
        <v>200179</v>
      </c>
      <c r="O888" s="3" t="s">
        <v>2756</v>
      </c>
      <c r="P888" s="2"/>
      <c r="Q888" s="35"/>
      <c r="R888" s="2"/>
      <c r="S888" s="3" t="s">
        <v>274</v>
      </c>
      <c r="T888" s="2" t="s">
        <v>157</v>
      </c>
      <c r="U888" s="2">
        <v>5</v>
      </c>
      <c r="V888" s="2">
        <v>30000</v>
      </c>
      <c r="W888" s="3" t="s">
        <v>2757</v>
      </c>
      <c r="X888" s="36">
        <v>150000</v>
      </c>
      <c r="Y888" s="2" t="s">
        <v>55</v>
      </c>
      <c r="Z888" s="2" t="s">
        <v>56</v>
      </c>
      <c r="AA888" s="14">
        <f t="shared" si="42"/>
        <v>135000</v>
      </c>
      <c r="AB888" s="14">
        <f t="shared" si="43"/>
        <v>120000</v>
      </c>
      <c r="AC888" s="14">
        <f t="shared" si="44"/>
        <v>105000</v>
      </c>
      <c r="AD888" s="3" t="s">
        <v>2758</v>
      </c>
      <c r="AE888" s="3" t="s">
        <v>2758</v>
      </c>
      <c r="AF888" s="3" t="s">
        <v>2758</v>
      </c>
      <c r="AG888" s="43"/>
      <c r="AH888" s="43"/>
      <c r="AI888" s="43"/>
      <c r="AJ888" s="43"/>
      <c r="AK888" s="43"/>
      <c r="AL888" s="43"/>
      <c r="AM888" s="43"/>
      <c r="AN888" s="43"/>
      <c r="AO888" s="43"/>
      <c r="AP888" s="43"/>
      <c r="AQ888" s="43">
        <v>150000</v>
      </c>
      <c r="AR888" s="43"/>
      <c r="AS888" s="43">
        <v>150000</v>
      </c>
      <c r="AT888" s="3" t="s">
        <v>816</v>
      </c>
      <c r="AU888" s="272"/>
    </row>
    <row r="889" spans="1:47" ht="16.5" hidden="1" customHeight="1" x14ac:dyDescent="0.35">
      <c r="A889" s="2" t="s">
        <v>189</v>
      </c>
      <c r="B889" s="2" t="s">
        <v>1264</v>
      </c>
      <c r="C889" s="2" t="s">
        <v>2711</v>
      </c>
      <c r="D889" s="2">
        <v>847</v>
      </c>
      <c r="E889" s="2">
        <v>8470150</v>
      </c>
      <c r="F889" s="2" t="s">
        <v>2759</v>
      </c>
      <c r="G889" s="2">
        <v>1</v>
      </c>
      <c r="H889" s="276">
        <v>420900</v>
      </c>
      <c r="I889" s="2" t="s">
        <v>1266</v>
      </c>
      <c r="J889" s="2" t="s">
        <v>60</v>
      </c>
      <c r="K889" s="2" t="s">
        <v>50</v>
      </c>
      <c r="L889" s="7">
        <v>847001</v>
      </c>
      <c r="M889" s="2" t="s">
        <v>61</v>
      </c>
      <c r="N889" s="2">
        <v>200179</v>
      </c>
      <c r="O889" s="3" t="s">
        <v>2760</v>
      </c>
      <c r="P889" s="2">
        <v>1350</v>
      </c>
      <c r="Q889" s="35">
        <v>21000</v>
      </c>
      <c r="R889" s="2">
        <v>21000</v>
      </c>
      <c r="S889" s="3" t="s">
        <v>2761</v>
      </c>
      <c r="T889" s="2" t="s">
        <v>2762</v>
      </c>
      <c r="U889" s="2">
        <v>1</v>
      </c>
      <c r="V889" s="2">
        <v>20000</v>
      </c>
      <c r="W889" s="3" t="s">
        <v>2763</v>
      </c>
      <c r="X889" s="36">
        <v>20000</v>
      </c>
      <c r="Y889" s="2" t="s">
        <v>55</v>
      </c>
      <c r="Z889" s="2" t="s">
        <v>56</v>
      </c>
      <c r="AA889" s="14">
        <f t="shared" si="42"/>
        <v>18000</v>
      </c>
      <c r="AB889" s="14">
        <f t="shared" si="43"/>
        <v>16000</v>
      </c>
      <c r="AC889" s="14">
        <f t="shared" si="44"/>
        <v>14000</v>
      </c>
      <c r="AD889" s="3" t="s">
        <v>2764</v>
      </c>
      <c r="AE889" s="3" t="s">
        <v>2764</v>
      </c>
      <c r="AF889" s="3" t="s">
        <v>2764</v>
      </c>
      <c r="AG889" s="43"/>
      <c r="AH889" s="43"/>
      <c r="AI889" s="43">
        <v>5000</v>
      </c>
      <c r="AJ889" s="43"/>
      <c r="AK889" s="43"/>
      <c r="AL889" s="43">
        <v>5000</v>
      </c>
      <c r="AM889" s="43"/>
      <c r="AN889" s="43"/>
      <c r="AO889" s="43">
        <v>5000</v>
      </c>
      <c r="AP889" s="43"/>
      <c r="AQ889" s="43"/>
      <c r="AR889" s="43">
        <v>5000</v>
      </c>
      <c r="AS889" s="43">
        <v>20000</v>
      </c>
      <c r="AT889" s="3" t="s">
        <v>816</v>
      </c>
      <c r="AU889" s="272"/>
    </row>
    <row r="890" spans="1:47" ht="16.5" hidden="1" customHeight="1" x14ac:dyDescent="0.35">
      <c r="A890" s="2" t="s">
        <v>189</v>
      </c>
      <c r="B890" s="2" t="s">
        <v>1264</v>
      </c>
      <c r="C890" s="2" t="s">
        <v>2711</v>
      </c>
      <c r="D890" s="2">
        <v>847</v>
      </c>
      <c r="E890" s="2">
        <v>8470150</v>
      </c>
      <c r="F890" s="2" t="s">
        <v>2759</v>
      </c>
      <c r="G890" s="2">
        <v>1</v>
      </c>
      <c r="H890" s="276">
        <v>420900</v>
      </c>
      <c r="I890" s="2" t="s">
        <v>1266</v>
      </c>
      <c r="J890" s="2" t="s">
        <v>60</v>
      </c>
      <c r="K890" s="2" t="s">
        <v>50</v>
      </c>
      <c r="L890" s="7">
        <v>847001</v>
      </c>
      <c r="M890" s="2" t="s">
        <v>61</v>
      </c>
      <c r="N890" s="2">
        <v>200179</v>
      </c>
      <c r="O890" s="3" t="s">
        <v>2760</v>
      </c>
      <c r="P890" s="2" t="s">
        <v>46</v>
      </c>
      <c r="Q890" s="35" t="s">
        <v>46</v>
      </c>
      <c r="R890" s="2"/>
      <c r="S890" s="3" t="s">
        <v>2765</v>
      </c>
      <c r="T890" s="2" t="s">
        <v>2766</v>
      </c>
      <c r="U890" s="2">
        <v>1</v>
      </c>
      <c r="V890" s="2">
        <v>300000</v>
      </c>
      <c r="W890" s="3" t="s">
        <v>2767</v>
      </c>
      <c r="X890" s="36">
        <v>300000</v>
      </c>
      <c r="Y890" s="2" t="s">
        <v>55</v>
      </c>
      <c r="Z890" s="2" t="s">
        <v>56</v>
      </c>
      <c r="AA890" s="14">
        <f t="shared" si="42"/>
        <v>270000</v>
      </c>
      <c r="AB890" s="14">
        <f t="shared" si="43"/>
        <v>240000</v>
      </c>
      <c r="AC890" s="14">
        <f t="shared" si="44"/>
        <v>210000</v>
      </c>
      <c r="AD890" s="3" t="s">
        <v>2764</v>
      </c>
      <c r="AE890" s="3" t="s">
        <v>2764</v>
      </c>
      <c r="AF890" s="3" t="s">
        <v>2764</v>
      </c>
      <c r="AG890" s="43">
        <v>25000</v>
      </c>
      <c r="AH890" s="43">
        <v>25000</v>
      </c>
      <c r="AI890" s="43">
        <v>25000</v>
      </c>
      <c r="AJ890" s="43">
        <v>25000</v>
      </c>
      <c r="AK890" s="43">
        <v>25000</v>
      </c>
      <c r="AL890" s="43">
        <v>25000</v>
      </c>
      <c r="AM890" s="43">
        <v>25000</v>
      </c>
      <c r="AN890" s="43">
        <v>25000</v>
      </c>
      <c r="AO890" s="43">
        <v>25000</v>
      </c>
      <c r="AP890" s="43">
        <v>25000</v>
      </c>
      <c r="AQ890" s="43">
        <v>25000</v>
      </c>
      <c r="AR890" s="43">
        <v>25000</v>
      </c>
      <c r="AS890" s="43">
        <v>300000</v>
      </c>
      <c r="AT890" s="3" t="s">
        <v>816</v>
      </c>
      <c r="AU890" s="272"/>
    </row>
    <row r="891" spans="1:47" ht="16.5" hidden="1" customHeight="1" x14ac:dyDescent="0.35">
      <c r="A891" s="2" t="s">
        <v>222</v>
      </c>
      <c r="B891" s="2" t="s">
        <v>58</v>
      </c>
      <c r="C891" s="2" t="s">
        <v>2711</v>
      </c>
      <c r="D891" s="2">
        <v>847</v>
      </c>
      <c r="E891" s="2">
        <v>8470150</v>
      </c>
      <c r="F891" s="2" t="s">
        <v>2759</v>
      </c>
      <c r="G891" s="2">
        <v>1</v>
      </c>
      <c r="H891" s="276">
        <v>427710</v>
      </c>
      <c r="I891" s="2" t="s">
        <v>1090</v>
      </c>
      <c r="J891" s="2" t="s">
        <v>60</v>
      </c>
      <c r="K891" s="2" t="s">
        <v>50</v>
      </c>
      <c r="L891" s="7" t="s">
        <v>51</v>
      </c>
      <c r="M891" s="2" t="s">
        <v>61</v>
      </c>
      <c r="N891" s="2">
        <v>200179</v>
      </c>
      <c r="O891" s="3" t="s">
        <v>2768</v>
      </c>
      <c r="P891" s="2"/>
      <c r="Q891" s="35"/>
      <c r="R891" s="2"/>
      <c r="S891" s="3" t="s">
        <v>1092</v>
      </c>
      <c r="T891" s="2" t="s">
        <v>157</v>
      </c>
      <c r="U891" s="2">
        <v>1</v>
      </c>
      <c r="V891" s="2">
        <v>25000</v>
      </c>
      <c r="W891" s="3" t="s">
        <v>2769</v>
      </c>
      <c r="X891" s="36">
        <v>25000</v>
      </c>
      <c r="Y891" s="2" t="s">
        <v>55</v>
      </c>
      <c r="Z891" s="2" t="s">
        <v>56</v>
      </c>
      <c r="AA891" s="14">
        <f t="shared" si="42"/>
        <v>22500</v>
      </c>
      <c r="AB891" s="14">
        <f t="shared" si="43"/>
        <v>20000</v>
      </c>
      <c r="AC891" s="14">
        <f t="shared" si="44"/>
        <v>17500</v>
      </c>
      <c r="AD891" s="3" t="s">
        <v>2764</v>
      </c>
      <c r="AE891" s="3" t="s">
        <v>2764</v>
      </c>
      <c r="AF891" s="3" t="s">
        <v>2764</v>
      </c>
      <c r="AG891" s="43"/>
      <c r="AH891" s="43"/>
      <c r="AI891" s="43">
        <v>25000</v>
      </c>
      <c r="AJ891" s="43"/>
      <c r="AK891" s="43"/>
      <c r="AL891" s="43"/>
      <c r="AM891" s="43"/>
      <c r="AN891" s="43"/>
      <c r="AO891" s="43"/>
      <c r="AP891" s="43"/>
      <c r="AQ891" s="43"/>
      <c r="AR891" s="43"/>
      <c r="AS891" s="43">
        <v>25000</v>
      </c>
      <c r="AT891" s="3" t="s">
        <v>816</v>
      </c>
      <c r="AU891" s="272"/>
    </row>
    <row r="892" spans="1:47" ht="16.5" hidden="1" customHeight="1" x14ac:dyDescent="0.35">
      <c r="A892" s="2" t="s">
        <v>245</v>
      </c>
      <c r="B892" s="2" t="s">
        <v>58</v>
      </c>
      <c r="C892" s="2" t="s">
        <v>2711</v>
      </c>
      <c r="D892" s="2">
        <v>847</v>
      </c>
      <c r="E892" s="2">
        <v>8470160</v>
      </c>
      <c r="F892" s="2" t="s">
        <v>2770</v>
      </c>
      <c r="G892" s="2">
        <v>1</v>
      </c>
      <c r="H892" s="276">
        <v>425550</v>
      </c>
      <c r="I892" s="2" t="s">
        <v>253</v>
      </c>
      <c r="J892" s="2" t="s">
        <v>60</v>
      </c>
      <c r="K892" s="2" t="s">
        <v>50</v>
      </c>
      <c r="L892" s="7">
        <v>847001</v>
      </c>
      <c r="M892" s="2" t="s">
        <v>61</v>
      </c>
      <c r="N892" s="2">
        <v>200179</v>
      </c>
      <c r="O892" s="3" t="s">
        <v>2771</v>
      </c>
      <c r="P892" s="2"/>
      <c r="Q892" s="35"/>
      <c r="R892" s="2">
        <v>25000</v>
      </c>
      <c r="S892" s="3" t="s">
        <v>255</v>
      </c>
      <c r="T892" s="2" t="s">
        <v>256</v>
      </c>
      <c r="U892" s="2">
        <v>2</v>
      </c>
      <c r="V892" s="2">
        <v>50000</v>
      </c>
      <c r="W892" s="3" t="s">
        <v>2772</v>
      </c>
      <c r="X892" s="36">
        <v>100000</v>
      </c>
      <c r="Y892" s="2" t="s">
        <v>210</v>
      </c>
      <c r="Z892" s="2" t="s">
        <v>197</v>
      </c>
      <c r="AA892" s="14">
        <f t="shared" si="42"/>
        <v>90000</v>
      </c>
      <c r="AB892" s="14">
        <f t="shared" si="43"/>
        <v>80000</v>
      </c>
      <c r="AC892" s="14">
        <f t="shared" si="44"/>
        <v>70000</v>
      </c>
      <c r="AD892" s="3" t="s">
        <v>2773</v>
      </c>
      <c r="AE892" s="3" t="s">
        <v>2773</v>
      </c>
      <c r="AF892" s="3" t="s">
        <v>2773</v>
      </c>
      <c r="AG892" s="43"/>
      <c r="AH892" s="43"/>
      <c r="AI892" s="43">
        <v>50000</v>
      </c>
      <c r="AJ892" s="43"/>
      <c r="AK892" s="43"/>
      <c r="AL892" s="43"/>
      <c r="AM892" s="43"/>
      <c r="AN892" s="43"/>
      <c r="AO892" s="43">
        <v>50000</v>
      </c>
      <c r="AP892" s="43"/>
      <c r="AQ892" s="43"/>
      <c r="AR892" s="43"/>
      <c r="AS892" s="43">
        <v>100000</v>
      </c>
      <c r="AT892" s="3" t="s">
        <v>365</v>
      </c>
      <c r="AU892" s="272"/>
    </row>
    <row r="893" spans="1:47" ht="16.5" hidden="1" customHeight="1" x14ac:dyDescent="0.35">
      <c r="A893" s="2" t="s">
        <v>245</v>
      </c>
      <c r="B893" s="2" t="s">
        <v>246</v>
      </c>
      <c r="C893" s="2" t="s">
        <v>2711</v>
      </c>
      <c r="D893" s="2">
        <v>847</v>
      </c>
      <c r="E893" s="2">
        <v>8470160</v>
      </c>
      <c r="F893" s="2" t="s">
        <v>2770</v>
      </c>
      <c r="G893" s="2">
        <v>1</v>
      </c>
      <c r="H893" s="276">
        <v>428640</v>
      </c>
      <c r="I893" s="2" t="s">
        <v>279</v>
      </c>
      <c r="J893" s="2" t="s">
        <v>60</v>
      </c>
      <c r="K893" s="2" t="s">
        <v>50</v>
      </c>
      <c r="L893" s="7">
        <v>847001</v>
      </c>
      <c r="M893" s="2" t="s">
        <v>61</v>
      </c>
      <c r="N893" s="2">
        <v>200179</v>
      </c>
      <c r="O893" s="3" t="s">
        <v>2774</v>
      </c>
      <c r="P893" s="2"/>
      <c r="Q893" s="35"/>
      <c r="R893" s="2">
        <v>100000</v>
      </c>
      <c r="S893" s="3" t="s">
        <v>1452</v>
      </c>
      <c r="T893" s="2" t="s">
        <v>269</v>
      </c>
      <c r="U893" s="2">
        <v>100</v>
      </c>
      <c r="V893" s="10">
        <v>1000</v>
      </c>
      <c r="W893" s="3" t="s">
        <v>2775</v>
      </c>
      <c r="X893" s="36">
        <v>100000</v>
      </c>
      <c r="Y893" s="2" t="s">
        <v>55</v>
      </c>
      <c r="Z893" s="2" t="s">
        <v>56</v>
      </c>
      <c r="AA893" s="14">
        <f t="shared" si="42"/>
        <v>90000</v>
      </c>
      <c r="AB893" s="14">
        <f t="shared" si="43"/>
        <v>80000</v>
      </c>
      <c r="AC893" s="14">
        <f t="shared" si="44"/>
        <v>70000</v>
      </c>
      <c r="AD893" s="3" t="s">
        <v>2773</v>
      </c>
      <c r="AE893" s="3" t="s">
        <v>2773</v>
      </c>
      <c r="AF893" s="3" t="s">
        <v>2773</v>
      </c>
      <c r="AG893" s="43">
        <v>50000</v>
      </c>
      <c r="AH893" s="43"/>
      <c r="AI893" s="43">
        <v>50000</v>
      </c>
      <c r="AJ893" s="43"/>
      <c r="AK893" s="43"/>
      <c r="AL893" s="43"/>
      <c r="AM893" s="43"/>
      <c r="AN893" s="43"/>
      <c r="AO893" s="43"/>
      <c r="AP893" s="43"/>
      <c r="AQ893" s="43"/>
      <c r="AR893" s="43"/>
      <c r="AS893" s="43">
        <v>100000</v>
      </c>
      <c r="AT893" s="3" t="s">
        <v>379</v>
      </c>
      <c r="AU893" s="272"/>
    </row>
    <row r="894" spans="1:47" ht="16.5" hidden="1" customHeight="1" x14ac:dyDescent="0.35">
      <c r="A894" s="2" t="s">
        <v>153</v>
      </c>
      <c r="B894" s="2" t="s">
        <v>58</v>
      </c>
      <c r="C894" s="2" t="s">
        <v>2711</v>
      </c>
      <c r="D894" s="2">
        <v>847</v>
      </c>
      <c r="E894" s="2">
        <v>8470160</v>
      </c>
      <c r="F894" s="2" t="s">
        <v>2770</v>
      </c>
      <c r="G894" s="2">
        <v>1</v>
      </c>
      <c r="H894" s="276">
        <v>428090</v>
      </c>
      <c r="I894" s="2" t="s">
        <v>154</v>
      </c>
      <c r="J894" s="2" t="s">
        <v>60</v>
      </c>
      <c r="K894" s="2" t="s">
        <v>50</v>
      </c>
      <c r="L894" s="7">
        <v>847001</v>
      </c>
      <c r="M894" s="2" t="s">
        <v>61</v>
      </c>
      <c r="N894" s="2">
        <v>200179</v>
      </c>
      <c r="O894" s="3" t="s">
        <v>2776</v>
      </c>
      <c r="P894" s="2"/>
      <c r="Q894" s="35"/>
      <c r="R894" s="2">
        <v>40000</v>
      </c>
      <c r="S894" s="3" t="s">
        <v>156</v>
      </c>
      <c r="T894" s="2" t="s">
        <v>157</v>
      </c>
      <c r="U894" s="2">
        <v>2</v>
      </c>
      <c r="V894" s="2">
        <v>50000</v>
      </c>
      <c r="W894" s="3" t="s">
        <v>2777</v>
      </c>
      <c r="X894" s="36">
        <v>100000</v>
      </c>
      <c r="Y894" s="2" t="s">
        <v>210</v>
      </c>
      <c r="Z894" s="2" t="s">
        <v>197</v>
      </c>
      <c r="AA894" s="14">
        <f t="shared" si="42"/>
        <v>90000</v>
      </c>
      <c r="AB894" s="14">
        <f t="shared" si="43"/>
        <v>80000</v>
      </c>
      <c r="AC894" s="14">
        <f t="shared" si="44"/>
        <v>70000</v>
      </c>
      <c r="AD894" s="3" t="s">
        <v>2773</v>
      </c>
      <c r="AE894" s="3" t="s">
        <v>2773</v>
      </c>
      <c r="AF894" s="3" t="s">
        <v>2773</v>
      </c>
      <c r="AG894" s="43"/>
      <c r="AH894" s="43"/>
      <c r="AI894" s="43"/>
      <c r="AJ894" s="43"/>
      <c r="AK894" s="43"/>
      <c r="AL894" s="43">
        <v>50000</v>
      </c>
      <c r="AM894" s="43"/>
      <c r="AN894" s="43">
        <v>50000</v>
      </c>
      <c r="AO894" s="43"/>
      <c r="AP894" s="43"/>
      <c r="AQ894" s="43"/>
      <c r="AR894" s="43"/>
      <c r="AS894" s="43">
        <v>100000</v>
      </c>
      <c r="AT894" s="3" t="s">
        <v>365</v>
      </c>
      <c r="AU894" s="272"/>
    </row>
    <row r="895" spans="1:47" ht="16.5" hidden="1" customHeight="1" x14ac:dyDescent="0.35">
      <c r="A895" s="2" t="s">
        <v>189</v>
      </c>
      <c r="B895" s="2" t="s">
        <v>265</v>
      </c>
      <c r="C895" s="2" t="s">
        <v>2711</v>
      </c>
      <c r="D895" s="2">
        <v>847</v>
      </c>
      <c r="E895" s="2">
        <v>8470160</v>
      </c>
      <c r="F895" s="2" t="s">
        <v>2770</v>
      </c>
      <c r="G895" s="2">
        <v>1</v>
      </c>
      <c r="H895" s="276">
        <v>425900</v>
      </c>
      <c r="I895" s="2" t="s">
        <v>266</v>
      </c>
      <c r="J895" s="2" t="s">
        <v>60</v>
      </c>
      <c r="K895" s="2" t="s">
        <v>50</v>
      </c>
      <c r="L895" s="7">
        <v>847001</v>
      </c>
      <c r="M895" s="2" t="s">
        <v>61</v>
      </c>
      <c r="N895" s="2">
        <v>200179</v>
      </c>
      <c r="O895" s="3" t="s">
        <v>2778</v>
      </c>
      <c r="P895" s="2"/>
      <c r="Q895" s="35"/>
      <c r="R895" s="2">
        <v>2200000</v>
      </c>
      <c r="S895" s="3" t="s">
        <v>268</v>
      </c>
      <c r="T895" s="2" t="s">
        <v>269</v>
      </c>
      <c r="U895" s="2">
        <v>6</v>
      </c>
      <c r="V895" s="2">
        <v>200000</v>
      </c>
      <c r="W895" s="3" t="s">
        <v>2779</v>
      </c>
      <c r="X895" s="36">
        <v>1200000</v>
      </c>
      <c r="Y895" s="2" t="s">
        <v>55</v>
      </c>
      <c r="Z895" s="2" t="s">
        <v>56</v>
      </c>
      <c r="AA895" s="14">
        <f t="shared" si="42"/>
        <v>1080000</v>
      </c>
      <c r="AB895" s="14">
        <f t="shared" si="43"/>
        <v>960000</v>
      </c>
      <c r="AC895" s="14">
        <f t="shared" si="44"/>
        <v>840000</v>
      </c>
      <c r="AD895" s="3" t="s">
        <v>2773</v>
      </c>
      <c r="AE895" s="3" t="s">
        <v>2773</v>
      </c>
      <c r="AF895" s="3" t="s">
        <v>2773</v>
      </c>
      <c r="AG895" s="43">
        <v>500000</v>
      </c>
      <c r="AH895" s="43"/>
      <c r="AI895" s="43">
        <v>200000</v>
      </c>
      <c r="AJ895" s="43"/>
      <c r="AK895" s="43"/>
      <c r="AL895" s="43">
        <v>500000</v>
      </c>
      <c r="AM895" s="43"/>
      <c r="AN895" s="43"/>
      <c r="AO895" s="43"/>
      <c r="AP895" s="43"/>
      <c r="AQ895" s="43"/>
      <c r="AR895" s="43"/>
      <c r="AS895" s="43">
        <v>1200000</v>
      </c>
      <c r="AT895" s="3" t="s">
        <v>365</v>
      </c>
      <c r="AU895" s="272"/>
    </row>
    <row r="896" spans="1:47" ht="16.5" hidden="1" customHeight="1" x14ac:dyDescent="0.35">
      <c r="A896" s="424">
        <v>0</v>
      </c>
      <c r="B896" s="424" t="s">
        <v>58</v>
      </c>
      <c r="C896" s="424" t="s">
        <v>1209</v>
      </c>
      <c r="D896" s="424">
        <v>847</v>
      </c>
      <c r="E896" s="424">
        <v>8471160</v>
      </c>
      <c r="F896" s="424" t="s">
        <v>3036</v>
      </c>
      <c r="G896" s="424">
        <v>1</v>
      </c>
      <c r="H896" s="425">
        <v>420810</v>
      </c>
      <c r="I896" s="424" t="s">
        <v>59</v>
      </c>
      <c r="J896" s="424" t="s">
        <v>60</v>
      </c>
      <c r="K896" s="424" t="s">
        <v>50</v>
      </c>
      <c r="L896" s="426">
        <v>847001</v>
      </c>
      <c r="M896" s="424" t="s">
        <v>61</v>
      </c>
      <c r="N896" s="424">
        <v>200179</v>
      </c>
      <c r="O896" s="427" t="s">
        <v>2893</v>
      </c>
      <c r="P896" s="424" t="s">
        <v>46</v>
      </c>
      <c r="Q896" s="428">
        <v>0</v>
      </c>
      <c r="R896" s="424">
        <v>0</v>
      </c>
      <c r="S896" s="427"/>
      <c r="T896" s="424" t="s">
        <v>62</v>
      </c>
      <c r="U896" s="424"/>
      <c r="V896" s="424"/>
      <c r="W896" s="427"/>
      <c r="X896" s="428">
        <v>0</v>
      </c>
      <c r="Y896" s="424"/>
      <c r="Z896" s="424"/>
      <c r="AA896" s="429">
        <v>0</v>
      </c>
      <c r="AB896" s="429">
        <v>0</v>
      </c>
      <c r="AC896" s="429">
        <v>0</v>
      </c>
      <c r="AD896" s="427"/>
      <c r="AE896" s="427"/>
      <c r="AF896" s="427"/>
      <c r="AG896" s="430">
        <v>0</v>
      </c>
      <c r="AH896" s="430">
        <v>0</v>
      </c>
      <c r="AI896" s="430">
        <v>0</v>
      </c>
      <c r="AJ896" s="430">
        <v>0</v>
      </c>
      <c r="AK896" s="430">
        <v>0</v>
      </c>
      <c r="AL896" s="430">
        <v>0</v>
      </c>
      <c r="AM896" s="430">
        <v>0</v>
      </c>
      <c r="AN896" s="430">
        <v>0</v>
      </c>
      <c r="AO896" s="430">
        <v>0</v>
      </c>
      <c r="AP896" s="430">
        <v>0</v>
      </c>
      <c r="AQ896" s="430"/>
      <c r="AR896" s="430">
        <v>0</v>
      </c>
      <c r="AS896" s="430">
        <v>0</v>
      </c>
      <c r="AT896" s="427"/>
      <c r="AU896" s="431"/>
    </row>
    <row r="897" spans="1:47" ht="16.5" hidden="1" customHeight="1" x14ac:dyDescent="0.35">
      <c r="A897" s="424" t="s">
        <v>63</v>
      </c>
      <c r="B897" s="424" t="s">
        <v>64</v>
      </c>
      <c r="C897" s="424" t="s">
        <v>1209</v>
      </c>
      <c r="D897" s="424">
        <v>847</v>
      </c>
      <c r="E897" s="424">
        <v>8471160</v>
      </c>
      <c r="F897" s="424" t="s">
        <v>3036</v>
      </c>
      <c r="G897" s="424">
        <v>1</v>
      </c>
      <c r="H897" s="425">
        <v>420811</v>
      </c>
      <c r="I897" s="424" t="s">
        <v>3435</v>
      </c>
      <c r="J897" s="424" t="s">
        <v>60</v>
      </c>
      <c r="K897" s="424" t="s">
        <v>50</v>
      </c>
      <c r="L897" s="426">
        <v>847001</v>
      </c>
      <c r="M897" s="424" t="s">
        <v>61</v>
      </c>
      <c r="N897" s="424">
        <v>200179</v>
      </c>
      <c r="O897" s="427" t="s">
        <v>2894</v>
      </c>
      <c r="P897" s="424" t="s">
        <v>46</v>
      </c>
      <c r="Q897" s="428">
        <v>588000</v>
      </c>
      <c r="R897" s="424">
        <v>588000</v>
      </c>
      <c r="S897" s="427" t="s">
        <v>67</v>
      </c>
      <c r="T897" s="424" t="s">
        <v>68</v>
      </c>
      <c r="U897" s="424">
        <v>1</v>
      </c>
      <c r="V897" s="424">
        <v>1</v>
      </c>
      <c r="W897" s="427" t="s">
        <v>3436</v>
      </c>
      <c r="X897" s="428">
        <v>1</v>
      </c>
      <c r="Y897" s="424"/>
      <c r="Z897" s="424"/>
      <c r="AA897" s="429">
        <v>0.9</v>
      </c>
      <c r="AB897" s="429">
        <v>0.8</v>
      </c>
      <c r="AC897" s="429">
        <v>0.7</v>
      </c>
      <c r="AD897" s="427"/>
      <c r="AE897" s="427"/>
      <c r="AF897" s="427"/>
      <c r="AG897" s="430">
        <v>1</v>
      </c>
      <c r="AH897" s="430">
        <v>0</v>
      </c>
      <c r="AI897" s="430">
        <v>0</v>
      </c>
      <c r="AJ897" s="430">
        <v>0</v>
      </c>
      <c r="AK897" s="430">
        <v>0</v>
      </c>
      <c r="AL897" s="430">
        <v>0</v>
      </c>
      <c r="AM897" s="430">
        <v>0</v>
      </c>
      <c r="AN897" s="430">
        <v>0</v>
      </c>
      <c r="AO897" s="430">
        <v>0</v>
      </c>
      <c r="AP897" s="430">
        <v>0</v>
      </c>
      <c r="AQ897" s="430"/>
      <c r="AR897" s="430">
        <v>0</v>
      </c>
      <c r="AS897" s="430">
        <v>1</v>
      </c>
      <c r="AT897" s="427" t="s">
        <v>816</v>
      </c>
      <c r="AU897" s="431"/>
    </row>
    <row r="898" spans="1:47" ht="16.5" hidden="1" customHeight="1" x14ac:dyDescent="0.35">
      <c r="A898" s="424" t="s">
        <v>63</v>
      </c>
      <c r="B898" s="424" t="s">
        <v>64</v>
      </c>
      <c r="C898" s="424" t="s">
        <v>1209</v>
      </c>
      <c r="D898" s="424">
        <v>847</v>
      </c>
      <c r="E898" s="424">
        <v>8471160</v>
      </c>
      <c r="F898" s="424" t="s">
        <v>3036</v>
      </c>
      <c r="G898" s="424">
        <v>1</v>
      </c>
      <c r="H898" s="425">
        <v>426610</v>
      </c>
      <c r="I898" s="424" t="s">
        <v>74</v>
      </c>
      <c r="J898" s="424" t="s">
        <v>60</v>
      </c>
      <c r="K898" s="424" t="s">
        <v>50</v>
      </c>
      <c r="L898" s="426">
        <v>847001</v>
      </c>
      <c r="M898" s="424" t="s">
        <v>61</v>
      </c>
      <c r="N898" s="424">
        <v>200179</v>
      </c>
      <c r="O898" s="427" t="s">
        <v>2895</v>
      </c>
      <c r="P898" s="424">
        <v>51393.919999999998</v>
      </c>
      <c r="Q898" s="428">
        <v>161375</v>
      </c>
      <c r="R898" s="424">
        <v>161375</v>
      </c>
      <c r="S898" s="427" t="s">
        <v>274</v>
      </c>
      <c r="T898" s="424" t="s">
        <v>157</v>
      </c>
      <c r="U898" s="424">
        <v>15330</v>
      </c>
      <c r="V898" s="424">
        <v>1</v>
      </c>
      <c r="W898" s="427" t="s">
        <v>3437</v>
      </c>
      <c r="X898" s="428">
        <v>15330</v>
      </c>
      <c r="Y898" s="424"/>
      <c r="Z898" s="424"/>
      <c r="AA898" s="429">
        <v>13797</v>
      </c>
      <c r="AB898" s="429">
        <v>12264</v>
      </c>
      <c r="AC898" s="429">
        <v>10731</v>
      </c>
      <c r="AD898" s="427" t="s">
        <v>3438</v>
      </c>
      <c r="AE898" s="427" t="s">
        <v>3438</v>
      </c>
      <c r="AF898" s="427" t="s">
        <v>3438</v>
      </c>
      <c r="AG898" s="430"/>
      <c r="AH898" s="430"/>
      <c r="AI898" s="430">
        <v>15330</v>
      </c>
      <c r="AJ898" s="430"/>
      <c r="AK898" s="430"/>
      <c r="AL898" s="430"/>
      <c r="AM898" s="430"/>
      <c r="AN898" s="430"/>
      <c r="AO898" s="430"/>
      <c r="AP898" s="430"/>
      <c r="AQ898" s="430"/>
      <c r="AR898" s="430"/>
      <c r="AS898" s="430">
        <v>15330</v>
      </c>
      <c r="AT898" s="427" t="s">
        <v>816</v>
      </c>
      <c r="AU898" s="431"/>
    </row>
    <row r="899" spans="1:47" ht="16.5" hidden="1" customHeight="1" x14ac:dyDescent="0.35">
      <c r="A899" s="424" t="s">
        <v>222</v>
      </c>
      <c r="B899" s="424" t="s">
        <v>58</v>
      </c>
      <c r="C899" s="424" t="s">
        <v>1209</v>
      </c>
      <c r="D899" s="424">
        <v>847</v>
      </c>
      <c r="E899" s="424">
        <v>8471160</v>
      </c>
      <c r="F899" s="424" t="s">
        <v>3036</v>
      </c>
      <c r="G899" s="424">
        <v>1</v>
      </c>
      <c r="H899" s="425">
        <v>432209</v>
      </c>
      <c r="I899" s="424" t="s">
        <v>393</v>
      </c>
      <c r="J899" s="424" t="s">
        <v>60</v>
      </c>
      <c r="K899" s="424" t="s">
        <v>50</v>
      </c>
      <c r="L899" s="426">
        <v>847001</v>
      </c>
      <c r="M899" s="424" t="s">
        <v>61</v>
      </c>
      <c r="N899" s="424">
        <v>200179</v>
      </c>
      <c r="O899" s="427" t="s">
        <v>2896</v>
      </c>
      <c r="P899" s="424">
        <v>10701612.01</v>
      </c>
      <c r="Q899" s="428">
        <v>15319303</v>
      </c>
      <c r="R899" s="424">
        <v>15319303</v>
      </c>
      <c r="S899" s="427" t="s">
        <v>470</v>
      </c>
      <c r="T899" s="424" t="s">
        <v>157</v>
      </c>
      <c r="U899" s="424">
        <v>17597270</v>
      </c>
      <c r="V899" s="424">
        <v>1</v>
      </c>
      <c r="W899" s="427" t="s">
        <v>3437</v>
      </c>
      <c r="X899" s="428">
        <v>17597270</v>
      </c>
      <c r="Y899" s="424" t="s">
        <v>55</v>
      </c>
      <c r="Z899" s="424" t="s">
        <v>56</v>
      </c>
      <c r="AA899" s="429">
        <v>15837543</v>
      </c>
      <c r="AB899" s="429">
        <v>14077816</v>
      </c>
      <c r="AC899" s="429">
        <v>12318089</v>
      </c>
      <c r="AD899" s="427" t="s">
        <v>3439</v>
      </c>
      <c r="AE899" s="427" t="s">
        <v>3439</v>
      </c>
      <c r="AF899" s="427" t="s">
        <v>3439</v>
      </c>
      <c r="AG899" s="430">
        <v>879863.5</v>
      </c>
      <c r="AH899" s="430">
        <v>879863.5</v>
      </c>
      <c r="AI899" s="430">
        <v>1759727</v>
      </c>
      <c r="AJ899" s="430">
        <v>2639590.5</v>
      </c>
      <c r="AK899" s="430">
        <v>2639590.5</v>
      </c>
      <c r="AL899" s="430">
        <v>2639590.5</v>
      </c>
      <c r="AM899" s="430">
        <v>1759727</v>
      </c>
      <c r="AN899" s="430">
        <v>1759727</v>
      </c>
      <c r="AO899" s="430">
        <v>879863.5</v>
      </c>
      <c r="AP899" s="430">
        <v>879863.5</v>
      </c>
      <c r="AQ899" s="430">
        <v>879863.5</v>
      </c>
      <c r="AR899" s="430">
        <v>0</v>
      </c>
      <c r="AS899" s="430">
        <v>17597270</v>
      </c>
      <c r="AT899" s="427" t="s">
        <v>816</v>
      </c>
      <c r="AU899" s="431"/>
    </row>
    <row r="900" spans="1:47" ht="16.5" hidden="1" customHeight="1" x14ac:dyDescent="0.35">
      <c r="A900" s="424" t="s">
        <v>222</v>
      </c>
      <c r="B900" s="424" t="s">
        <v>220</v>
      </c>
      <c r="C900" s="424" t="s">
        <v>1209</v>
      </c>
      <c r="D900" s="424">
        <v>847</v>
      </c>
      <c r="E900" s="424">
        <v>8471160</v>
      </c>
      <c r="F900" s="424" t="s">
        <v>3036</v>
      </c>
      <c r="G900" s="424">
        <v>1</v>
      </c>
      <c r="H900" s="425">
        <v>435508</v>
      </c>
      <c r="I900" s="424" t="s">
        <v>405</v>
      </c>
      <c r="J900" s="424" t="s">
        <v>60</v>
      </c>
      <c r="K900" s="424" t="s">
        <v>50</v>
      </c>
      <c r="L900" s="426">
        <v>847001</v>
      </c>
      <c r="M900" s="424" t="s">
        <v>61</v>
      </c>
      <c r="N900" s="424">
        <v>200179</v>
      </c>
      <c r="O900" s="427" t="s">
        <v>2897</v>
      </c>
      <c r="P900" s="424">
        <v>1706315.81</v>
      </c>
      <c r="Q900" s="428">
        <v>2753398</v>
      </c>
      <c r="R900" s="424">
        <v>2753398</v>
      </c>
      <c r="S900" s="427" t="s">
        <v>407</v>
      </c>
      <c r="T900" s="424" t="s">
        <v>157</v>
      </c>
      <c r="U900" s="424">
        <v>14046375</v>
      </c>
      <c r="V900" s="424">
        <v>1</v>
      </c>
      <c r="W900" s="427" t="s">
        <v>3437</v>
      </c>
      <c r="X900" s="428">
        <v>14046375</v>
      </c>
      <c r="Y900" s="424" t="s">
        <v>55</v>
      </c>
      <c r="Z900" s="424" t="s">
        <v>56</v>
      </c>
      <c r="AA900" s="429">
        <v>12641737.5</v>
      </c>
      <c r="AB900" s="429">
        <v>11237100</v>
      </c>
      <c r="AC900" s="429">
        <v>9832462.5</v>
      </c>
      <c r="AD900" s="427" t="s">
        <v>3440</v>
      </c>
      <c r="AE900" s="427" t="s">
        <v>3440</v>
      </c>
      <c r="AF900" s="427" t="s">
        <v>3440</v>
      </c>
      <c r="AG900" s="430">
        <v>702318.75</v>
      </c>
      <c r="AH900" s="430">
        <v>702318.75</v>
      </c>
      <c r="AI900" s="430">
        <v>1404637.5</v>
      </c>
      <c r="AJ900" s="430">
        <v>2106956.25</v>
      </c>
      <c r="AK900" s="430">
        <v>2106956.25</v>
      </c>
      <c r="AL900" s="430">
        <v>1404637.5</v>
      </c>
      <c r="AM900" s="430">
        <v>1404637.5</v>
      </c>
      <c r="AN900" s="430">
        <v>1404637.5</v>
      </c>
      <c r="AO900" s="430">
        <v>1334405.625</v>
      </c>
      <c r="AP900" s="430">
        <v>702318.75</v>
      </c>
      <c r="AQ900" s="430">
        <v>702318.75</v>
      </c>
      <c r="AR900" s="430">
        <v>70231.875</v>
      </c>
      <c r="AS900" s="430">
        <v>14046375</v>
      </c>
      <c r="AT900" s="427" t="s">
        <v>816</v>
      </c>
      <c r="AU900" s="431"/>
    </row>
    <row r="901" spans="1:47" ht="16.5" hidden="1" customHeight="1" x14ac:dyDescent="0.35">
      <c r="A901" s="424" t="s">
        <v>161</v>
      </c>
      <c r="B901" s="424" t="s">
        <v>2474</v>
      </c>
      <c r="C901" s="424" t="s">
        <v>1209</v>
      </c>
      <c r="D901" s="424">
        <v>847</v>
      </c>
      <c r="E901" s="424">
        <v>8471160</v>
      </c>
      <c r="F901" s="424" t="s">
        <v>3036</v>
      </c>
      <c r="G901" s="424">
        <v>1</v>
      </c>
      <c r="H901" s="425">
        <v>492200</v>
      </c>
      <c r="I901" s="424" t="s">
        <v>2475</v>
      </c>
      <c r="J901" s="424" t="s">
        <v>60</v>
      </c>
      <c r="K901" s="424" t="s">
        <v>50</v>
      </c>
      <c r="L901" s="426">
        <v>847001</v>
      </c>
      <c r="M901" s="424" t="s">
        <v>192</v>
      </c>
      <c r="N901" s="424">
        <v>300180</v>
      </c>
      <c r="O901" s="427" t="s">
        <v>2898</v>
      </c>
      <c r="P901" s="424">
        <v>1834890.5</v>
      </c>
      <c r="Q901" s="428">
        <v>1304891</v>
      </c>
      <c r="R901" s="424">
        <v>1304891</v>
      </c>
      <c r="S901" s="427" t="s">
        <v>422</v>
      </c>
      <c r="T901" s="424" t="s">
        <v>157</v>
      </c>
      <c r="U901" s="424">
        <v>865000</v>
      </c>
      <c r="V901" s="424">
        <v>1</v>
      </c>
      <c r="W901" s="427" t="s">
        <v>3437</v>
      </c>
      <c r="X901" s="428">
        <v>865000</v>
      </c>
      <c r="Y901" s="424" t="s">
        <v>210</v>
      </c>
      <c r="Z901" s="424" t="s">
        <v>197</v>
      </c>
      <c r="AA901" s="429">
        <v>778500</v>
      </c>
      <c r="AB901" s="429">
        <v>692000</v>
      </c>
      <c r="AC901" s="429">
        <v>605500</v>
      </c>
      <c r="AD901" s="427" t="s">
        <v>3441</v>
      </c>
      <c r="AE901" s="427" t="s">
        <v>3441</v>
      </c>
      <c r="AF901" s="427" t="s">
        <v>3441</v>
      </c>
      <c r="AG901" s="430">
        <v>0</v>
      </c>
      <c r="AH901" s="430">
        <v>865000</v>
      </c>
      <c r="AI901" s="430">
        <v>0</v>
      </c>
      <c r="AJ901" s="430">
        <v>0</v>
      </c>
      <c r="AK901" s="430">
        <v>0</v>
      </c>
      <c r="AL901" s="430">
        <v>0</v>
      </c>
      <c r="AM901" s="430">
        <v>0</v>
      </c>
      <c r="AN901" s="430">
        <v>0</v>
      </c>
      <c r="AO901" s="430">
        <v>0</v>
      </c>
      <c r="AP901" s="430">
        <v>0</v>
      </c>
      <c r="AQ901" s="430">
        <v>0</v>
      </c>
      <c r="AR901" s="430">
        <v>0</v>
      </c>
      <c r="AS901" s="430">
        <v>865000</v>
      </c>
      <c r="AT901" s="427" t="s">
        <v>816</v>
      </c>
      <c r="AU901" s="431"/>
    </row>
    <row r="902" spans="1:47" ht="16.5" hidden="1" customHeight="1" x14ac:dyDescent="0.35">
      <c r="A902" s="424" t="s">
        <v>161</v>
      </c>
      <c r="B902" s="424" t="s">
        <v>220</v>
      </c>
      <c r="C902" s="424" t="s">
        <v>1209</v>
      </c>
      <c r="D902" s="424">
        <v>847</v>
      </c>
      <c r="E902" s="424">
        <v>8471160</v>
      </c>
      <c r="F902" s="424" t="s">
        <v>3036</v>
      </c>
      <c r="G902" s="424">
        <v>1</v>
      </c>
      <c r="H902" s="425">
        <v>492316</v>
      </c>
      <c r="I902" s="424" t="s">
        <v>221</v>
      </c>
      <c r="J902" s="424" t="s">
        <v>60</v>
      </c>
      <c r="K902" s="424" t="s">
        <v>50</v>
      </c>
      <c r="L902" s="426">
        <v>847001</v>
      </c>
      <c r="M902" s="424" t="s">
        <v>192</v>
      </c>
      <c r="N902" s="424">
        <v>300180</v>
      </c>
      <c r="O902" s="427" t="s">
        <v>2899</v>
      </c>
      <c r="P902" s="424">
        <v>7403823.8399999999</v>
      </c>
      <c r="Q902" s="428">
        <v>15928069</v>
      </c>
      <c r="R902" s="424">
        <v>15928069</v>
      </c>
      <c r="S902" s="427" t="s">
        <v>969</v>
      </c>
      <c r="T902" s="424" t="s">
        <v>157</v>
      </c>
      <c r="U902" s="424">
        <v>81669712</v>
      </c>
      <c r="V902" s="424">
        <v>1</v>
      </c>
      <c r="W902" s="427" t="s">
        <v>3437</v>
      </c>
      <c r="X902" s="428">
        <v>81669712</v>
      </c>
      <c r="Y902" s="424" t="s">
        <v>210</v>
      </c>
      <c r="Z902" s="424" t="s">
        <v>197</v>
      </c>
      <c r="AA902" s="429">
        <v>73502740.799999997</v>
      </c>
      <c r="AB902" s="429">
        <v>65335769.600000001</v>
      </c>
      <c r="AC902" s="429">
        <v>57168798.399999999</v>
      </c>
      <c r="AD902" s="427" t="s">
        <v>3442</v>
      </c>
      <c r="AE902" s="427" t="s">
        <v>3442</v>
      </c>
      <c r="AF902" s="427" t="s">
        <v>3442</v>
      </c>
      <c r="AG902" s="430">
        <v>8166971.2000000002</v>
      </c>
      <c r="AH902" s="430">
        <v>16333942.4</v>
      </c>
      <c r="AI902" s="430">
        <v>24500913.599999998</v>
      </c>
      <c r="AJ902" s="430">
        <v>24500913.599999998</v>
      </c>
      <c r="AK902" s="430">
        <v>8166971.2000000002</v>
      </c>
      <c r="AL902" s="430">
        <v>0</v>
      </c>
      <c r="AM902" s="430">
        <v>0</v>
      </c>
      <c r="AN902" s="430">
        <v>0</v>
      </c>
      <c r="AO902" s="430">
        <v>0</v>
      </c>
      <c r="AP902" s="430">
        <v>0</v>
      </c>
      <c r="AQ902" s="430">
        <v>0</v>
      </c>
      <c r="AR902" s="430">
        <v>0</v>
      </c>
      <c r="AS902" s="430">
        <v>81669712</v>
      </c>
      <c r="AT902" s="427" t="s">
        <v>816</v>
      </c>
      <c r="AU902" s="431"/>
    </row>
    <row r="903" spans="1:47" ht="16.5" hidden="1" customHeight="1" x14ac:dyDescent="0.35">
      <c r="A903" s="424" t="s">
        <v>161</v>
      </c>
      <c r="B903" s="424" t="s">
        <v>58</v>
      </c>
      <c r="C903" s="424" t="s">
        <v>1209</v>
      </c>
      <c r="D903" s="424">
        <v>847</v>
      </c>
      <c r="E903" s="424">
        <v>8471160</v>
      </c>
      <c r="F903" s="424" t="s">
        <v>3036</v>
      </c>
      <c r="G903" s="424">
        <v>1</v>
      </c>
      <c r="H903" s="425">
        <v>422100</v>
      </c>
      <c r="I903" s="424" t="s">
        <v>1021</v>
      </c>
      <c r="J903" s="424" t="s">
        <v>60</v>
      </c>
      <c r="K903" s="424">
        <v>0</v>
      </c>
      <c r="L903" s="426">
        <v>847001</v>
      </c>
      <c r="M903" s="424" t="s">
        <v>61</v>
      </c>
      <c r="N903" s="424">
        <v>200179</v>
      </c>
      <c r="O903" s="427" t="s">
        <v>2996</v>
      </c>
      <c r="P903" s="424">
        <v>100000</v>
      </c>
      <c r="Q903" s="428" t="s">
        <v>46</v>
      </c>
      <c r="R903" s="424" t="s">
        <v>46</v>
      </c>
      <c r="S903" s="427"/>
      <c r="T903" s="424" t="s">
        <v>62</v>
      </c>
      <c r="U903" s="424"/>
      <c r="V903" s="424"/>
      <c r="W903" s="427"/>
      <c r="X903" s="428">
        <v>0</v>
      </c>
      <c r="Y903" s="424"/>
      <c r="Z903" s="424"/>
      <c r="AA903" s="429">
        <v>0</v>
      </c>
      <c r="AB903" s="429">
        <v>0</v>
      </c>
      <c r="AC903" s="429">
        <v>0</v>
      </c>
      <c r="AD903" s="427"/>
      <c r="AE903" s="427"/>
      <c r="AF903" s="427"/>
      <c r="AG903" s="430">
        <v>0</v>
      </c>
      <c r="AH903" s="430">
        <v>0</v>
      </c>
      <c r="AI903" s="430">
        <v>0</v>
      </c>
      <c r="AJ903" s="430">
        <v>0</v>
      </c>
      <c r="AK903" s="430">
        <v>0</v>
      </c>
      <c r="AL903" s="430">
        <v>0</v>
      </c>
      <c r="AM903" s="430">
        <v>0</v>
      </c>
      <c r="AN903" s="430">
        <v>0</v>
      </c>
      <c r="AO903" s="430">
        <v>0</v>
      </c>
      <c r="AP903" s="430">
        <v>0</v>
      </c>
      <c r="AQ903" s="430"/>
      <c r="AR903" s="430">
        <v>0</v>
      </c>
      <c r="AS903" s="430">
        <v>0</v>
      </c>
      <c r="AT903" s="427"/>
      <c r="AU903" s="431"/>
    </row>
    <row r="904" spans="1:47" ht="16.5" hidden="1" customHeight="1" x14ac:dyDescent="0.35">
      <c r="A904" s="424" t="s">
        <v>161</v>
      </c>
      <c r="B904" s="424" t="s">
        <v>58</v>
      </c>
      <c r="C904" s="424" t="s">
        <v>1209</v>
      </c>
      <c r="D904" s="424">
        <v>847</v>
      </c>
      <c r="E904" s="424">
        <v>8471160</v>
      </c>
      <c r="F904" s="424" t="s">
        <v>3036</v>
      </c>
      <c r="G904" s="424">
        <v>1</v>
      </c>
      <c r="H904" s="425">
        <v>430330</v>
      </c>
      <c r="I904" s="424" t="s">
        <v>2553</v>
      </c>
      <c r="J904" s="424" t="s">
        <v>60</v>
      </c>
      <c r="K904" s="424">
        <v>0</v>
      </c>
      <c r="L904" s="426">
        <v>847001</v>
      </c>
      <c r="M904" s="424" t="s">
        <v>61</v>
      </c>
      <c r="N904" s="424">
        <v>200179</v>
      </c>
      <c r="O904" s="427" t="s">
        <v>2943</v>
      </c>
      <c r="P904" s="424">
        <v>-3673.25</v>
      </c>
      <c r="Q904" s="428" t="s">
        <v>46</v>
      </c>
      <c r="R904" s="424" t="s">
        <v>46</v>
      </c>
      <c r="S904" s="427"/>
      <c r="T904" s="424" t="s">
        <v>62</v>
      </c>
      <c r="U904" s="424"/>
      <c r="V904" s="424"/>
      <c r="W904" s="427"/>
      <c r="X904" s="428">
        <v>0</v>
      </c>
      <c r="Y904" s="424"/>
      <c r="Z904" s="424"/>
      <c r="AA904" s="429">
        <v>0</v>
      </c>
      <c r="AB904" s="429">
        <v>0</v>
      </c>
      <c r="AC904" s="429">
        <v>0</v>
      </c>
      <c r="AD904" s="427"/>
      <c r="AE904" s="427"/>
      <c r="AF904" s="427"/>
      <c r="AG904" s="430">
        <v>0</v>
      </c>
      <c r="AH904" s="430">
        <v>0</v>
      </c>
      <c r="AI904" s="430">
        <v>0</v>
      </c>
      <c r="AJ904" s="430">
        <v>0</v>
      </c>
      <c r="AK904" s="430">
        <v>0</v>
      </c>
      <c r="AL904" s="430">
        <v>0</v>
      </c>
      <c r="AM904" s="430">
        <v>0</v>
      </c>
      <c r="AN904" s="430">
        <v>0</v>
      </c>
      <c r="AO904" s="430">
        <v>0</v>
      </c>
      <c r="AP904" s="430">
        <v>0</v>
      </c>
      <c r="AQ904" s="430"/>
      <c r="AR904" s="430">
        <v>0</v>
      </c>
      <c r="AS904" s="430">
        <v>0</v>
      </c>
      <c r="AT904" s="427"/>
      <c r="AU904" s="431"/>
    </row>
    <row r="905" spans="1:47" ht="16.5" hidden="1" customHeight="1" x14ac:dyDescent="0.35">
      <c r="A905" s="424"/>
      <c r="B905" s="424"/>
      <c r="C905" s="424"/>
      <c r="D905" s="424"/>
      <c r="E905" s="424"/>
      <c r="F905" s="424"/>
      <c r="G905" s="424"/>
      <c r="H905" s="425"/>
      <c r="I905" s="424"/>
      <c r="J905" s="424"/>
      <c r="K905" s="424"/>
      <c r="L905" s="426"/>
      <c r="M905" s="424"/>
      <c r="N905" s="424"/>
      <c r="O905" s="427"/>
      <c r="P905" s="424"/>
      <c r="Q905" s="428"/>
      <c r="R905" s="424"/>
      <c r="S905" s="427"/>
      <c r="T905" s="424"/>
      <c r="U905" s="424"/>
      <c r="V905" s="424"/>
      <c r="W905" s="427"/>
      <c r="X905" s="428"/>
      <c r="Y905" s="424"/>
      <c r="Z905" s="424"/>
      <c r="AA905" s="429"/>
      <c r="AB905" s="429"/>
      <c r="AC905" s="429"/>
      <c r="AD905" s="427"/>
      <c r="AE905" s="427"/>
      <c r="AF905" s="427"/>
      <c r="AG905" s="430"/>
      <c r="AH905" s="430"/>
      <c r="AI905" s="430"/>
      <c r="AJ905" s="430"/>
      <c r="AK905" s="430"/>
      <c r="AL905" s="430"/>
      <c r="AM905" s="430"/>
      <c r="AN905" s="430"/>
      <c r="AO905" s="430"/>
      <c r="AP905" s="430"/>
      <c r="AQ905" s="430"/>
      <c r="AR905" s="430"/>
      <c r="AS905" s="430"/>
      <c r="AT905" s="427"/>
      <c r="AU905" s="431"/>
    </row>
    <row r="906" spans="1:47" ht="16.5" hidden="1" customHeight="1" x14ac:dyDescent="0.35">
      <c r="A906" t="s">
        <v>1731</v>
      </c>
      <c r="B906" s="40">
        <v>297512275.14900005</v>
      </c>
      <c r="C906" t="s">
        <v>1735</v>
      </c>
      <c r="D906" t="s">
        <v>1736</v>
      </c>
      <c r="O906" s="40"/>
      <c r="X906" s="54">
        <f>SUM(X2:X905)</f>
        <v>1190175473.8857849</v>
      </c>
    </row>
    <row r="907" spans="1:47" ht="16.5" hidden="1" customHeight="1" x14ac:dyDescent="0.35">
      <c r="A907" t="s">
        <v>1732</v>
      </c>
      <c r="B907" s="54">
        <v>121604924.75</v>
      </c>
      <c r="C907" s="40">
        <v>30399864.75</v>
      </c>
      <c r="D907" s="54">
        <v>91205060</v>
      </c>
      <c r="E907" s="40"/>
      <c r="F907" s="40"/>
      <c r="X907" s="40"/>
    </row>
    <row r="908" spans="1:47" ht="16.5" hidden="1" customHeight="1" x14ac:dyDescent="0.35">
      <c r="A908" t="s">
        <v>1733</v>
      </c>
      <c r="B908" s="40">
        <v>366356144.17678487</v>
      </c>
      <c r="F908" s="40"/>
    </row>
    <row r="909" spans="1:47" ht="16.5" hidden="1" customHeight="1" x14ac:dyDescent="0.35">
      <c r="A909" t="s">
        <v>1734</v>
      </c>
      <c r="B909" s="54">
        <f>A917</f>
        <v>313645220.81</v>
      </c>
      <c r="F909" s="54"/>
    </row>
    <row r="910" spans="1:47" ht="16.5" hidden="1" customHeight="1" x14ac:dyDescent="0.35">
      <c r="B910" s="54">
        <f>SUM(B906:B909)</f>
        <v>1099118564.8857849</v>
      </c>
    </row>
    <row r="911" spans="1:47" ht="37" hidden="1" customHeight="1" x14ac:dyDescent="0.35">
      <c r="A911" t="s">
        <v>3443</v>
      </c>
      <c r="B911" s="54">
        <f>B910-X906</f>
        <v>-91056909</v>
      </c>
    </row>
    <row r="913" spans="1:1" ht="16.5" customHeight="1" x14ac:dyDescent="0.35">
      <c r="A913" s="40">
        <v>9904889</v>
      </c>
    </row>
    <row r="914" spans="1:1" ht="16.5" customHeight="1" x14ac:dyDescent="0.35">
      <c r="A914" s="40">
        <v>28405424</v>
      </c>
    </row>
    <row r="915" spans="1:1" ht="16.5" customHeight="1" x14ac:dyDescent="0.35">
      <c r="A915" s="40">
        <v>49032983</v>
      </c>
    </row>
    <row r="916" spans="1:1" ht="16.5" customHeight="1" x14ac:dyDescent="0.35">
      <c r="A916" s="40">
        <v>226301924.81</v>
      </c>
    </row>
    <row r="917" spans="1:1" ht="16.5" customHeight="1" x14ac:dyDescent="0.35">
      <c r="A917" s="54">
        <f>SUM(A913:A916)</f>
        <v>313645220.81</v>
      </c>
    </row>
  </sheetData>
  <autoFilter ref="A1:AW911">
    <filterColumn colId="4">
      <filters>
        <filter val="8470810"/>
      </filters>
    </filterColumn>
  </autoFilter>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'C:\Users\ku504\Desktop\2023-2025 department budget submission\[Budget Template 2023 to 2025 8470730- Human resources v0.3.xlsx]Strategic Objectives 2023'!#REF!</xm:f>
          </x14:formula1>
          <xm:sqref>AT326:AT334</xm:sqref>
        </x14:dataValidation>
        <x14:dataValidation type="list" errorStyle="information" showInputMessage="1" showErrorMessage="1">
          <x14:formula1>
            <xm:f>'C:\Users\ku459\AppData\Local\Microsoft\Windows\INetCache\Content.Outlook\1YIE8XY6\[2023 to 2025 8471010.KUST - Continuing Education Office  22 June updated.xlsx]Budget Drivers'!#REF!</xm:f>
          </x14:formula1>
          <xm:sqref>S425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563"/>
  <sheetViews>
    <sheetView zoomScaleNormal="100" workbookViewId="0">
      <selection activeCell="D6" sqref="D6"/>
    </sheetView>
  </sheetViews>
  <sheetFormatPr defaultRowHeight="14.5" x14ac:dyDescent="0.35"/>
  <cols>
    <col min="1" max="1" width="39.7265625" customWidth="1"/>
    <col min="2" max="2" width="16.453125" style="40" customWidth="1"/>
    <col min="3" max="3" width="17.6328125" style="40" customWidth="1"/>
    <col min="4" max="4" width="33.54296875" style="40" customWidth="1"/>
    <col min="5" max="9" width="18.08984375" style="40" customWidth="1"/>
    <col min="10" max="10" width="18.54296875" customWidth="1"/>
    <col min="11" max="14" width="18.54296875" style="40" customWidth="1"/>
    <col min="15" max="15" width="33.90625" customWidth="1"/>
    <col min="16" max="25" width="18.54296875" customWidth="1"/>
    <col min="26" max="26" width="18.08984375" bestFit="1" customWidth="1"/>
  </cols>
  <sheetData>
    <row r="3" spans="1:14" x14ac:dyDescent="0.35">
      <c r="A3" s="84" t="s">
        <v>14</v>
      </c>
      <c r="B3" t="s">
        <v>2821</v>
      </c>
      <c r="C3" t="s">
        <v>2789</v>
      </c>
      <c r="D3" t="s">
        <v>2822</v>
      </c>
      <c r="E3" t="s">
        <v>2788</v>
      </c>
      <c r="F3"/>
      <c r="G3"/>
      <c r="H3"/>
      <c r="I3"/>
      <c r="K3"/>
      <c r="L3"/>
      <c r="M3"/>
      <c r="N3"/>
    </row>
    <row r="4" spans="1:14" x14ac:dyDescent="0.35">
      <c r="A4" t="s">
        <v>2713</v>
      </c>
      <c r="B4" s="85">
        <v>0</v>
      </c>
      <c r="C4" s="85">
        <v>30000</v>
      </c>
      <c r="D4" s="85">
        <v>30000</v>
      </c>
      <c r="E4" s="85">
        <v>100000</v>
      </c>
      <c r="F4"/>
      <c r="G4"/>
      <c r="H4"/>
      <c r="I4"/>
      <c r="K4"/>
      <c r="L4"/>
      <c r="M4"/>
      <c r="N4"/>
    </row>
    <row r="5" spans="1:14" x14ac:dyDescent="0.35">
      <c r="A5" t="s">
        <v>2716</v>
      </c>
      <c r="B5" s="85">
        <v>0</v>
      </c>
      <c r="C5" s="85">
        <v>3684121</v>
      </c>
      <c r="D5" s="85">
        <v>3684121</v>
      </c>
      <c r="E5" s="85">
        <v>5000000</v>
      </c>
      <c r="F5"/>
      <c r="G5"/>
      <c r="H5"/>
      <c r="I5"/>
      <c r="K5"/>
      <c r="L5"/>
      <c r="M5"/>
      <c r="N5"/>
    </row>
    <row r="6" spans="1:14" x14ac:dyDescent="0.35">
      <c r="A6" t="s">
        <v>2717</v>
      </c>
      <c r="B6" s="85">
        <v>0</v>
      </c>
      <c r="C6" s="85">
        <v>200000</v>
      </c>
      <c r="D6" s="85">
        <v>200000</v>
      </c>
      <c r="E6" s="85">
        <v>200000</v>
      </c>
      <c r="F6"/>
      <c r="G6"/>
      <c r="H6"/>
      <c r="I6"/>
      <c r="K6"/>
      <c r="L6"/>
      <c r="M6"/>
      <c r="N6"/>
    </row>
    <row r="7" spans="1:14" x14ac:dyDescent="0.35">
      <c r="A7" t="s">
        <v>2719</v>
      </c>
      <c r="B7" s="85">
        <v>-188793.94</v>
      </c>
      <c r="C7" s="85">
        <v>300000</v>
      </c>
      <c r="D7" s="85">
        <v>300000</v>
      </c>
      <c r="E7" s="85">
        <v>300000</v>
      </c>
      <c r="F7"/>
      <c r="G7"/>
      <c r="H7"/>
      <c r="I7"/>
      <c r="K7"/>
      <c r="L7"/>
      <c r="M7"/>
      <c r="N7"/>
    </row>
    <row r="8" spans="1:14" x14ac:dyDescent="0.35">
      <c r="A8" t="s">
        <v>2721</v>
      </c>
      <c r="B8" s="85">
        <v>0</v>
      </c>
      <c r="C8" s="85">
        <v>300000</v>
      </c>
      <c r="D8" s="85">
        <v>300000</v>
      </c>
      <c r="E8" s="85">
        <v>300000</v>
      </c>
      <c r="F8"/>
      <c r="G8"/>
      <c r="H8"/>
      <c r="I8"/>
      <c r="K8"/>
      <c r="L8"/>
      <c r="M8"/>
      <c r="N8"/>
    </row>
    <row r="9" spans="1:14" x14ac:dyDescent="0.35">
      <c r="A9" t="s">
        <v>2723</v>
      </c>
      <c r="B9" s="85">
        <v>1327.5</v>
      </c>
      <c r="C9" s="85">
        <v>10000</v>
      </c>
      <c r="D9" s="85">
        <v>10000</v>
      </c>
      <c r="E9" s="85">
        <v>50000</v>
      </c>
      <c r="F9"/>
      <c r="G9"/>
      <c r="H9"/>
      <c r="I9"/>
      <c r="K9"/>
      <c r="L9"/>
      <c r="M9"/>
      <c r="N9"/>
    </row>
    <row r="10" spans="1:14" x14ac:dyDescent="0.35">
      <c r="A10" t="s">
        <v>2725</v>
      </c>
      <c r="B10" s="85">
        <v>15480.75</v>
      </c>
      <c r="C10" s="85">
        <v>1000000</v>
      </c>
      <c r="D10" s="85">
        <v>1000000</v>
      </c>
      <c r="E10" s="85">
        <v>1000000</v>
      </c>
      <c r="F10"/>
      <c r="G10"/>
      <c r="H10"/>
      <c r="I10"/>
      <c r="K10"/>
      <c r="L10"/>
      <c r="M10"/>
      <c r="N10"/>
    </row>
    <row r="11" spans="1:14" x14ac:dyDescent="0.35">
      <c r="A11" t="s">
        <v>2727</v>
      </c>
      <c r="B11" s="85">
        <v>0</v>
      </c>
      <c r="C11" s="85">
        <v>50000</v>
      </c>
      <c r="D11" s="85">
        <v>50000</v>
      </c>
      <c r="E11" s="85">
        <v>50000</v>
      </c>
      <c r="F11"/>
      <c r="G11"/>
      <c r="H11"/>
      <c r="I11"/>
      <c r="K11"/>
      <c r="L11"/>
      <c r="M11"/>
      <c r="N11"/>
    </row>
    <row r="12" spans="1:14" x14ac:dyDescent="0.35">
      <c r="A12" t="s">
        <v>2731</v>
      </c>
      <c r="B12" s="85">
        <v>0</v>
      </c>
      <c r="C12" s="85">
        <v>100000</v>
      </c>
      <c r="D12" s="85">
        <v>100000</v>
      </c>
      <c r="E12" s="85">
        <v>50000</v>
      </c>
      <c r="F12"/>
      <c r="G12"/>
      <c r="H12"/>
      <c r="I12"/>
      <c r="K12"/>
      <c r="L12"/>
      <c r="M12"/>
      <c r="N12"/>
    </row>
    <row r="13" spans="1:14" x14ac:dyDescent="0.35">
      <c r="A13" t="s">
        <v>2735</v>
      </c>
      <c r="B13" s="85">
        <v>383814</v>
      </c>
      <c r="C13" s="85">
        <v>520000</v>
      </c>
      <c r="D13" s="85">
        <v>500000</v>
      </c>
      <c r="E13" s="85">
        <v>520000</v>
      </c>
      <c r="F13"/>
      <c r="G13"/>
      <c r="H13"/>
      <c r="I13"/>
      <c r="K13"/>
      <c r="L13"/>
      <c r="M13"/>
      <c r="N13"/>
    </row>
    <row r="14" spans="1:14" x14ac:dyDescent="0.35">
      <c r="A14" t="s">
        <v>2741</v>
      </c>
      <c r="B14" s="85">
        <v>0</v>
      </c>
      <c r="C14" s="85">
        <v>56000</v>
      </c>
      <c r="D14" s="85">
        <v>55612</v>
      </c>
      <c r="E14" s="85">
        <v>24889</v>
      </c>
      <c r="F14"/>
      <c r="G14"/>
      <c r="H14"/>
      <c r="I14"/>
      <c r="K14"/>
      <c r="L14"/>
      <c r="M14"/>
      <c r="N14"/>
    </row>
    <row r="15" spans="1:14" x14ac:dyDescent="0.35">
      <c r="A15" t="s">
        <v>2745</v>
      </c>
      <c r="B15" s="85"/>
      <c r="C15" s="85"/>
      <c r="D15" s="85"/>
      <c r="E15" s="85">
        <v>150000</v>
      </c>
      <c r="F15"/>
      <c r="G15"/>
      <c r="H15"/>
      <c r="I15"/>
      <c r="K15"/>
      <c r="L15"/>
      <c r="M15"/>
      <c r="N15"/>
    </row>
    <row r="16" spans="1:14" x14ac:dyDescent="0.35">
      <c r="A16" t="s">
        <v>2755</v>
      </c>
      <c r="B16" s="85"/>
      <c r="C16" s="85"/>
      <c r="D16" s="85"/>
      <c r="E16" s="85">
        <v>150000</v>
      </c>
      <c r="F16"/>
      <c r="G16"/>
      <c r="H16"/>
      <c r="I16"/>
      <c r="K16"/>
      <c r="L16"/>
      <c r="M16"/>
      <c r="N16"/>
    </row>
    <row r="17" spans="1:14" x14ac:dyDescent="0.35">
      <c r="A17" t="s">
        <v>2750</v>
      </c>
      <c r="B17" s="85"/>
      <c r="C17" s="85"/>
      <c r="D17" s="85"/>
      <c r="E17" s="85">
        <v>15000</v>
      </c>
      <c r="F17"/>
      <c r="G17"/>
      <c r="H17"/>
      <c r="I17"/>
      <c r="K17"/>
      <c r="L17"/>
      <c r="M17"/>
      <c r="N17"/>
    </row>
    <row r="18" spans="1:14" x14ac:dyDescent="0.35">
      <c r="A18" t="s">
        <v>2756</v>
      </c>
      <c r="B18" s="85"/>
      <c r="C18" s="85"/>
      <c r="D18" s="85"/>
      <c r="E18" s="85">
        <v>150000</v>
      </c>
      <c r="F18"/>
      <c r="G18"/>
      <c r="H18"/>
      <c r="I18"/>
      <c r="K18"/>
      <c r="L18"/>
      <c r="M18"/>
      <c r="N18"/>
    </row>
    <row r="19" spans="1:14" x14ac:dyDescent="0.35">
      <c r="A19" t="s">
        <v>2279</v>
      </c>
      <c r="B19" s="85">
        <v>690716</v>
      </c>
      <c r="C19" s="85">
        <v>720000</v>
      </c>
      <c r="D19" s="85"/>
      <c r="E19" s="85">
        <v>540000</v>
      </c>
      <c r="F19"/>
      <c r="G19"/>
      <c r="H19"/>
      <c r="I19"/>
      <c r="K19"/>
      <c r="L19"/>
      <c r="M19"/>
      <c r="N19"/>
    </row>
    <row r="20" spans="1:14" x14ac:dyDescent="0.35">
      <c r="A20" t="s">
        <v>2283</v>
      </c>
      <c r="B20" s="85">
        <v>0</v>
      </c>
      <c r="C20" s="85">
        <v>735000</v>
      </c>
      <c r="D20" s="85"/>
      <c r="E20" s="85">
        <v>180000</v>
      </c>
      <c r="F20"/>
      <c r="G20"/>
      <c r="H20"/>
      <c r="I20"/>
      <c r="K20"/>
      <c r="L20"/>
      <c r="M20"/>
      <c r="N20"/>
    </row>
    <row r="21" spans="1:14" x14ac:dyDescent="0.35">
      <c r="A21" t="s">
        <v>2288</v>
      </c>
      <c r="B21" s="85">
        <v>1100</v>
      </c>
      <c r="C21" s="85">
        <v>180000</v>
      </c>
      <c r="D21" s="85"/>
      <c r="E21" s="85">
        <v>551250</v>
      </c>
      <c r="F21"/>
      <c r="G21"/>
      <c r="H21"/>
      <c r="I21"/>
      <c r="K21"/>
      <c r="L21"/>
      <c r="M21"/>
      <c r="N21"/>
    </row>
    <row r="22" spans="1:14" x14ac:dyDescent="0.35">
      <c r="A22" t="s">
        <v>2294</v>
      </c>
      <c r="B22" s="85">
        <v>1900037.97</v>
      </c>
      <c r="C22" s="85">
        <v>4578464</v>
      </c>
      <c r="D22" s="85">
        <v>4578464</v>
      </c>
      <c r="E22" s="85">
        <v>14983000</v>
      </c>
      <c r="F22"/>
      <c r="G22"/>
      <c r="H22"/>
      <c r="I22"/>
      <c r="K22"/>
      <c r="L22"/>
      <c r="M22"/>
      <c r="N22"/>
    </row>
    <row r="23" spans="1:14" x14ac:dyDescent="0.35">
      <c r="A23" t="s">
        <v>2314</v>
      </c>
      <c r="B23" s="85">
        <v>3922844.33</v>
      </c>
      <c r="C23" s="85">
        <v>5025358</v>
      </c>
      <c r="D23" s="85">
        <v>5025358</v>
      </c>
      <c r="E23" s="85">
        <v>6585400</v>
      </c>
      <c r="F23"/>
      <c r="G23"/>
      <c r="H23"/>
      <c r="I23"/>
      <c r="K23"/>
      <c r="L23"/>
      <c r="M23"/>
      <c r="N23"/>
    </row>
    <row r="24" spans="1:14" x14ac:dyDescent="0.35">
      <c r="A24" t="s">
        <v>2318</v>
      </c>
      <c r="B24" s="85">
        <v>0</v>
      </c>
      <c r="C24" s="85">
        <v>791955</v>
      </c>
      <c r="D24" s="85">
        <v>791955</v>
      </c>
      <c r="E24" s="85">
        <v>2150328</v>
      </c>
      <c r="F24"/>
      <c r="G24"/>
      <c r="H24"/>
      <c r="I24"/>
      <c r="K24"/>
      <c r="L24"/>
      <c r="M24"/>
      <c r="N24"/>
    </row>
    <row r="25" spans="1:14" x14ac:dyDescent="0.35">
      <c r="A25" t="s">
        <v>2321</v>
      </c>
      <c r="B25" s="85">
        <v>0</v>
      </c>
      <c r="C25" s="85">
        <v>400000</v>
      </c>
      <c r="D25" s="85">
        <v>400000</v>
      </c>
      <c r="E25" s="85">
        <v>400000</v>
      </c>
      <c r="F25"/>
      <c r="G25"/>
      <c r="H25"/>
      <c r="I25"/>
      <c r="K25"/>
      <c r="L25"/>
      <c r="M25"/>
      <c r="N25"/>
    </row>
    <row r="26" spans="1:14" x14ac:dyDescent="0.35">
      <c r="A26" t="s">
        <v>2324</v>
      </c>
      <c r="B26" s="85">
        <v>-820</v>
      </c>
      <c r="C26" s="85">
        <v>1157850</v>
      </c>
      <c r="D26" s="85">
        <v>1157850</v>
      </c>
      <c r="E26" s="85">
        <v>2500000</v>
      </c>
      <c r="F26"/>
      <c r="G26"/>
      <c r="H26"/>
      <c r="I26"/>
      <c r="K26"/>
      <c r="L26"/>
      <c r="M26"/>
      <c r="N26"/>
    </row>
    <row r="27" spans="1:14" x14ac:dyDescent="0.35">
      <c r="A27" t="s">
        <v>2330</v>
      </c>
      <c r="B27" s="85">
        <v>-7379</v>
      </c>
      <c r="C27" s="85">
        <v>750000</v>
      </c>
      <c r="D27" s="85">
        <v>750000</v>
      </c>
      <c r="E27" s="85">
        <v>750005</v>
      </c>
      <c r="F27"/>
      <c r="G27"/>
      <c r="H27"/>
      <c r="I27"/>
      <c r="K27"/>
      <c r="L27"/>
      <c r="M27"/>
      <c r="N27"/>
    </row>
    <row r="28" spans="1:14" x14ac:dyDescent="0.35">
      <c r="A28" t="s">
        <v>2341</v>
      </c>
      <c r="B28" s="85">
        <v>0</v>
      </c>
      <c r="C28" s="85">
        <v>998000</v>
      </c>
      <c r="D28" s="85">
        <v>998000</v>
      </c>
      <c r="E28" s="85">
        <v>998000</v>
      </c>
      <c r="F28"/>
      <c r="G28"/>
      <c r="H28"/>
      <c r="I28"/>
      <c r="K28"/>
      <c r="L28"/>
      <c r="M28"/>
      <c r="N28"/>
    </row>
    <row r="29" spans="1:14" x14ac:dyDescent="0.35">
      <c r="A29" t="s">
        <v>2346</v>
      </c>
      <c r="B29" s="85">
        <v>0</v>
      </c>
      <c r="C29" s="85">
        <v>10000</v>
      </c>
      <c r="D29" s="85">
        <v>10000</v>
      </c>
      <c r="E29" s="85">
        <v>10000</v>
      </c>
      <c r="F29"/>
      <c r="G29"/>
      <c r="H29"/>
      <c r="I29"/>
      <c r="K29"/>
      <c r="L29"/>
      <c r="M29"/>
      <c r="N29"/>
    </row>
    <row r="30" spans="1:14" x14ac:dyDescent="0.35">
      <c r="A30" t="s">
        <v>2349</v>
      </c>
      <c r="B30" s="85">
        <v>0</v>
      </c>
      <c r="C30" s="85">
        <v>135000</v>
      </c>
      <c r="D30" s="85">
        <v>135000</v>
      </c>
      <c r="E30" s="85">
        <v>135000</v>
      </c>
      <c r="F30"/>
      <c r="G30"/>
      <c r="H30"/>
      <c r="I30"/>
      <c r="K30"/>
      <c r="L30"/>
      <c r="M30"/>
      <c r="N30"/>
    </row>
    <row r="31" spans="1:14" x14ac:dyDescent="0.35">
      <c r="A31" t="s">
        <v>2352</v>
      </c>
      <c r="B31" s="85">
        <v>248690</v>
      </c>
      <c r="C31" s="85">
        <v>137589</v>
      </c>
      <c r="D31" s="85">
        <v>137589</v>
      </c>
      <c r="E31" s="85">
        <v>200000</v>
      </c>
      <c r="F31"/>
      <c r="G31"/>
      <c r="H31"/>
      <c r="I31"/>
      <c r="K31"/>
      <c r="L31"/>
      <c r="M31"/>
      <c r="N31"/>
    </row>
    <row r="32" spans="1:14" x14ac:dyDescent="0.35">
      <c r="A32" t="s">
        <v>2760</v>
      </c>
      <c r="B32" s="85">
        <v>1350</v>
      </c>
      <c r="C32" s="85">
        <v>21000</v>
      </c>
      <c r="D32" s="85">
        <v>21000</v>
      </c>
      <c r="E32" s="85">
        <v>320000</v>
      </c>
      <c r="F32"/>
      <c r="G32"/>
      <c r="H32"/>
      <c r="I32"/>
      <c r="K32"/>
      <c r="L32"/>
      <c r="M32"/>
      <c r="N32"/>
    </row>
    <row r="33" spans="1:14" x14ac:dyDescent="0.35">
      <c r="A33" t="s">
        <v>2768</v>
      </c>
      <c r="B33" s="85"/>
      <c r="C33" s="85"/>
      <c r="D33" s="85"/>
      <c r="E33" s="85">
        <v>25000</v>
      </c>
      <c r="F33"/>
      <c r="G33"/>
      <c r="H33"/>
      <c r="I33"/>
      <c r="K33"/>
      <c r="L33"/>
      <c r="M33"/>
      <c r="N33"/>
    </row>
    <row r="34" spans="1:14" x14ac:dyDescent="0.35">
      <c r="A34" t="s">
        <v>2771</v>
      </c>
      <c r="B34" s="85"/>
      <c r="C34" s="85"/>
      <c r="D34" s="85">
        <v>25000</v>
      </c>
      <c r="E34" s="85">
        <v>100000</v>
      </c>
      <c r="F34"/>
      <c r="G34"/>
      <c r="H34"/>
      <c r="I34"/>
      <c r="K34"/>
      <c r="L34"/>
      <c r="M34"/>
      <c r="N34"/>
    </row>
    <row r="35" spans="1:14" x14ac:dyDescent="0.35">
      <c r="A35" t="s">
        <v>2778</v>
      </c>
      <c r="B35" s="85"/>
      <c r="C35" s="85"/>
      <c r="D35" s="85">
        <v>2200000</v>
      </c>
      <c r="E35" s="85">
        <v>1200000</v>
      </c>
      <c r="F35"/>
      <c r="G35"/>
      <c r="H35"/>
      <c r="I35"/>
      <c r="K35"/>
      <c r="L35"/>
      <c r="M35"/>
      <c r="N35"/>
    </row>
    <row r="36" spans="1:14" x14ac:dyDescent="0.35">
      <c r="A36" t="s">
        <v>2776</v>
      </c>
      <c r="B36" s="85"/>
      <c r="C36" s="85"/>
      <c r="D36" s="85">
        <v>40000</v>
      </c>
      <c r="E36" s="85">
        <v>100000</v>
      </c>
      <c r="F36"/>
      <c r="G36"/>
      <c r="H36"/>
      <c r="I36"/>
      <c r="K36"/>
      <c r="L36"/>
      <c r="M36"/>
      <c r="N36"/>
    </row>
    <row r="37" spans="1:14" x14ac:dyDescent="0.35">
      <c r="A37" t="s">
        <v>2774</v>
      </c>
      <c r="B37" s="85"/>
      <c r="C37" s="85"/>
      <c r="D37" s="85">
        <v>100000</v>
      </c>
      <c r="E37" s="85">
        <v>100000</v>
      </c>
      <c r="F37"/>
      <c r="G37"/>
      <c r="H37"/>
      <c r="I37"/>
      <c r="K37"/>
      <c r="L37"/>
      <c r="M37"/>
      <c r="N37"/>
    </row>
    <row r="38" spans="1:14" x14ac:dyDescent="0.35">
      <c r="A38" t="s">
        <v>226</v>
      </c>
      <c r="B38" s="85">
        <v>0</v>
      </c>
      <c r="C38" s="85">
        <v>60000</v>
      </c>
      <c r="D38" s="85">
        <v>60000</v>
      </c>
      <c r="E38" s="85">
        <v>420500</v>
      </c>
      <c r="F38"/>
      <c r="G38"/>
      <c r="H38"/>
      <c r="I38"/>
      <c r="K38"/>
      <c r="L38"/>
      <c r="M38"/>
      <c r="N38"/>
    </row>
    <row r="39" spans="1:14" x14ac:dyDescent="0.35">
      <c r="A39" t="s">
        <v>232</v>
      </c>
      <c r="B39" s="85">
        <v>0</v>
      </c>
      <c r="C39" s="85">
        <v>392387</v>
      </c>
      <c r="D39" s="85">
        <v>392387</v>
      </c>
      <c r="E39" s="85">
        <v>3000000</v>
      </c>
      <c r="F39"/>
      <c r="G39"/>
      <c r="H39"/>
      <c r="I39"/>
      <c r="K39"/>
      <c r="L39"/>
      <c r="M39"/>
      <c r="N39"/>
    </row>
    <row r="40" spans="1:14" x14ac:dyDescent="0.35">
      <c r="A40" t="s">
        <v>240</v>
      </c>
      <c r="B40" s="85">
        <v>0</v>
      </c>
      <c r="C40" s="85">
        <v>375000</v>
      </c>
      <c r="D40" s="85">
        <v>375000</v>
      </c>
      <c r="E40" s="85">
        <v>3450000</v>
      </c>
      <c r="F40"/>
      <c r="G40"/>
      <c r="H40"/>
      <c r="I40"/>
      <c r="K40"/>
      <c r="L40"/>
      <c r="M40"/>
      <c r="N40"/>
    </row>
    <row r="41" spans="1:14" x14ac:dyDescent="0.35">
      <c r="A41" t="s">
        <v>248</v>
      </c>
      <c r="B41" s="85">
        <v>0</v>
      </c>
      <c r="C41" s="85">
        <v>10000</v>
      </c>
      <c r="D41" s="85">
        <v>10000</v>
      </c>
      <c r="E41" s="85">
        <v>100000</v>
      </c>
      <c r="F41"/>
      <c r="G41"/>
      <c r="H41"/>
      <c r="I41"/>
      <c r="K41"/>
      <c r="L41"/>
      <c r="M41"/>
      <c r="N41"/>
    </row>
    <row r="42" spans="1:14" x14ac:dyDescent="0.35">
      <c r="A42" t="s">
        <v>254</v>
      </c>
      <c r="B42" s="85">
        <v>0</v>
      </c>
      <c r="C42" s="85">
        <v>25000</v>
      </c>
      <c r="D42" s="85">
        <v>25000</v>
      </c>
      <c r="E42" s="85">
        <v>100000</v>
      </c>
      <c r="F42"/>
      <c r="G42"/>
      <c r="H42"/>
      <c r="I42"/>
      <c r="K42"/>
      <c r="L42"/>
      <c r="M42"/>
      <c r="N42"/>
    </row>
    <row r="43" spans="1:14" x14ac:dyDescent="0.35">
      <c r="A43" t="s">
        <v>260</v>
      </c>
      <c r="B43" s="85">
        <v>0</v>
      </c>
      <c r="C43" s="85">
        <v>694710</v>
      </c>
      <c r="D43" s="85">
        <v>694710</v>
      </c>
      <c r="E43" s="85">
        <v>3600012</v>
      </c>
      <c r="F43"/>
      <c r="G43"/>
      <c r="H43"/>
      <c r="I43"/>
      <c r="K43"/>
      <c r="L43"/>
      <c r="M43"/>
      <c r="N43"/>
    </row>
    <row r="44" spans="1:14" x14ac:dyDescent="0.35">
      <c r="A44" t="s">
        <v>267</v>
      </c>
      <c r="B44" s="85">
        <v>0</v>
      </c>
      <c r="C44" s="85">
        <v>12000</v>
      </c>
      <c r="D44" s="85">
        <v>12000</v>
      </c>
      <c r="E44" s="85">
        <v>128004</v>
      </c>
      <c r="F44"/>
      <c r="G44"/>
      <c r="H44"/>
      <c r="I44"/>
      <c r="K44"/>
      <c r="L44"/>
      <c r="M44"/>
      <c r="N44"/>
    </row>
    <row r="45" spans="1:14" x14ac:dyDescent="0.35">
      <c r="A45" t="s">
        <v>273</v>
      </c>
      <c r="B45" s="85">
        <v>0</v>
      </c>
      <c r="C45" s="85">
        <v>50000</v>
      </c>
      <c r="D45" s="85">
        <v>50000</v>
      </c>
      <c r="E45" s="85">
        <v>45000</v>
      </c>
      <c r="F45"/>
      <c r="G45"/>
      <c r="H45"/>
      <c r="I45"/>
      <c r="K45"/>
      <c r="L45"/>
      <c r="M45"/>
      <c r="N45"/>
    </row>
    <row r="46" spans="1:14" x14ac:dyDescent="0.35">
      <c r="A46" t="s">
        <v>277</v>
      </c>
      <c r="B46" s="85">
        <v>0</v>
      </c>
      <c r="C46" s="85">
        <v>165500</v>
      </c>
      <c r="D46" s="85">
        <v>165500</v>
      </c>
      <c r="E46" s="85">
        <v>320000</v>
      </c>
      <c r="F46"/>
      <c r="G46"/>
      <c r="H46"/>
      <c r="I46"/>
      <c r="K46"/>
      <c r="L46"/>
      <c r="M46"/>
      <c r="N46"/>
    </row>
    <row r="47" spans="1:14" x14ac:dyDescent="0.35">
      <c r="A47" t="s">
        <v>280</v>
      </c>
      <c r="B47" s="85">
        <v>0</v>
      </c>
      <c r="C47" s="85">
        <v>20000</v>
      </c>
      <c r="D47" s="85">
        <v>20000</v>
      </c>
      <c r="E47" s="85">
        <v>2000000</v>
      </c>
      <c r="F47"/>
      <c r="G47"/>
      <c r="H47"/>
      <c r="I47"/>
      <c r="K47"/>
      <c r="L47"/>
      <c r="M47"/>
      <c r="N47"/>
    </row>
    <row r="48" spans="1:14" x14ac:dyDescent="0.35">
      <c r="A48" t="s">
        <v>284</v>
      </c>
      <c r="B48" s="85">
        <v>0</v>
      </c>
      <c r="C48" s="85">
        <v>10000</v>
      </c>
      <c r="D48" s="85">
        <v>10000</v>
      </c>
      <c r="E48" s="85">
        <v>60000</v>
      </c>
      <c r="F48"/>
      <c r="G48"/>
      <c r="H48"/>
      <c r="I48"/>
      <c r="K48"/>
      <c r="L48"/>
      <c r="M48"/>
      <c r="N48"/>
    </row>
    <row r="49" spans="1:14" x14ac:dyDescent="0.35">
      <c r="A49" t="s">
        <v>1643</v>
      </c>
      <c r="B49" s="85"/>
      <c r="C49" s="85"/>
      <c r="D49" s="85"/>
      <c r="E49" s="85">
        <v>6000</v>
      </c>
      <c r="F49"/>
      <c r="G49"/>
      <c r="H49"/>
      <c r="I49"/>
      <c r="K49"/>
      <c r="L49"/>
      <c r="M49"/>
      <c r="N49"/>
    </row>
    <row r="50" spans="1:14" x14ac:dyDescent="0.35">
      <c r="A50" t="s">
        <v>287</v>
      </c>
      <c r="B50" s="85">
        <v>160720</v>
      </c>
      <c r="C50" s="85">
        <v>0</v>
      </c>
      <c r="D50" s="85"/>
      <c r="E50" s="85">
        <v>300000</v>
      </c>
      <c r="F50"/>
      <c r="G50"/>
      <c r="H50"/>
      <c r="I50"/>
      <c r="K50"/>
      <c r="L50"/>
      <c r="M50"/>
      <c r="N50"/>
    </row>
    <row r="51" spans="1:14" x14ac:dyDescent="0.35">
      <c r="A51" t="s">
        <v>1715</v>
      </c>
      <c r="B51" s="85">
        <v>56949.06</v>
      </c>
      <c r="C51" s="85">
        <v>1020620</v>
      </c>
      <c r="D51" s="85">
        <v>1020620</v>
      </c>
      <c r="E51" s="85">
        <v>2009826</v>
      </c>
      <c r="F51"/>
      <c r="G51"/>
      <c r="H51"/>
      <c r="I51"/>
      <c r="K51"/>
      <c r="L51"/>
      <c r="M51"/>
      <c r="N51"/>
    </row>
    <row r="52" spans="1:14" x14ac:dyDescent="0.35">
      <c r="A52" t="s">
        <v>1716</v>
      </c>
      <c r="B52" s="85">
        <v>0</v>
      </c>
      <c r="C52" s="85">
        <v>300000</v>
      </c>
      <c r="D52" s="85">
        <v>300000</v>
      </c>
      <c r="E52" s="85">
        <v>300000</v>
      </c>
      <c r="F52"/>
      <c r="G52"/>
      <c r="H52"/>
      <c r="I52"/>
      <c r="K52"/>
      <c r="L52"/>
      <c r="M52"/>
      <c r="N52"/>
    </row>
    <row r="53" spans="1:14" x14ac:dyDescent="0.35">
      <c r="A53" t="s">
        <v>1717</v>
      </c>
      <c r="B53" s="85">
        <v>3706.11</v>
      </c>
      <c r="C53" s="85">
        <v>34000</v>
      </c>
      <c r="D53" s="85">
        <v>34000</v>
      </c>
      <c r="E53" s="85">
        <v>38400</v>
      </c>
      <c r="F53"/>
      <c r="G53"/>
      <c r="H53"/>
      <c r="I53"/>
      <c r="K53"/>
      <c r="L53"/>
      <c r="M53"/>
      <c r="N53"/>
    </row>
    <row r="54" spans="1:14" x14ac:dyDescent="0.35">
      <c r="A54" t="s">
        <v>1718</v>
      </c>
      <c r="B54" s="85">
        <v>3326.03</v>
      </c>
      <c r="C54" s="85">
        <v>222000</v>
      </c>
      <c r="D54" s="85">
        <v>222000</v>
      </c>
      <c r="E54" s="85">
        <v>355200</v>
      </c>
      <c r="F54"/>
      <c r="G54"/>
      <c r="H54"/>
      <c r="I54"/>
      <c r="K54"/>
      <c r="L54"/>
      <c r="M54"/>
      <c r="N54"/>
    </row>
    <row r="55" spans="1:14" x14ac:dyDescent="0.35">
      <c r="A55" t="s">
        <v>1719</v>
      </c>
      <c r="B55" s="85">
        <v>960000</v>
      </c>
      <c r="C55" s="85">
        <v>240000</v>
      </c>
      <c r="D55" s="85">
        <v>240000</v>
      </c>
      <c r="E55" s="85">
        <v>0</v>
      </c>
      <c r="F55"/>
      <c r="G55"/>
      <c r="H55"/>
      <c r="I55"/>
      <c r="K55"/>
      <c r="L55"/>
      <c r="M55"/>
      <c r="N55"/>
    </row>
    <row r="56" spans="1:14" x14ac:dyDescent="0.35">
      <c r="A56" t="s">
        <v>1720</v>
      </c>
      <c r="B56" s="85">
        <v>0</v>
      </c>
      <c r="C56" s="85">
        <v>4816800</v>
      </c>
      <c r="D56" s="85">
        <v>4816800</v>
      </c>
      <c r="E56" s="85">
        <v>3700000</v>
      </c>
      <c r="F56"/>
      <c r="G56"/>
      <c r="H56"/>
      <c r="I56"/>
      <c r="K56"/>
      <c r="L56"/>
      <c r="M56"/>
      <c r="N56"/>
    </row>
    <row r="57" spans="1:14" x14ac:dyDescent="0.35">
      <c r="A57" t="s">
        <v>1721</v>
      </c>
      <c r="B57" s="85">
        <v>1286175</v>
      </c>
      <c r="C57" s="85">
        <v>1971263</v>
      </c>
      <c r="D57" s="85">
        <v>1971263</v>
      </c>
      <c r="E57" s="85">
        <v>3104115</v>
      </c>
      <c r="F57"/>
      <c r="G57"/>
      <c r="H57"/>
      <c r="I57"/>
      <c r="K57"/>
      <c r="L57"/>
      <c r="M57"/>
      <c r="N57"/>
    </row>
    <row r="58" spans="1:14" x14ac:dyDescent="0.35">
      <c r="A58" t="s">
        <v>1722</v>
      </c>
      <c r="B58" s="85">
        <v>84701166.200000003</v>
      </c>
      <c r="C58" s="85">
        <v>110824684</v>
      </c>
      <c r="D58" s="85">
        <v>110824684</v>
      </c>
      <c r="E58" s="85">
        <v>203750000</v>
      </c>
      <c r="F58"/>
      <c r="G58"/>
      <c r="H58"/>
      <c r="I58"/>
      <c r="K58"/>
      <c r="L58"/>
      <c r="M58"/>
      <c r="N58"/>
    </row>
    <row r="59" spans="1:14" x14ac:dyDescent="0.35">
      <c r="A59" t="s">
        <v>1723</v>
      </c>
      <c r="B59" s="85">
        <v>0</v>
      </c>
      <c r="C59" s="85">
        <v>150000</v>
      </c>
      <c r="D59" s="85">
        <v>100000</v>
      </c>
      <c r="E59" s="85">
        <v>180000</v>
      </c>
      <c r="F59"/>
      <c r="G59"/>
      <c r="H59"/>
      <c r="I59"/>
      <c r="K59"/>
      <c r="L59"/>
      <c r="M59"/>
      <c r="N59"/>
    </row>
    <row r="60" spans="1:14" x14ac:dyDescent="0.35">
      <c r="A60" t="s">
        <v>1724</v>
      </c>
      <c r="B60" s="85">
        <v>0</v>
      </c>
      <c r="C60" s="85">
        <v>150000</v>
      </c>
      <c r="D60" s="85">
        <v>150000</v>
      </c>
      <c r="E60" s="85">
        <v>180000</v>
      </c>
      <c r="F60"/>
      <c r="G60"/>
      <c r="H60"/>
      <c r="I60"/>
      <c r="K60"/>
      <c r="L60"/>
      <c r="M60"/>
      <c r="N60"/>
    </row>
    <row r="61" spans="1:14" x14ac:dyDescent="0.35">
      <c r="A61" t="s">
        <v>1725</v>
      </c>
      <c r="B61" s="85">
        <v>0</v>
      </c>
      <c r="C61" s="85">
        <v>45648</v>
      </c>
      <c r="D61" s="85">
        <v>30000</v>
      </c>
      <c r="E61" s="85">
        <v>60078</v>
      </c>
      <c r="F61"/>
      <c r="G61"/>
      <c r="H61"/>
      <c r="I61"/>
      <c r="K61"/>
      <c r="L61"/>
      <c r="M61"/>
      <c r="N61"/>
    </row>
    <row r="62" spans="1:14" x14ac:dyDescent="0.35">
      <c r="A62" t="s">
        <v>1726</v>
      </c>
      <c r="B62" s="85">
        <v>0</v>
      </c>
      <c r="C62" s="85">
        <v>10000</v>
      </c>
      <c r="D62" s="85">
        <v>10000</v>
      </c>
      <c r="E62" s="85">
        <v>10000</v>
      </c>
      <c r="F62"/>
      <c r="G62"/>
      <c r="H62"/>
      <c r="I62"/>
      <c r="K62"/>
      <c r="L62"/>
      <c r="M62"/>
      <c r="N62"/>
    </row>
    <row r="63" spans="1:14" x14ac:dyDescent="0.35">
      <c r="A63" t="s">
        <v>1727</v>
      </c>
      <c r="B63" s="85">
        <v>0</v>
      </c>
      <c r="C63" s="85">
        <v>97000</v>
      </c>
      <c r="D63" s="85">
        <v>97000</v>
      </c>
      <c r="E63" s="85">
        <v>95800</v>
      </c>
      <c r="F63"/>
      <c r="G63"/>
      <c r="H63"/>
      <c r="I63"/>
      <c r="K63"/>
      <c r="L63"/>
      <c r="M63"/>
      <c r="N63"/>
    </row>
    <row r="64" spans="1:14" x14ac:dyDescent="0.35">
      <c r="A64" t="s">
        <v>1728</v>
      </c>
      <c r="B64" s="85">
        <v>0</v>
      </c>
      <c r="C64" s="85">
        <v>80000</v>
      </c>
      <c r="D64" s="85">
        <v>40000</v>
      </c>
      <c r="E64" s="85">
        <v>71221</v>
      </c>
      <c r="F64"/>
      <c r="G64"/>
      <c r="H64"/>
      <c r="I64"/>
      <c r="K64"/>
      <c r="L64"/>
      <c r="M64"/>
      <c r="N64"/>
    </row>
    <row r="65" spans="1:14" x14ac:dyDescent="0.35">
      <c r="A65" t="s">
        <v>1729</v>
      </c>
      <c r="B65" s="85">
        <v>0</v>
      </c>
      <c r="C65" s="85">
        <v>5000</v>
      </c>
      <c r="D65" s="85">
        <v>5000</v>
      </c>
      <c r="E65" s="85">
        <v>5000</v>
      </c>
      <c r="F65"/>
      <c r="G65"/>
      <c r="H65"/>
      <c r="I65"/>
      <c r="K65"/>
      <c r="L65"/>
      <c r="M65"/>
      <c r="N65"/>
    </row>
    <row r="66" spans="1:14" x14ac:dyDescent="0.35">
      <c r="A66" t="s">
        <v>1730</v>
      </c>
      <c r="B66" s="85">
        <v>0</v>
      </c>
      <c r="C66" s="85">
        <v>1380709</v>
      </c>
      <c r="D66" s="85">
        <v>1380709</v>
      </c>
      <c r="E66" s="85">
        <v>1561500</v>
      </c>
      <c r="F66"/>
      <c r="G66"/>
      <c r="H66"/>
      <c r="I66"/>
      <c r="K66"/>
      <c r="L66"/>
      <c r="M66"/>
      <c r="N66"/>
    </row>
    <row r="67" spans="1:14" x14ac:dyDescent="0.35">
      <c r="A67" t="s">
        <v>599</v>
      </c>
      <c r="B67" s="85">
        <v>0</v>
      </c>
      <c r="C67" s="85">
        <v>100000</v>
      </c>
      <c r="D67" s="85">
        <v>100000</v>
      </c>
      <c r="E67" s="85">
        <v>100000</v>
      </c>
      <c r="F67"/>
      <c r="G67"/>
      <c r="H67"/>
      <c r="I67"/>
      <c r="K67"/>
      <c r="L67"/>
      <c r="M67"/>
      <c r="N67"/>
    </row>
    <row r="68" spans="1:14" x14ac:dyDescent="0.35">
      <c r="A68" t="s">
        <v>605</v>
      </c>
      <c r="B68" s="85">
        <v>4591.25</v>
      </c>
      <c r="C68" s="85">
        <v>10000</v>
      </c>
      <c r="D68" s="85">
        <v>10000</v>
      </c>
      <c r="E68" s="85">
        <v>10000</v>
      </c>
      <c r="F68"/>
      <c r="G68"/>
      <c r="H68"/>
      <c r="I68"/>
      <c r="K68"/>
      <c r="L68"/>
      <c r="M68"/>
      <c r="N68"/>
    </row>
    <row r="69" spans="1:14" x14ac:dyDescent="0.35">
      <c r="A69" t="s">
        <v>611</v>
      </c>
      <c r="B69" s="85">
        <v>123488.98</v>
      </c>
      <c r="C69" s="85">
        <v>506004</v>
      </c>
      <c r="D69" s="85">
        <v>500000</v>
      </c>
      <c r="E69" s="85">
        <v>300000</v>
      </c>
      <c r="F69"/>
      <c r="G69"/>
      <c r="H69"/>
      <c r="I69"/>
      <c r="K69"/>
      <c r="L69"/>
      <c r="M69"/>
      <c r="N69"/>
    </row>
    <row r="70" spans="1:14" x14ac:dyDescent="0.35">
      <c r="A70" t="s">
        <v>614</v>
      </c>
      <c r="B70" s="85">
        <v>-252</v>
      </c>
      <c r="C70" s="85">
        <v>20000</v>
      </c>
      <c r="D70" s="85">
        <v>20000</v>
      </c>
      <c r="E70" s="85">
        <v>20000</v>
      </c>
      <c r="F70"/>
      <c r="G70"/>
      <c r="H70"/>
      <c r="I70"/>
      <c r="K70"/>
      <c r="L70"/>
      <c r="M70"/>
      <c r="N70"/>
    </row>
    <row r="71" spans="1:14" x14ac:dyDescent="0.35">
      <c r="A71" t="s">
        <v>621</v>
      </c>
      <c r="B71" s="85">
        <v>-3415.89</v>
      </c>
      <c r="C71" s="85">
        <v>0</v>
      </c>
      <c r="D71" s="85"/>
      <c r="E71" s="85">
        <v>40000</v>
      </c>
      <c r="F71"/>
      <c r="G71"/>
      <c r="H71"/>
      <c r="I71"/>
      <c r="K71"/>
      <c r="L71"/>
      <c r="M71"/>
      <c r="N71"/>
    </row>
    <row r="72" spans="1:14" x14ac:dyDescent="0.35">
      <c r="A72" t="s">
        <v>627</v>
      </c>
      <c r="B72" s="85">
        <v>55389.96</v>
      </c>
      <c r="C72" s="85">
        <v>100000</v>
      </c>
      <c r="D72" s="85">
        <v>100000</v>
      </c>
      <c r="E72" s="85">
        <v>120000</v>
      </c>
      <c r="F72"/>
      <c r="G72"/>
      <c r="H72"/>
      <c r="I72"/>
      <c r="K72"/>
      <c r="L72"/>
      <c r="M72"/>
      <c r="N72"/>
    </row>
    <row r="73" spans="1:14" x14ac:dyDescent="0.35">
      <c r="A73" t="s">
        <v>630</v>
      </c>
      <c r="B73" s="85">
        <v>22014.5</v>
      </c>
      <c r="C73" s="85">
        <v>614499</v>
      </c>
      <c r="D73" s="85">
        <v>600000</v>
      </c>
      <c r="E73" s="85">
        <v>1000000</v>
      </c>
      <c r="F73"/>
      <c r="G73"/>
      <c r="H73"/>
      <c r="I73"/>
      <c r="K73"/>
      <c r="L73"/>
      <c r="M73"/>
      <c r="N73"/>
    </row>
    <row r="74" spans="1:14" x14ac:dyDescent="0.35">
      <c r="A74" t="s">
        <v>633</v>
      </c>
      <c r="B74" s="85">
        <v>-131</v>
      </c>
      <c r="C74" s="85">
        <v>18000</v>
      </c>
      <c r="D74" s="85">
        <v>16000</v>
      </c>
      <c r="E74" s="85">
        <v>30000</v>
      </c>
      <c r="F74"/>
      <c r="G74"/>
      <c r="H74"/>
      <c r="I74"/>
      <c r="K74"/>
      <c r="L74"/>
      <c r="M74"/>
      <c r="N74"/>
    </row>
    <row r="75" spans="1:14" x14ac:dyDescent="0.35">
      <c r="A75" t="s">
        <v>637</v>
      </c>
      <c r="B75" s="85">
        <v>62198.28</v>
      </c>
      <c r="C75" s="85">
        <v>100000</v>
      </c>
      <c r="D75" s="85">
        <v>90000</v>
      </c>
      <c r="E75" s="85">
        <v>120000</v>
      </c>
      <c r="F75"/>
      <c r="G75"/>
      <c r="H75"/>
      <c r="I75"/>
      <c r="K75"/>
      <c r="L75"/>
      <c r="M75"/>
      <c r="N75"/>
    </row>
    <row r="76" spans="1:14" x14ac:dyDescent="0.35">
      <c r="A76" t="s">
        <v>640</v>
      </c>
      <c r="B76" s="85">
        <v>0</v>
      </c>
      <c r="C76" s="85">
        <v>35000</v>
      </c>
      <c r="D76" s="85">
        <v>30000</v>
      </c>
      <c r="E76" s="85">
        <v>90000</v>
      </c>
      <c r="F76"/>
      <c r="G76"/>
      <c r="H76"/>
      <c r="I76"/>
      <c r="K76"/>
      <c r="L76"/>
      <c r="M76"/>
      <c r="N76"/>
    </row>
    <row r="77" spans="1:14" x14ac:dyDescent="0.35">
      <c r="A77" t="s">
        <v>644</v>
      </c>
      <c r="B77" s="85">
        <v>0</v>
      </c>
      <c r="C77" s="85">
        <v>45000</v>
      </c>
      <c r="D77" s="85">
        <v>10000</v>
      </c>
      <c r="E77" s="85">
        <v>30000</v>
      </c>
      <c r="F77"/>
      <c r="G77"/>
      <c r="H77"/>
      <c r="I77"/>
      <c r="K77"/>
      <c r="L77"/>
      <c r="M77"/>
      <c r="N77"/>
    </row>
    <row r="78" spans="1:14" x14ac:dyDescent="0.35">
      <c r="A78" t="s">
        <v>648</v>
      </c>
      <c r="B78" s="85">
        <v>201150.01</v>
      </c>
      <c r="C78" s="85">
        <v>45292</v>
      </c>
      <c r="D78" s="85">
        <v>45000</v>
      </c>
      <c r="E78" s="85">
        <v>220000</v>
      </c>
      <c r="F78"/>
      <c r="G78"/>
      <c r="H78"/>
      <c r="I78"/>
      <c r="K78"/>
      <c r="L78"/>
      <c r="M78"/>
      <c r="N78"/>
    </row>
    <row r="79" spans="1:14" x14ac:dyDescent="0.35">
      <c r="A79" t="s">
        <v>652</v>
      </c>
      <c r="B79" s="85">
        <v>5000</v>
      </c>
      <c r="C79" s="85">
        <v>0</v>
      </c>
      <c r="D79" s="85"/>
      <c r="E79" s="85">
        <v>0</v>
      </c>
      <c r="F79"/>
      <c r="G79"/>
      <c r="H79"/>
      <c r="I79"/>
      <c r="K79"/>
      <c r="L79"/>
      <c r="M79"/>
      <c r="N79"/>
    </row>
    <row r="80" spans="1:14" x14ac:dyDescent="0.35">
      <c r="A80" t="s">
        <v>656</v>
      </c>
      <c r="B80" s="85">
        <v>-13614</v>
      </c>
      <c r="C80" s="85">
        <v>0</v>
      </c>
      <c r="D80" s="85"/>
      <c r="E80" s="85">
        <v>0</v>
      </c>
      <c r="F80"/>
      <c r="G80"/>
      <c r="H80"/>
      <c r="I80"/>
      <c r="K80"/>
      <c r="L80"/>
      <c r="M80"/>
      <c r="N80"/>
    </row>
    <row r="81" spans="1:14" x14ac:dyDescent="0.35">
      <c r="A81" t="s">
        <v>658</v>
      </c>
      <c r="B81" s="85">
        <v>0</v>
      </c>
      <c r="C81" s="85">
        <v>260000</v>
      </c>
      <c r="D81" s="85">
        <v>260000</v>
      </c>
      <c r="E81" s="85">
        <v>270000</v>
      </c>
      <c r="F81"/>
      <c r="G81"/>
      <c r="H81"/>
      <c r="I81"/>
      <c r="K81"/>
      <c r="L81"/>
      <c r="M81"/>
      <c r="N81"/>
    </row>
    <row r="82" spans="1:14" x14ac:dyDescent="0.35">
      <c r="A82" t="s">
        <v>662</v>
      </c>
      <c r="B82" s="85">
        <v>35691.550000000003</v>
      </c>
      <c r="C82" s="85">
        <v>100000</v>
      </c>
      <c r="D82" s="85">
        <v>100000</v>
      </c>
      <c r="E82" s="85">
        <v>120000</v>
      </c>
      <c r="F82"/>
      <c r="G82"/>
      <c r="H82"/>
      <c r="I82"/>
      <c r="K82"/>
      <c r="L82"/>
      <c r="M82"/>
      <c r="N82"/>
    </row>
    <row r="83" spans="1:14" x14ac:dyDescent="0.35">
      <c r="A83" t="s">
        <v>664</v>
      </c>
      <c r="B83" s="85">
        <v>0</v>
      </c>
      <c r="C83" s="85">
        <v>25000</v>
      </c>
      <c r="D83" s="85">
        <v>20000</v>
      </c>
      <c r="E83" s="85">
        <v>40000</v>
      </c>
      <c r="F83"/>
      <c r="G83"/>
      <c r="H83"/>
      <c r="I83"/>
      <c r="K83"/>
      <c r="L83"/>
      <c r="M83"/>
      <c r="N83"/>
    </row>
    <row r="84" spans="1:14" x14ac:dyDescent="0.35">
      <c r="A84" t="s">
        <v>337</v>
      </c>
      <c r="B84" s="85">
        <v>0</v>
      </c>
      <c r="C84" s="85">
        <v>20000</v>
      </c>
      <c r="D84" s="85">
        <v>20000</v>
      </c>
      <c r="E84" s="85">
        <v>20000</v>
      </c>
      <c r="F84"/>
      <c r="G84"/>
      <c r="H84"/>
      <c r="I84"/>
      <c r="K84"/>
      <c r="L84"/>
      <c r="M84"/>
      <c r="N84"/>
    </row>
    <row r="85" spans="1:14" x14ac:dyDescent="0.35">
      <c r="A85" t="s">
        <v>343</v>
      </c>
      <c r="B85" s="85">
        <v>0</v>
      </c>
      <c r="C85" s="85">
        <v>15000</v>
      </c>
      <c r="D85" s="85">
        <v>15000</v>
      </c>
      <c r="E85" s="85">
        <v>30000</v>
      </c>
      <c r="F85"/>
      <c r="G85"/>
      <c r="H85"/>
      <c r="I85"/>
      <c r="K85"/>
      <c r="L85"/>
      <c r="M85"/>
      <c r="N85"/>
    </row>
    <row r="86" spans="1:14" x14ac:dyDescent="0.35">
      <c r="A86" t="s">
        <v>353</v>
      </c>
      <c r="B86" s="85">
        <v>0</v>
      </c>
      <c r="C86" s="85">
        <v>150000</v>
      </c>
      <c r="D86" s="85">
        <v>150000</v>
      </c>
      <c r="E86" s="85">
        <v>150000</v>
      </c>
      <c r="F86"/>
      <c r="G86"/>
      <c r="H86"/>
      <c r="I86"/>
      <c r="K86"/>
      <c r="L86"/>
      <c r="M86"/>
      <c r="N86"/>
    </row>
    <row r="87" spans="1:14" x14ac:dyDescent="0.35">
      <c r="A87" t="s">
        <v>360</v>
      </c>
      <c r="B87" s="85">
        <v>113543.11</v>
      </c>
      <c r="C87" s="85">
        <v>350000</v>
      </c>
      <c r="D87" s="85">
        <v>350000</v>
      </c>
      <c r="E87" s="85">
        <v>360000</v>
      </c>
      <c r="F87"/>
      <c r="G87"/>
      <c r="H87"/>
      <c r="I87"/>
      <c r="K87"/>
      <c r="L87"/>
      <c r="M87"/>
      <c r="N87"/>
    </row>
    <row r="88" spans="1:14" x14ac:dyDescent="0.35">
      <c r="A88" t="s">
        <v>368</v>
      </c>
      <c r="B88" s="85">
        <v>0</v>
      </c>
      <c r="C88" s="85">
        <v>210000</v>
      </c>
      <c r="D88" s="85">
        <v>210000</v>
      </c>
      <c r="E88" s="85">
        <v>340000</v>
      </c>
      <c r="F88"/>
      <c r="G88"/>
      <c r="H88"/>
      <c r="I88"/>
      <c r="K88"/>
      <c r="L88"/>
      <c r="M88"/>
      <c r="N88"/>
    </row>
    <row r="89" spans="1:14" x14ac:dyDescent="0.35">
      <c r="A89" t="s">
        <v>376</v>
      </c>
      <c r="B89" s="85">
        <v>0</v>
      </c>
      <c r="C89" s="85">
        <v>8500</v>
      </c>
      <c r="D89" s="85">
        <v>8500</v>
      </c>
      <c r="E89" s="85">
        <v>8500</v>
      </c>
      <c r="F89"/>
      <c r="G89"/>
      <c r="H89"/>
      <c r="I89"/>
      <c r="K89"/>
      <c r="L89"/>
      <c r="M89"/>
      <c r="N89"/>
    </row>
    <row r="90" spans="1:14" x14ac:dyDescent="0.35">
      <c r="A90" t="s">
        <v>381</v>
      </c>
      <c r="B90" s="85">
        <v>0</v>
      </c>
      <c r="C90" s="85">
        <v>9114</v>
      </c>
      <c r="D90" s="85">
        <v>9114</v>
      </c>
      <c r="E90" s="85">
        <v>10000</v>
      </c>
      <c r="F90"/>
      <c r="G90"/>
      <c r="H90"/>
      <c r="I90"/>
      <c r="K90"/>
      <c r="L90"/>
      <c r="M90"/>
      <c r="N90"/>
    </row>
    <row r="91" spans="1:14" x14ac:dyDescent="0.35">
      <c r="A91" t="s">
        <v>386</v>
      </c>
      <c r="B91" s="85">
        <v>0</v>
      </c>
      <c r="C91" s="85">
        <v>40000</v>
      </c>
      <c r="D91" s="85">
        <v>40000</v>
      </c>
      <c r="E91" s="85">
        <v>40000</v>
      </c>
      <c r="F91"/>
      <c r="G91"/>
      <c r="H91"/>
      <c r="I91"/>
      <c r="K91"/>
      <c r="L91"/>
      <c r="M91"/>
      <c r="N91"/>
    </row>
    <row r="92" spans="1:14" x14ac:dyDescent="0.35">
      <c r="A92" t="s">
        <v>394</v>
      </c>
      <c r="B92" s="85">
        <v>0</v>
      </c>
      <c r="C92" s="85">
        <v>80000</v>
      </c>
      <c r="D92" s="85">
        <v>80000</v>
      </c>
      <c r="E92" s="85">
        <v>85000</v>
      </c>
      <c r="F92"/>
      <c r="G92"/>
      <c r="H92"/>
      <c r="I92"/>
      <c r="K92"/>
      <c r="L92"/>
      <c r="M92"/>
      <c r="N92"/>
    </row>
    <row r="93" spans="1:14" x14ac:dyDescent="0.35">
      <c r="A93" t="s">
        <v>400</v>
      </c>
      <c r="B93" s="85">
        <v>48731.55</v>
      </c>
      <c r="C93" s="85">
        <v>182000</v>
      </c>
      <c r="D93" s="85">
        <v>182000</v>
      </c>
      <c r="E93" s="85">
        <v>221000</v>
      </c>
      <c r="F93"/>
      <c r="G93"/>
      <c r="H93"/>
      <c r="I93"/>
      <c r="K93"/>
      <c r="L93"/>
      <c r="M93"/>
      <c r="N93"/>
    </row>
    <row r="94" spans="1:14" x14ac:dyDescent="0.35">
      <c r="A94" t="s">
        <v>406</v>
      </c>
      <c r="B94" s="85">
        <v>52948.07</v>
      </c>
      <c r="C94" s="85">
        <v>80000</v>
      </c>
      <c r="D94" s="85">
        <v>80000</v>
      </c>
      <c r="E94" s="85">
        <v>133008</v>
      </c>
      <c r="F94"/>
      <c r="G94"/>
      <c r="H94"/>
      <c r="I94"/>
      <c r="K94"/>
      <c r="L94"/>
      <c r="M94"/>
      <c r="N94"/>
    </row>
    <row r="95" spans="1:14" x14ac:dyDescent="0.35">
      <c r="A95" t="s">
        <v>410</v>
      </c>
      <c r="B95" s="85">
        <v>0</v>
      </c>
      <c r="C95" s="85">
        <v>4000</v>
      </c>
      <c r="D95" s="85">
        <v>4000</v>
      </c>
      <c r="E95" s="85">
        <v>5100</v>
      </c>
      <c r="F95"/>
      <c r="G95"/>
      <c r="H95"/>
      <c r="I95"/>
      <c r="K95"/>
      <c r="L95"/>
      <c r="M95"/>
      <c r="N95"/>
    </row>
    <row r="96" spans="1:14" x14ac:dyDescent="0.35">
      <c r="A96" t="s">
        <v>417</v>
      </c>
      <c r="B96" s="85">
        <v>505.12</v>
      </c>
      <c r="C96" s="85">
        <v>5000</v>
      </c>
      <c r="D96" s="85">
        <v>5000</v>
      </c>
      <c r="E96" s="85">
        <v>5950</v>
      </c>
      <c r="F96"/>
      <c r="G96"/>
      <c r="H96"/>
      <c r="I96"/>
      <c r="K96"/>
      <c r="L96"/>
      <c r="M96"/>
      <c r="N96"/>
    </row>
    <row r="97" spans="1:14" x14ac:dyDescent="0.35">
      <c r="A97" t="s">
        <v>421</v>
      </c>
      <c r="B97" s="85">
        <v>658396</v>
      </c>
      <c r="C97" s="85">
        <v>1174460</v>
      </c>
      <c r="D97" s="85">
        <v>1174460</v>
      </c>
      <c r="E97" s="85">
        <v>2526100</v>
      </c>
      <c r="F97"/>
      <c r="G97"/>
      <c r="H97"/>
      <c r="I97"/>
      <c r="K97"/>
      <c r="L97"/>
      <c r="M97"/>
      <c r="N97"/>
    </row>
    <row r="98" spans="1:14" x14ac:dyDescent="0.35">
      <c r="A98" t="s">
        <v>427</v>
      </c>
      <c r="B98" s="85">
        <v>0</v>
      </c>
      <c r="C98" s="85">
        <v>1000</v>
      </c>
      <c r="D98" s="85">
        <v>3000</v>
      </c>
      <c r="E98" s="85">
        <v>7000</v>
      </c>
      <c r="F98"/>
      <c r="G98"/>
      <c r="H98"/>
      <c r="I98"/>
      <c r="K98"/>
      <c r="L98"/>
      <c r="M98"/>
      <c r="N98"/>
    </row>
    <row r="99" spans="1:14" x14ac:dyDescent="0.35">
      <c r="A99" t="s">
        <v>432</v>
      </c>
      <c r="B99" s="85">
        <v>100</v>
      </c>
      <c r="C99" s="85">
        <v>4000</v>
      </c>
      <c r="D99" s="85">
        <v>42000</v>
      </c>
      <c r="E99" s="85">
        <v>9000</v>
      </c>
      <c r="F99"/>
      <c r="G99"/>
      <c r="H99"/>
      <c r="I99"/>
      <c r="K99"/>
      <c r="L99"/>
      <c r="M99"/>
      <c r="N99"/>
    </row>
    <row r="100" spans="1:14" x14ac:dyDescent="0.35">
      <c r="A100" t="s">
        <v>439</v>
      </c>
      <c r="B100" s="85">
        <v>0</v>
      </c>
      <c r="C100" s="85">
        <v>20000</v>
      </c>
      <c r="D100" s="85">
        <v>72000</v>
      </c>
      <c r="E100" s="85">
        <v>20000</v>
      </c>
      <c r="F100"/>
      <c r="G100"/>
      <c r="H100"/>
      <c r="I100"/>
      <c r="K100"/>
      <c r="L100"/>
      <c r="M100"/>
      <c r="N100"/>
    </row>
    <row r="101" spans="1:14" x14ac:dyDescent="0.35">
      <c r="A101" t="s">
        <v>446</v>
      </c>
      <c r="B101" s="85">
        <v>56577.42</v>
      </c>
      <c r="C101" s="85">
        <v>180000</v>
      </c>
      <c r="D101" s="85">
        <v>405000</v>
      </c>
      <c r="E101" s="85">
        <v>204000</v>
      </c>
      <c r="F101"/>
      <c r="G101"/>
      <c r="H101"/>
      <c r="I101"/>
      <c r="K101"/>
      <c r="L101"/>
      <c r="M101"/>
      <c r="N101"/>
    </row>
    <row r="102" spans="1:14" x14ac:dyDescent="0.35">
      <c r="A102" t="s">
        <v>451</v>
      </c>
      <c r="B102" s="85">
        <v>1101.9000000000001</v>
      </c>
      <c r="C102" s="85">
        <v>180000</v>
      </c>
      <c r="D102" s="85">
        <v>650000</v>
      </c>
      <c r="E102" s="85">
        <v>300000</v>
      </c>
      <c r="F102"/>
      <c r="G102"/>
      <c r="H102"/>
      <c r="I102"/>
      <c r="K102"/>
      <c r="L102"/>
      <c r="M102"/>
      <c r="N102"/>
    </row>
    <row r="103" spans="1:14" x14ac:dyDescent="0.35">
      <c r="A103" t="s">
        <v>456</v>
      </c>
      <c r="B103" s="85">
        <v>315</v>
      </c>
      <c r="C103" s="85">
        <v>10000</v>
      </c>
      <c r="D103" s="85">
        <v>16000</v>
      </c>
      <c r="E103" s="85">
        <v>19200</v>
      </c>
      <c r="F103"/>
      <c r="G103"/>
      <c r="H103"/>
      <c r="I103"/>
      <c r="K103"/>
      <c r="L103"/>
      <c r="M103"/>
      <c r="N103"/>
    </row>
    <row r="104" spans="1:14" x14ac:dyDescent="0.35">
      <c r="A104" t="s">
        <v>460</v>
      </c>
      <c r="B104" s="85">
        <v>3816.25</v>
      </c>
      <c r="C104" s="85">
        <v>99576</v>
      </c>
      <c r="D104" s="85">
        <v>720500</v>
      </c>
      <c r="E104" s="85">
        <v>104554</v>
      </c>
      <c r="F104"/>
      <c r="G104"/>
      <c r="H104"/>
      <c r="I104"/>
      <c r="K104"/>
      <c r="L104"/>
      <c r="M104"/>
      <c r="N104"/>
    </row>
    <row r="105" spans="1:14" x14ac:dyDescent="0.35">
      <c r="A105" t="s">
        <v>465</v>
      </c>
      <c r="B105" s="85">
        <v>0</v>
      </c>
      <c r="C105" s="85">
        <v>10000</v>
      </c>
      <c r="D105" s="85">
        <v>302000</v>
      </c>
      <c r="E105" s="85">
        <v>20000</v>
      </c>
      <c r="F105"/>
      <c r="G105"/>
      <c r="H105"/>
      <c r="I105"/>
      <c r="K105"/>
      <c r="L105"/>
      <c r="M105"/>
      <c r="N105"/>
    </row>
    <row r="106" spans="1:14" x14ac:dyDescent="0.35">
      <c r="A106" t="s">
        <v>469</v>
      </c>
      <c r="B106" s="85">
        <v>5900</v>
      </c>
      <c r="C106" s="85">
        <v>90250</v>
      </c>
      <c r="D106" s="85">
        <v>67400</v>
      </c>
      <c r="E106" s="85">
        <v>200000</v>
      </c>
      <c r="F106"/>
      <c r="G106"/>
      <c r="H106"/>
      <c r="I106"/>
      <c r="K106"/>
      <c r="L106"/>
      <c r="M106"/>
      <c r="N106"/>
    </row>
    <row r="107" spans="1:14" x14ac:dyDescent="0.35">
      <c r="A107" t="s">
        <v>475</v>
      </c>
      <c r="B107" s="85">
        <v>9804.0300000000007</v>
      </c>
      <c r="C107" s="85">
        <v>38400</v>
      </c>
      <c r="D107" s="85">
        <v>420000</v>
      </c>
      <c r="E107" s="85">
        <v>75000</v>
      </c>
      <c r="F107"/>
      <c r="G107"/>
      <c r="H107"/>
      <c r="I107"/>
      <c r="K107"/>
      <c r="L107"/>
      <c r="M107"/>
      <c r="N107"/>
    </row>
    <row r="108" spans="1:14" x14ac:dyDescent="0.35">
      <c r="A108" t="s">
        <v>481</v>
      </c>
      <c r="B108" s="85">
        <v>120668.15</v>
      </c>
      <c r="C108" s="85">
        <v>150000</v>
      </c>
      <c r="D108" s="85">
        <v>20000</v>
      </c>
      <c r="E108" s="85">
        <v>220000</v>
      </c>
      <c r="F108"/>
      <c r="G108"/>
      <c r="H108"/>
      <c r="I108"/>
      <c r="K108"/>
      <c r="L108"/>
      <c r="M108"/>
      <c r="N108"/>
    </row>
    <row r="109" spans="1:14" x14ac:dyDescent="0.35">
      <c r="A109" t="s">
        <v>487</v>
      </c>
      <c r="B109" s="85">
        <v>0</v>
      </c>
      <c r="C109" s="85">
        <v>2000</v>
      </c>
      <c r="D109" s="85">
        <v>60000</v>
      </c>
      <c r="E109" s="85">
        <v>2500</v>
      </c>
      <c r="F109"/>
      <c r="G109"/>
      <c r="H109"/>
      <c r="I109"/>
      <c r="K109"/>
      <c r="L109"/>
      <c r="M109"/>
      <c r="N109"/>
    </row>
    <row r="110" spans="1:14" x14ac:dyDescent="0.35">
      <c r="A110" t="s">
        <v>491</v>
      </c>
      <c r="B110" s="85">
        <v>0</v>
      </c>
      <c r="C110" s="85">
        <v>3000</v>
      </c>
      <c r="D110" s="85">
        <v>456796</v>
      </c>
      <c r="E110" s="85">
        <v>22500</v>
      </c>
      <c r="F110"/>
      <c r="G110"/>
      <c r="H110"/>
      <c r="I110"/>
      <c r="K110"/>
      <c r="L110"/>
      <c r="M110"/>
      <c r="N110"/>
    </row>
    <row r="111" spans="1:14" x14ac:dyDescent="0.35">
      <c r="A111" t="s">
        <v>494</v>
      </c>
      <c r="B111" s="85">
        <v>106915.12</v>
      </c>
      <c r="C111" s="85">
        <v>700693</v>
      </c>
      <c r="D111" s="85">
        <v>700693</v>
      </c>
      <c r="E111" s="85">
        <v>2088520</v>
      </c>
      <c r="F111"/>
      <c r="G111"/>
      <c r="H111"/>
      <c r="I111"/>
      <c r="K111"/>
      <c r="L111"/>
      <c r="M111"/>
      <c r="N111"/>
    </row>
    <row r="112" spans="1:14" x14ac:dyDescent="0.35">
      <c r="A112" t="s">
        <v>508</v>
      </c>
      <c r="B112" s="85">
        <v>0</v>
      </c>
      <c r="C112" s="85">
        <v>20000</v>
      </c>
      <c r="D112" s="85">
        <v>20000</v>
      </c>
      <c r="E112" s="85">
        <v>60000</v>
      </c>
      <c r="F112"/>
      <c r="G112"/>
      <c r="H112"/>
      <c r="I112"/>
      <c r="K112"/>
      <c r="L112"/>
      <c r="M112"/>
      <c r="N112"/>
    </row>
    <row r="113" spans="1:14" x14ac:dyDescent="0.35">
      <c r="A113" t="s">
        <v>513</v>
      </c>
      <c r="B113" s="85">
        <v>0</v>
      </c>
      <c r="C113" s="85">
        <v>30000</v>
      </c>
      <c r="D113" s="85">
        <v>30000</v>
      </c>
      <c r="E113" s="85">
        <v>30000</v>
      </c>
      <c r="F113"/>
      <c r="G113"/>
      <c r="H113"/>
      <c r="I113"/>
      <c r="K113"/>
      <c r="L113"/>
      <c r="M113"/>
      <c r="N113"/>
    </row>
    <row r="114" spans="1:14" x14ac:dyDescent="0.35">
      <c r="A114" t="s">
        <v>517</v>
      </c>
      <c r="B114" s="85">
        <v>0</v>
      </c>
      <c r="C114" s="85">
        <v>25000</v>
      </c>
      <c r="D114" s="85">
        <v>25000</v>
      </c>
      <c r="E114" s="85">
        <v>25000</v>
      </c>
      <c r="F114"/>
      <c r="G114"/>
      <c r="H114"/>
      <c r="I114"/>
      <c r="K114"/>
      <c r="L114"/>
      <c r="M114"/>
      <c r="N114"/>
    </row>
    <row r="115" spans="1:14" x14ac:dyDescent="0.35">
      <c r="A115" t="s">
        <v>520</v>
      </c>
      <c r="B115" s="85">
        <v>19693.580000000002</v>
      </c>
      <c r="C115" s="85">
        <v>100000</v>
      </c>
      <c r="D115" s="85">
        <v>100000</v>
      </c>
      <c r="E115" s="85">
        <v>120000</v>
      </c>
      <c r="F115"/>
      <c r="G115"/>
      <c r="H115"/>
      <c r="I115"/>
      <c r="K115"/>
      <c r="L115"/>
      <c r="M115"/>
      <c r="N115"/>
    </row>
    <row r="116" spans="1:14" x14ac:dyDescent="0.35">
      <c r="A116" t="s">
        <v>522</v>
      </c>
      <c r="B116" s="85">
        <v>0</v>
      </c>
      <c r="C116" s="85">
        <v>450000</v>
      </c>
      <c r="D116" s="85">
        <v>450000</v>
      </c>
      <c r="E116" s="85">
        <v>450000</v>
      </c>
      <c r="F116"/>
      <c r="G116"/>
      <c r="H116"/>
      <c r="I116"/>
      <c r="K116"/>
      <c r="L116"/>
      <c r="M116"/>
      <c r="N116"/>
    </row>
    <row r="117" spans="1:14" x14ac:dyDescent="0.35">
      <c r="A117" t="s">
        <v>524</v>
      </c>
      <c r="B117" s="85">
        <v>0</v>
      </c>
      <c r="C117" s="85">
        <v>20000</v>
      </c>
      <c r="D117" s="85">
        <v>20000</v>
      </c>
      <c r="E117" s="85">
        <v>25000</v>
      </c>
      <c r="F117"/>
      <c r="G117"/>
      <c r="H117"/>
      <c r="I117"/>
      <c r="K117"/>
      <c r="L117"/>
      <c r="M117"/>
      <c r="N117"/>
    </row>
    <row r="118" spans="1:14" x14ac:dyDescent="0.35">
      <c r="A118" t="s">
        <v>526</v>
      </c>
      <c r="B118" s="85">
        <v>32332.21</v>
      </c>
      <c r="C118" s="85">
        <v>75000</v>
      </c>
      <c r="D118" s="85">
        <v>75000</v>
      </c>
      <c r="E118" s="85">
        <v>115000</v>
      </c>
      <c r="F118"/>
      <c r="G118"/>
      <c r="H118"/>
      <c r="I118"/>
      <c r="K118"/>
      <c r="L118"/>
      <c r="M118"/>
      <c r="N118"/>
    </row>
    <row r="119" spans="1:14" x14ac:dyDescent="0.35">
      <c r="A119" t="s">
        <v>528</v>
      </c>
      <c r="B119" s="85">
        <v>0</v>
      </c>
      <c r="C119" s="85">
        <v>35000</v>
      </c>
      <c r="D119" s="85">
        <v>35000</v>
      </c>
      <c r="E119" s="85">
        <v>35000</v>
      </c>
      <c r="F119"/>
      <c r="G119"/>
      <c r="H119"/>
      <c r="I119"/>
      <c r="K119"/>
      <c r="L119"/>
      <c r="M119"/>
      <c r="N119"/>
    </row>
    <row r="120" spans="1:14" x14ac:dyDescent="0.35">
      <c r="A120" t="s">
        <v>530</v>
      </c>
      <c r="B120" s="85">
        <v>0</v>
      </c>
      <c r="C120" s="85">
        <v>50000</v>
      </c>
      <c r="D120" s="85">
        <v>50000</v>
      </c>
      <c r="E120" s="85">
        <v>60000</v>
      </c>
      <c r="F120"/>
      <c r="G120"/>
      <c r="H120"/>
      <c r="I120"/>
      <c r="K120"/>
      <c r="L120"/>
      <c r="M120"/>
      <c r="N120"/>
    </row>
    <row r="121" spans="1:14" x14ac:dyDescent="0.35">
      <c r="A121" t="s">
        <v>532</v>
      </c>
      <c r="B121" s="85">
        <v>100846</v>
      </c>
      <c r="C121" s="85">
        <v>200000</v>
      </c>
      <c r="D121" s="85">
        <v>200000</v>
      </c>
      <c r="E121" s="85">
        <v>150000</v>
      </c>
      <c r="F121"/>
      <c r="G121"/>
      <c r="H121"/>
      <c r="I121"/>
      <c r="K121"/>
      <c r="L121"/>
      <c r="M121"/>
      <c r="N121"/>
    </row>
    <row r="122" spans="1:14" x14ac:dyDescent="0.35">
      <c r="A122" t="s">
        <v>534</v>
      </c>
      <c r="B122" s="85">
        <v>0</v>
      </c>
      <c r="C122" s="85">
        <v>35000</v>
      </c>
      <c r="D122" s="85">
        <v>35000</v>
      </c>
      <c r="E122" s="85">
        <v>35000</v>
      </c>
      <c r="F122"/>
      <c r="G122"/>
      <c r="H122"/>
      <c r="I122"/>
      <c r="K122"/>
      <c r="L122"/>
      <c r="M122"/>
      <c r="N122"/>
    </row>
    <row r="123" spans="1:14" x14ac:dyDescent="0.35">
      <c r="A123" t="s">
        <v>536</v>
      </c>
      <c r="B123" s="85">
        <v>0</v>
      </c>
      <c r="C123" s="85">
        <v>45000</v>
      </c>
      <c r="D123" s="85">
        <v>45000</v>
      </c>
      <c r="E123" s="85">
        <v>45000</v>
      </c>
      <c r="F123"/>
      <c r="G123"/>
      <c r="H123"/>
      <c r="I123"/>
      <c r="K123"/>
      <c r="L123"/>
      <c r="M123"/>
      <c r="N123"/>
    </row>
    <row r="124" spans="1:14" x14ac:dyDescent="0.35">
      <c r="A124" t="s">
        <v>538</v>
      </c>
      <c r="B124" s="85">
        <v>0</v>
      </c>
      <c r="C124" s="85">
        <v>1813427</v>
      </c>
      <c r="D124" s="85">
        <v>1810000</v>
      </c>
      <c r="E124" s="85">
        <v>1272000</v>
      </c>
      <c r="F124"/>
      <c r="G124"/>
      <c r="H124"/>
      <c r="I124"/>
      <c r="K124"/>
      <c r="L124"/>
      <c r="M124"/>
      <c r="N124"/>
    </row>
    <row r="125" spans="1:14" x14ac:dyDescent="0.35">
      <c r="A125" t="s">
        <v>542</v>
      </c>
      <c r="B125" s="85">
        <v>0</v>
      </c>
      <c r="C125" s="85">
        <v>16097</v>
      </c>
      <c r="D125" s="85">
        <v>16097</v>
      </c>
      <c r="E125" s="85">
        <v>18000</v>
      </c>
      <c r="F125"/>
      <c r="G125"/>
      <c r="H125"/>
      <c r="I125"/>
      <c r="K125"/>
      <c r="L125"/>
      <c r="M125"/>
      <c r="N125"/>
    </row>
    <row r="126" spans="1:14" x14ac:dyDescent="0.35">
      <c r="A126" t="s">
        <v>561</v>
      </c>
      <c r="B126" s="85">
        <v>0</v>
      </c>
      <c r="C126" s="85">
        <v>4000</v>
      </c>
      <c r="D126" s="85">
        <v>4000</v>
      </c>
      <c r="E126" s="85">
        <v>2000</v>
      </c>
      <c r="F126"/>
      <c r="G126"/>
      <c r="H126"/>
      <c r="I126"/>
      <c r="K126"/>
      <c r="L126"/>
      <c r="M126"/>
      <c r="N126"/>
    </row>
    <row r="127" spans="1:14" x14ac:dyDescent="0.35">
      <c r="A127" t="s">
        <v>564</v>
      </c>
      <c r="B127" s="85">
        <v>0</v>
      </c>
      <c r="C127" s="85">
        <v>6600</v>
      </c>
      <c r="D127" s="85">
        <v>6600</v>
      </c>
      <c r="E127" s="85">
        <v>6600</v>
      </c>
      <c r="F127"/>
      <c r="G127"/>
      <c r="H127"/>
      <c r="I127"/>
      <c r="K127"/>
      <c r="L127"/>
      <c r="M127"/>
      <c r="N127"/>
    </row>
    <row r="128" spans="1:14" x14ac:dyDescent="0.35">
      <c r="A128" t="s">
        <v>568</v>
      </c>
      <c r="B128" s="85">
        <v>0</v>
      </c>
      <c r="C128" s="85">
        <v>5000</v>
      </c>
      <c r="D128" s="85">
        <v>5000</v>
      </c>
      <c r="E128" s="85">
        <v>5000</v>
      </c>
      <c r="F128"/>
      <c r="G128"/>
      <c r="H128"/>
      <c r="I128"/>
      <c r="K128"/>
      <c r="L128"/>
      <c r="M128"/>
      <c r="N128"/>
    </row>
    <row r="129" spans="1:14" x14ac:dyDescent="0.35">
      <c r="A129" t="s">
        <v>574</v>
      </c>
      <c r="B129" s="85"/>
      <c r="C129" s="85"/>
      <c r="D129" s="85"/>
      <c r="E129" s="85">
        <v>40000</v>
      </c>
      <c r="F129"/>
      <c r="G129"/>
      <c r="H129"/>
      <c r="I129"/>
      <c r="K129"/>
      <c r="L129"/>
      <c r="M129"/>
      <c r="N129"/>
    </row>
    <row r="130" spans="1:14" x14ac:dyDescent="0.35">
      <c r="A130" t="s">
        <v>570</v>
      </c>
      <c r="B130" s="85">
        <v>3020202.79</v>
      </c>
      <c r="C130" s="85">
        <v>370000</v>
      </c>
      <c r="D130" s="85">
        <v>370000</v>
      </c>
      <c r="E130" s="85">
        <v>60000</v>
      </c>
      <c r="F130"/>
      <c r="G130"/>
      <c r="H130"/>
      <c r="I130"/>
      <c r="K130"/>
      <c r="L130"/>
      <c r="M130"/>
      <c r="N130"/>
    </row>
    <row r="131" spans="1:14" x14ac:dyDescent="0.35">
      <c r="A131" t="s">
        <v>578</v>
      </c>
      <c r="B131" s="85">
        <v>0</v>
      </c>
      <c r="C131" s="85">
        <v>165000</v>
      </c>
      <c r="D131" s="85">
        <v>165000</v>
      </c>
      <c r="E131" s="85">
        <v>220000</v>
      </c>
      <c r="F131"/>
      <c r="G131"/>
      <c r="H131"/>
      <c r="I131"/>
      <c r="K131"/>
      <c r="L131"/>
      <c r="M131"/>
      <c r="N131"/>
    </row>
    <row r="132" spans="1:14" x14ac:dyDescent="0.35">
      <c r="A132" t="s">
        <v>580</v>
      </c>
      <c r="B132" s="85">
        <v>0</v>
      </c>
      <c r="C132" s="85">
        <v>34910</v>
      </c>
      <c r="D132" s="85">
        <v>34910</v>
      </c>
      <c r="E132" s="85">
        <v>45000</v>
      </c>
      <c r="F132"/>
      <c r="G132"/>
      <c r="H132"/>
      <c r="I132"/>
      <c r="K132"/>
      <c r="L132"/>
      <c r="M132"/>
      <c r="N132"/>
    </row>
    <row r="133" spans="1:14" x14ac:dyDescent="0.35">
      <c r="A133" t="s">
        <v>582</v>
      </c>
      <c r="B133" s="85">
        <v>0</v>
      </c>
      <c r="C133" s="85">
        <v>0</v>
      </c>
      <c r="D133" s="85"/>
      <c r="E133" s="85">
        <v>20000</v>
      </c>
      <c r="F133"/>
      <c r="G133"/>
      <c r="H133"/>
      <c r="I133"/>
      <c r="K133"/>
      <c r="L133"/>
      <c r="M133"/>
      <c r="N133"/>
    </row>
    <row r="134" spans="1:14" x14ac:dyDescent="0.35">
      <c r="A134" t="s">
        <v>584</v>
      </c>
      <c r="B134" s="85">
        <v>0</v>
      </c>
      <c r="C134" s="85">
        <v>201550</v>
      </c>
      <c r="D134" s="85">
        <v>201550</v>
      </c>
      <c r="E134" s="85">
        <v>175000</v>
      </c>
      <c r="F134"/>
      <c r="G134"/>
      <c r="H134"/>
      <c r="I134"/>
      <c r="K134"/>
      <c r="L134"/>
      <c r="M134"/>
      <c r="N134"/>
    </row>
    <row r="135" spans="1:14" x14ac:dyDescent="0.35">
      <c r="A135" t="s">
        <v>586</v>
      </c>
      <c r="B135" s="85">
        <v>0</v>
      </c>
      <c r="C135" s="85">
        <v>80000</v>
      </c>
      <c r="D135" s="85">
        <v>80000</v>
      </c>
      <c r="E135" s="85">
        <v>80000</v>
      </c>
      <c r="F135"/>
      <c r="G135"/>
      <c r="H135"/>
      <c r="I135"/>
      <c r="K135"/>
      <c r="L135"/>
      <c r="M135"/>
      <c r="N135"/>
    </row>
    <row r="136" spans="1:14" x14ac:dyDescent="0.35">
      <c r="A136" t="s">
        <v>588</v>
      </c>
      <c r="B136" s="85">
        <v>35833.230000000003</v>
      </c>
      <c r="C136" s="85">
        <v>92573</v>
      </c>
      <c r="D136" s="85">
        <v>92573</v>
      </c>
      <c r="E136" s="85">
        <v>95000</v>
      </c>
      <c r="F136"/>
      <c r="G136"/>
      <c r="H136"/>
      <c r="I136"/>
      <c r="K136"/>
      <c r="L136"/>
      <c r="M136"/>
      <c r="N136"/>
    </row>
    <row r="137" spans="1:14" x14ac:dyDescent="0.35">
      <c r="A137" t="s">
        <v>590</v>
      </c>
      <c r="B137" s="85">
        <v>190263</v>
      </c>
      <c r="C137" s="85">
        <v>611783</v>
      </c>
      <c r="D137" s="85">
        <v>611783</v>
      </c>
      <c r="E137" s="85">
        <v>1208362</v>
      </c>
      <c r="F137"/>
      <c r="G137"/>
      <c r="H137"/>
      <c r="I137"/>
      <c r="K137"/>
      <c r="L137"/>
      <c r="M137"/>
      <c r="N137"/>
    </row>
    <row r="138" spans="1:14" x14ac:dyDescent="0.35">
      <c r="A138" t="s">
        <v>667</v>
      </c>
      <c r="B138" s="85">
        <v>0</v>
      </c>
      <c r="C138" s="85">
        <v>3000</v>
      </c>
      <c r="D138" s="85">
        <v>3000</v>
      </c>
      <c r="E138" s="85">
        <v>3000</v>
      </c>
      <c r="F138"/>
      <c r="G138"/>
      <c r="H138"/>
      <c r="I138"/>
      <c r="K138"/>
      <c r="L138"/>
      <c r="M138"/>
      <c r="N138"/>
    </row>
    <row r="139" spans="1:14" x14ac:dyDescent="0.35">
      <c r="A139" t="s">
        <v>671</v>
      </c>
      <c r="B139" s="85">
        <v>0</v>
      </c>
      <c r="C139" s="85">
        <v>42000</v>
      </c>
      <c r="D139" s="85">
        <v>42000</v>
      </c>
      <c r="E139" s="85">
        <v>10000</v>
      </c>
      <c r="F139"/>
      <c r="G139"/>
      <c r="H139"/>
      <c r="I139"/>
      <c r="K139"/>
      <c r="L139"/>
      <c r="M139"/>
      <c r="N139"/>
    </row>
    <row r="140" spans="1:14" x14ac:dyDescent="0.35">
      <c r="A140" t="s">
        <v>677</v>
      </c>
      <c r="B140" s="85">
        <v>0</v>
      </c>
      <c r="C140" s="85">
        <v>72000</v>
      </c>
      <c r="D140" s="85">
        <v>72000</v>
      </c>
      <c r="E140" s="85">
        <v>75000</v>
      </c>
      <c r="F140"/>
      <c r="G140"/>
      <c r="H140"/>
      <c r="I140"/>
      <c r="K140"/>
      <c r="L140"/>
      <c r="M140"/>
      <c r="N140"/>
    </row>
    <row r="141" spans="1:14" x14ac:dyDescent="0.35">
      <c r="A141" t="s">
        <v>680</v>
      </c>
      <c r="B141" s="85">
        <v>216899.04</v>
      </c>
      <c r="C141" s="85">
        <v>405000</v>
      </c>
      <c r="D141" s="85">
        <v>405000</v>
      </c>
      <c r="E141" s="85">
        <v>435000</v>
      </c>
      <c r="F141"/>
      <c r="G141"/>
      <c r="H141"/>
      <c r="I141"/>
      <c r="K141"/>
      <c r="L141"/>
      <c r="M141"/>
      <c r="N141"/>
    </row>
    <row r="142" spans="1:14" x14ac:dyDescent="0.35">
      <c r="A142" t="s">
        <v>684</v>
      </c>
      <c r="B142" s="85">
        <v>12190.2</v>
      </c>
      <c r="C142" s="85">
        <v>650000</v>
      </c>
      <c r="D142" s="85">
        <v>650000</v>
      </c>
      <c r="E142" s="85">
        <v>1260000</v>
      </c>
      <c r="F142"/>
      <c r="G142"/>
      <c r="H142"/>
      <c r="I142"/>
      <c r="K142"/>
      <c r="L142"/>
      <c r="M142"/>
      <c r="N142"/>
    </row>
    <row r="143" spans="1:14" x14ac:dyDescent="0.35">
      <c r="A143" t="s">
        <v>690</v>
      </c>
      <c r="B143" s="85">
        <v>0</v>
      </c>
      <c r="C143" s="85">
        <v>16000</v>
      </c>
      <c r="D143" s="85">
        <v>16000</v>
      </c>
      <c r="E143" s="85">
        <v>30000</v>
      </c>
      <c r="F143"/>
      <c r="G143"/>
      <c r="H143"/>
      <c r="I143"/>
      <c r="K143"/>
      <c r="L143"/>
      <c r="M143"/>
      <c r="N143"/>
    </row>
    <row r="144" spans="1:14" x14ac:dyDescent="0.35">
      <c r="A144" t="s">
        <v>695</v>
      </c>
      <c r="B144" s="85">
        <v>122131.96</v>
      </c>
      <c r="C144" s="85">
        <v>720500</v>
      </c>
      <c r="D144" s="85">
        <v>720500</v>
      </c>
      <c r="E144" s="85">
        <v>710622</v>
      </c>
      <c r="F144"/>
      <c r="G144"/>
      <c r="H144"/>
      <c r="I144"/>
      <c r="K144"/>
      <c r="L144"/>
      <c r="M144"/>
      <c r="N144"/>
    </row>
    <row r="145" spans="1:14" x14ac:dyDescent="0.35">
      <c r="A145" t="s">
        <v>699</v>
      </c>
      <c r="B145" s="85">
        <v>4487.99</v>
      </c>
      <c r="C145" s="85">
        <v>302000</v>
      </c>
      <c r="D145" s="85">
        <v>302000</v>
      </c>
      <c r="E145" s="85">
        <v>302000</v>
      </c>
      <c r="F145"/>
      <c r="G145"/>
      <c r="H145"/>
      <c r="I145"/>
      <c r="K145"/>
      <c r="L145"/>
      <c r="M145"/>
      <c r="N145"/>
    </row>
    <row r="146" spans="1:14" x14ac:dyDescent="0.35">
      <c r="A146" t="s">
        <v>703</v>
      </c>
      <c r="B146" s="85">
        <v>0</v>
      </c>
      <c r="C146" s="85">
        <v>67400</v>
      </c>
      <c r="D146" s="85">
        <v>67400</v>
      </c>
      <c r="E146" s="85">
        <v>50000</v>
      </c>
      <c r="F146"/>
      <c r="G146"/>
      <c r="H146"/>
      <c r="I146"/>
      <c r="K146"/>
      <c r="L146"/>
      <c r="M146"/>
      <c r="N146"/>
    </row>
    <row r="147" spans="1:14" x14ac:dyDescent="0.35">
      <c r="A147" t="s">
        <v>708</v>
      </c>
      <c r="B147" s="85">
        <v>49194.96</v>
      </c>
      <c r="C147" s="85">
        <v>420000</v>
      </c>
      <c r="D147" s="85">
        <v>420000</v>
      </c>
      <c r="E147" s="85">
        <v>441000</v>
      </c>
      <c r="F147"/>
      <c r="G147"/>
      <c r="H147"/>
      <c r="I147"/>
      <c r="K147"/>
      <c r="L147"/>
      <c r="M147"/>
      <c r="N147"/>
    </row>
    <row r="148" spans="1:14" x14ac:dyDescent="0.35">
      <c r="A148" t="s">
        <v>712</v>
      </c>
      <c r="B148" s="85">
        <v>82455.460000000006</v>
      </c>
      <c r="C148" s="85">
        <v>20000</v>
      </c>
      <c r="D148" s="85">
        <v>20000</v>
      </c>
      <c r="E148" s="85">
        <v>80000</v>
      </c>
      <c r="F148"/>
      <c r="G148"/>
      <c r="H148"/>
      <c r="I148"/>
      <c r="K148"/>
      <c r="L148"/>
      <c r="M148"/>
      <c r="N148"/>
    </row>
    <row r="149" spans="1:14" x14ac:dyDescent="0.35">
      <c r="A149" t="s">
        <v>716</v>
      </c>
      <c r="B149" s="85">
        <v>0</v>
      </c>
      <c r="C149" s="85">
        <v>60000</v>
      </c>
      <c r="D149" s="85">
        <v>60000</v>
      </c>
      <c r="E149" s="85">
        <v>16000</v>
      </c>
      <c r="F149"/>
      <c r="G149"/>
      <c r="H149"/>
      <c r="I149"/>
      <c r="K149"/>
      <c r="L149"/>
      <c r="M149"/>
      <c r="N149"/>
    </row>
    <row r="150" spans="1:14" x14ac:dyDescent="0.35">
      <c r="A150" t="s">
        <v>719</v>
      </c>
      <c r="B150" s="85">
        <v>228093.3</v>
      </c>
      <c r="C150" s="85">
        <v>456796</v>
      </c>
      <c r="D150" s="85">
        <v>456796</v>
      </c>
      <c r="E150" s="85">
        <v>1041552</v>
      </c>
      <c r="F150"/>
      <c r="G150"/>
      <c r="H150"/>
      <c r="I150"/>
      <c r="K150"/>
      <c r="L150"/>
      <c r="M150"/>
      <c r="N150"/>
    </row>
    <row r="151" spans="1:14" x14ac:dyDescent="0.35">
      <c r="A151" t="s">
        <v>722</v>
      </c>
      <c r="B151" s="85">
        <v>0</v>
      </c>
      <c r="C151" s="85">
        <v>10000</v>
      </c>
      <c r="D151" s="85">
        <v>6800</v>
      </c>
      <c r="E151" s="85">
        <v>12000</v>
      </c>
      <c r="F151"/>
      <c r="G151"/>
      <c r="H151"/>
      <c r="I151"/>
      <c r="K151"/>
      <c r="L151"/>
      <c r="M151"/>
      <c r="N151"/>
    </row>
    <row r="152" spans="1:14" x14ac:dyDescent="0.35">
      <c r="A152" t="s">
        <v>724</v>
      </c>
      <c r="B152" s="85">
        <v>0</v>
      </c>
      <c r="C152" s="85">
        <v>20000</v>
      </c>
      <c r="D152" s="85">
        <v>18500</v>
      </c>
      <c r="E152" s="85">
        <v>20000</v>
      </c>
      <c r="F152"/>
      <c r="G152"/>
      <c r="H152"/>
      <c r="I152"/>
      <c r="K152"/>
      <c r="L152"/>
      <c r="M152"/>
      <c r="N152"/>
    </row>
    <row r="153" spans="1:14" x14ac:dyDescent="0.35">
      <c r="A153" t="s">
        <v>726</v>
      </c>
      <c r="B153" s="85">
        <v>0</v>
      </c>
      <c r="C153" s="85">
        <v>10000</v>
      </c>
      <c r="D153" s="85">
        <v>3800</v>
      </c>
      <c r="E153" s="85">
        <v>10000</v>
      </c>
      <c r="F153"/>
      <c r="G153"/>
      <c r="H153"/>
      <c r="I153"/>
      <c r="K153"/>
      <c r="L153"/>
      <c r="M153"/>
      <c r="N153"/>
    </row>
    <row r="154" spans="1:14" x14ac:dyDescent="0.35">
      <c r="A154" t="s">
        <v>730</v>
      </c>
      <c r="B154" s="85">
        <v>24127.64</v>
      </c>
      <c r="C154" s="85">
        <v>50000</v>
      </c>
      <c r="D154" s="85">
        <v>50000</v>
      </c>
      <c r="E154" s="85">
        <v>80000</v>
      </c>
      <c r="F154"/>
      <c r="G154"/>
      <c r="H154"/>
      <c r="I154"/>
      <c r="K154"/>
      <c r="L154"/>
      <c r="M154"/>
      <c r="N154"/>
    </row>
    <row r="155" spans="1:14" x14ac:dyDescent="0.35">
      <c r="A155" t="s">
        <v>732</v>
      </c>
      <c r="B155" s="85">
        <v>-3762.15</v>
      </c>
      <c r="C155" s="85">
        <v>270000</v>
      </c>
      <c r="D155" s="85">
        <v>260000</v>
      </c>
      <c r="E155" s="85">
        <v>400000</v>
      </c>
      <c r="F155"/>
      <c r="G155"/>
      <c r="H155"/>
      <c r="I155"/>
      <c r="K155"/>
      <c r="L155"/>
      <c r="M155"/>
      <c r="N155"/>
    </row>
    <row r="156" spans="1:14" x14ac:dyDescent="0.35">
      <c r="A156" t="s">
        <v>735</v>
      </c>
      <c r="B156" s="85">
        <v>0</v>
      </c>
      <c r="C156" s="85">
        <v>20000</v>
      </c>
      <c r="D156" s="85">
        <v>15500</v>
      </c>
      <c r="E156" s="85">
        <v>36000</v>
      </c>
      <c r="F156"/>
      <c r="G156"/>
      <c r="H156"/>
      <c r="I156"/>
      <c r="K156"/>
      <c r="L156"/>
      <c r="M156"/>
      <c r="N156"/>
    </row>
    <row r="157" spans="1:14" x14ac:dyDescent="0.35">
      <c r="A157" t="s">
        <v>737</v>
      </c>
      <c r="B157" s="85">
        <v>134361.95000000001</v>
      </c>
      <c r="C157" s="85">
        <v>150257</v>
      </c>
      <c r="D157" s="85">
        <v>150000</v>
      </c>
      <c r="E157" s="85">
        <v>198000</v>
      </c>
      <c r="F157"/>
      <c r="G157"/>
      <c r="H157"/>
      <c r="I157"/>
      <c r="K157"/>
      <c r="L157"/>
      <c r="M157"/>
      <c r="N157"/>
    </row>
    <row r="158" spans="1:14" x14ac:dyDescent="0.35">
      <c r="A158" t="s">
        <v>739</v>
      </c>
      <c r="B158" s="85">
        <v>0</v>
      </c>
      <c r="C158" s="85">
        <v>40000</v>
      </c>
      <c r="D158" s="85">
        <v>15000</v>
      </c>
      <c r="E158" s="85">
        <v>45000</v>
      </c>
      <c r="F158"/>
      <c r="G158"/>
      <c r="H158"/>
      <c r="I158"/>
      <c r="K158"/>
      <c r="L158"/>
      <c r="M158"/>
      <c r="N158"/>
    </row>
    <row r="159" spans="1:14" x14ac:dyDescent="0.35">
      <c r="A159" t="s">
        <v>742</v>
      </c>
      <c r="B159" s="85">
        <v>22479.86</v>
      </c>
      <c r="C159" s="85">
        <v>51520</v>
      </c>
      <c r="D159" s="85">
        <v>51000</v>
      </c>
      <c r="E159" s="85">
        <v>65000</v>
      </c>
      <c r="F159"/>
      <c r="G159"/>
      <c r="H159"/>
      <c r="I159"/>
      <c r="K159"/>
      <c r="L159"/>
      <c r="M159"/>
      <c r="N159"/>
    </row>
    <row r="160" spans="1:14" x14ac:dyDescent="0.35">
      <c r="A160" t="s">
        <v>745</v>
      </c>
      <c r="B160" s="85">
        <v>66171.5</v>
      </c>
      <c r="C160" s="85">
        <v>139000</v>
      </c>
      <c r="D160" s="85">
        <v>139000</v>
      </c>
      <c r="E160" s="85">
        <v>205500</v>
      </c>
      <c r="F160"/>
      <c r="G160"/>
      <c r="H160"/>
      <c r="I160"/>
      <c r="K160"/>
      <c r="L160"/>
      <c r="M160"/>
      <c r="N160"/>
    </row>
    <row r="161" spans="1:14" x14ac:dyDescent="0.35">
      <c r="A161" t="s">
        <v>747</v>
      </c>
      <c r="B161" s="85">
        <v>0</v>
      </c>
      <c r="C161" s="85">
        <v>4000</v>
      </c>
      <c r="D161" s="85">
        <v>4000</v>
      </c>
      <c r="E161" s="85">
        <v>8750</v>
      </c>
      <c r="F161"/>
      <c r="G161"/>
      <c r="H161"/>
      <c r="I161"/>
      <c r="K161"/>
      <c r="L161"/>
      <c r="M161"/>
      <c r="N161"/>
    </row>
    <row r="162" spans="1:14" x14ac:dyDescent="0.35">
      <c r="A162" t="s">
        <v>751</v>
      </c>
      <c r="B162" s="85">
        <v>11192.69</v>
      </c>
      <c r="C162" s="85">
        <v>12000</v>
      </c>
      <c r="D162" s="85">
        <v>11850</v>
      </c>
      <c r="E162" s="85">
        <v>12000</v>
      </c>
      <c r="F162"/>
      <c r="G162"/>
      <c r="H162"/>
      <c r="I162"/>
      <c r="K162"/>
      <c r="L162"/>
      <c r="M162"/>
      <c r="N162"/>
    </row>
    <row r="163" spans="1:14" x14ac:dyDescent="0.35">
      <c r="A163" t="s">
        <v>754</v>
      </c>
      <c r="B163" s="85">
        <v>31330</v>
      </c>
      <c r="C163" s="85">
        <v>234334</v>
      </c>
      <c r="D163" s="85">
        <v>234000</v>
      </c>
      <c r="E163" s="85">
        <v>290000</v>
      </c>
      <c r="F163"/>
      <c r="G163"/>
      <c r="H163"/>
      <c r="I163"/>
      <c r="K163"/>
      <c r="L163"/>
      <c r="M163"/>
      <c r="N163"/>
    </row>
    <row r="164" spans="1:14" x14ac:dyDescent="0.35">
      <c r="A164" t="s">
        <v>759</v>
      </c>
      <c r="B164" s="85">
        <v>0</v>
      </c>
      <c r="C164" s="85">
        <v>3000</v>
      </c>
      <c r="D164" s="85">
        <v>3000</v>
      </c>
      <c r="E164" s="85">
        <v>3000</v>
      </c>
      <c r="F164"/>
      <c r="G164"/>
      <c r="H164"/>
      <c r="I164"/>
      <c r="K164"/>
      <c r="L164"/>
      <c r="M164"/>
      <c r="N164"/>
    </row>
    <row r="165" spans="1:14" x14ac:dyDescent="0.35">
      <c r="A165" t="s">
        <v>762</v>
      </c>
      <c r="B165" s="85">
        <v>0</v>
      </c>
      <c r="C165" s="85">
        <v>10000</v>
      </c>
      <c r="D165" s="85">
        <v>10000</v>
      </c>
      <c r="E165" s="85">
        <v>10000</v>
      </c>
      <c r="F165"/>
      <c r="G165"/>
      <c r="H165"/>
      <c r="I165"/>
      <c r="K165"/>
      <c r="L165"/>
      <c r="M165"/>
      <c r="N165"/>
    </row>
    <row r="166" spans="1:14" x14ac:dyDescent="0.35">
      <c r="A166" t="s">
        <v>764</v>
      </c>
      <c r="B166" s="85">
        <v>0</v>
      </c>
      <c r="C166" s="85">
        <v>30000</v>
      </c>
      <c r="D166" s="85">
        <v>10000</v>
      </c>
      <c r="E166" s="85">
        <v>10000</v>
      </c>
      <c r="F166"/>
      <c r="G166"/>
      <c r="H166"/>
      <c r="I166"/>
      <c r="K166"/>
      <c r="L166"/>
      <c r="M166"/>
      <c r="N166"/>
    </row>
    <row r="167" spans="1:14" x14ac:dyDescent="0.35">
      <c r="A167" t="s">
        <v>767</v>
      </c>
      <c r="B167" s="85">
        <v>0</v>
      </c>
      <c r="C167" s="85">
        <v>12000</v>
      </c>
      <c r="D167" s="85">
        <v>32000</v>
      </c>
      <c r="E167" s="85">
        <v>12000</v>
      </c>
      <c r="F167"/>
      <c r="G167"/>
      <c r="H167"/>
      <c r="I167"/>
      <c r="K167"/>
      <c r="L167"/>
      <c r="M167"/>
      <c r="N167"/>
    </row>
    <row r="168" spans="1:14" x14ac:dyDescent="0.35">
      <c r="A168" t="s">
        <v>769</v>
      </c>
      <c r="B168" s="85">
        <v>252926.41</v>
      </c>
      <c r="C168" s="85">
        <v>480000</v>
      </c>
      <c r="D168" s="85">
        <v>480000</v>
      </c>
      <c r="E168" s="85">
        <v>500000</v>
      </c>
      <c r="F168"/>
      <c r="G168"/>
      <c r="H168"/>
      <c r="I168"/>
      <c r="K168"/>
      <c r="L168"/>
      <c r="M168"/>
      <c r="N168"/>
    </row>
    <row r="169" spans="1:14" x14ac:dyDescent="0.35">
      <c r="A169" t="s">
        <v>773</v>
      </c>
      <c r="B169" s="85">
        <v>30017.78</v>
      </c>
      <c r="C169" s="85">
        <v>630000</v>
      </c>
      <c r="D169" s="85">
        <v>630000</v>
      </c>
      <c r="E169" s="85">
        <v>700000</v>
      </c>
      <c r="F169"/>
      <c r="G169"/>
      <c r="H169"/>
      <c r="I169"/>
      <c r="K169"/>
      <c r="L169"/>
      <c r="M169"/>
      <c r="N169"/>
    </row>
    <row r="170" spans="1:14" x14ac:dyDescent="0.35">
      <c r="A170" t="s">
        <v>775</v>
      </c>
      <c r="B170" s="85">
        <v>0</v>
      </c>
      <c r="C170" s="85">
        <v>54000</v>
      </c>
      <c r="D170" s="85">
        <v>54000</v>
      </c>
      <c r="E170" s="85">
        <v>20000</v>
      </c>
      <c r="F170"/>
      <c r="G170"/>
      <c r="H170"/>
      <c r="I170"/>
      <c r="K170"/>
      <c r="L170"/>
      <c r="M170"/>
      <c r="N170"/>
    </row>
    <row r="171" spans="1:14" x14ac:dyDescent="0.35">
      <c r="A171" t="s">
        <v>777</v>
      </c>
      <c r="B171" s="85">
        <v>167257</v>
      </c>
      <c r="C171" s="85">
        <v>210000</v>
      </c>
      <c r="D171" s="85">
        <v>210000</v>
      </c>
      <c r="E171" s="85">
        <v>230000</v>
      </c>
      <c r="F171"/>
      <c r="G171"/>
      <c r="H171"/>
      <c r="I171"/>
      <c r="K171"/>
      <c r="L171"/>
      <c r="M171"/>
      <c r="N171"/>
    </row>
    <row r="172" spans="1:14" x14ac:dyDescent="0.35">
      <c r="A172" t="s">
        <v>779</v>
      </c>
      <c r="B172" s="85">
        <v>44819.01</v>
      </c>
      <c r="C172" s="85">
        <v>80000</v>
      </c>
      <c r="D172" s="85">
        <v>80000</v>
      </c>
      <c r="E172" s="85">
        <v>80000</v>
      </c>
      <c r="F172"/>
      <c r="G172"/>
      <c r="H172"/>
      <c r="I172"/>
      <c r="K172"/>
      <c r="L172"/>
      <c r="M172"/>
      <c r="N172"/>
    </row>
    <row r="173" spans="1:14" x14ac:dyDescent="0.35">
      <c r="A173" t="s">
        <v>782</v>
      </c>
      <c r="B173" s="85">
        <v>98140.64</v>
      </c>
      <c r="C173" s="85">
        <v>336000</v>
      </c>
      <c r="D173" s="85">
        <v>350000</v>
      </c>
      <c r="E173" s="85">
        <v>350000</v>
      </c>
      <c r="F173"/>
      <c r="G173"/>
      <c r="H173"/>
      <c r="I173"/>
      <c r="K173"/>
      <c r="L173"/>
      <c r="M173"/>
      <c r="N173"/>
    </row>
    <row r="174" spans="1:14" x14ac:dyDescent="0.35">
      <c r="A174" t="s">
        <v>784</v>
      </c>
      <c r="B174" s="85">
        <v>71573.960000000006</v>
      </c>
      <c r="C174" s="85">
        <v>264000</v>
      </c>
      <c r="D174" s="85">
        <v>250000</v>
      </c>
      <c r="E174" s="85">
        <v>240000</v>
      </c>
      <c r="F174"/>
      <c r="G174"/>
      <c r="H174"/>
      <c r="I174"/>
      <c r="K174"/>
      <c r="L174"/>
      <c r="M174"/>
      <c r="N174"/>
    </row>
    <row r="175" spans="1:14" x14ac:dyDescent="0.35">
      <c r="A175" t="s">
        <v>786</v>
      </c>
      <c r="B175" s="85">
        <v>267712</v>
      </c>
      <c r="C175" s="85">
        <v>533159</v>
      </c>
      <c r="D175" s="85">
        <v>533159</v>
      </c>
      <c r="E175" s="85">
        <v>515000</v>
      </c>
      <c r="F175"/>
      <c r="G175"/>
      <c r="H175"/>
      <c r="I175"/>
      <c r="K175"/>
      <c r="L175"/>
      <c r="M175"/>
      <c r="N175"/>
    </row>
    <row r="176" spans="1:14" x14ac:dyDescent="0.35">
      <c r="A176" t="s">
        <v>792</v>
      </c>
      <c r="B176" s="85">
        <v>0</v>
      </c>
      <c r="C176" s="85">
        <v>20000</v>
      </c>
      <c r="D176" s="85">
        <v>20000</v>
      </c>
      <c r="E176" s="85">
        <v>20000</v>
      </c>
      <c r="F176"/>
      <c r="G176"/>
      <c r="H176"/>
      <c r="I176"/>
      <c r="K176"/>
      <c r="L176"/>
      <c r="M176"/>
      <c r="N176"/>
    </row>
    <row r="177" spans="1:14" x14ac:dyDescent="0.35">
      <c r="A177" t="s">
        <v>797</v>
      </c>
      <c r="B177" s="85">
        <v>65000</v>
      </c>
      <c r="C177" s="85">
        <v>30000</v>
      </c>
      <c r="D177" s="85">
        <v>30000</v>
      </c>
      <c r="E177" s="85">
        <v>35000</v>
      </c>
      <c r="F177"/>
      <c r="G177"/>
      <c r="H177"/>
      <c r="I177"/>
      <c r="K177"/>
      <c r="L177"/>
      <c r="M177"/>
      <c r="N177"/>
    </row>
    <row r="178" spans="1:14" x14ac:dyDescent="0.35">
      <c r="A178" t="s">
        <v>800</v>
      </c>
      <c r="B178" s="85">
        <v>0</v>
      </c>
      <c r="C178" s="85">
        <v>120000</v>
      </c>
      <c r="D178" s="85">
        <v>120000</v>
      </c>
      <c r="E178" s="85">
        <v>160000</v>
      </c>
      <c r="F178"/>
      <c r="G178"/>
      <c r="H178"/>
      <c r="I178"/>
      <c r="K178"/>
      <c r="L178"/>
      <c r="M178"/>
      <c r="N178"/>
    </row>
    <row r="179" spans="1:14" x14ac:dyDescent="0.35">
      <c r="A179" t="s">
        <v>805</v>
      </c>
      <c r="B179" s="85">
        <v>20865</v>
      </c>
      <c r="C179" s="85">
        <v>105000</v>
      </c>
      <c r="D179" s="85">
        <v>105000</v>
      </c>
      <c r="E179" s="85">
        <v>140000</v>
      </c>
      <c r="F179"/>
      <c r="G179"/>
      <c r="H179"/>
      <c r="I179"/>
      <c r="K179"/>
      <c r="L179"/>
      <c r="M179"/>
      <c r="N179"/>
    </row>
    <row r="180" spans="1:14" x14ac:dyDescent="0.35">
      <c r="A180" t="s">
        <v>808</v>
      </c>
      <c r="B180" s="85">
        <v>0</v>
      </c>
      <c r="C180" s="85">
        <v>3000</v>
      </c>
      <c r="D180" s="85">
        <v>3000</v>
      </c>
      <c r="E180" s="85">
        <v>3000</v>
      </c>
      <c r="F180"/>
      <c r="G180"/>
      <c r="H180"/>
      <c r="I180"/>
      <c r="K180"/>
      <c r="L180"/>
      <c r="M180"/>
      <c r="N180"/>
    </row>
    <row r="181" spans="1:14" x14ac:dyDescent="0.35">
      <c r="A181" t="s">
        <v>813</v>
      </c>
      <c r="B181" s="85">
        <v>-38267.69</v>
      </c>
      <c r="C181" s="85">
        <v>146983</v>
      </c>
      <c r="D181" s="85">
        <v>146983</v>
      </c>
      <c r="E181" s="85">
        <v>59217</v>
      </c>
      <c r="F181"/>
      <c r="G181"/>
      <c r="H181"/>
      <c r="I181"/>
      <c r="K181"/>
      <c r="L181"/>
      <c r="M181"/>
      <c r="N181"/>
    </row>
    <row r="182" spans="1:14" x14ac:dyDescent="0.35">
      <c r="A182" t="s">
        <v>817</v>
      </c>
      <c r="B182" s="85">
        <v>3907.76</v>
      </c>
      <c r="C182" s="85">
        <v>44592</v>
      </c>
      <c r="D182" s="85">
        <v>44592</v>
      </c>
      <c r="E182" s="85">
        <v>50000</v>
      </c>
      <c r="F182"/>
      <c r="G182"/>
      <c r="H182"/>
      <c r="I182"/>
      <c r="K182"/>
      <c r="L182"/>
      <c r="M182"/>
      <c r="N182"/>
    </row>
    <row r="183" spans="1:14" x14ac:dyDescent="0.35">
      <c r="A183" t="s">
        <v>822</v>
      </c>
      <c r="B183" s="85">
        <v>17035.740000000002</v>
      </c>
      <c r="C183" s="85">
        <v>70000</v>
      </c>
      <c r="D183" s="85">
        <v>70000</v>
      </c>
      <c r="E183" s="85">
        <v>168000</v>
      </c>
      <c r="F183"/>
      <c r="G183"/>
      <c r="H183"/>
      <c r="I183"/>
      <c r="K183"/>
      <c r="L183"/>
      <c r="M183"/>
      <c r="N183"/>
    </row>
    <row r="184" spans="1:14" x14ac:dyDescent="0.35">
      <c r="A184" t="s">
        <v>825</v>
      </c>
      <c r="B184" s="85">
        <v>52975.5</v>
      </c>
      <c r="C184" s="85">
        <v>197477</v>
      </c>
      <c r="D184" s="85">
        <v>197477</v>
      </c>
      <c r="E184" s="85">
        <v>549184</v>
      </c>
      <c r="F184"/>
      <c r="G184"/>
      <c r="H184"/>
      <c r="I184"/>
      <c r="K184"/>
      <c r="L184"/>
      <c r="M184"/>
      <c r="N184"/>
    </row>
    <row r="185" spans="1:14" x14ac:dyDescent="0.35">
      <c r="A185" t="s">
        <v>828</v>
      </c>
      <c r="B185" s="85">
        <v>0</v>
      </c>
      <c r="C185" s="85">
        <v>5742</v>
      </c>
      <c r="D185" s="85">
        <v>5742</v>
      </c>
      <c r="E185" s="85">
        <v>6000</v>
      </c>
      <c r="F185"/>
      <c r="G185"/>
      <c r="H185"/>
      <c r="I185"/>
      <c r="K185"/>
      <c r="L185"/>
      <c r="M185"/>
      <c r="N185"/>
    </row>
    <row r="186" spans="1:14" x14ac:dyDescent="0.35">
      <c r="A186" t="s">
        <v>835</v>
      </c>
      <c r="B186" s="85">
        <v>0</v>
      </c>
      <c r="C186" s="85">
        <v>9640</v>
      </c>
      <c r="D186" s="85">
        <v>9640</v>
      </c>
      <c r="E186" s="85">
        <v>578400</v>
      </c>
      <c r="F186"/>
      <c r="G186"/>
      <c r="H186"/>
      <c r="I186"/>
      <c r="K186"/>
      <c r="L186"/>
      <c r="M186"/>
      <c r="N186"/>
    </row>
    <row r="187" spans="1:14" x14ac:dyDescent="0.35">
      <c r="A187" t="s">
        <v>839</v>
      </c>
      <c r="B187" s="85">
        <v>77504.460000000006</v>
      </c>
      <c r="C187" s="85">
        <v>551330</v>
      </c>
      <c r="D187" s="85">
        <v>551330</v>
      </c>
      <c r="E187" s="85">
        <v>2090045.75</v>
      </c>
      <c r="F187"/>
      <c r="G187"/>
      <c r="H187"/>
      <c r="I187"/>
      <c r="K187"/>
      <c r="L187"/>
      <c r="M187"/>
      <c r="N187"/>
    </row>
    <row r="188" spans="1:14" x14ac:dyDescent="0.35">
      <c r="A188" t="s">
        <v>844</v>
      </c>
      <c r="B188" s="85">
        <v>2679.4</v>
      </c>
      <c r="C188" s="85">
        <v>16000</v>
      </c>
      <c r="D188" s="85">
        <v>16000</v>
      </c>
      <c r="E188" s="85">
        <v>20000</v>
      </c>
      <c r="F188"/>
      <c r="G188"/>
      <c r="H188"/>
      <c r="I188"/>
      <c r="K188"/>
      <c r="L188"/>
      <c r="M188"/>
      <c r="N188"/>
    </row>
    <row r="189" spans="1:14" x14ac:dyDescent="0.35">
      <c r="A189" t="s">
        <v>849</v>
      </c>
      <c r="B189" s="85">
        <v>0</v>
      </c>
      <c r="C189" s="85">
        <v>25000</v>
      </c>
      <c r="D189" s="85">
        <v>25000</v>
      </c>
      <c r="E189" s="85">
        <v>25000</v>
      </c>
      <c r="F189"/>
      <c r="G189"/>
      <c r="H189"/>
      <c r="I189"/>
      <c r="K189"/>
      <c r="L189"/>
      <c r="M189"/>
      <c r="N189"/>
    </row>
    <row r="190" spans="1:14" x14ac:dyDescent="0.35">
      <c r="A190" t="s">
        <v>851</v>
      </c>
      <c r="B190" s="85">
        <v>0</v>
      </c>
      <c r="C190" s="85">
        <v>30000</v>
      </c>
      <c r="D190" s="85">
        <v>25000</v>
      </c>
      <c r="E190" s="85">
        <v>10000</v>
      </c>
      <c r="F190"/>
      <c r="G190"/>
      <c r="H190"/>
      <c r="I190"/>
      <c r="K190"/>
      <c r="L190"/>
      <c r="M190"/>
      <c r="N190"/>
    </row>
    <row r="191" spans="1:14" x14ac:dyDescent="0.35">
      <c r="A191" t="s">
        <v>853</v>
      </c>
      <c r="B191" s="85">
        <v>30382.77</v>
      </c>
      <c r="C191" s="85">
        <v>150000</v>
      </c>
      <c r="D191" s="85">
        <v>150000</v>
      </c>
      <c r="E191" s="85">
        <v>220000</v>
      </c>
      <c r="F191"/>
      <c r="G191"/>
      <c r="H191"/>
      <c r="I191"/>
      <c r="K191"/>
      <c r="L191"/>
      <c r="M191"/>
      <c r="N191"/>
    </row>
    <row r="192" spans="1:14" x14ac:dyDescent="0.35">
      <c r="A192" t="s">
        <v>858</v>
      </c>
      <c r="B192" s="85">
        <v>0</v>
      </c>
      <c r="C192" s="85">
        <v>8500</v>
      </c>
      <c r="D192" s="85">
        <v>8500</v>
      </c>
      <c r="E192" s="85">
        <v>20000</v>
      </c>
      <c r="F192"/>
      <c r="G192"/>
      <c r="H192"/>
      <c r="I192"/>
      <c r="K192"/>
      <c r="L192"/>
      <c r="M192"/>
      <c r="N192"/>
    </row>
    <row r="193" spans="1:14" x14ac:dyDescent="0.35">
      <c r="A193" t="s">
        <v>863</v>
      </c>
      <c r="B193" s="85">
        <v>114404.74</v>
      </c>
      <c r="C193" s="85">
        <v>210200</v>
      </c>
      <c r="D193" s="85">
        <v>210200</v>
      </c>
      <c r="E193" s="85">
        <v>280200</v>
      </c>
      <c r="F193"/>
      <c r="G193"/>
      <c r="H193"/>
      <c r="I193"/>
      <c r="K193"/>
      <c r="L193"/>
      <c r="M193"/>
      <c r="N193"/>
    </row>
    <row r="194" spans="1:14" x14ac:dyDescent="0.35">
      <c r="A194" t="s">
        <v>870</v>
      </c>
      <c r="B194" s="85">
        <v>215416.78</v>
      </c>
      <c r="C194" s="85">
        <v>305000</v>
      </c>
      <c r="D194" s="85">
        <v>305000</v>
      </c>
      <c r="E194" s="85">
        <v>979000</v>
      </c>
      <c r="F194"/>
      <c r="G194"/>
      <c r="H194"/>
      <c r="I194"/>
      <c r="K194"/>
      <c r="L194"/>
      <c r="M194"/>
      <c r="N194"/>
    </row>
    <row r="195" spans="1:14" x14ac:dyDescent="0.35">
      <c r="A195" t="s">
        <v>881</v>
      </c>
      <c r="B195" s="85">
        <v>0</v>
      </c>
      <c r="C195" s="85">
        <v>10000</v>
      </c>
      <c r="D195" s="85">
        <v>10000</v>
      </c>
      <c r="E195" s="85">
        <v>10000</v>
      </c>
      <c r="F195"/>
      <c r="G195"/>
      <c r="H195"/>
      <c r="I195"/>
      <c r="K195"/>
      <c r="L195"/>
      <c r="M195"/>
      <c r="N195"/>
    </row>
    <row r="196" spans="1:14" x14ac:dyDescent="0.35">
      <c r="A196" t="s">
        <v>888</v>
      </c>
      <c r="B196" s="85">
        <v>31761.56</v>
      </c>
      <c r="C196" s="85">
        <v>50000</v>
      </c>
      <c r="D196" s="85">
        <v>50000</v>
      </c>
      <c r="E196" s="85">
        <v>90000</v>
      </c>
      <c r="F196"/>
      <c r="G196"/>
      <c r="H196"/>
      <c r="I196"/>
      <c r="K196"/>
      <c r="L196"/>
      <c r="M196"/>
      <c r="N196"/>
    </row>
    <row r="197" spans="1:14" x14ac:dyDescent="0.35">
      <c r="A197" t="s">
        <v>892</v>
      </c>
      <c r="B197" s="85">
        <v>29959.5</v>
      </c>
      <c r="C197" s="85">
        <v>100000</v>
      </c>
      <c r="D197" s="85">
        <v>100000</v>
      </c>
      <c r="E197" s="85">
        <v>110000</v>
      </c>
      <c r="F197"/>
      <c r="G197"/>
      <c r="H197"/>
      <c r="I197"/>
      <c r="K197"/>
      <c r="L197"/>
      <c r="M197"/>
      <c r="N197"/>
    </row>
    <row r="198" spans="1:14" x14ac:dyDescent="0.35">
      <c r="A198" t="s">
        <v>896</v>
      </c>
      <c r="B198" s="85">
        <v>0</v>
      </c>
      <c r="C198" s="85">
        <v>7500</v>
      </c>
      <c r="D198" s="85">
        <v>7500</v>
      </c>
      <c r="E198" s="85">
        <v>7500</v>
      </c>
      <c r="F198"/>
      <c r="G198"/>
      <c r="H198"/>
      <c r="I198"/>
      <c r="K198"/>
      <c r="L198"/>
      <c r="M198"/>
      <c r="N198"/>
    </row>
    <row r="199" spans="1:14" x14ac:dyDescent="0.35">
      <c r="A199" t="s">
        <v>897</v>
      </c>
      <c r="B199" s="85">
        <v>0</v>
      </c>
      <c r="C199" s="85">
        <v>60000</v>
      </c>
      <c r="D199" s="85">
        <v>60000</v>
      </c>
      <c r="E199" s="85">
        <v>100000</v>
      </c>
      <c r="F199"/>
      <c r="G199"/>
      <c r="H199"/>
      <c r="I199"/>
      <c r="K199"/>
      <c r="L199"/>
      <c r="M199"/>
      <c r="N199"/>
    </row>
    <row r="200" spans="1:14" x14ac:dyDescent="0.35">
      <c r="A200" t="s">
        <v>899</v>
      </c>
      <c r="B200" s="85">
        <v>0</v>
      </c>
      <c r="C200" s="85">
        <v>1446520</v>
      </c>
      <c r="D200" s="85">
        <v>1445832.28</v>
      </c>
      <c r="E200" s="85">
        <v>1969500</v>
      </c>
      <c r="F200"/>
      <c r="G200"/>
      <c r="H200"/>
      <c r="I200"/>
      <c r="K200"/>
      <c r="L200"/>
      <c r="M200"/>
      <c r="N200"/>
    </row>
    <row r="201" spans="1:14" x14ac:dyDescent="0.35">
      <c r="A201" t="s">
        <v>906</v>
      </c>
      <c r="B201" s="85"/>
      <c r="C201" s="85"/>
      <c r="D201" s="85"/>
      <c r="E201" s="85">
        <v>59500</v>
      </c>
      <c r="F201"/>
      <c r="G201"/>
      <c r="H201"/>
      <c r="I201"/>
      <c r="K201"/>
      <c r="L201"/>
      <c r="M201"/>
      <c r="N201"/>
    </row>
    <row r="202" spans="1:14" x14ac:dyDescent="0.35">
      <c r="A202" t="s">
        <v>1786</v>
      </c>
      <c r="B202" s="85">
        <v>0</v>
      </c>
      <c r="C202" s="85">
        <v>59692</v>
      </c>
      <c r="D202" s="85">
        <v>59692</v>
      </c>
      <c r="E202" s="85">
        <v>23504</v>
      </c>
      <c r="F202"/>
      <c r="G202"/>
      <c r="H202"/>
      <c r="I202"/>
      <c r="K202"/>
      <c r="L202"/>
      <c r="M202"/>
      <c r="N202"/>
    </row>
    <row r="203" spans="1:14" x14ac:dyDescent="0.35">
      <c r="A203" t="s">
        <v>1789</v>
      </c>
      <c r="B203" s="85">
        <v>109525.28</v>
      </c>
      <c r="C203" s="85">
        <v>500308</v>
      </c>
      <c r="D203" s="85">
        <v>368363</v>
      </c>
      <c r="E203" s="85">
        <v>280000</v>
      </c>
      <c r="F203"/>
      <c r="G203"/>
      <c r="H203"/>
      <c r="I203"/>
      <c r="K203"/>
      <c r="L203"/>
      <c r="M203"/>
      <c r="N203"/>
    </row>
    <row r="204" spans="1:14" x14ac:dyDescent="0.35">
      <c r="A204" t="s">
        <v>1792</v>
      </c>
      <c r="B204" s="85">
        <v>4400</v>
      </c>
      <c r="C204" s="85">
        <v>15000</v>
      </c>
      <c r="D204" s="85">
        <v>15000</v>
      </c>
      <c r="E204" s="85">
        <v>15000</v>
      </c>
      <c r="F204"/>
      <c r="G204"/>
      <c r="H204"/>
      <c r="I204"/>
      <c r="K204"/>
      <c r="L204"/>
      <c r="M204"/>
      <c r="N204"/>
    </row>
    <row r="205" spans="1:14" x14ac:dyDescent="0.35">
      <c r="A205" t="s">
        <v>1794</v>
      </c>
      <c r="B205" s="85">
        <v>0</v>
      </c>
      <c r="C205" s="85">
        <v>15000</v>
      </c>
      <c r="D205" s="85">
        <v>0</v>
      </c>
      <c r="E205" s="85">
        <v>15000</v>
      </c>
      <c r="F205"/>
      <c r="G205"/>
      <c r="H205"/>
      <c r="I205"/>
      <c r="K205"/>
      <c r="L205"/>
      <c r="M205"/>
      <c r="N205"/>
    </row>
    <row r="206" spans="1:14" x14ac:dyDescent="0.35">
      <c r="A206" t="s">
        <v>1811</v>
      </c>
      <c r="B206" s="85">
        <v>0</v>
      </c>
      <c r="C206" s="85">
        <v>0</v>
      </c>
      <c r="D206" s="85"/>
      <c r="E206" s="85">
        <v>550000</v>
      </c>
      <c r="F206"/>
      <c r="G206"/>
      <c r="H206"/>
      <c r="I206"/>
      <c r="K206"/>
      <c r="L206"/>
      <c r="M206"/>
      <c r="N206"/>
    </row>
    <row r="207" spans="1:14" x14ac:dyDescent="0.35">
      <c r="A207" t="s">
        <v>1817</v>
      </c>
      <c r="B207" s="85">
        <v>0</v>
      </c>
      <c r="C207" s="85">
        <v>0</v>
      </c>
      <c r="D207" s="85"/>
      <c r="E207" s="85">
        <v>150000</v>
      </c>
      <c r="F207"/>
      <c r="G207"/>
      <c r="H207"/>
      <c r="I207"/>
      <c r="K207"/>
      <c r="L207"/>
      <c r="M207"/>
      <c r="N207"/>
    </row>
    <row r="208" spans="1:14" x14ac:dyDescent="0.35">
      <c r="A208" t="s">
        <v>1797</v>
      </c>
      <c r="B208" s="85">
        <v>0</v>
      </c>
      <c r="C208" s="85">
        <v>41825</v>
      </c>
      <c r="D208" s="85">
        <v>41825</v>
      </c>
      <c r="E208" s="85">
        <v>50000</v>
      </c>
      <c r="F208"/>
      <c r="G208"/>
      <c r="H208"/>
      <c r="I208"/>
      <c r="K208"/>
      <c r="L208"/>
      <c r="M208"/>
      <c r="N208"/>
    </row>
    <row r="209" spans="1:14" x14ac:dyDescent="0.35">
      <c r="A209" t="s">
        <v>1799</v>
      </c>
      <c r="B209" s="85">
        <v>12539.46</v>
      </c>
      <c r="C209" s="85">
        <v>20175</v>
      </c>
      <c r="D209" s="85">
        <v>20175</v>
      </c>
      <c r="E209" s="85">
        <v>33620</v>
      </c>
      <c r="F209"/>
      <c r="G209"/>
      <c r="H209"/>
      <c r="I209"/>
      <c r="K209"/>
      <c r="L209"/>
      <c r="M209"/>
      <c r="N209"/>
    </row>
    <row r="210" spans="1:14" x14ac:dyDescent="0.35">
      <c r="A210" t="s">
        <v>1807</v>
      </c>
      <c r="B210" s="85">
        <v>65753.490000000005</v>
      </c>
      <c r="C210" s="85">
        <v>30000</v>
      </c>
      <c r="D210" s="85">
        <v>30000</v>
      </c>
      <c r="E210" s="85">
        <v>30000</v>
      </c>
      <c r="F210"/>
      <c r="G210"/>
      <c r="H210"/>
      <c r="I210"/>
      <c r="K210"/>
      <c r="L210"/>
      <c r="M210"/>
      <c r="N210"/>
    </row>
    <row r="211" spans="1:14" x14ac:dyDescent="0.35">
      <c r="A211" t="s">
        <v>1803</v>
      </c>
      <c r="B211" s="85">
        <v>152176</v>
      </c>
      <c r="C211" s="85">
        <v>200000</v>
      </c>
      <c r="D211" s="85">
        <v>200000</v>
      </c>
      <c r="E211" s="85">
        <v>200000</v>
      </c>
      <c r="F211"/>
      <c r="G211"/>
      <c r="H211"/>
      <c r="I211"/>
      <c r="K211"/>
      <c r="L211"/>
      <c r="M211"/>
      <c r="N211"/>
    </row>
    <row r="212" spans="1:14" x14ac:dyDescent="0.35">
      <c r="A212" t="s">
        <v>1823</v>
      </c>
      <c r="B212" s="85">
        <v>0</v>
      </c>
      <c r="C212" s="85">
        <v>162000</v>
      </c>
      <c r="D212" s="85">
        <v>1000</v>
      </c>
      <c r="E212" s="85">
        <v>1000</v>
      </c>
      <c r="F212"/>
      <c r="G212"/>
      <c r="H212"/>
      <c r="I212"/>
      <c r="K212"/>
      <c r="L212"/>
      <c r="M212"/>
      <c r="N212"/>
    </row>
    <row r="213" spans="1:14" x14ac:dyDescent="0.35">
      <c r="A213" t="s">
        <v>1826</v>
      </c>
      <c r="B213" s="85">
        <v>2513.17</v>
      </c>
      <c r="C213" s="85">
        <v>120000</v>
      </c>
      <c r="D213" s="85">
        <v>120000</v>
      </c>
      <c r="E213" s="85">
        <v>144000</v>
      </c>
      <c r="F213"/>
      <c r="G213"/>
      <c r="H213"/>
      <c r="I213"/>
      <c r="K213"/>
      <c r="L213"/>
      <c r="M213"/>
      <c r="N213"/>
    </row>
    <row r="214" spans="1:14" x14ac:dyDescent="0.35">
      <c r="A214" t="s">
        <v>1831</v>
      </c>
      <c r="B214" s="85">
        <v>346.48</v>
      </c>
      <c r="C214" s="85">
        <v>5600</v>
      </c>
      <c r="D214" s="85">
        <v>5600</v>
      </c>
      <c r="E214" s="85">
        <v>5600</v>
      </c>
      <c r="F214"/>
      <c r="G214"/>
      <c r="H214"/>
      <c r="I214"/>
      <c r="K214"/>
      <c r="L214"/>
      <c r="M214"/>
      <c r="N214"/>
    </row>
    <row r="215" spans="1:14" x14ac:dyDescent="0.35">
      <c r="A215" t="s">
        <v>1834</v>
      </c>
      <c r="B215" s="85">
        <v>85229</v>
      </c>
      <c r="C215" s="85">
        <v>85229</v>
      </c>
      <c r="D215" s="85">
        <v>85229</v>
      </c>
      <c r="E215" s="85">
        <v>85228</v>
      </c>
      <c r="F215"/>
      <c r="G215"/>
      <c r="H215"/>
      <c r="I215"/>
      <c r="K215"/>
      <c r="L215"/>
      <c r="M215"/>
      <c r="N215"/>
    </row>
    <row r="216" spans="1:14" x14ac:dyDescent="0.35">
      <c r="A216" t="s">
        <v>1837</v>
      </c>
      <c r="B216" s="85">
        <v>4800</v>
      </c>
      <c r="C216" s="85">
        <v>17900</v>
      </c>
      <c r="D216" s="85">
        <v>17900</v>
      </c>
      <c r="E216" s="85">
        <v>100000</v>
      </c>
      <c r="F216"/>
      <c r="G216"/>
      <c r="H216"/>
      <c r="I216"/>
      <c r="K216"/>
      <c r="L216"/>
      <c r="M216"/>
      <c r="N216"/>
    </row>
    <row r="217" spans="1:14" x14ac:dyDescent="0.35">
      <c r="A217" t="s">
        <v>1843</v>
      </c>
      <c r="B217" s="85">
        <v>0</v>
      </c>
      <c r="C217" s="85">
        <v>150000</v>
      </c>
      <c r="D217" s="85">
        <v>0</v>
      </c>
      <c r="E217" s="85">
        <v>150000</v>
      </c>
      <c r="F217"/>
      <c r="G217"/>
      <c r="H217"/>
      <c r="I217"/>
      <c r="K217"/>
      <c r="L217"/>
      <c r="M217"/>
      <c r="N217"/>
    </row>
    <row r="218" spans="1:14" x14ac:dyDescent="0.35">
      <c r="A218" t="s">
        <v>1851</v>
      </c>
      <c r="B218" s="85">
        <v>0</v>
      </c>
      <c r="C218" s="85">
        <v>50000</v>
      </c>
      <c r="D218" s="85">
        <v>30000</v>
      </c>
      <c r="E218" s="85">
        <v>50000</v>
      </c>
      <c r="F218"/>
      <c r="G218"/>
      <c r="H218"/>
      <c r="I218"/>
      <c r="K218"/>
      <c r="L218"/>
      <c r="M218"/>
      <c r="N218"/>
    </row>
    <row r="219" spans="1:14" x14ac:dyDescent="0.35">
      <c r="A219" t="s">
        <v>1847</v>
      </c>
      <c r="B219" s="85"/>
      <c r="C219" s="85">
        <v>0</v>
      </c>
      <c r="D219" s="85"/>
      <c r="E219" s="85">
        <v>100000</v>
      </c>
      <c r="F219"/>
      <c r="G219"/>
      <c r="H219"/>
      <c r="I219"/>
      <c r="K219"/>
      <c r="L219"/>
      <c r="M219"/>
      <c r="N219"/>
    </row>
    <row r="220" spans="1:14" x14ac:dyDescent="0.35">
      <c r="A220" t="s">
        <v>1860</v>
      </c>
      <c r="B220" s="85">
        <v>0</v>
      </c>
      <c r="C220" s="85">
        <v>5000</v>
      </c>
      <c r="D220" s="85">
        <v>5000</v>
      </c>
      <c r="E220" s="85">
        <v>20000</v>
      </c>
      <c r="F220"/>
      <c r="G220"/>
      <c r="H220"/>
      <c r="I220"/>
      <c r="K220"/>
      <c r="L220"/>
      <c r="M220"/>
      <c r="N220"/>
    </row>
    <row r="221" spans="1:14" x14ac:dyDescent="0.35">
      <c r="A221" t="s">
        <v>1863</v>
      </c>
      <c r="B221" s="85">
        <v>0</v>
      </c>
      <c r="C221" s="85">
        <v>80000</v>
      </c>
      <c r="D221" s="85">
        <v>75000</v>
      </c>
      <c r="E221" s="85">
        <v>104000</v>
      </c>
      <c r="F221"/>
      <c r="G221"/>
      <c r="H221"/>
      <c r="I221"/>
      <c r="K221"/>
      <c r="L221"/>
      <c r="M221"/>
      <c r="N221"/>
    </row>
    <row r="222" spans="1:14" x14ac:dyDescent="0.35">
      <c r="A222" t="s">
        <v>1872</v>
      </c>
      <c r="B222" s="85">
        <v>6028.16</v>
      </c>
      <c r="C222" s="85">
        <v>285000</v>
      </c>
      <c r="D222" s="85">
        <v>220000</v>
      </c>
      <c r="E222" s="85">
        <v>435000</v>
      </c>
      <c r="F222"/>
      <c r="G222"/>
      <c r="H222"/>
      <c r="I222"/>
      <c r="K222"/>
      <c r="L222"/>
      <c r="M222"/>
      <c r="N222"/>
    </row>
    <row r="223" spans="1:14" x14ac:dyDescent="0.35">
      <c r="A223" t="s">
        <v>1879</v>
      </c>
      <c r="B223" s="85">
        <v>0</v>
      </c>
      <c r="C223" s="85">
        <v>140000</v>
      </c>
      <c r="D223" s="85">
        <v>0</v>
      </c>
      <c r="E223" s="85">
        <v>376000</v>
      </c>
      <c r="F223"/>
      <c r="G223"/>
      <c r="H223"/>
      <c r="I223"/>
      <c r="K223"/>
      <c r="L223"/>
      <c r="M223"/>
      <c r="N223"/>
    </row>
    <row r="224" spans="1:14" x14ac:dyDescent="0.35">
      <c r="A224" t="s">
        <v>1885</v>
      </c>
      <c r="B224" s="85">
        <v>35235.129999999997</v>
      </c>
      <c r="C224" s="85">
        <v>229511</v>
      </c>
      <c r="D224" s="85">
        <v>165000</v>
      </c>
      <c r="E224" s="85">
        <v>194962</v>
      </c>
      <c r="F224"/>
      <c r="G224"/>
      <c r="H224"/>
      <c r="I224"/>
      <c r="K224"/>
      <c r="L224"/>
      <c r="M224"/>
      <c r="N224"/>
    </row>
    <row r="225" spans="1:14" x14ac:dyDescent="0.35">
      <c r="A225" t="s">
        <v>1858</v>
      </c>
      <c r="B225" s="85"/>
      <c r="C225" s="85"/>
      <c r="D225" s="85"/>
      <c r="E225" s="85">
        <v>10000</v>
      </c>
      <c r="F225"/>
      <c r="G225"/>
      <c r="H225"/>
      <c r="I225"/>
      <c r="K225"/>
      <c r="L225"/>
      <c r="M225"/>
      <c r="N225"/>
    </row>
    <row r="226" spans="1:14" x14ac:dyDescent="0.35">
      <c r="A226" t="s">
        <v>1854</v>
      </c>
      <c r="B226" s="85"/>
      <c r="C226" s="85"/>
      <c r="D226" s="85"/>
      <c r="E226" s="85">
        <v>3000</v>
      </c>
      <c r="F226"/>
      <c r="G226"/>
      <c r="H226"/>
      <c r="I226"/>
      <c r="K226"/>
      <c r="L226"/>
      <c r="M226"/>
      <c r="N226"/>
    </row>
    <row r="227" spans="1:14" x14ac:dyDescent="0.35">
      <c r="A227" t="s">
        <v>1897</v>
      </c>
      <c r="B227" s="85">
        <v>0</v>
      </c>
      <c r="C227" s="85">
        <v>15000</v>
      </c>
      <c r="D227" s="85">
        <v>10000</v>
      </c>
      <c r="E227" s="85">
        <v>20000</v>
      </c>
      <c r="F227"/>
      <c r="G227"/>
      <c r="H227"/>
      <c r="I227"/>
      <c r="K227"/>
      <c r="L227"/>
      <c r="M227"/>
      <c r="N227"/>
    </row>
    <row r="228" spans="1:14" x14ac:dyDescent="0.35">
      <c r="A228" t="s">
        <v>1900</v>
      </c>
      <c r="B228" s="85">
        <v>85887.1</v>
      </c>
      <c r="C228" s="85">
        <v>301000</v>
      </c>
      <c r="D228" s="85">
        <v>300000</v>
      </c>
      <c r="E228" s="85">
        <v>980000</v>
      </c>
      <c r="F228"/>
      <c r="G228"/>
      <c r="H228"/>
      <c r="I228"/>
      <c r="K228"/>
      <c r="L228"/>
      <c r="M228"/>
      <c r="N228"/>
    </row>
    <row r="229" spans="1:14" x14ac:dyDescent="0.35">
      <c r="A229" t="s">
        <v>1910</v>
      </c>
      <c r="B229" s="85">
        <v>15797.82</v>
      </c>
      <c r="C229" s="85">
        <v>70000</v>
      </c>
      <c r="D229" s="85">
        <v>50000</v>
      </c>
      <c r="E229" s="85">
        <v>180000</v>
      </c>
      <c r="F229"/>
      <c r="G229"/>
      <c r="H229"/>
      <c r="I229"/>
      <c r="K229"/>
      <c r="L229"/>
      <c r="M229"/>
      <c r="N229"/>
    </row>
    <row r="230" spans="1:14" x14ac:dyDescent="0.35">
      <c r="A230" t="s">
        <v>1913</v>
      </c>
      <c r="B230" s="85">
        <v>146217.29999999999</v>
      </c>
      <c r="C230" s="85">
        <v>525000</v>
      </c>
      <c r="D230" s="85">
        <v>500000</v>
      </c>
      <c r="E230" s="85">
        <v>1200000</v>
      </c>
      <c r="F230"/>
      <c r="G230"/>
      <c r="H230"/>
      <c r="I230"/>
      <c r="K230"/>
      <c r="L230"/>
      <c r="M230"/>
      <c r="N230"/>
    </row>
    <row r="231" spans="1:14" x14ac:dyDescent="0.35">
      <c r="A231" t="s">
        <v>1924</v>
      </c>
      <c r="B231" s="85">
        <v>751050</v>
      </c>
      <c r="C231" s="85">
        <v>1891417</v>
      </c>
      <c r="D231" s="85">
        <v>1891400</v>
      </c>
      <c r="E231" s="85">
        <v>3386780</v>
      </c>
      <c r="F231"/>
      <c r="G231"/>
      <c r="H231"/>
      <c r="I231"/>
      <c r="K231"/>
      <c r="L231"/>
      <c r="M231"/>
      <c r="N231"/>
    </row>
    <row r="232" spans="1:14" x14ac:dyDescent="0.35">
      <c r="A232" t="s">
        <v>1944</v>
      </c>
      <c r="B232" s="85">
        <v>0</v>
      </c>
      <c r="C232" s="85">
        <v>45000</v>
      </c>
      <c r="D232" s="85"/>
      <c r="E232" s="85">
        <v>290000</v>
      </c>
      <c r="F232"/>
      <c r="G232"/>
      <c r="H232"/>
      <c r="I232"/>
      <c r="K232"/>
      <c r="L232"/>
      <c r="M232"/>
      <c r="N232"/>
    </row>
    <row r="233" spans="1:14" x14ac:dyDescent="0.35">
      <c r="A233" t="s">
        <v>1947</v>
      </c>
      <c r="B233" s="85">
        <v>0</v>
      </c>
      <c r="C233" s="85">
        <v>225000</v>
      </c>
      <c r="D233" s="85"/>
      <c r="E233" s="85">
        <v>247500</v>
      </c>
      <c r="F233"/>
      <c r="G233"/>
      <c r="H233"/>
      <c r="I233"/>
      <c r="K233"/>
      <c r="L233"/>
      <c r="M233"/>
      <c r="N233"/>
    </row>
    <row r="234" spans="1:14" x14ac:dyDescent="0.35">
      <c r="A234" t="s">
        <v>1949</v>
      </c>
      <c r="B234" s="85">
        <v>717</v>
      </c>
      <c r="C234" s="85">
        <v>60000</v>
      </c>
      <c r="D234" s="85"/>
      <c r="E234" s="85">
        <v>67500</v>
      </c>
      <c r="F234"/>
      <c r="G234"/>
      <c r="H234"/>
      <c r="I234"/>
      <c r="K234"/>
      <c r="L234"/>
      <c r="M234"/>
      <c r="N234"/>
    </row>
    <row r="235" spans="1:14" x14ac:dyDescent="0.35">
      <c r="A235" t="s">
        <v>1951</v>
      </c>
      <c r="B235" s="85">
        <v>0</v>
      </c>
      <c r="C235" s="85">
        <v>10116</v>
      </c>
      <c r="D235" s="85"/>
      <c r="E235" s="85">
        <v>145000</v>
      </c>
      <c r="F235"/>
      <c r="G235"/>
      <c r="H235"/>
      <c r="I235"/>
      <c r="K235"/>
      <c r="L235"/>
      <c r="M235"/>
      <c r="N235"/>
    </row>
    <row r="236" spans="1:14" x14ac:dyDescent="0.35">
      <c r="A236" t="s">
        <v>1954</v>
      </c>
      <c r="B236" s="85">
        <v>0</v>
      </c>
      <c r="C236" s="85">
        <v>212000</v>
      </c>
      <c r="D236" s="85"/>
      <c r="E236" s="85">
        <v>200000</v>
      </c>
      <c r="F236"/>
      <c r="G236"/>
      <c r="H236"/>
      <c r="I236"/>
      <c r="K236"/>
      <c r="L236"/>
      <c r="M236"/>
      <c r="N236"/>
    </row>
    <row r="237" spans="1:14" x14ac:dyDescent="0.35">
      <c r="A237" t="s">
        <v>1956</v>
      </c>
      <c r="B237" s="85">
        <v>0</v>
      </c>
      <c r="C237" s="85">
        <v>128000</v>
      </c>
      <c r="D237" s="85"/>
      <c r="E237" s="85">
        <v>128000</v>
      </c>
      <c r="F237"/>
      <c r="G237"/>
      <c r="H237"/>
      <c r="I237"/>
      <c r="K237"/>
      <c r="L237"/>
      <c r="M237"/>
      <c r="N237"/>
    </row>
    <row r="238" spans="1:14" x14ac:dyDescent="0.35">
      <c r="A238" t="s">
        <v>1958</v>
      </c>
      <c r="B238" s="85">
        <v>31871.4</v>
      </c>
      <c r="C238" s="85">
        <v>120000</v>
      </c>
      <c r="D238" s="85"/>
      <c r="E238" s="85">
        <v>150000</v>
      </c>
      <c r="F238"/>
      <c r="G238"/>
      <c r="H238"/>
      <c r="I238"/>
      <c r="K238"/>
      <c r="L238"/>
      <c r="M238"/>
      <c r="N238"/>
    </row>
    <row r="239" spans="1:14" x14ac:dyDescent="0.35">
      <c r="A239" t="s">
        <v>1960</v>
      </c>
      <c r="B239" s="85">
        <v>227.28</v>
      </c>
      <c r="C239" s="85">
        <v>551566</v>
      </c>
      <c r="D239" s="85"/>
      <c r="E239" s="85">
        <v>854700</v>
      </c>
      <c r="F239"/>
      <c r="G239"/>
      <c r="H239"/>
      <c r="I239"/>
      <c r="K239"/>
      <c r="L239"/>
      <c r="M239"/>
      <c r="N239"/>
    </row>
    <row r="240" spans="1:14" x14ac:dyDescent="0.35">
      <c r="A240" t="s">
        <v>1967</v>
      </c>
      <c r="B240" s="85">
        <v>0</v>
      </c>
      <c r="C240" s="85">
        <v>151348</v>
      </c>
      <c r="D240" s="85"/>
      <c r="E240" s="85">
        <v>800000</v>
      </c>
      <c r="F240"/>
      <c r="G240"/>
      <c r="H240"/>
      <c r="I240"/>
      <c r="K240"/>
      <c r="L240"/>
      <c r="M240"/>
      <c r="N240"/>
    </row>
    <row r="241" spans="1:14" x14ac:dyDescent="0.35">
      <c r="A241" t="s">
        <v>1969</v>
      </c>
      <c r="B241" s="85">
        <v>1788235.67</v>
      </c>
      <c r="C241" s="85">
        <v>1551340</v>
      </c>
      <c r="D241" s="85"/>
      <c r="E241" s="85">
        <v>2235000</v>
      </c>
      <c r="F241"/>
      <c r="G241"/>
      <c r="H241"/>
      <c r="I241"/>
      <c r="K241"/>
      <c r="L241"/>
      <c r="M241"/>
      <c r="N241"/>
    </row>
    <row r="242" spans="1:14" x14ac:dyDescent="0.35">
      <c r="A242" t="s">
        <v>1975</v>
      </c>
      <c r="B242" s="85">
        <v>0</v>
      </c>
      <c r="C242" s="85">
        <v>8500</v>
      </c>
      <c r="D242" s="85">
        <v>8500</v>
      </c>
      <c r="E242" s="85">
        <v>8500</v>
      </c>
      <c r="F242"/>
      <c r="G242"/>
      <c r="H242"/>
      <c r="I242"/>
      <c r="K242"/>
      <c r="L242"/>
      <c r="M242"/>
      <c r="N242"/>
    </row>
    <row r="243" spans="1:14" x14ac:dyDescent="0.35">
      <c r="A243" t="s">
        <v>1978</v>
      </c>
      <c r="B243" s="85">
        <v>-3393</v>
      </c>
      <c r="C243" s="85">
        <v>373425</v>
      </c>
      <c r="D243" s="85">
        <v>150000</v>
      </c>
      <c r="E243" s="85">
        <v>373425</v>
      </c>
      <c r="F243"/>
      <c r="G243"/>
      <c r="H243"/>
      <c r="I243"/>
      <c r="K243"/>
      <c r="L243"/>
      <c r="M243"/>
      <c r="N243"/>
    </row>
    <row r="244" spans="1:14" x14ac:dyDescent="0.35">
      <c r="A244" t="s">
        <v>1981</v>
      </c>
      <c r="B244" s="85">
        <v>0</v>
      </c>
      <c r="C244" s="85">
        <v>12000</v>
      </c>
      <c r="D244" s="85">
        <v>12000</v>
      </c>
      <c r="E244" s="85">
        <v>12000</v>
      </c>
      <c r="F244"/>
      <c r="G244"/>
      <c r="H244"/>
      <c r="I244"/>
      <c r="K244"/>
      <c r="L244"/>
      <c r="M244"/>
      <c r="N244"/>
    </row>
    <row r="245" spans="1:14" x14ac:dyDescent="0.35">
      <c r="A245" t="s">
        <v>1984</v>
      </c>
      <c r="B245" s="85">
        <v>21822.22</v>
      </c>
      <c r="C245" s="85">
        <v>26152</v>
      </c>
      <c r="D245" s="85">
        <v>26152</v>
      </c>
      <c r="E245" s="85">
        <v>26152</v>
      </c>
      <c r="F245"/>
      <c r="G245"/>
      <c r="H245"/>
      <c r="I245"/>
      <c r="K245"/>
      <c r="L245"/>
      <c r="M245"/>
      <c r="N245"/>
    </row>
    <row r="246" spans="1:14" x14ac:dyDescent="0.35">
      <c r="A246" t="s">
        <v>1987</v>
      </c>
      <c r="B246" s="85">
        <v>0</v>
      </c>
      <c r="C246" s="85">
        <v>1575</v>
      </c>
      <c r="D246" s="85">
        <v>1575</v>
      </c>
      <c r="E246" s="85">
        <v>1575</v>
      </c>
      <c r="F246"/>
      <c r="G246"/>
      <c r="H246"/>
      <c r="I246"/>
      <c r="K246"/>
      <c r="L246"/>
      <c r="M246"/>
      <c r="N246"/>
    </row>
    <row r="247" spans="1:14" x14ac:dyDescent="0.35">
      <c r="A247" t="s">
        <v>1990</v>
      </c>
      <c r="B247" s="85">
        <v>0</v>
      </c>
      <c r="C247" s="85">
        <v>84600</v>
      </c>
      <c r="D247" s="85">
        <v>42000</v>
      </c>
      <c r="E247" s="85">
        <v>84600</v>
      </c>
      <c r="F247"/>
      <c r="G247"/>
      <c r="H247"/>
      <c r="I247"/>
      <c r="K247"/>
      <c r="L247"/>
      <c r="M247"/>
      <c r="N247"/>
    </row>
    <row r="248" spans="1:14" x14ac:dyDescent="0.35">
      <c r="A248" t="s">
        <v>1994</v>
      </c>
      <c r="B248" s="85"/>
      <c r="C248" s="85"/>
      <c r="D248" s="85"/>
      <c r="E248" s="85">
        <v>100000</v>
      </c>
      <c r="F248"/>
      <c r="G248"/>
      <c r="H248"/>
      <c r="I248"/>
      <c r="K248"/>
      <c r="L248"/>
      <c r="M248"/>
      <c r="N248"/>
    </row>
    <row r="249" spans="1:14" x14ac:dyDescent="0.35">
      <c r="A249" t="s">
        <v>1995</v>
      </c>
      <c r="B249" s="85"/>
      <c r="C249" s="85"/>
      <c r="D249" s="85"/>
      <c r="E249" s="85">
        <v>30000</v>
      </c>
      <c r="F249"/>
      <c r="G249"/>
      <c r="H249"/>
      <c r="I249"/>
      <c r="K249"/>
      <c r="L249"/>
      <c r="M249"/>
      <c r="N249"/>
    </row>
    <row r="250" spans="1:14" x14ac:dyDescent="0.35">
      <c r="A250" t="s">
        <v>2000</v>
      </c>
      <c r="B250" s="85"/>
      <c r="C250" s="85"/>
      <c r="D250" s="85"/>
      <c r="E250" s="85">
        <v>30000</v>
      </c>
      <c r="F250"/>
      <c r="G250"/>
      <c r="H250"/>
      <c r="I250"/>
      <c r="K250"/>
      <c r="L250"/>
      <c r="M250"/>
      <c r="N250"/>
    </row>
    <row r="251" spans="1:14" x14ac:dyDescent="0.35">
      <c r="A251" t="s">
        <v>1998</v>
      </c>
      <c r="B251" s="85"/>
      <c r="C251" s="85"/>
      <c r="D251" s="85"/>
      <c r="E251" s="85">
        <v>35000</v>
      </c>
      <c r="F251"/>
      <c r="G251"/>
      <c r="H251"/>
      <c r="I251"/>
      <c r="K251"/>
      <c r="L251"/>
      <c r="M251"/>
      <c r="N251"/>
    </row>
    <row r="252" spans="1:14" x14ac:dyDescent="0.35">
      <c r="A252" t="s">
        <v>2002</v>
      </c>
      <c r="B252" s="85">
        <v>0</v>
      </c>
      <c r="C252" s="85">
        <v>560000</v>
      </c>
      <c r="D252" s="85">
        <v>560000</v>
      </c>
      <c r="E252" s="85">
        <v>560000</v>
      </c>
      <c r="F252"/>
      <c r="G252"/>
      <c r="H252"/>
      <c r="I252"/>
      <c r="K252"/>
      <c r="L252"/>
      <c r="M252"/>
      <c r="N252"/>
    </row>
    <row r="253" spans="1:14" x14ac:dyDescent="0.35">
      <c r="A253" t="s">
        <v>2006</v>
      </c>
      <c r="B253" s="85">
        <v>0</v>
      </c>
      <c r="C253" s="85">
        <v>150000</v>
      </c>
      <c r="D253" s="85">
        <v>150000</v>
      </c>
      <c r="E253" s="85">
        <v>150000</v>
      </c>
      <c r="F253"/>
      <c r="G253"/>
      <c r="H253"/>
      <c r="I253"/>
      <c r="K253"/>
      <c r="L253"/>
      <c r="M253"/>
      <c r="N253"/>
    </row>
    <row r="254" spans="1:14" x14ac:dyDescent="0.35">
      <c r="A254" t="s">
        <v>2009</v>
      </c>
      <c r="B254" s="85">
        <v>0</v>
      </c>
      <c r="C254" s="85">
        <v>280000</v>
      </c>
      <c r="D254" s="85">
        <v>280000</v>
      </c>
      <c r="E254" s="85">
        <v>280000</v>
      </c>
      <c r="F254"/>
      <c r="G254"/>
      <c r="H254"/>
      <c r="I254"/>
      <c r="K254"/>
      <c r="L254"/>
      <c r="M254"/>
      <c r="N254"/>
    </row>
    <row r="255" spans="1:14" x14ac:dyDescent="0.35">
      <c r="A255" t="s">
        <v>2013</v>
      </c>
      <c r="B255" s="85">
        <v>0</v>
      </c>
      <c r="C255" s="85">
        <v>10000</v>
      </c>
      <c r="D255" s="85">
        <v>10000</v>
      </c>
      <c r="E255" s="85">
        <v>10000</v>
      </c>
      <c r="F255"/>
      <c r="G255"/>
      <c r="H255"/>
      <c r="I255"/>
      <c r="K255"/>
      <c r="L255"/>
      <c r="M255"/>
      <c r="N255"/>
    </row>
    <row r="256" spans="1:14" x14ac:dyDescent="0.35">
      <c r="A256" t="s">
        <v>2017</v>
      </c>
      <c r="B256" s="85">
        <v>0</v>
      </c>
      <c r="C256" s="85">
        <v>225000</v>
      </c>
      <c r="D256" s="85">
        <v>225000</v>
      </c>
      <c r="E256" s="85">
        <v>225000</v>
      </c>
      <c r="F256"/>
      <c r="G256"/>
      <c r="H256"/>
      <c r="I256"/>
      <c r="K256"/>
      <c r="L256"/>
      <c r="M256"/>
      <c r="N256"/>
    </row>
    <row r="257" spans="1:14" x14ac:dyDescent="0.35">
      <c r="A257" t="s">
        <v>2021</v>
      </c>
      <c r="B257" s="85">
        <v>0</v>
      </c>
      <c r="C257" s="85">
        <v>225000</v>
      </c>
      <c r="D257" s="85">
        <v>225000</v>
      </c>
      <c r="E257" s="85">
        <v>225000</v>
      </c>
      <c r="F257"/>
      <c r="G257"/>
      <c r="H257"/>
      <c r="I257"/>
      <c r="K257"/>
      <c r="L257"/>
      <c r="M257"/>
      <c r="N257"/>
    </row>
    <row r="258" spans="1:14" x14ac:dyDescent="0.35">
      <c r="A258" t="s">
        <v>2025</v>
      </c>
      <c r="B258" s="85">
        <v>0</v>
      </c>
      <c r="C258" s="85">
        <v>750000</v>
      </c>
      <c r="D258" s="85">
        <v>750000</v>
      </c>
      <c r="E258" s="85">
        <v>750000</v>
      </c>
      <c r="F258"/>
      <c r="G258"/>
      <c r="H258"/>
      <c r="I258"/>
      <c r="K258"/>
      <c r="L258"/>
      <c r="M258"/>
      <c r="N258"/>
    </row>
    <row r="259" spans="1:14" x14ac:dyDescent="0.35">
      <c r="A259" t="s">
        <v>2028</v>
      </c>
      <c r="B259" s="85">
        <v>16120.02</v>
      </c>
      <c r="C259" s="85">
        <v>300000</v>
      </c>
      <c r="D259" s="85">
        <v>300000</v>
      </c>
      <c r="E259" s="85">
        <v>300000</v>
      </c>
      <c r="F259"/>
      <c r="G259"/>
      <c r="H259"/>
      <c r="I259"/>
      <c r="K259"/>
      <c r="L259"/>
      <c r="M259"/>
      <c r="N259"/>
    </row>
    <row r="260" spans="1:14" x14ac:dyDescent="0.35">
      <c r="A260" t="s">
        <v>2032</v>
      </c>
      <c r="B260" s="85">
        <v>0</v>
      </c>
      <c r="C260" s="85">
        <v>24000</v>
      </c>
      <c r="D260" s="85">
        <v>24000</v>
      </c>
      <c r="E260" s="85">
        <v>24000</v>
      </c>
      <c r="F260"/>
      <c r="G260"/>
      <c r="H260"/>
      <c r="I260"/>
      <c r="K260"/>
      <c r="L260"/>
      <c r="M260"/>
      <c r="N260"/>
    </row>
    <row r="261" spans="1:14" x14ac:dyDescent="0.35">
      <c r="A261" t="s">
        <v>2035</v>
      </c>
      <c r="B261" s="85">
        <v>6398.78</v>
      </c>
      <c r="C261" s="85">
        <v>120000</v>
      </c>
      <c r="D261" s="85">
        <v>120000</v>
      </c>
      <c r="E261" s="85">
        <v>120000</v>
      </c>
      <c r="F261"/>
      <c r="G261"/>
      <c r="H261"/>
      <c r="I261"/>
      <c r="K261"/>
      <c r="L261"/>
      <c r="M261"/>
      <c r="N261"/>
    </row>
    <row r="262" spans="1:14" x14ac:dyDescent="0.35">
      <c r="A262" t="s">
        <v>2039</v>
      </c>
      <c r="B262" s="85">
        <v>0</v>
      </c>
      <c r="C262" s="85">
        <v>15000</v>
      </c>
      <c r="D262" s="85">
        <v>15000</v>
      </c>
      <c r="E262" s="85">
        <v>15000</v>
      </c>
      <c r="F262"/>
      <c r="G262"/>
      <c r="H262"/>
      <c r="I262"/>
      <c r="K262"/>
      <c r="L262"/>
      <c r="M262"/>
      <c r="N262"/>
    </row>
    <row r="263" spans="1:14" x14ac:dyDescent="0.35">
      <c r="A263" t="s">
        <v>2041</v>
      </c>
      <c r="B263" s="85">
        <v>0</v>
      </c>
      <c r="C263" s="85">
        <v>225000</v>
      </c>
      <c r="D263" s="85">
        <v>225000</v>
      </c>
      <c r="E263" s="85">
        <v>225000</v>
      </c>
      <c r="F263"/>
      <c r="G263"/>
      <c r="H263"/>
      <c r="I263"/>
      <c r="K263"/>
      <c r="L263"/>
      <c r="M263"/>
      <c r="N263"/>
    </row>
    <row r="264" spans="1:14" x14ac:dyDescent="0.35">
      <c r="A264" t="s">
        <v>2045</v>
      </c>
      <c r="B264" s="85">
        <v>0</v>
      </c>
      <c r="C264" s="85">
        <v>100000</v>
      </c>
      <c r="D264" s="85">
        <v>100000</v>
      </c>
      <c r="E264" s="85">
        <v>100000</v>
      </c>
      <c r="F264"/>
      <c r="G264"/>
      <c r="H264"/>
      <c r="I264"/>
      <c r="K264"/>
      <c r="L264"/>
      <c r="M264"/>
      <c r="N264"/>
    </row>
    <row r="265" spans="1:14" x14ac:dyDescent="0.35">
      <c r="A265" t="s">
        <v>2049</v>
      </c>
      <c r="B265" s="85">
        <v>0</v>
      </c>
      <c r="C265" s="85">
        <v>120000</v>
      </c>
      <c r="D265" s="85">
        <v>120000</v>
      </c>
      <c r="E265" s="85">
        <v>120000</v>
      </c>
      <c r="F265"/>
      <c r="G265"/>
      <c r="H265"/>
      <c r="I265"/>
      <c r="K265"/>
      <c r="L265"/>
      <c r="M265"/>
      <c r="N265"/>
    </row>
    <row r="266" spans="1:14" x14ac:dyDescent="0.35">
      <c r="A266" t="s">
        <v>2052</v>
      </c>
      <c r="B266" s="85">
        <v>11000.64</v>
      </c>
      <c r="C266" s="85">
        <v>40000</v>
      </c>
      <c r="D266" s="85">
        <v>40000</v>
      </c>
      <c r="E266" s="85">
        <v>40000</v>
      </c>
      <c r="F266"/>
      <c r="G266"/>
      <c r="H266"/>
      <c r="I266"/>
      <c r="K266"/>
      <c r="L266"/>
      <c r="M266"/>
      <c r="N266"/>
    </row>
    <row r="267" spans="1:14" x14ac:dyDescent="0.35">
      <c r="A267" t="s">
        <v>2054</v>
      </c>
      <c r="B267" s="85">
        <v>0</v>
      </c>
      <c r="C267" s="85">
        <v>22500</v>
      </c>
      <c r="D267" s="85">
        <v>22500</v>
      </c>
      <c r="E267" s="85">
        <v>22500</v>
      </c>
      <c r="F267"/>
      <c r="G267"/>
      <c r="H267"/>
      <c r="I267"/>
      <c r="K267"/>
      <c r="L267"/>
      <c r="M267"/>
      <c r="N267"/>
    </row>
    <row r="268" spans="1:14" x14ac:dyDescent="0.35">
      <c r="A268" t="s">
        <v>2087</v>
      </c>
      <c r="B268" s="85"/>
      <c r="C268" s="85">
        <v>0</v>
      </c>
      <c r="D268" s="85"/>
      <c r="E268" s="85">
        <v>200000</v>
      </c>
      <c r="F268"/>
      <c r="G268"/>
      <c r="H268"/>
      <c r="I268"/>
      <c r="K268"/>
      <c r="L268"/>
      <c r="M268"/>
      <c r="N268"/>
    </row>
    <row r="269" spans="1:14" x14ac:dyDescent="0.35">
      <c r="A269" t="s">
        <v>2057</v>
      </c>
      <c r="B269" s="85">
        <v>0</v>
      </c>
      <c r="C269" s="85">
        <v>150000</v>
      </c>
      <c r="D269" s="85">
        <v>150000</v>
      </c>
      <c r="E269" s="85">
        <v>100000</v>
      </c>
      <c r="F269"/>
      <c r="G269"/>
      <c r="H269"/>
      <c r="I269"/>
      <c r="K269"/>
      <c r="L269"/>
      <c r="M269"/>
      <c r="N269"/>
    </row>
    <row r="270" spans="1:14" x14ac:dyDescent="0.35">
      <c r="A270" t="s">
        <v>2090</v>
      </c>
      <c r="B270" s="85">
        <v>0</v>
      </c>
      <c r="C270" s="85">
        <v>0</v>
      </c>
      <c r="D270" s="85"/>
      <c r="E270" s="85">
        <v>300000</v>
      </c>
      <c r="F270"/>
      <c r="G270"/>
      <c r="H270"/>
      <c r="I270"/>
      <c r="K270"/>
      <c r="L270"/>
      <c r="M270"/>
      <c r="N270"/>
    </row>
    <row r="271" spans="1:14" x14ac:dyDescent="0.35">
      <c r="A271" t="s">
        <v>2062</v>
      </c>
      <c r="B271" s="85">
        <v>0</v>
      </c>
      <c r="C271" s="85">
        <v>18350</v>
      </c>
      <c r="D271" s="85">
        <v>18350</v>
      </c>
      <c r="E271" s="85">
        <v>36730</v>
      </c>
      <c r="F271"/>
      <c r="G271"/>
      <c r="H271"/>
      <c r="I271"/>
      <c r="K271"/>
      <c r="L271"/>
      <c r="M271"/>
      <c r="N271"/>
    </row>
    <row r="272" spans="1:14" x14ac:dyDescent="0.35">
      <c r="A272" t="s">
        <v>2065</v>
      </c>
      <c r="B272" s="85">
        <v>0</v>
      </c>
      <c r="C272" s="85">
        <v>36630</v>
      </c>
      <c r="D272" s="85">
        <v>15000</v>
      </c>
      <c r="E272" s="85">
        <v>106850</v>
      </c>
      <c r="F272"/>
      <c r="G272"/>
      <c r="H272"/>
      <c r="I272"/>
      <c r="K272"/>
      <c r="L272"/>
      <c r="M272"/>
      <c r="N272"/>
    </row>
    <row r="273" spans="1:14" x14ac:dyDescent="0.35">
      <c r="A273" t="s">
        <v>2068</v>
      </c>
      <c r="B273" s="85">
        <v>0</v>
      </c>
      <c r="C273" s="85">
        <v>7590</v>
      </c>
      <c r="D273" s="85">
        <v>5000</v>
      </c>
      <c r="E273" s="85">
        <v>10000</v>
      </c>
      <c r="F273"/>
      <c r="G273"/>
      <c r="H273"/>
      <c r="I273"/>
      <c r="K273"/>
      <c r="L273"/>
      <c r="M273"/>
      <c r="N273"/>
    </row>
    <row r="274" spans="1:14" x14ac:dyDescent="0.35">
      <c r="A274" t="s">
        <v>2070</v>
      </c>
      <c r="B274" s="85">
        <v>6600.06</v>
      </c>
      <c r="C274" s="85">
        <v>570000</v>
      </c>
      <c r="D274" s="85">
        <v>400000</v>
      </c>
      <c r="E274" s="85">
        <v>600000</v>
      </c>
      <c r="F274"/>
      <c r="G274"/>
      <c r="H274"/>
      <c r="I274"/>
      <c r="K274"/>
      <c r="L274"/>
      <c r="M274"/>
      <c r="N274"/>
    </row>
    <row r="275" spans="1:14" x14ac:dyDescent="0.35">
      <c r="A275" t="s">
        <v>2084</v>
      </c>
      <c r="B275" s="85">
        <v>0</v>
      </c>
      <c r="C275" s="85">
        <v>0</v>
      </c>
      <c r="D275" s="85"/>
      <c r="E275" s="85">
        <v>120000</v>
      </c>
      <c r="F275"/>
      <c r="G275"/>
      <c r="H275"/>
      <c r="I275"/>
      <c r="K275"/>
      <c r="L275"/>
      <c r="M275"/>
      <c r="N275"/>
    </row>
    <row r="276" spans="1:14" x14ac:dyDescent="0.35">
      <c r="A276" t="s">
        <v>2075</v>
      </c>
      <c r="B276" s="85">
        <v>53832</v>
      </c>
      <c r="C276" s="85">
        <v>37650</v>
      </c>
      <c r="D276" s="85">
        <v>53832</v>
      </c>
      <c r="E276" s="85">
        <v>25000</v>
      </c>
      <c r="F276"/>
      <c r="G276"/>
      <c r="H276"/>
      <c r="I276"/>
      <c r="K276"/>
      <c r="L276"/>
      <c r="M276"/>
      <c r="N276"/>
    </row>
    <row r="277" spans="1:14" x14ac:dyDescent="0.35">
      <c r="A277" t="s">
        <v>2081</v>
      </c>
      <c r="B277" s="85">
        <v>0</v>
      </c>
      <c r="C277" s="85">
        <v>0</v>
      </c>
      <c r="D277" s="85"/>
      <c r="E277" s="85">
        <v>12576</v>
      </c>
      <c r="F277"/>
      <c r="G277"/>
      <c r="H277"/>
      <c r="I277"/>
      <c r="K277"/>
      <c r="L277"/>
      <c r="M277"/>
      <c r="N277"/>
    </row>
    <row r="278" spans="1:14" x14ac:dyDescent="0.35">
      <c r="A278" t="s">
        <v>2078</v>
      </c>
      <c r="B278" s="85">
        <v>0</v>
      </c>
      <c r="C278" s="85">
        <v>600000</v>
      </c>
      <c r="D278" s="85">
        <v>500000</v>
      </c>
      <c r="E278" s="85">
        <v>675000</v>
      </c>
      <c r="F278"/>
      <c r="G278"/>
      <c r="H278"/>
      <c r="I278"/>
      <c r="K278"/>
      <c r="L278"/>
      <c r="M278"/>
      <c r="N278"/>
    </row>
    <row r="279" spans="1:14" x14ac:dyDescent="0.35">
      <c r="A279" t="s">
        <v>2094</v>
      </c>
      <c r="B279" s="85">
        <v>0</v>
      </c>
      <c r="C279" s="85">
        <v>0</v>
      </c>
      <c r="D279" s="85"/>
      <c r="E279" s="85">
        <v>1140000</v>
      </c>
      <c r="F279"/>
      <c r="G279"/>
      <c r="H279"/>
      <c r="I279"/>
      <c r="K279"/>
      <c r="L279"/>
      <c r="M279"/>
      <c r="N279"/>
    </row>
    <row r="280" spans="1:14" x14ac:dyDescent="0.35">
      <c r="A280" t="s">
        <v>2101</v>
      </c>
      <c r="B280" s="85">
        <v>40740</v>
      </c>
      <c r="C280" s="85">
        <v>500000</v>
      </c>
      <c r="D280" s="85"/>
      <c r="E280" s="85">
        <v>500000</v>
      </c>
      <c r="F280"/>
      <c r="G280"/>
      <c r="H280"/>
      <c r="I280"/>
      <c r="K280"/>
      <c r="L280"/>
      <c r="M280"/>
      <c r="N280"/>
    </row>
    <row r="281" spans="1:14" x14ac:dyDescent="0.35">
      <c r="A281" t="s">
        <v>2104</v>
      </c>
      <c r="B281" s="85">
        <v>0</v>
      </c>
      <c r="C281" s="85">
        <v>180000</v>
      </c>
      <c r="D281" s="85"/>
      <c r="E281" s="85">
        <v>210000</v>
      </c>
      <c r="F281"/>
      <c r="G281"/>
      <c r="H281"/>
      <c r="I281"/>
      <c r="K281"/>
      <c r="L281"/>
      <c r="M281"/>
      <c r="N281"/>
    </row>
    <row r="282" spans="1:14" x14ac:dyDescent="0.35">
      <c r="A282" t="s">
        <v>2107</v>
      </c>
      <c r="B282" s="85">
        <v>0</v>
      </c>
      <c r="C282" s="85">
        <v>313605</v>
      </c>
      <c r="D282" s="85"/>
      <c r="E282" s="85">
        <v>89500</v>
      </c>
      <c r="F282"/>
      <c r="G282"/>
      <c r="H282"/>
      <c r="I282"/>
      <c r="K282"/>
      <c r="L282"/>
      <c r="M282"/>
      <c r="N282"/>
    </row>
    <row r="283" spans="1:14" x14ac:dyDescent="0.35">
      <c r="A283" t="s">
        <v>2110</v>
      </c>
      <c r="B283" s="85">
        <v>0</v>
      </c>
      <c r="C283" s="85">
        <v>30000</v>
      </c>
      <c r="D283" s="85"/>
      <c r="E283" s="85">
        <v>0</v>
      </c>
      <c r="F283"/>
      <c r="G283"/>
      <c r="H283"/>
      <c r="I283"/>
      <c r="K283"/>
      <c r="L283"/>
      <c r="M283"/>
      <c r="N283"/>
    </row>
    <row r="284" spans="1:14" x14ac:dyDescent="0.35">
      <c r="A284" t="s">
        <v>2111</v>
      </c>
      <c r="B284" s="85">
        <v>-35634.410000000003</v>
      </c>
      <c r="C284" s="85">
        <v>118157</v>
      </c>
      <c r="D284" s="85"/>
      <c r="E284" s="85">
        <v>0</v>
      </c>
      <c r="F284"/>
      <c r="G284"/>
      <c r="H284"/>
      <c r="I284"/>
      <c r="K284"/>
      <c r="L284"/>
      <c r="M284"/>
      <c r="N284"/>
    </row>
    <row r="285" spans="1:14" x14ac:dyDescent="0.35">
      <c r="A285" t="s">
        <v>2112</v>
      </c>
      <c r="B285" s="85">
        <v>0</v>
      </c>
      <c r="C285" s="85">
        <v>40000</v>
      </c>
      <c r="D285" s="85"/>
      <c r="E285" s="85">
        <v>120000</v>
      </c>
      <c r="F285"/>
      <c r="G285"/>
      <c r="H285"/>
      <c r="I285"/>
      <c r="K285"/>
      <c r="L285"/>
      <c r="M285"/>
      <c r="N285"/>
    </row>
    <row r="286" spans="1:14" x14ac:dyDescent="0.35">
      <c r="A286" t="s">
        <v>2114</v>
      </c>
      <c r="B286" s="85">
        <v>4089.74</v>
      </c>
      <c r="C286" s="85">
        <v>6500</v>
      </c>
      <c r="D286" s="85"/>
      <c r="E286" s="85">
        <v>220000</v>
      </c>
      <c r="F286"/>
      <c r="G286"/>
      <c r="H286"/>
      <c r="I286"/>
      <c r="K286"/>
      <c r="L286"/>
      <c r="M286"/>
      <c r="N286"/>
    </row>
    <row r="287" spans="1:14" x14ac:dyDescent="0.35">
      <c r="A287" t="s">
        <v>2117</v>
      </c>
      <c r="B287" s="85">
        <v>0</v>
      </c>
      <c r="C287" s="85">
        <v>126346</v>
      </c>
      <c r="D287" s="85"/>
      <c r="E287" s="85">
        <v>100000</v>
      </c>
      <c r="F287"/>
      <c r="G287"/>
      <c r="H287"/>
      <c r="I287"/>
      <c r="K287"/>
      <c r="L287"/>
      <c r="M287"/>
      <c r="N287"/>
    </row>
    <row r="288" spans="1:14" x14ac:dyDescent="0.35">
      <c r="A288" t="s">
        <v>2119</v>
      </c>
      <c r="B288" s="85">
        <v>0</v>
      </c>
      <c r="C288" s="85">
        <v>0</v>
      </c>
      <c r="D288" s="85"/>
      <c r="E288" s="85">
        <v>2469000</v>
      </c>
      <c r="F288"/>
      <c r="G288"/>
      <c r="H288"/>
      <c r="I288"/>
      <c r="K288"/>
      <c r="L288"/>
      <c r="M288"/>
      <c r="N288"/>
    </row>
    <row r="289" spans="1:14" x14ac:dyDescent="0.35">
      <c r="A289" t="s">
        <v>2133</v>
      </c>
      <c r="B289" s="85">
        <v>0</v>
      </c>
      <c r="C289" s="85">
        <v>10000</v>
      </c>
      <c r="D289" s="85">
        <v>1000</v>
      </c>
      <c r="E289" s="85">
        <v>10500</v>
      </c>
      <c r="F289"/>
      <c r="G289"/>
      <c r="H289"/>
      <c r="I289"/>
      <c r="K289"/>
      <c r="L289"/>
      <c r="M289"/>
      <c r="N289"/>
    </row>
    <row r="290" spans="1:14" x14ac:dyDescent="0.35">
      <c r="A290" t="s">
        <v>2138</v>
      </c>
      <c r="B290" s="85">
        <v>0</v>
      </c>
      <c r="C290" s="85">
        <v>80000</v>
      </c>
      <c r="D290" s="85">
        <v>70000</v>
      </c>
      <c r="E290" s="85">
        <v>112000</v>
      </c>
      <c r="F290"/>
      <c r="G290"/>
      <c r="H290"/>
      <c r="I290"/>
      <c r="K290"/>
      <c r="L290"/>
      <c r="M290"/>
      <c r="N290"/>
    </row>
    <row r="291" spans="1:14" x14ac:dyDescent="0.35">
      <c r="A291" t="s">
        <v>2143</v>
      </c>
      <c r="B291" s="85">
        <v>0</v>
      </c>
      <c r="C291" s="85">
        <v>15000</v>
      </c>
      <c r="D291" s="85">
        <v>10000</v>
      </c>
      <c r="E291" s="85">
        <v>30000</v>
      </c>
      <c r="F291"/>
      <c r="G291"/>
      <c r="H291"/>
      <c r="I291"/>
      <c r="K291"/>
      <c r="L291"/>
      <c r="M291"/>
      <c r="N291"/>
    </row>
    <row r="292" spans="1:14" x14ac:dyDescent="0.35">
      <c r="A292" t="s">
        <v>2148</v>
      </c>
      <c r="B292" s="85">
        <v>0</v>
      </c>
      <c r="C292" s="85">
        <v>50000</v>
      </c>
      <c r="D292" s="85">
        <v>40000</v>
      </c>
      <c r="E292" s="85">
        <v>35000</v>
      </c>
      <c r="F292"/>
      <c r="G292"/>
      <c r="H292"/>
      <c r="I292"/>
      <c r="K292"/>
      <c r="L292"/>
      <c r="M292"/>
      <c r="N292"/>
    </row>
    <row r="293" spans="1:14" x14ac:dyDescent="0.35">
      <c r="A293" t="s">
        <v>2153</v>
      </c>
      <c r="B293" s="85">
        <v>0</v>
      </c>
      <c r="C293" s="85">
        <v>50000</v>
      </c>
      <c r="D293" s="85">
        <v>40000</v>
      </c>
      <c r="E293" s="85">
        <v>50000</v>
      </c>
      <c r="F293"/>
      <c r="G293"/>
      <c r="H293"/>
      <c r="I293"/>
      <c r="K293"/>
      <c r="L293"/>
      <c r="M293"/>
      <c r="N293"/>
    </row>
    <row r="294" spans="1:14" x14ac:dyDescent="0.35">
      <c r="A294" t="s">
        <v>2155</v>
      </c>
      <c r="B294" s="85">
        <v>0</v>
      </c>
      <c r="C294" s="85">
        <v>5000</v>
      </c>
      <c r="D294" s="85">
        <v>5000</v>
      </c>
      <c r="E294" s="85">
        <v>12500</v>
      </c>
      <c r="F294"/>
      <c r="G294"/>
      <c r="H294"/>
      <c r="I294"/>
      <c r="K294"/>
      <c r="L294"/>
      <c r="M294"/>
      <c r="N294"/>
    </row>
    <row r="295" spans="1:14" x14ac:dyDescent="0.35">
      <c r="A295" t="s">
        <v>2157</v>
      </c>
      <c r="B295" s="85">
        <v>0</v>
      </c>
      <c r="C295" s="85">
        <v>300000</v>
      </c>
      <c r="D295" s="85">
        <v>300000</v>
      </c>
      <c r="E295" s="85">
        <v>300000</v>
      </c>
      <c r="F295"/>
      <c r="G295"/>
      <c r="H295"/>
      <c r="I295"/>
      <c r="K295"/>
      <c r="L295"/>
      <c r="M295"/>
      <c r="N295"/>
    </row>
    <row r="296" spans="1:14" x14ac:dyDescent="0.35">
      <c r="A296" t="s">
        <v>2162</v>
      </c>
      <c r="B296" s="85">
        <v>0</v>
      </c>
      <c r="C296" s="85">
        <v>80000</v>
      </c>
      <c r="D296" s="85">
        <v>70000</v>
      </c>
      <c r="E296" s="85">
        <v>140000</v>
      </c>
      <c r="F296"/>
      <c r="G296"/>
      <c r="H296"/>
      <c r="I296"/>
      <c r="K296"/>
      <c r="L296"/>
      <c r="M296"/>
      <c r="N296"/>
    </row>
    <row r="297" spans="1:14" x14ac:dyDescent="0.35">
      <c r="A297" t="s">
        <v>2167</v>
      </c>
      <c r="B297" s="85">
        <v>0</v>
      </c>
      <c r="C297" s="85">
        <v>675000</v>
      </c>
      <c r="D297" s="85">
        <v>675000</v>
      </c>
      <c r="E297" s="85">
        <v>781000</v>
      </c>
      <c r="F297"/>
      <c r="G297"/>
      <c r="H297"/>
      <c r="I297"/>
      <c r="K297"/>
      <c r="L297"/>
      <c r="M297"/>
      <c r="N297"/>
    </row>
    <row r="298" spans="1:14" x14ac:dyDescent="0.35">
      <c r="A298" t="s">
        <v>2172</v>
      </c>
      <c r="B298" s="85">
        <v>0</v>
      </c>
      <c r="C298" s="85">
        <v>5000</v>
      </c>
      <c r="D298" s="85">
        <v>500</v>
      </c>
      <c r="E298" s="85">
        <v>7000</v>
      </c>
      <c r="F298"/>
      <c r="G298"/>
      <c r="H298"/>
      <c r="I298"/>
      <c r="K298"/>
      <c r="L298"/>
      <c r="M298"/>
      <c r="N298"/>
    </row>
    <row r="299" spans="1:14" x14ac:dyDescent="0.35">
      <c r="A299" t="s">
        <v>2177</v>
      </c>
      <c r="B299" s="85">
        <v>0</v>
      </c>
      <c r="C299" s="85">
        <v>1754263</v>
      </c>
      <c r="D299" s="85">
        <v>1754263</v>
      </c>
      <c r="E299" s="85">
        <v>2014622</v>
      </c>
      <c r="F299"/>
      <c r="G299"/>
      <c r="H299"/>
      <c r="I299"/>
      <c r="K299"/>
      <c r="L299"/>
      <c r="M299"/>
      <c r="N299"/>
    </row>
    <row r="300" spans="1:14" x14ac:dyDescent="0.35">
      <c r="A300" t="s">
        <v>2794</v>
      </c>
      <c r="B300" s="85"/>
      <c r="C300" s="85"/>
      <c r="D300" s="85"/>
      <c r="E300" s="85">
        <v>30000</v>
      </c>
      <c r="F300"/>
      <c r="G300"/>
      <c r="H300"/>
      <c r="I300"/>
      <c r="K300"/>
      <c r="L300"/>
      <c r="M300"/>
      <c r="N300"/>
    </row>
    <row r="301" spans="1:14" x14ac:dyDescent="0.35">
      <c r="A301" t="s">
        <v>2601</v>
      </c>
      <c r="B301" s="85"/>
      <c r="C301" s="85"/>
      <c r="D301" s="85"/>
      <c r="E301" s="85">
        <v>40000</v>
      </c>
      <c r="F301"/>
      <c r="G301"/>
      <c r="H301"/>
      <c r="I301"/>
      <c r="K301"/>
      <c r="L301"/>
      <c r="M301"/>
      <c r="N301"/>
    </row>
    <row r="302" spans="1:14" x14ac:dyDescent="0.35">
      <c r="A302" t="s">
        <v>2602</v>
      </c>
      <c r="B302" s="85"/>
      <c r="C302" s="85"/>
      <c r="D302" s="85"/>
      <c r="E302" s="85">
        <v>100000</v>
      </c>
      <c r="F302"/>
      <c r="G302"/>
      <c r="H302"/>
      <c r="I302"/>
      <c r="K302"/>
      <c r="L302"/>
      <c r="M302"/>
      <c r="N302"/>
    </row>
    <row r="303" spans="1:14" x14ac:dyDescent="0.35">
      <c r="A303" t="s">
        <v>2792</v>
      </c>
      <c r="B303" s="85">
        <v>74260</v>
      </c>
      <c r="C303" s="85">
        <v>0</v>
      </c>
      <c r="D303" s="85"/>
      <c r="E303" s="85">
        <v>0</v>
      </c>
      <c r="F303"/>
      <c r="G303"/>
      <c r="H303"/>
      <c r="I303"/>
      <c r="K303"/>
      <c r="L303"/>
      <c r="M303"/>
      <c r="N303"/>
    </row>
    <row r="304" spans="1:14" x14ac:dyDescent="0.35">
      <c r="A304" t="s">
        <v>2603</v>
      </c>
      <c r="B304" s="85">
        <v>11357.12</v>
      </c>
      <c r="C304" s="85">
        <v>29519</v>
      </c>
      <c r="D304" s="85">
        <v>29519</v>
      </c>
      <c r="E304" s="85">
        <v>29500</v>
      </c>
      <c r="F304"/>
      <c r="G304"/>
      <c r="H304"/>
      <c r="I304"/>
      <c r="K304"/>
      <c r="L304"/>
      <c r="M304"/>
      <c r="N304"/>
    </row>
    <row r="305" spans="1:14" x14ac:dyDescent="0.35">
      <c r="A305" t="s">
        <v>2793</v>
      </c>
      <c r="B305" s="85">
        <v>4998</v>
      </c>
      <c r="C305" s="85">
        <v>0</v>
      </c>
      <c r="D305" s="85"/>
      <c r="E305" s="85">
        <v>0</v>
      </c>
      <c r="F305"/>
      <c r="G305"/>
      <c r="H305"/>
      <c r="I305"/>
      <c r="K305"/>
      <c r="L305"/>
      <c r="M305"/>
      <c r="N305"/>
    </row>
    <row r="306" spans="1:14" x14ac:dyDescent="0.35">
      <c r="A306" t="s">
        <v>2605</v>
      </c>
      <c r="B306" s="85">
        <v>0</v>
      </c>
      <c r="C306" s="85">
        <v>20000</v>
      </c>
      <c r="D306" s="85">
        <v>20000</v>
      </c>
      <c r="E306" s="85">
        <v>20000</v>
      </c>
      <c r="F306"/>
      <c r="G306"/>
      <c r="H306"/>
      <c r="I306"/>
      <c r="K306"/>
      <c r="L306"/>
      <c r="M306"/>
      <c r="N306"/>
    </row>
    <row r="307" spans="1:14" x14ac:dyDescent="0.35">
      <c r="A307" t="s">
        <v>2608</v>
      </c>
      <c r="B307" s="85">
        <v>7654.06</v>
      </c>
      <c r="C307" s="85">
        <v>42000</v>
      </c>
      <c r="D307" s="85">
        <v>42000</v>
      </c>
      <c r="E307" s="85">
        <v>20000</v>
      </c>
      <c r="F307"/>
      <c r="G307"/>
      <c r="H307"/>
      <c r="I307"/>
      <c r="K307"/>
      <c r="L307"/>
      <c r="M307"/>
      <c r="N307"/>
    </row>
    <row r="308" spans="1:14" x14ac:dyDescent="0.35">
      <c r="A308" t="s">
        <v>2609</v>
      </c>
      <c r="B308" s="85">
        <v>345735.14</v>
      </c>
      <c r="C308" s="85">
        <v>616900</v>
      </c>
      <c r="D308" s="85">
        <v>616900</v>
      </c>
      <c r="E308" s="85">
        <v>690000</v>
      </c>
      <c r="F308"/>
      <c r="G308"/>
      <c r="H308"/>
      <c r="I308"/>
      <c r="K308"/>
      <c r="L308"/>
      <c r="M308"/>
      <c r="N308"/>
    </row>
    <row r="309" spans="1:14" x14ac:dyDescent="0.35">
      <c r="A309" t="s">
        <v>2806</v>
      </c>
      <c r="B309" s="85">
        <v>276208.98</v>
      </c>
      <c r="C309" s="85">
        <v>23100</v>
      </c>
      <c r="D309" s="85"/>
      <c r="E309" s="85">
        <v>0</v>
      </c>
      <c r="F309"/>
      <c r="G309"/>
      <c r="H309"/>
      <c r="I309"/>
      <c r="K309"/>
      <c r="L309"/>
      <c r="M309"/>
      <c r="N309"/>
    </row>
    <row r="310" spans="1:14" x14ac:dyDescent="0.35">
      <c r="A310" t="s">
        <v>2815</v>
      </c>
      <c r="B310" s="85">
        <v>0</v>
      </c>
      <c r="C310" s="85">
        <v>171987</v>
      </c>
      <c r="D310" s="85"/>
      <c r="E310" s="85">
        <v>0</v>
      </c>
      <c r="F310"/>
      <c r="G310"/>
      <c r="H310"/>
      <c r="I310"/>
      <c r="K310"/>
      <c r="L310"/>
      <c r="M310"/>
      <c r="N310"/>
    </row>
    <row r="311" spans="1:14" x14ac:dyDescent="0.35">
      <c r="A311" t="s">
        <v>2610</v>
      </c>
      <c r="B311" s="85">
        <v>3935286.72</v>
      </c>
      <c r="C311" s="85">
        <v>4056439</v>
      </c>
      <c r="D311" s="85">
        <v>4056439</v>
      </c>
      <c r="E311" s="85">
        <v>4056438.64</v>
      </c>
      <c r="F311"/>
      <c r="G311"/>
      <c r="H311"/>
      <c r="I311"/>
      <c r="K311"/>
      <c r="L311"/>
      <c r="M311"/>
      <c r="N311"/>
    </row>
    <row r="312" spans="1:14" x14ac:dyDescent="0.35">
      <c r="A312" t="s">
        <v>2611</v>
      </c>
      <c r="B312" s="85">
        <v>0</v>
      </c>
      <c r="C312" s="85">
        <v>747242</v>
      </c>
      <c r="D312" s="85">
        <v>747242</v>
      </c>
      <c r="E312" s="85">
        <v>747242</v>
      </c>
      <c r="F312"/>
      <c r="G312"/>
      <c r="H312"/>
      <c r="I312"/>
      <c r="K312"/>
      <c r="L312"/>
      <c r="M312"/>
      <c r="N312"/>
    </row>
    <row r="313" spans="1:14" x14ac:dyDescent="0.35">
      <c r="A313" t="s">
        <v>2612</v>
      </c>
      <c r="B313" s="85">
        <v>4940773.51</v>
      </c>
      <c r="C313" s="85">
        <v>4118107</v>
      </c>
      <c r="D313" s="85">
        <v>4118107</v>
      </c>
      <c r="E313" s="85">
        <v>4118107</v>
      </c>
      <c r="F313"/>
      <c r="G313"/>
      <c r="H313"/>
      <c r="I313"/>
      <c r="K313"/>
      <c r="L313"/>
      <c r="M313"/>
      <c r="N313"/>
    </row>
    <row r="314" spans="1:14" x14ac:dyDescent="0.35">
      <c r="A314" t="s">
        <v>2614</v>
      </c>
      <c r="B314" s="85"/>
      <c r="C314" s="85"/>
      <c r="D314" s="85"/>
      <c r="E314" s="85">
        <v>7000000</v>
      </c>
      <c r="F314"/>
      <c r="G314"/>
      <c r="H314"/>
      <c r="I314"/>
      <c r="K314"/>
      <c r="L314"/>
      <c r="M314"/>
      <c r="N314"/>
    </row>
    <row r="315" spans="1:14" x14ac:dyDescent="0.35">
      <c r="A315" t="s">
        <v>2791</v>
      </c>
      <c r="B315" s="85"/>
      <c r="C315" s="85"/>
      <c r="D315" s="85"/>
      <c r="E315" s="85"/>
      <c r="F315"/>
      <c r="G315"/>
      <c r="H315"/>
      <c r="I315"/>
      <c r="K315"/>
      <c r="L315"/>
      <c r="M315"/>
      <c r="N315"/>
    </row>
    <row r="316" spans="1:14" x14ac:dyDescent="0.35">
      <c r="A316" t="s">
        <v>2621</v>
      </c>
      <c r="B316" s="85">
        <v>3976041.33</v>
      </c>
      <c r="C316" s="85">
        <v>3768261</v>
      </c>
      <c r="D316" s="85">
        <v>3768261</v>
      </c>
      <c r="E316" s="85">
        <v>3986400</v>
      </c>
      <c r="F316"/>
      <c r="G316"/>
      <c r="H316"/>
      <c r="I316"/>
      <c r="K316"/>
      <c r="L316"/>
      <c r="M316"/>
      <c r="N316"/>
    </row>
    <row r="317" spans="1:14" x14ac:dyDescent="0.35">
      <c r="A317" t="s">
        <v>2622</v>
      </c>
      <c r="B317" s="85">
        <v>1516765.97</v>
      </c>
      <c r="C317" s="85">
        <v>2649480</v>
      </c>
      <c r="D317" s="85">
        <v>2649480</v>
      </c>
      <c r="E317" s="85">
        <v>2451960</v>
      </c>
      <c r="F317"/>
      <c r="G317"/>
      <c r="H317"/>
      <c r="I317"/>
      <c r="K317"/>
      <c r="L317"/>
      <c r="M317"/>
      <c r="N317"/>
    </row>
    <row r="318" spans="1:14" x14ac:dyDescent="0.35">
      <c r="A318" t="s">
        <v>2623</v>
      </c>
      <c r="B318" s="85">
        <v>3499526.5</v>
      </c>
      <c r="C318" s="85">
        <v>2601720</v>
      </c>
      <c r="D318" s="85">
        <v>2601720</v>
      </c>
      <c r="E318" s="85">
        <v>2078580</v>
      </c>
      <c r="F318"/>
      <c r="G318"/>
      <c r="H318"/>
      <c r="I318"/>
      <c r="K318"/>
      <c r="L318"/>
      <c r="M318"/>
      <c r="N318"/>
    </row>
    <row r="319" spans="1:14" x14ac:dyDescent="0.35">
      <c r="A319" t="s">
        <v>2624</v>
      </c>
      <c r="B319" s="85">
        <v>843396.09</v>
      </c>
      <c r="C319" s="85">
        <v>369219</v>
      </c>
      <c r="D319" s="85">
        <v>369219</v>
      </c>
      <c r="E319" s="85">
        <v>398190</v>
      </c>
      <c r="F319"/>
      <c r="G319"/>
      <c r="H319"/>
      <c r="I319"/>
      <c r="K319"/>
      <c r="L319"/>
      <c r="M319"/>
      <c r="N319"/>
    </row>
    <row r="320" spans="1:14" x14ac:dyDescent="0.35">
      <c r="A320" t="s">
        <v>2625</v>
      </c>
      <c r="B320" s="85"/>
      <c r="C320" s="85"/>
      <c r="D320" s="85"/>
      <c r="E320" s="85">
        <v>250000</v>
      </c>
      <c r="F320"/>
      <c r="G320"/>
      <c r="H320"/>
      <c r="I320"/>
      <c r="K320"/>
      <c r="L320"/>
      <c r="M320"/>
      <c r="N320"/>
    </row>
    <row r="321" spans="1:14" x14ac:dyDescent="0.35">
      <c r="A321" t="s">
        <v>2626</v>
      </c>
      <c r="B321" s="85">
        <v>0</v>
      </c>
      <c r="C321" s="85">
        <v>20000</v>
      </c>
      <c r="D321" s="85">
        <v>20000</v>
      </c>
      <c r="E321" s="85">
        <v>50000</v>
      </c>
      <c r="F321"/>
      <c r="G321"/>
      <c r="H321"/>
      <c r="I321"/>
      <c r="K321"/>
      <c r="L321"/>
      <c r="M321"/>
      <c r="N321"/>
    </row>
    <row r="322" spans="1:14" x14ac:dyDescent="0.35">
      <c r="A322" t="s">
        <v>2795</v>
      </c>
      <c r="B322" s="85">
        <v>18625059</v>
      </c>
      <c r="C322" s="85">
        <v>0</v>
      </c>
      <c r="D322" s="85"/>
      <c r="E322" s="85">
        <v>0</v>
      </c>
      <c r="F322"/>
      <c r="G322"/>
      <c r="H322"/>
      <c r="I322"/>
      <c r="K322"/>
      <c r="L322"/>
      <c r="M322"/>
      <c r="N322"/>
    </row>
    <row r="323" spans="1:14" x14ac:dyDescent="0.35">
      <c r="A323" t="s">
        <v>2627</v>
      </c>
      <c r="B323" s="85">
        <v>0</v>
      </c>
      <c r="C323" s="85">
        <v>30000</v>
      </c>
      <c r="D323" s="85">
        <v>30000</v>
      </c>
      <c r="E323" s="85">
        <v>40000</v>
      </c>
      <c r="F323"/>
      <c r="G323"/>
      <c r="H323"/>
      <c r="I323"/>
      <c r="K323"/>
      <c r="L323"/>
      <c r="M323"/>
      <c r="N323"/>
    </row>
    <row r="324" spans="1:14" x14ac:dyDescent="0.35">
      <c r="A324" t="s">
        <v>2796</v>
      </c>
      <c r="B324" s="85">
        <v>2826</v>
      </c>
      <c r="C324" s="85">
        <v>0</v>
      </c>
      <c r="D324" s="85"/>
      <c r="E324" s="85">
        <v>0</v>
      </c>
      <c r="F324"/>
      <c r="G324"/>
      <c r="H324"/>
      <c r="I324"/>
      <c r="K324"/>
      <c r="L324"/>
      <c r="M324"/>
      <c r="N324"/>
    </row>
    <row r="325" spans="1:14" x14ac:dyDescent="0.35">
      <c r="A325" t="s">
        <v>2628</v>
      </c>
      <c r="B325" s="85">
        <v>960436.74</v>
      </c>
      <c r="C325" s="85">
        <v>960437</v>
      </c>
      <c r="D325" s="85">
        <v>960437</v>
      </c>
      <c r="E325" s="85">
        <v>960437</v>
      </c>
      <c r="F325"/>
      <c r="G325"/>
      <c r="H325"/>
      <c r="I325"/>
      <c r="K325"/>
      <c r="L325"/>
      <c r="M325"/>
      <c r="N325"/>
    </row>
    <row r="326" spans="1:14" x14ac:dyDescent="0.35">
      <c r="A326" t="s">
        <v>2629</v>
      </c>
      <c r="B326" s="85">
        <v>23713.63</v>
      </c>
      <c r="C326" s="85">
        <v>23714</v>
      </c>
      <c r="D326" s="85">
        <v>23714</v>
      </c>
      <c r="E326" s="85">
        <v>23714</v>
      </c>
      <c r="F326"/>
      <c r="G326"/>
      <c r="H326"/>
      <c r="I326"/>
      <c r="K326"/>
      <c r="L326"/>
      <c r="M326"/>
      <c r="N326"/>
    </row>
    <row r="327" spans="1:14" x14ac:dyDescent="0.35">
      <c r="A327" t="s">
        <v>2630</v>
      </c>
      <c r="B327" s="85">
        <v>4650.8100000000004</v>
      </c>
      <c r="C327" s="85">
        <v>50000</v>
      </c>
      <c r="D327" s="85"/>
      <c r="E327" s="85">
        <v>0</v>
      </c>
      <c r="F327"/>
      <c r="G327"/>
      <c r="H327"/>
      <c r="I327"/>
      <c r="K327"/>
      <c r="L327"/>
      <c r="M327"/>
      <c r="N327"/>
    </row>
    <row r="328" spans="1:14" x14ac:dyDescent="0.35">
      <c r="A328" t="s">
        <v>2797</v>
      </c>
      <c r="B328" s="85">
        <v>6245</v>
      </c>
      <c r="C328" s="85">
        <v>0</v>
      </c>
      <c r="D328" s="85"/>
      <c r="E328" s="85">
        <v>0</v>
      </c>
      <c r="F328"/>
      <c r="G328"/>
      <c r="H328"/>
      <c r="I328"/>
      <c r="K328"/>
      <c r="L328"/>
      <c r="M328"/>
      <c r="N328"/>
    </row>
    <row r="329" spans="1:14" x14ac:dyDescent="0.35">
      <c r="A329" t="s">
        <v>2798</v>
      </c>
      <c r="B329" s="85">
        <v>17870.55</v>
      </c>
      <c r="C329" s="85">
        <v>0</v>
      </c>
      <c r="D329" s="85"/>
      <c r="E329" s="85">
        <v>0</v>
      </c>
      <c r="F329"/>
      <c r="G329"/>
      <c r="H329"/>
      <c r="I329"/>
      <c r="K329"/>
      <c r="L329"/>
      <c r="M329"/>
      <c r="N329"/>
    </row>
    <row r="330" spans="1:14" x14ac:dyDescent="0.35">
      <c r="A330" t="s">
        <v>2631</v>
      </c>
      <c r="B330" s="85">
        <v>0</v>
      </c>
      <c r="C330" s="85">
        <v>50000</v>
      </c>
      <c r="D330" s="85">
        <v>50000</v>
      </c>
      <c r="E330" s="85">
        <v>200000</v>
      </c>
      <c r="F330"/>
      <c r="G330"/>
      <c r="H330"/>
      <c r="I330"/>
      <c r="K330"/>
      <c r="L330"/>
      <c r="M330"/>
      <c r="N330"/>
    </row>
    <row r="331" spans="1:14" x14ac:dyDescent="0.35">
      <c r="A331" t="s">
        <v>2799</v>
      </c>
      <c r="B331" s="85">
        <v>7180435.5099999998</v>
      </c>
      <c r="C331" s="85">
        <v>0</v>
      </c>
      <c r="D331" s="85"/>
      <c r="E331" s="85">
        <v>0</v>
      </c>
      <c r="F331"/>
      <c r="G331"/>
      <c r="H331"/>
      <c r="I331"/>
      <c r="K331"/>
      <c r="L331"/>
      <c r="M331"/>
      <c r="N331"/>
    </row>
    <row r="332" spans="1:14" x14ac:dyDescent="0.35">
      <c r="A332" t="s">
        <v>2802</v>
      </c>
      <c r="B332" s="85">
        <v>3253301.43</v>
      </c>
      <c r="C332" s="85">
        <v>0</v>
      </c>
      <c r="D332" s="85"/>
      <c r="E332" s="85">
        <v>0</v>
      </c>
      <c r="F332"/>
      <c r="G332"/>
      <c r="H332"/>
      <c r="I332"/>
      <c r="K332"/>
      <c r="L332"/>
      <c r="M332"/>
      <c r="N332"/>
    </row>
    <row r="333" spans="1:14" x14ac:dyDescent="0.35">
      <c r="A333" t="s">
        <v>2801</v>
      </c>
      <c r="B333" s="85">
        <v>3847536.23</v>
      </c>
      <c r="C333" s="85">
        <v>0</v>
      </c>
      <c r="D333" s="85"/>
      <c r="E333" s="85">
        <v>0</v>
      </c>
      <c r="F333"/>
      <c r="G333"/>
      <c r="H333"/>
      <c r="I333"/>
      <c r="K333"/>
      <c r="L333"/>
      <c r="M333"/>
      <c r="N333"/>
    </row>
    <row r="334" spans="1:14" x14ac:dyDescent="0.35">
      <c r="A334" t="s">
        <v>2800</v>
      </c>
      <c r="B334" s="85">
        <v>215086.31</v>
      </c>
      <c r="C334" s="85">
        <v>0</v>
      </c>
      <c r="D334" s="85"/>
      <c r="E334" s="85">
        <v>0</v>
      </c>
      <c r="F334"/>
      <c r="G334"/>
      <c r="H334"/>
      <c r="I334"/>
      <c r="K334"/>
      <c r="L334"/>
      <c r="M334"/>
      <c r="N334"/>
    </row>
    <row r="335" spans="1:14" x14ac:dyDescent="0.35">
      <c r="A335" t="s">
        <v>2803</v>
      </c>
      <c r="B335" s="85">
        <v>1089518.06</v>
      </c>
      <c r="C335" s="85">
        <v>0</v>
      </c>
      <c r="D335" s="85"/>
      <c r="E335" s="85">
        <v>0</v>
      </c>
      <c r="F335"/>
      <c r="G335"/>
      <c r="H335"/>
      <c r="I335"/>
      <c r="K335"/>
      <c r="L335"/>
      <c r="M335"/>
      <c r="N335"/>
    </row>
    <row r="336" spans="1:14" x14ac:dyDescent="0.35">
      <c r="A336" t="s">
        <v>2805</v>
      </c>
      <c r="B336" s="85">
        <v>857985.93</v>
      </c>
      <c r="C336" s="85">
        <v>0</v>
      </c>
      <c r="D336" s="85"/>
      <c r="E336" s="85">
        <v>0</v>
      </c>
      <c r="F336"/>
      <c r="G336"/>
      <c r="H336"/>
      <c r="I336"/>
      <c r="K336"/>
      <c r="L336"/>
      <c r="M336"/>
      <c r="N336"/>
    </row>
    <row r="337" spans="1:14" x14ac:dyDescent="0.35">
      <c r="A337" t="s">
        <v>2804</v>
      </c>
      <c r="B337" s="85">
        <v>1515252.2</v>
      </c>
      <c r="C337" s="85">
        <v>0</v>
      </c>
      <c r="D337" s="85"/>
      <c r="E337" s="85">
        <v>0</v>
      </c>
      <c r="F337"/>
      <c r="G337"/>
      <c r="H337"/>
      <c r="I337"/>
      <c r="K337"/>
      <c r="L337"/>
      <c r="M337"/>
      <c r="N337"/>
    </row>
    <row r="338" spans="1:14" x14ac:dyDescent="0.35">
      <c r="A338" t="s">
        <v>2807</v>
      </c>
      <c r="B338" s="85">
        <v>155101</v>
      </c>
      <c r="C338" s="85">
        <v>0</v>
      </c>
      <c r="D338" s="85"/>
      <c r="E338" s="85">
        <v>20000</v>
      </c>
      <c r="F338"/>
      <c r="G338"/>
      <c r="H338"/>
      <c r="I338"/>
      <c r="K338"/>
      <c r="L338"/>
      <c r="M338"/>
      <c r="N338"/>
    </row>
    <row r="339" spans="1:14" x14ac:dyDescent="0.35">
      <c r="A339" t="s">
        <v>2613</v>
      </c>
      <c r="B339" s="85"/>
      <c r="C339" s="85"/>
      <c r="D339" s="85"/>
      <c r="E339" s="85">
        <v>220000</v>
      </c>
      <c r="F339"/>
      <c r="G339"/>
      <c r="H339"/>
      <c r="I339"/>
      <c r="K339"/>
      <c r="L339"/>
      <c r="M339"/>
      <c r="N339"/>
    </row>
    <row r="340" spans="1:14" x14ac:dyDescent="0.35">
      <c r="A340" t="s">
        <v>2699</v>
      </c>
      <c r="B340" s="85"/>
      <c r="C340" s="85"/>
      <c r="D340" s="85"/>
      <c r="E340" s="85">
        <v>233000</v>
      </c>
      <c r="F340"/>
      <c r="G340"/>
      <c r="H340"/>
      <c r="I340"/>
      <c r="K340"/>
      <c r="L340"/>
      <c r="M340"/>
      <c r="N340"/>
    </row>
    <row r="341" spans="1:14" x14ac:dyDescent="0.35">
      <c r="A341" t="s">
        <v>2619</v>
      </c>
      <c r="B341" s="85"/>
      <c r="C341" s="85"/>
      <c r="D341" s="85"/>
      <c r="E341" s="85">
        <v>8000000</v>
      </c>
      <c r="F341"/>
      <c r="G341"/>
      <c r="H341"/>
      <c r="I341"/>
      <c r="K341"/>
      <c r="L341"/>
      <c r="M341"/>
      <c r="N341"/>
    </row>
    <row r="342" spans="1:14" x14ac:dyDescent="0.35">
      <c r="A342" t="s">
        <v>2616</v>
      </c>
      <c r="B342" s="85"/>
      <c r="C342" s="85"/>
      <c r="D342" s="85"/>
      <c r="E342" s="85">
        <v>14219870</v>
      </c>
      <c r="F342"/>
      <c r="G342"/>
      <c r="H342"/>
      <c r="I342"/>
      <c r="K342"/>
      <c r="L342"/>
      <c r="M342"/>
      <c r="N342"/>
    </row>
    <row r="343" spans="1:14" x14ac:dyDescent="0.35">
      <c r="A343" t="s">
        <v>2808</v>
      </c>
      <c r="B343" s="85">
        <v>-3600</v>
      </c>
      <c r="C343" s="85">
        <v>0</v>
      </c>
      <c r="D343" s="85"/>
      <c r="E343" s="85">
        <v>0</v>
      </c>
      <c r="F343"/>
      <c r="G343"/>
      <c r="H343"/>
      <c r="I343"/>
      <c r="K343"/>
      <c r="L343"/>
      <c r="M343"/>
      <c r="N343"/>
    </row>
    <row r="344" spans="1:14" x14ac:dyDescent="0.35">
      <c r="A344" t="s">
        <v>2632</v>
      </c>
      <c r="B344" s="85">
        <v>424725.24</v>
      </c>
      <c r="C344" s="85">
        <v>11446037</v>
      </c>
      <c r="D344" s="85">
        <v>11446037</v>
      </c>
      <c r="E344" s="85">
        <v>14652121</v>
      </c>
      <c r="F344"/>
      <c r="G344"/>
      <c r="H344"/>
      <c r="I344"/>
      <c r="K344"/>
      <c r="L344"/>
      <c r="M344"/>
      <c r="N344"/>
    </row>
    <row r="345" spans="1:14" x14ac:dyDescent="0.35">
      <c r="A345" t="s">
        <v>2638</v>
      </c>
      <c r="B345" s="85">
        <v>5040562.12</v>
      </c>
      <c r="C345" s="85">
        <v>5071140</v>
      </c>
      <c r="D345" s="85">
        <v>5071140</v>
      </c>
      <c r="E345" s="85">
        <v>9036550</v>
      </c>
      <c r="F345"/>
      <c r="G345"/>
      <c r="H345"/>
      <c r="I345"/>
      <c r="K345"/>
      <c r="L345"/>
      <c r="M345"/>
      <c r="N345"/>
    </row>
    <row r="346" spans="1:14" x14ac:dyDescent="0.35">
      <c r="A346" t="s">
        <v>2639</v>
      </c>
      <c r="B346" s="85">
        <v>493435.92</v>
      </c>
      <c r="C346" s="85">
        <v>5446416</v>
      </c>
      <c r="D346" s="85">
        <v>5446416</v>
      </c>
      <c r="E346" s="85">
        <v>8801646</v>
      </c>
      <c r="F346"/>
      <c r="G346"/>
      <c r="H346"/>
      <c r="I346"/>
      <c r="K346"/>
      <c r="L346"/>
      <c r="M346"/>
      <c r="N346"/>
    </row>
    <row r="347" spans="1:14" x14ac:dyDescent="0.35">
      <c r="A347" t="s">
        <v>2642</v>
      </c>
      <c r="B347" s="85">
        <v>2914112.1</v>
      </c>
      <c r="C347" s="85">
        <v>1207678</v>
      </c>
      <c r="D347" s="85">
        <v>1207678</v>
      </c>
      <c r="E347" s="85">
        <v>1735252</v>
      </c>
      <c r="F347"/>
      <c r="G347"/>
      <c r="H347"/>
      <c r="I347"/>
      <c r="K347"/>
      <c r="L347"/>
      <c r="M347"/>
      <c r="N347"/>
    </row>
    <row r="348" spans="1:14" x14ac:dyDescent="0.35">
      <c r="A348" t="s">
        <v>2809</v>
      </c>
      <c r="B348" s="85">
        <v>8580</v>
      </c>
      <c r="C348" s="85">
        <v>0</v>
      </c>
      <c r="D348" s="85"/>
      <c r="E348" s="85">
        <v>0</v>
      </c>
      <c r="F348"/>
      <c r="G348"/>
      <c r="H348"/>
      <c r="I348"/>
      <c r="K348"/>
      <c r="L348"/>
      <c r="M348"/>
      <c r="N348"/>
    </row>
    <row r="349" spans="1:14" x14ac:dyDescent="0.35">
      <c r="A349" t="s">
        <v>2646</v>
      </c>
      <c r="B349" s="85">
        <v>27198</v>
      </c>
      <c r="C349" s="85">
        <v>30000</v>
      </c>
      <c r="D349" s="85">
        <v>20000</v>
      </c>
      <c r="E349" s="85">
        <v>30000</v>
      </c>
      <c r="F349"/>
      <c r="G349"/>
      <c r="H349"/>
      <c r="I349"/>
      <c r="K349"/>
      <c r="L349"/>
      <c r="M349"/>
      <c r="N349"/>
    </row>
    <row r="350" spans="1:14" x14ac:dyDescent="0.35">
      <c r="A350" t="s">
        <v>2647</v>
      </c>
      <c r="B350" s="85">
        <v>-1570.38</v>
      </c>
      <c r="C350" s="85">
        <v>26000</v>
      </c>
      <c r="D350" s="85">
        <v>26000</v>
      </c>
      <c r="E350" s="85">
        <v>25000</v>
      </c>
      <c r="F350"/>
      <c r="G350"/>
      <c r="H350"/>
      <c r="I350"/>
      <c r="K350"/>
      <c r="L350"/>
      <c r="M350"/>
      <c r="N350"/>
    </row>
    <row r="351" spans="1:14" x14ac:dyDescent="0.35">
      <c r="A351" t="s">
        <v>2810</v>
      </c>
      <c r="B351" s="85"/>
      <c r="C351" s="85"/>
      <c r="D351" s="85"/>
      <c r="E351" s="85">
        <v>30000</v>
      </c>
      <c r="F351"/>
      <c r="G351"/>
      <c r="H351"/>
      <c r="I351"/>
      <c r="K351"/>
      <c r="L351"/>
      <c r="M351"/>
      <c r="N351"/>
    </row>
    <row r="352" spans="1:14" x14ac:dyDescent="0.35">
      <c r="A352" t="s">
        <v>2811</v>
      </c>
      <c r="B352" s="85">
        <v>17744.21</v>
      </c>
      <c r="C352" s="85">
        <v>0</v>
      </c>
      <c r="D352" s="85"/>
      <c r="E352" s="85">
        <v>0</v>
      </c>
      <c r="F352"/>
      <c r="G352"/>
      <c r="H352"/>
      <c r="I352"/>
      <c r="K352"/>
      <c r="L352"/>
      <c r="M352"/>
      <c r="N352"/>
    </row>
    <row r="353" spans="1:14" x14ac:dyDescent="0.35">
      <c r="A353" t="s">
        <v>2813</v>
      </c>
      <c r="B353" s="85">
        <v>394343.83</v>
      </c>
      <c r="C353" s="85">
        <v>0</v>
      </c>
      <c r="D353" s="85"/>
      <c r="E353" s="85">
        <v>0</v>
      </c>
      <c r="F353"/>
      <c r="G353"/>
      <c r="H353"/>
      <c r="I353"/>
      <c r="K353"/>
      <c r="L353"/>
      <c r="M353"/>
      <c r="N353"/>
    </row>
    <row r="354" spans="1:14" x14ac:dyDescent="0.35">
      <c r="A354" t="s">
        <v>2814</v>
      </c>
      <c r="B354" s="85">
        <v>222400</v>
      </c>
      <c r="C354" s="85">
        <v>0</v>
      </c>
      <c r="D354" s="85"/>
      <c r="E354" s="85">
        <v>0</v>
      </c>
      <c r="F354"/>
      <c r="G354"/>
      <c r="H354"/>
      <c r="I354"/>
      <c r="K354"/>
      <c r="L354"/>
      <c r="M354"/>
      <c r="N354"/>
    </row>
    <row r="355" spans="1:14" x14ac:dyDescent="0.35">
      <c r="A355" t="s">
        <v>2649</v>
      </c>
      <c r="B355" s="85">
        <v>25040687.859999999</v>
      </c>
      <c r="C355" s="85">
        <v>21335669</v>
      </c>
      <c r="D355" s="85">
        <v>21335669</v>
      </c>
      <c r="E355" s="85">
        <v>35300560</v>
      </c>
      <c r="F355"/>
      <c r="G355"/>
      <c r="H355"/>
      <c r="I355"/>
      <c r="K355"/>
      <c r="L355"/>
      <c r="M355"/>
      <c r="N355"/>
    </row>
    <row r="356" spans="1:14" x14ac:dyDescent="0.35">
      <c r="A356" t="s">
        <v>2656</v>
      </c>
      <c r="B356" s="85">
        <v>1343400</v>
      </c>
      <c r="C356" s="85">
        <v>0</v>
      </c>
      <c r="D356" s="85"/>
      <c r="E356" s="85">
        <v>200000</v>
      </c>
      <c r="F356"/>
      <c r="G356"/>
      <c r="H356"/>
      <c r="I356"/>
      <c r="K356"/>
      <c r="L356"/>
      <c r="M356"/>
      <c r="N356"/>
    </row>
    <row r="357" spans="1:14" x14ac:dyDescent="0.35">
      <c r="A357" t="s">
        <v>2657</v>
      </c>
      <c r="B357" s="85">
        <v>2319769</v>
      </c>
      <c r="C357" s="85">
        <v>23038949</v>
      </c>
      <c r="D357" s="85">
        <v>23038949</v>
      </c>
      <c r="E357" s="85">
        <v>68152000</v>
      </c>
      <c r="F357"/>
      <c r="G357"/>
      <c r="H357"/>
      <c r="I357"/>
      <c r="K357"/>
      <c r="L357"/>
      <c r="M357"/>
      <c r="N357"/>
    </row>
    <row r="358" spans="1:14" x14ac:dyDescent="0.35">
      <c r="A358" t="s">
        <v>2816</v>
      </c>
      <c r="B358" s="85">
        <v>146450</v>
      </c>
      <c r="C358" s="85">
        <v>0</v>
      </c>
      <c r="D358" s="85"/>
      <c r="E358" s="85">
        <v>0</v>
      </c>
      <c r="F358"/>
      <c r="G358"/>
      <c r="H358"/>
      <c r="I358"/>
      <c r="K358"/>
      <c r="L358"/>
      <c r="M358"/>
      <c r="N358"/>
    </row>
    <row r="359" spans="1:14" x14ac:dyDescent="0.35">
      <c r="A359" t="s">
        <v>2671</v>
      </c>
      <c r="B359" s="85">
        <v>1623493.7</v>
      </c>
      <c r="C359" s="85">
        <v>2271162</v>
      </c>
      <c r="D359" s="85">
        <v>2271162</v>
      </c>
      <c r="E359" s="85">
        <v>6046594.4000000004</v>
      </c>
      <c r="F359"/>
      <c r="G359"/>
      <c r="H359"/>
      <c r="I359"/>
      <c r="K359"/>
      <c r="L359"/>
      <c r="M359"/>
      <c r="N359"/>
    </row>
    <row r="360" spans="1:14" x14ac:dyDescent="0.35">
      <c r="A360" t="s">
        <v>2672</v>
      </c>
      <c r="B360" s="85">
        <v>142490</v>
      </c>
      <c r="C360" s="85">
        <v>32800</v>
      </c>
      <c r="D360" s="85">
        <v>32800</v>
      </c>
      <c r="E360" s="85">
        <v>0</v>
      </c>
      <c r="F360"/>
      <c r="G360"/>
      <c r="H360"/>
      <c r="I360"/>
      <c r="K360"/>
      <c r="L360"/>
      <c r="M360"/>
      <c r="N360"/>
    </row>
    <row r="361" spans="1:14" x14ac:dyDescent="0.35">
      <c r="A361" t="s">
        <v>2673</v>
      </c>
      <c r="B361" s="85">
        <v>0</v>
      </c>
      <c r="C361" s="85">
        <v>1375893</v>
      </c>
      <c r="D361" s="85">
        <v>1375893</v>
      </c>
      <c r="E361" s="85">
        <v>280000</v>
      </c>
      <c r="F361"/>
      <c r="G361"/>
      <c r="H361"/>
      <c r="I361"/>
      <c r="K361"/>
      <c r="L361"/>
      <c r="M361"/>
      <c r="N361"/>
    </row>
    <row r="362" spans="1:14" x14ac:dyDescent="0.35">
      <c r="A362" t="s">
        <v>2667</v>
      </c>
      <c r="B362" s="85"/>
      <c r="C362" s="85"/>
      <c r="D362" s="85"/>
      <c r="E362" s="85">
        <v>1800000</v>
      </c>
      <c r="F362"/>
      <c r="G362"/>
      <c r="H362"/>
      <c r="I362"/>
      <c r="K362"/>
      <c r="L362"/>
      <c r="M362"/>
      <c r="N362"/>
    </row>
    <row r="363" spans="1:14" x14ac:dyDescent="0.35">
      <c r="A363" t="s">
        <v>2817</v>
      </c>
      <c r="B363" s="85">
        <v>18149.5</v>
      </c>
      <c r="C363" s="85">
        <v>30312</v>
      </c>
      <c r="D363" s="85">
        <v>30312</v>
      </c>
      <c r="E363" s="85">
        <v>0</v>
      </c>
      <c r="F363"/>
      <c r="G363"/>
      <c r="H363"/>
      <c r="I363"/>
      <c r="K363"/>
      <c r="L363"/>
      <c r="M363"/>
      <c r="N363"/>
    </row>
    <row r="364" spans="1:14" x14ac:dyDescent="0.35">
      <c r="A364" t="s">
        <v>2790</v>
      </c>
      <c r="B364" s="85">
        <v>2818066.67</v>
      </c>
      <c r="C364" s="85">
        <v>589128</v>
      </c>
      <c r="D364" s="85">
        <v>589128</v>
      </c>
      <c r="E364" s="85">
        <v>2012308</v>
      </c>
      <c r="F364"/>
      <c r="G364"/>
      <c r="H364"/>
      <c r="I364"/>
      <c r="K364"/>
      <c r="L364"/>
      <c r="M364"/>
      <c r="N364"/>
    </row>
    <row r="365" spans="1:14" x14ac:dyDescent="0.35">
      <c r="A365" t="s">
        <v>2679</v>
      </c>
      <c r="B365" s="85"/>
      <c r="C365" s="85"/>
      <c r="D365" s="85"/>
      <c r="E365" s="85">
        <v>900000</v>
      </c>
      <c r="F365"/>
      <c r="G365"/>
      <c r="H365"/>
      <c r="I365"/>
      <c r="K365"/>
      <c r="L365"/>
      <c r="M365"/>
      <c r="N365"/>
    </row>
    <row r="366" spans="1:14" x14ac:dyDescent="0.35">
      <c r="A366" t="s">
        <v>2696</v>
      </c>
      <c r="B366" s="85"/>
      <c r="C366" s="85"/>
      <c r="D366" s="85"/>
      <c r="E366" s="85">
        <v>50000</v>
      </c>
      <c r="F366"/>
      <c r="G366"/>
      <c r="H366"/>
      <c r="I366"/>
      <c r="K366"/>
      <c r="L366"/>
      <c r="M366"/>
      <c r="N366"/>
    </row>
    <row r="367" spans="1:14" x14ac:dyDescent="0.35">
      <c r="A367" t="s">
        <v>2680</v>
      </c>
      <c r="B367" s="85">
        <v>0</v>
      </c>
      <c r="C367" s="85">
        <v>10000</v>
      </c>
      <c r="D367" s="85">
        <v>10000</v>
      </c>
      <c r="E367" s="85">
        <v>10000</v>
      </c>
      <c r="F367"/>
      <c r="G367"/>
      <c r="H367"/>
      <c r="I367"/>
      <c r="K367"/>
      <c r="L367"/>
      <c r="M367"/>
      <c r="N367"/>
    </row>
    <row r="368" spans="1:14" x14ac:dyDescent="0.35">
      <c r="A368" t="s">
        <v>2681</v>
      </c>
      <c r="B368" s="85">
        <v>0</v>
      </c>
      <c r="C368" s="85">
        <v>30000</v>
      </c>
      <c r="D368" s="85">
        <v>30000</v>
      </c>
      <c r="E368" s="85">
        <v>30000</v>
      </c>
      <c r="F368"/>
      <c r="G368"/>
      <c r="H368"/>
      <c r="I368"/>
      <c r="K368"/>
      <c r="L368"/>
      <c r="M368"/>
      <c r="N368"/>
    </row>
    <row r="369" spans="1:14" x14ac:dyDescent="0.35">
      <c r="A369" t="s">
        <v>2682</v>
      </c>
      <c r="B369" s="85">
        <v>0</v>
      </c>
      <c r="C369" s="85">
        <v>7349560</v>
      </c>
      <c r="D369" s="85">
        <v>7349560</v>
      </c>
      <c r="E369" s="85">
        <v>9664500</v>
      </c>
      <c r="F369"/>
      <c r="G369"/>
      <c r="H369"/>
      <c r="I369"/>
      <c r="K369"/>
      <c r="L369"/>
      <c r="M369"/>
      <c r="N369"/>
    </row>
    <row r="370" spans="1:14" x14ac:dyDescent="0.35">
      <c r="A370" t="s">
        <v>2683</v>
      </c>
      <c r="B370" s="85">
        <v>0</v>
      </c>
      <c r="C370" s="85">
        <v>4615084</v>
      </c>
      <c r="D370" s="85">
        <v>4615084</v>
      </c>
      <c r="E370" s="85">
        <v>4615084</v>
      </c>
      <c r="F370"/>
      <c r="G370"/>
      <c r="H370"/>
      <c r="I370"/>
      <c r="K370"/>
      <c r="L370"/>
      <c r="M370"/>
      <c r="N370"/>
    </row>
    <row r="371" spans="1:14" x14ac:dyDescent="0.35">
      <c r="A371" t="s">
        <v>2684</v>
      </c>
      <c r="B371" s="85">
        <v>0</v>
      </c>
      <c r="C371" s="85">
        <v>3058446</v>
      </c>
      <c r="D371" s="85">
        <v>3058446</v>
      </c>
      <c r="E371" s="85">
        <v>3976000</v>
      </c>
      <c r="F371"/>
      <c r="G371"/>
      <c r="H371"/>
      <c r="I371"/>
      <c r="K371"/>
      <c r="L371"/>
      <c r="M371"/>
      <c r="N371"/>
    </row>
    <row r="372" spans="1:14" x14ac:dyDescent="0.35">
      <c r="A372" t="s">
        <v>2685</v>
      </c>
      <c r="B372" s="85">
        <v>0</v>
      </c>
      <c r="C372" s="85">
        <v>442627</v>
      </c>
      <c r="D372" s="85">
        <v>442627</v>
      </c>
      <c r="E372" s="85">
        <v>442627</v>
      </c>
      <c r="F372"/>
      <c r="G372"/>
      <c r="H372"/>
      <c r="I372"/>
      <c r="K372"/>
      <c r="L372"/>
      <c r="M372"/>
      <c r="N372"/>
    </row>
    <row r="373" spans="1:14" x14ac:dyDescent="0.35">
      <c r="A373" t="s">
        <v>2686</v>
      </c>
      <c r="B373" s="85">
        <v>0</v>
      </c>
      <c r="C373" s="85">
        <v>1153128</v>
      </c>
      <c r="D373" s="85">
        <v>1153128</v>
      </c>
      <c r="E373" s="85">
        <v>1500000</v>
      </c>
      <c r="F373"/>
      <c r="G373"/>
      <c r="H373"/>
      <c r="I373"/>
      <c r="K373"/>
      <c r="L373"/>
      <c r="M373"/>
      <c r="N373"/>
    </row>
    <row r="374" spans="1:14" x14ac:dyDescent="0.35">
      <c r="A374" t="s">
        <v>2687</v>
      </c>
      <c r="B374" s="85">
        <v>0</v>
      </c>
      <c r="C374" s="85">
        <v>1681399</v>
      </c>
      <c r="D374" s="85">
        <v>1681399</v>
      </c>
      <c r="E374" s="85">
        <v>1681399</v>
      </c>
      <c r="F374"/>
      <c r="G374"/>
      <c r="H374"/>
      <c r="I374"/>
      <c r="K374"/>
      <c r="L374"/>
      <c r="M374"/>
      <c r="N374"/>
    </row>
    <row r="375" spans="1:14" x14ac:dyDescent="0.35">
      <c r="A375" t="s">
        <v>2688</v>
      </c>
      <c r="B375" s="85">
        <v>0</v>
      </c>
      <c r="C375" s="85">
        <v>1703132</v>
      </c>
      <c r="D375" s="85">
        <v>1703132</v>
      </c>
      <c r="E375" s="85">
        <v>1873450</v>
      </c>
      <c r="F375"/>
      <c r="G375"/>
      <c r="H375"/>
      <c r="I375"/>
      <c r="K375"/>
      <c r="L375"/>
      <c r="M375"/>
      <c r="N375"/>
    </row>
    <row r="376" spans="1:14" x14ac:dyDescent="0.35">
      <c r="A376" t="s">
        <v>2689</v>
      </c>
      <c r="B376" s="85">
        <v>0</v>
      </c>
      <c r="C376" s="85">
        <v>153570</v>
      </c>
      <c r="D376" s="85">
        <v>153570</v>
      </c>
      <c r="E376" s="85">
        <v>153570</v>
      </c>
      <c r="F376"/>
      <c r="G376"/>
      <c r="H376"/>
      <c r="I376"/>
      <c r="K376"/>
      <c r="L376"/>
      <c r="M376"/>
      <c r="N376"/>
    </row>
    <row r="377" spans="1:14" x14ac:dyDescent="0.35">
      <c r="A377" t="s">
        <v>2690</v>
      </c>
      <c r="B377" s="85">
        <v>0</v>
      </c>
      <c r="C377" s="85">
        <v>44000</v>
      </c>
      <c r="D377" s="85">
        <v>44000</v>
      </c>
      <c r="E377" s="85">
        <v>48000</v>
      </c>
      <c r="F377"/>
      <c r="G377"/>
      <c r="H377"/>
      <c r="I377"/>
      <c r="K377"/>
      <c r="L377"/>
      <c r="M377"/>
      <c r="N377"/>
    </row>
    <row r="378" spans="1:14" x14ac:dyDescent="0.35">
      <c r="A378" t="s">
        <v>2691</v>
      </c>
      <c r="B378" s="85">
        <v>581760</v>
      </c>
      <c r="C378" s="85">
        <v>967680</v>
      </c>
      <c r="D378" s="85">
        <v>967680</v>
      </c>
      <c r="E378" s="85">
        <v>1870124.77</v>
      </c>
      <c r="F378"/>
      <c r="G378"/>
      <c r="H378"/>
      <c r="I378"/>
      <c r="K378"/>
      <c r="L378"/>
      <c r="M378"/>
      <c r="N378"/>
    </row>
    <row r="379" spans="1:14" x14ac:dyDescent="0.35">
      <c r="A379" t="s">
        <v>2692</v>
      </c>
      <c r="B379" s="85">
        <v>37508.81</v>
      </c>
      <c r="C379" s="85">
        <v>140000</v>
      </c>
      <c r="D379" s="85">
        <v>140000</v>
      </c>
      <c r="E379" s="85">
        <v>140000</v>
      </c>
      <c r="F379"/>
      <c r="G379"/>
      <c r="H379"/>
      <c r="I379"/>
      <c r="K379"/>
      <c r="L379"/>
      <c r="M379"/>
      <c r="N379"/>
    </row>
    <row r="380" spans="1:14" x14ac:dyDescent="0.35">
      <c r="A380" t="s">
        <v>2694</v>
      </c>
      <c r="B380" s="85">
        <v>0</v>
      </c>
      <c r="C380" s="85">
        <v>675690</v>
      </c>
      <c r="D380" s="85">
        <v>675690</v>
      </c>
      <c r="E380" s="85">
        <v>840000</v>
      </c>
      <c r="F380"/>
      <c r="G380"/>
      <c r="H380"/>
      <c r="I380"/>
      <c r="K380"/>
      <c r="L380"/>
      <c r="M380"/>
      <c r="N380"/>
    </row>
    <row r="381" spans="1:14" x14ac:dyDescent="0.35">
      <c r="A381" t="s">
        <v>2695</v>
      </c>
      <c r="B381" s="85">
        <v>0</v>
      </c>
      <c r="C381" s="85">
        <v>336000</v>
      </c>
      <c r="D381" s="85">
        <v>336000</v>
      </c>
      <c r="E381" s="85">
        <v>336000</v>
      </c>
      <c r="F381"/>
      <c r="G381"/>
      <c r="H381"/>
      <c r="I381"/>
      <c r="K381"/>
      <c r="L381"/>
      <c r="M381"/>
      <c r="N381"/>
    </row>
    <row r="382" spans="1:14" x14ac:dyDescent="0.35">
      <c r="A382" t="s">
        <v>2697</v>
      </c>
      <c r="B382" s="85">
        <v>0</v>
      </c>
      <c r="C382" s="85">
        <v>193910</v>
      </c>
      <c r="D382" s="85"/>
      <c r="E382" s="85">
        <v>85700</v>
      </c>
      <c r="F382"/>
      <c r="G382"/>
      <c r="H382"/>
      <c r="I382"/>
      <c r="K382"/>
      <c r="L382"/>
      <c r="M382"/>
      <c r="N382"/>
    </row>
    <row r="383" spans="1:14" x14ac:dyDescent="0.35">
      <c r="A383" t="s">
        <v>1152</v>
      </c>
      <c r="B383" s="85">
        <v>203515</v>
      </c>
      <c r="C383" s="85">
        <v>295000</v>
      </c>
      <c r="D383" s="85">
        <v>283000</v>
      </c>
      <c r="E383" s="85">
        <v>236850</v>
      </c>
      <c r="F383"/>
      <c r="G383"/>
      <c r="H383"/>
      <c r="I383"/>
      <c r="K383"/>
      <c r="L383"/>
      <c r="M383"/>
      <c r="N383"/>
    </row>
    <row r="384" spans="1:14" x14ac:dyDescent="0.35">
      <c r="A384" t="s">
        <v>1158</v>
      </c>
      <c r="B384" s="85">
        <v>0</v>
      </c>
      <c r="C384" s="85">
        <v>416100</v>
      </c>
      <c r="D384" s="85">
        <v>416100</v>
      </c>
      <c r="E384" s="85">
        <v>585000</v>
      </c>
      <c r="F384"/>
      <c r="G384"/>
      <c r="H384"/>
      <c r="I384"/>
      <c r="K384"/>
      <c r="L384"/>
      <c r="M384"/>
      <c r="N384"/>
    </row>
    <row r="385" spans="1:14" x14ac:dyDescent="0.35">
      <c r="A385" t="s">
        <v>1165</v>
      </c>
      <c r="B385" s="85">
        <v>1157.08</v>
      </c>
      <c r="C385" s="85">
        <v>3600</v>
      </c>
      <c r="D385" s="85">
        <v>1800</v>
      </c>
      <c r="E385" s="85">
        <v>2400</v>
      </c>
      <c r="F385"/>
      <c r="G385"/>
      <c r="H385"/>
      <c r="I385"/>
      <c r="K385"/>
      <c r="L385"/>
      <c r="M385"/>
      <c r="N385"/>
    </row>
    <row r="386" spans="1:14" x14ac:dyDescent="0.35">
      <c r="A386" t="s">
        <v>1170</v>
      </c>
      <c r="B386" s="85">
        <v>57762.92</v>
      </c>
      <c r="C386" s="85">
        <v>90000</v>
      </c>
      <c r="D386" s="85">
        <v>90000</v>
      </c>
      <c r="E386" s="85">
        <v>117000</v>
      </c>
      <c r="F386"/>
      <c r="G386"/>
      <c r="H386"/>
      <c r="I386"/>
      <c r="K386"/>
      <c r="L386"/>
      <c r="M386"/>
      <c r="N386"/>
    </row>
    <row r="387" spans="1:14" x14ac:dyDescent="0.35">
      <c r="A387" t="s">
        <v>1180</v>
      </c>
      <c r="B387" s="85">
        <v>2000</v>
      </c>
      <c r="C387" s="85">
        <v>0</v>
      </c>
      <c r="D387" s="85">
        <v>0</v>
      </c>
      <c r="E387" s="85">
        <v>6800</v>
      </c>
      <c r="F387"/>
      <c r="G387"/>
      <c r="H387"/>
      <c r="I387"/>
      <c r="K387"/>
      <c r="L387"/>
      <c r="M387"/>
      <c r="N387"/>
    </row>
    <row r="388" spans="1:14" x14ac:dyDescent="0.35">
      <c r="A388" t="s">
        <v>1174</v>
      </c>
      <c r="B388" s="85">
        <v>31680</v>
      </c>
      <c r="C388" s="85">
        <v>31680</v>
      </c>
      <c r="D388" s="85">
        <v>31680</v>
      </c>
      <c r="E388" s="85">
        <v>31680</v>
      </c>
      <c r="F388"/>
      <c r="G388"/>
      <c r="H388"/>
      <c r="I388"/>
      <c r="K388"/>
      <c r="L388"/>
      <c r="M388"/>
      <c r="N388"/>
    </row>
    <row r="389" spans="1:14" x14ac:dyDescent="0.35">
      <c r="A389" t="s">
        <v>1177</v>
      </c>
      <c r="B389" s="85">
        <v>4566.87</v>
      </c>
      <c r="C389" s="85">
        <v>0</v>
      </c>
      <c r="D389" s="85">
        <v>0</v>
      </c>
      <c r="E389" s="85">
        <v>4000</v>
      </c>
      <c r="F389"/>
      <c r="G389"/>
      <c r="H389"/>
      <c r="I389"/>
      <c r="K389"/>
      <c r="L389"/>
      <c r="M389"/>
      <c r="N389"/>
    </row>
    <row r="390" spans="1:14" x14ac:dyDescent="0.35">
      <c r="A390" t="s">
        <v>1322</v>
      </c>
      <c r="B390" s="85"/>
      <c r="C390" s="85"/>
      <c r="D390" s="85"/>
      <c r="E390" s="85">
        <v>100000</v>
      </c>
      <c r="F390"/>
      <c r="G390"/>
      <c r="H390"/>
      <c r="I390"/>
      <c r="K390"/>
      <c r="L390"/>
      <c r="M390"/>
      <c r="N390"/>
    </row>
    <row r="391" spans="1:14" x14ac:dyDescent="0.35">
      <c r="A391" t="s">
        <v>1323</v>
      </c>
      <c r="B391" s="85"/>
      <c r="C391" s="85"/>
      <c r="D391" s="85"/>
      <c r="E391" s="85">
        <v>200000</v>
      </c>
      <c r="F391"/>
      <c r="G391"/>
      <c r="H391"/>
      <c r="I391"/>
      <c r="K391"/>
      <c r="L391"/>
      <c r="M391"/>
      <c r="N391"/>
    </row>
    <row r="392" spans="1:14" x14ac:dyDescent="0.35">
      <c r="A392" t="s">
        <v>1324</v>
      </c>
      <c r="B392" s="85"/>
      <c r="C392" s="85"/>
      <c r="D392" s="85"/>
      <c r="E392" s="85">
        <v>10000</v>
      </c>
      <c r="F392"/>
      <c r="G392"/>
      <c r="H392"/>
      <c r="I392"/>
      <c r="K392"/>
      <c r="L392"/>
      <c r="M392"/>
      <c r="N392"/>
    </row>
    <row r="393" spans="1:14" x14ac:dyDescent="0.35">
      <c r="A393" t="s">
        <v>1325</v>
      </c>
      <c r="B393" s="85"/>
      <c r="C393" s="85"/>
      <c r="D393" s="85"/>
      <c r="E393" s="85">
        <v>12000</v>
      </c>
      <c r="F393"/>
      <c r="G393"/>
      <c r="H393"/>
      <c r="I393"/>
      <c r="K393"/>
      <c r="L393"/>
      <c r="M393"/>
      <c r="N393"/>
    </row>
    <row r="394" spans="1:14" x14ac:dyDescent="0.35">
      <c r="A394" t="s">
        <v>1194</v>
      </c>
      <c r="B394" s="85"/>
      <c r="C394" s="85">
        <v>300000</v>
      </c>
      <c r="D394" s="85">
        <v>300000</v>
      </c>
      <c r="E394" s="85">
        <v>475000</v>
      </c>
      <c r="F394"/>
      <c r="G394"/>
      <c r="H394"/>
      <c r="I394"/>
      <c r="K394"/>
      <c r="L394"/>
      <c r="M394"/>
      <c r="N394"/>
    </row>
    <row r="395" spans="1:14" x14ac:dyDescent="0.35">
      <c r="A395" t="s">
        <v>1206</v>
      </c>
      <c r="B395" s="85">
        <v>0</v>
      </c>
      <c r="C395" s="85">
        <v>10000</v>
      </c>
      <c r="D395" s="85">
        <v>10000</v>
      </c>
      <c r="E395" s="85">
        <v>10000</v>
      </c>
      <c r="F395"/>
      <c r="G395"/>
      <c r="H395"/>
      <c r="I395"/>
      <c r="K395"/>
      <c r="L395"/>
      <c r="M395"/>
      <c r="N395"/>
    </row>
    <row r="396" spans="1:14" x14ac:dyDescent="0.35">
      <c r="A396" t="s">
        <v>1201</v>
      </c>
      <c r="B396" s="85">
        <v>0</v>
      </c>
      <c r="C396" s="85">
        <v>250000</v>
      </c>
      <c r="D396" s="85">
        <v>250000</v>
      </c>
      <c r="E396" s="85">
        <v>1000000</v>
      </c>
      <c r="F396"/>
      <c r="G396"/>
      <c r="H396"/>
      <c r="I396"/>
      <c r="K396"/>
      <c r="L396"/>
      <c r="M396"/>
      <c r="N396"/>
    </row>
    <row r="397" spans="1:14" x14ac:dyDescent="0.35">
      <c r="A397" t="s">
        <v>1203</v>
      </c>
      <c r="B397" s="85">
        <v>40440</v>
      </c>
      <c r="C397" s="85">
        <v>50000</v>
      </c>
      <c r="D397" s="85">
        <v>50000</v>
      </c>
      <c r="E397" s="85">
        <v>50000</v>
      </c>
      <c r="F397"/>
      <c r="G397"/>
      <c r="H397"/>
      <c r="I397"/>
      <c r="K397"/>
      <c r="L397"/>
      <c r="M397"/>
      <c r="N397"/>
    </row>
    <row r="398" spans="1:14" x14ac:dyDescent="0.35">
      <c r="A398" t="s">
        <v>2818</v>
      </c>
      <c r="B398" s="85">
        <v>7345</v>
      </c>
      <c r="C398" s="85">
        <v>600000</v>
      </c>
      <c r="D398" s="85">
        <v>600000</v>
      </c>
      <c r="E398" s="85">
        <v>4400000</v>
      </c>
      <c r="F398"/>
      <c r="G398"/>
      <c r="H398"/>
      <c r="I398"/>
      <c r="K398"/>
      <c r="L398"/>
      <c r="M398"/>
      <c r="N398"/>
    </row>
    <row r="399" spans="1:14" x14ac:dyDescent="0.35">
      <c r="A399" t="s">
        <v>323</v>
      </c>
      <c r="B399" s="85"/>
      <c r="C399" s="85"/>
      <c r="D399" s="85">
        <v>8000000</v>
      </c>
      <c r="E399" s="85">
        <v>9986400</v>
      </c>
      <c r="F399"/>
      <c r="G399"/>
      <c r="H399"/>
      <c r="I399"/>
      <c r="K399"/>
      <c r="L399"/>
      <c r="M399"/>
      <c r="N399"/>
    </row>
    <row r="400" spans="1:14" x14ac:dyDescent="0.35">
      <c r="A400" t="s">
        <v>324</v>
      </c>
      <c r="B400" s="85">
        <v>300000</v>
      </c>
      <c r="C400" s="85">
        <v>0</v>
      </c>
      <c r="D400" s="85"/>
      <c r="E400" s="85">
        <v>0</v>
      </c>
      <c r="F400"/>
      <c r="G400"/>
      <c r="H400"/>
      <c r="I400"/>
      <c r="K400"/>
      <c r="L400"/>
      <c r="M400"/>
      <c r="N400"/>
    </row>
    <row r="401" spans="1:14" x14ac:dyDescent="0.35">
      <c r="A401" t="s">
        <v>66</v>
      </c>
      <c r="B401" s="85">
        <v>0</v>
      </c>
      <c r="C401" s="85">
        <v>10351793</v>
      </c>
      <c r="D401" s="85">
        <v>10351793</v>
      </c>
      <c r="E401" s="85">
        <v>21982967</v>
      </c>
      <c r="F401"/>
      <c r="G401"/>
      <c r="H401"/>
      <c r="I401"/>
      <c r="K401"/>
      <c r="L401"/>
      <c r="M401"/>
      <c r="N401"/>
    </row>
    <row r="402" spans="1:14" x14ac:dyDescent="0.35">
      <c r="A402" t="s">
        <v>73</v>
      </c>
      <c r="B402" s="85">
        <v>1705887.11</v>
      </c>
      <c r="C402" s="85">
        <v>445192</v>
      </c>
      <c r="D402" s="85">
        <v>445192</v>
      </c>
      <c r="E402" s="85">
        <v>0</v>
      </c>
      <c r="F402"/>
      <c r="G402"/>
      <c r="H402"/>
      <c r="I402"/>
      <c r="K402"/>
      <c r="L402"/>
      <c r="M402"/>
      <c r="N402"/>
    </row>
    <row r="403" spans="1:14" x14ac:dyDescent="0.35">
      <c r="A403" t="s">
        <v>298</v>
      </c>
      <c r="B403" s="85">
        <v>8722313.4399999995</v>
      </c>
      <c r="C403" s="85">
        <v>7632571</v>
      </c>
      <c r="D403" s="85">
        <v>7632571</v>
      </c>
      <c r="E403" s="85">
        <v>8536819</v>
      </c>
      <c r="F403"/>
      <c r="G403"/>
      <c r="H403"/>
      <c r="I403"/>
      <c r="K403"/>
      <c r="L403"/>
      <c r="M403"/>
      <c r="N403"/>
    </row>
    <row r="404" spans="1:14" x14ac:dyDescent="0.35">
      <c r="A404" t="s">
        <v>142</v>
      </c>
      <c r="B404" s="85">
        <v>1000636.43</v>
      </c>
      <c r="C404" s="85">
        <v>800000</v>
      </c>
      <c r="D404" s="85">
        <v>800000</v>
      </c>
      <c r="E404" s="85">
        <v>820800</v>
      </c>
      <c r="F404"/>
      <c r="G404"/>
      <c r="H404"/>
      <c r="I404"/>
      <c r="K404"/>
      <c r="L404"/>
      <c r="M404"/>
      <c r="N404"/>
    </row>
    <row r="405" spans="1:14" x14ac:dyDescent="0.35">
      <c r="A405" t="s">
        <v>149</v>
      </c>
      <c r="B405" s="85">
        <v>4507777.99</v>
      </c>
      <c r="C405" s="85">
        <v>2618028</v>
      </c>
      <c r="D405" s="85">
        <v>2618028</v>
      </c>
      <c r="E405" s="85">
        <v>2018028</v>
      </c>
      <c r="F405"/>
      <c r="G405"/>
      <c r="H405"/>
      <c r="I405"/>
      <c r="K405"/>
      <c r="L405"/>
      <c r="M405"/>
      <c r="N405"/>
    </row>
    <row r="406" spans="1:14" x14ac:dyDescent="0.35">
      <c r="A406" t="s">
        <v>155</v>
      </c>
      <c r="B406" s="85">
        <v>0</v>
      </c>
      <c r="C406" s="85">
        <v>11500</v>
      </c>
      <c r="D406" s="85">
        <v>11500</v>
      </c>
      <c r="E406" s="85">
        <v>24000</v>
      </c>
      <c r="F406"/>
      <c r="G406"/>
      <c r="H406"/>
      <c r="I406"/>
      <c r="K406"/>
      <c r="L406"/>
      <c r="M406"/>
      <c r="N406"/>
    </row>
    <row r="407" spans="1:14" x14ac:dyDescent="0.35">
      <c r="A407" t="s">
        <v>325</v>
      </c>
      <c r="B407" s="85">
        <v>2593733.34</v>
      </c>
      <c r="C407" s="85">
        <v>0</v>
      </c>
      <c r="D407" s="85"/>
      <c r="E407" s="85">
        <v>0</v>
      </c>
      <c r="F407"/>
      <c r="G407"/>
      <c r="H407"/>
      <c r="I407"/>
      <c r="K407"/>
      <c r="L407"/>
      <c r="M407"/>
      <c r="N407"/>
    </row>
    <row r="408" spans="1:14" x14ac:dyDescent="0.35">
      <c r="A408" t="s">
        <v>163</v>
      </c>
      <c r="B408" s="85">
        <v>0</v>
      </c>
      <c r="C408" s="85">
        <v>1021317</v>
      </c>
      <c r="D408" s="85">
        <v>1021317</v>
      </c>
      <c r="E408" s="85">
        <v>1864650</v>
      </c>
      <c r="F408"/>
      <c r="G408"/>
      <c r="H408"/>
      <c r="I408"/>
      <c r="K408"/>
      <c r="L408"/>
      <c r="M408"/>
      <c r="N408"/>
    </row>
    <row r="409" spans="1:14" x14ac:dyDescent="0.35">
      <c r="A409" t="s">
        <v>168</v>
      </c>
      <c r="B409" s="85">
        <v>12846395.300000001</v>
      </c>
      <c r="C409" s="85">
        <v>1475000</v>
      </c>
      <c r="D409" s="85">
        <v>1475000</v>
      </c>
      <c r="E409" s="85">
        <v>2330000</v>
      </c>
      <c r="F409"/>
      <c r="G409"/>
      <c r="H409"/>
      <c r="I409"/>
      <c r="K409"/>
      <c r="L409"/>
      <c r="M409"/>
      <c r="N409"/>
    </row>
    <row r="410" spans="1:14" x14ac:dyDescent="0.35">
      <c r="A410" t="s">
        <v>185</v>
      </c>
      <c r="B410" s="85">
        <v>0</v>
      </c>
      <c r="C410" s="85">
        <v>360000</v>
      </c>
      <c r="D410" s="85">
        <v>360000</v>
      </c>
      <c r="E410" s="85">
        <v>540000</v>
      </c>
      <c r="F410"/>
      <c r="G410"/>
      <c r="H410"/>
      <c r="I410"/>
      <c r="K410"/>
      <c r="L410"/>
      <c r="M410"/>
      <c r="N410"/>
    </row>
    <row r="411" spans="1:14" x14ac:dyDescent="0.35">
      <c r="A411" t="s">
        <v>326</v>
      </c>
      <c r="B411" s="85">
        <v>0</v>
      </c>
      <c r="C411" s="85">
        <v>0</v>
      </c>
      <c r="D411" s="85"/>
      <c r="E411" s="85">
        <v>0</v>
      </c>
      <c r="F411"/>
      <c r="G411"/>
      <c r="H411"/>
      <c r="I411"/>
      <c r="K411"/>
      <c r="L411"/>
      <c r="M411"/>
      <c r="N411"/>
    </row>
    <row r="412" spans="1:14" x14ac:dyDescent="0.35">
      <c r="A412" t="s">
        <v>193</v>
      </c>
      <c r="B412" s="85">
        <v>3471424</v>
      </c>
      <c r="C412" s="85">
        <v>175000</v>
      </c>
      <c r="D412" s="85">
        <v>175000</v>
      </c>
      <c r="E412" s="85">
        <v>255000</v>
      </c>
      <c r="F412"/>
      <c r="G412"/>
      <c r="H412"/>
      <c r="I412"/>
      <c r="K412"/>
      <c r="L412"/>
      <c r="M412"/>
      <c r="N412"/>
    </row>
    <row r="413" spans="1:14" x14ac:dyDescent="0.35">
      <c r="A413" t="s">
        <v>329</v>
      </c>
      <c r="B413" s="85">
        <v>-53578</v>
      </c>
      <c r="C413" s="85">
        <v>0</v>
      </c>
      <c r="D413" s="85"/>
      <c r="E413" s="85">
        <v>0</v>
      </c>
      <c r="F413"/>
      <c r="G413"/>
      <c r="H413"/>
      <c r="I413"/>
      <c r="K413"/>
      <c r="L413"/>
      <c r="M413"/>
      <c r="N413"/>
    </row>
    <row r="414" spans="1:14" x14ac:dyDescent="0.35">
      <c r="A414" t="s">
        <v>199</v>
      </c>
      <c r="B414" s="85">
        <v>0</v>
      </c>
      <c r="C414" s="85">
        <v>1735802</v>
      </c>
      <c r="D414" s="85">
        <v>1735802</v>
      </c>
      <c r="E414" s="85">
        <v>1389000</v>
      </c>
      <c r="F414"/>
      <c r="G414"/>
      <c r="H414"/>
      <c r="I414"/>
      <c r="K414"/>
      <c r="L414"/>
      <c r="M414"/>
      <c r="N414"/>
    </row>
    <row r="415" spans="1:14" x14ac:dyDescent="0.35">
      <c r="A415" t="s">
        <v>327</v>
      </c>
      <c r="B415" s="85">
        <v>0</v>
      </c>
      <c r="C415" s="85">
        <v>240000</v>
      </c>
      <c r="D415" s="85">
        <v>240000</v>
      </c>
      <c r="E415" s="85">
        <v>0</v>
      </c>
      <c r="F415"/>
      <c r="G415"/>
      <c r="H415"/>
      <c r="I415"/>
      <c r="K415"/>
      <c r="L415"/>
      <c r="M415"/>
      <c r="N415"/>
    </row>
    <row r="416" spans="1:14" x14ac:dyDescent="0.35">
      <c r="A416" t="s">
        <v>207</v>
      </c>
      <c r="B416" s="85">
        <v>0</v>
      </c>
      <c r="C416" s="85">
        <v>1300000</v>
      </c>
      <c r="D416" s="85">
        <v>1300000</v>
      </c>
      <c r="E416" s="85">
        <v>4018539</v>
      </c>
      <c r="F416"/>
      <c r="G416"/>
      <c r="H416"/>
      <c r="I416"/>
      <c r="K416"/>
      <c r="L416"/>
      <c r="M416"/>
      <c r="N416"/>
    </row>
    <row r="417" spans="1:14" x14ac:dyDescent="0.35">
      <c r="A417" t="s">
        <v>328</v>
      </c>
      <c r="B417" s="85">
        <v>796333.2</v>
      </c>
      <c r="C417" s="85">
        <v>0</v>
      </c>
      <c r="D417" s="85"/>
      <c r="E417" s="85">
        <v>0</v>
      </c>
      <c r="F417"/>
      <c r="G417"/>
      <c r="H417"/>
      <c r="I417"/>
      <c r="K417"/>
      <c r="L417"/>
      <c r="M417"/>
      <c r="N417"/>
    </row>
    <row r="418" spans="1:14" x14ac:dyDescent="0.35">
      <c r="A418" t="s">
        <v>305</v>
      </c>
      <c r="B418" s="85">
        <v>0</v>
      </c>
      <c r="C418" s="85">
        <v>590670</v>
      </c>
      <c r="D418" s="85">
        <v>590670</v>
      </c>
      <c r="E418" s="85">
        <v>772572</v>
      </c>
      <c r="F418"/>
      <c r="G418"/>
      <c r="H418"/>
      <c r="I418"/>
      <c r="K418"/>
      <c r="L418"/>
      <c r="M418"/>
      <c r="N418"/>
    </row>
    <row r="419" spans="1:14" x14ac:dyDescent="0.35">
      <c r="A419" t="s">
        <v>2363</v>
      </c>
      <c r="B419" s="85"/>
      <c r="C419" s="85"/>
      <c r="D419" s="85"/>
      <c r="E419" s="85">
        <v>15000000</v>
      </c>
      <c r="F419"/>
      <c r="G419"/>
      <c r="H419"/>
      <c r="I419"/>
      <c r="K419"/>
      <c r="L419"/>
      <c r="M419"/>
      <c r="N419"/>
    </row>
    <row r="420" spans="1:14" x14ac:dyDescent="0.35">
      <c r="A420" t="s">
        <v>2367</v>
      </c>
      <c r="B420" s="85"/>
      <c r="C420" s="85"/>
      <c r="D420" s="85"/>
      <c r="E420" s="85">
        <v>50000</v>
      </c>
      <c r="F420"/>
      <c r="G420"/>
      <c r="H420"/>
      <c r="I420"/>
      <c r="K420"/>
      <c r="L420"/>
      <c r="M420"/>
      <c r="N420"/>
    </row>
    <row r="421" spans="1:14" x14ac:dyDescent="0.35">
      <c r="A421" t="s">
        <v>2357</v>
      </c>
      <c r="B421" s="85"/>
      <c r="C421" s="85"/>
      <c r="D421" s="85"/>
      <c r="E421" s="85">
        <v>1000000</v>
      </c>
      <c r="F421"/>
      <c r="G421"/>
      <c r="H421"/>
      <c r="I421"/>
      <c r="K421"/>
      <c r="L421"/>
      <c r="M421"/>
      <c r="N421"/>
    </row>
    <row r="422" spans="1:14" x14ac:dyDescent="0.35">
      <c r="A422" t="s">
        <v>2360</v>
      </c>
      <c r="B422" s="85"/>
      <c r="C422" s="85"/>
      <c r="D422" s="85"/>
      <c r="E422" s="85">
        <v>3000000</v>
      </c>
      <c r="F422"/>
      <c r="G422"/>
      <c r="H422"/>
      <c r="I422"/>
      <c r="K422"/>
      <c r="L422"/>
      <c r="M422"/>
      <c r="N422"/>
    </row>
    <row r="423" spans="1:14" x14ac:dyDescent="0.35">
      <c r="A423" t="s">
        <v>1714</v>
      </c>
      <c r="B423" s="85"/>
      <c r="C423" s="85"/>
      <c r="D423" s="85"/>
      <c r="E423" s="85">
        <v>120000</v>
      </c>
      <c r="F423"/>
      <c r="G423"/>
      <c r="H423"/>
      <c r="I423"/>
      <c r="K423"/>
      <c r="L423"/>
      <c r="M423"/>
      <c r="N423"/>
    </row>
    <row r="424" spans="1:14" x14ac:dyDescent="0.35">
      <c r="A424" t="s">
        <v>1709</v>
      </c>
      <c r="B424" s="85">
        <v>0</v>
      </c>
      <c r="C424" s="85">
        <v>100000</v>
      </c>
      <c r="D424" s="85"/>
      <c r="E424" s="85">
        <v>100000</v>
      </c>
      <c r="F424"/>
      <c r="G424"/>
      <c r="H424"/>
      <c r="I424"/>
      <c r="K424"/>
      <c r="L424"/>
      <c r="M424"/>
      <c r="N424"/>
    </row>
    <row r="425" spans="1:14" x14ac:dyDescent="0.35">
      <c r="A425" t="s">
        <v>1710</v>
      </c>
      <c r="B425" s="85">
        <v>23528</v>
      </c>
      <c r="C425" s="85">
        <v>76120</v>
      </c>
      <c r="D425" s="85"/>
      <c r="E425" s="85">
        <v>76120</v>
      </c>
      <c r="F425"/>
      <c r="G425"/>
      <c r="H425"/>
      <c r="I425"/>
      <c r="K425"/>
      <c r="L425"/>
      <c r="M425"/>
      <c r="N425"/>
    </row>
    <row r="426" spans="1:14" x14ac:dyDescent="0.35">
      <c r="A426" t="s">
        <v>1711</v>
      </c>
      <c r="B426" s="85">
        <v>26586</v>
      </c>
      <c r="C426" s="85">
        <v>162500</v>
      </c>
      <c r="D426" s="85"/>
      <c r="E426" s="85">
        <v>88400</v>
      </c>
      <c r="F426"/>
      <c r="G426"/>
      <c r="H426"/>
      <c r="I426"/>
      <c r="K426"/>
      <c r="L426"/>
      <c r="M426"/>
      <c r="N426"/>
    </row>
    <row r="427" spans="1:14" x14ac:dyDescent="0.35">
      <c r="A427" t="s">
        <v>1712</v>
      </c>
      <c r="B427" s="85">
        <v>0</v>
      </c>
      <c r="C427" s="85">
        <v>50625</v>
      </c>
      <c r="D427" s="85"/>
      <c r="E427" s="85">
        <v>20000</v>
      </c>
      <c r="F427"/>
      <c r="G427"/>
      <c r="H427"/>
      <c r="I427"/>
      <c r="K427"/>
      <c r="L427"/>
      <c r="M427"/>
      <c r="N427"/>
    </row>
    <row r="428" spans="1:14" x14ac:dyDescent="0.35">
      <c r="A428" t="s">
        <v>1713</v>
      </c>
      <c r="B428" s="85">
        <v>0</v>
      </c>
      <c r="C428" s="85">
        <v>5625</v>
      </c>
      <c r="D428" s="85"/>
      <c r="E428" s="85">
        <v>6000</v>
      </c>
      <c r="F428"/>
      <c r="G428"/>
      <c r="H428"/>
      <c r="I428"/>
      <c r="K428"/>
      <c r="L428"/>
      <c r="M428"/>
      <c r="N428"/>
    </row>
    <row r="429" spans="1:14" x14ac:dyDescent="0.35">
      <c r="A429" t="s">
        <v>1211</v>
      </c>
      <c r="B429" s="85"/>
      <c r="C429" s="85">
        <v>30000</v>
      </c>
      <c r="D429" s="85">
        <v>30000</v>
      </c>
      <c r="E429" s="85">
        <v>30000</v>
      </c>
      <c r="F429"/>
      <c r="G429"/>
      <c r="H429"/>
      <c r="I429"/>
      <c r="K429"/>
      <c r="L429"/>
      <c r="M429"/>
      <c r="N429"/>
    </row>
    <row r="430" spans="1:14" x14ac:dyDescent="0.35">
      <c r="A430" t="s">
        <v>1215</v>
      </c>
      <c r="B430" s="85">
        <v>0</v>
      </c>
      <c r="C430" s="85">
        <v>428951</v>
      </c>
      <c r="D430" s="85">
        <v>428951</v>
      </c>
      <c r="E430" s="85">
        <v>448835</v>
      </c>
      <c r="F430"/>
      <c r="G430"/>
      <c r="H430"/>
      <c r="I430"/>
      <c r="K430"/>
      <c r="L430"/>
      <c r="M430"/>
      <c r="N430"/>
    </row>
    <row r="431" spans="1:14" x14ac:dyDescent="0.35">
      <c r="A431" t="s">
        <v>1220</v>
      </c>
      <c r="B431" s="85">
        <v>0</v>
      </c>
      <c r="C431" s="85">
        <v>100000</v>
      </c>
      <c r="D431" s="85">
        <v>100000</v>
      </c>
      <c r="E431" s="85">
        <v>150000</v>
      </c>
      <c r="F431"/>
      <c r="G431"/>
      <c r="H431"/>
      <c r="I431"/>
      <c r="K431"/>
      <c r="L431"/>
      <c r="M431"/>
      <c r="N431"/>
    </row>
    <row r="432" spans="1:14" x14ac:dyDescent="0.35">
      <c r="A432" t="s">
        <v>1226</v>
      </c>
      <c r="B432" s="85">
        <v>0</v>
      </c>
      <c r="C432" s="85">
        <v>300000</v>
      </c>
      <c r="D432" s="85">
        <v>300000</v>
      </c>
      <c r="E432" s="85">
        <v>170004</v>
      </c>
      <c r="F432"/>
      <c r="G432"/>
      <c r="H432"/>
      <c r="I432"/>
      <c r="K432"/>
      <c r="L432"/>
      <c r="M432"/>
      <c r="N432"/>
    </row>
    <row r="433" spans="1:14" x14ac:dyDescent="0.35">
      <c r="A433" t="s">
        <v>1234</v>
      </c>
      <c r="B433" s="85">
        <v>214870.5</v>
      </c>
      <c r="C433" s="85">
        <v>171900</v>
      </c>
      <c r="D433" s="85">
        <v>171900</v>
      </c>
      <c r="E433" s="85">
        <v>187323</v>
      </c>
      <c r="F433"/>
      <c r="G433"/>
      <c r="H433"/>
      <c r="I433"/>
      <c r="K433"/>
      <c r="L433"/>
      <c r="M433"/>
      <c r="N433"/>
    </row>
    <row r="434" spans="1:14" x14ac:dyDescent="0.35">
      <c r="A434" t="s">
        <v>1239</v>
      </c>
      <c r="B434" s="85">
        <v>0</v>
      </c>
      <c r="C434" s="85">
        <v>5000</v>
      </c>
      <c r="D434" s="85">
        <v>5000</v>
      </c>
      <c r="E434" s="85">
        <v>5000</v>
      </c>
      <c r="F434"/>
      <c r="G434"/>
      <c r="H434"/>
      <c r="I434"/>
      <c r="K434"/>
      <c r="L434"/>
      <c r="M434"/>
      <c r="N434"/>
    </row>
    <row r="435" spans="1:14" x14ac:dyDescent="0.35">
      <c r="A435" t="s">
        <v>1230</v>
      </c>
      <c r="B435" s="85">
        <v>0</v>
      </c>
      <c r="C435" s="85">
        <v>70000</v>
      </c>
      <c r="D435" s="85">
        <v>70000</v>
      </c>
      <c r="E435" s="85">
        <v>120000</v>
      </c>
      <c r="F435"/>
      <c r="G435"/>
      <c r="H435"/>
      <c r="I435"/>
      <c r="K435"/>
      <c r="L435"/>
      <c r="M435"/>
      <c r="N435"/>
    </row>
    <row r="436" spans="1:14" x14ac:dyDescent="0.35">
      <c r="A436" t="s">
        <v>1244</v>
      </c>
      <c r="B436" s="85">
        <v>198468.28</v>
      </c>
      <c r="C436" s="85">
        <v>205962</v>
      </c>
      <c r="D436" s="85">
        <v>200000</v>
      </c>
      <c r="E436" s="85">
        <v>200000</v>
      </c>
      <c r="F436"/>
      <c r="G436"/>
      <c r="H436"/>
      <c r="I436"/>
      <c r="K436"/>
      <c r="L436"/>
      <c r="M436"/>
      <c r="N436"/>
    </row>
    <row r="437" spans="1:14" x14ac:dyDescent="0.35">
      <c r="A437" t="s">
        <v>1250</v>
      </c>
      <c r="B437" s="85">
        <v>11867277.859999999</v>
      </c>
      <c r="C437" s="85">
        <v>231840</v>
      </c>
      <c r="D437" s="85"/>
      <c r="E437" s="85">
        <v>305025</v>
      </c>
      <c r="F437"/>
      <c r="G437"/>
      <c r="H437"/>
      <c r="I437"/>
      <c r="K437"/>
      <c r="L437"/>
      <c r="M437"/>
      <c r="N437"/>
    </row>
    <row r="438" spans="1:14" x14ac:dyDescent="0.35">
      <c r="A438" t="s">
        <v>1329</v>
      </c>
      <c r="B438" s="85">
        <v>0</v>
      </c>
      <c r="C438" s="85">
        <v>80000</v>
      </c>
      <c r="D438" s="85">
        <v>80000</v>
      </c>
      <c r="E438" s="85">
        <v>100000</v>
      </c>
      <c r="F438"/>
      <c r="G438"/>
      <c r="H438"/>
      <c r="I438"/>
      <c r="K438"/>
      <c r="L438"/>
      <c r="M438"/>
      <c r="N438"/>
    </row>
    <row r="439" spans="1:14" x14ac:dyDescent="0.35">
      <c r="A439" t="s">
        <v>1258</v>
      </c>
      <c r="B439" s="85">
        <v>83770903.290000096</v>
      </c>
      <c r="C439" s="85">
        <v>99885358</v>
      </c>
      <c r="D439" s="85">
        <v>99885358</v>
      </c>
      <c r="E439" s="85">
        <v>113448860.11000001</v>
      </c>
      <c r="F439"/>
      <c r="G439"/>
      <c r="H439"/>
      <c r="I439"/>
      <c r="K439"/>
      <c r="L439"/>
      <c r="M439"/>
      <c r="N439"/>
    </row>
    <row r="440" spans="1:14" x14ac:dyDescent="0.35">
      <c r="A440" t="s">
        <v>1267</v>
      </c>
      <c r="B440" s="85">
        <v>2639907.12</v>
      </c>
      <c r="C440" s="85">
        <v>3332844</v>
      </c>
      <c r="D440" s="85">
        <v>3500000</v>
      </c>
      <c r="E440" s="85">
        <v>4978500</v>
      </c>
      <c r="F440"/>
      <c r="G440"/>
      <c r="H440"/>
      <c r="I440"/>
      <c r="K440"/>
      <c r="L440"/>
      <c r="M440"/>
      <c r="N440"/>
    </row>
    <row r="441" spans="1:14" x14ac:dyDescent="0.35">
      <c r="A441" t="s">
        <v>1273</v>
      </c>
      <c r="B441" s="85">
        <v>10137.75</v>
      </c>
      <c r="C441" s="85">
        <v>100002</v>
      </c>
      <c r="D441" s="85">
        <v>10000</v>
      </c>
      <c r="E441" s="85">
        <v>72000</v>
      </c>
      <c r="F441"/>
      <c r="G441"/>
      <c r="H441"/>
      <c r="I441"/>
      <c r="K441"/>
      <c r="L441"/>
      <c r="M441"/>
      <c r="N441"/>
    </row>
    <row r="442" spans="1:14" x14ac:dyDescent="0.35">
      <c r="A442" t="s">
        <v>1275</v>
      </c>
      <c r="B442" s="85">
        <v>0</v>
      </c>
      <c r="C442" s="85">
        <v>100002</v>
      </c>
      <c r="D442" s="85">
        <v>45000</v>
      </c>
      <c r="E442" s="85">
        <v>100002</v>
      </c>
      <c r="F442"/>
      <c r="G442"/>
      <c r="H442"/>
      <c r="I442"/>
      <c r="K442"/>
      <c r="L442"/>
      <c r="M442"/>
      <c r="N442"/>
    </row>
    <row r="443" spans="1:14" x14ac:dyDescent="0.35">
      <c r="A443" t="s">
        <v>1277</v>
      </c>
      <c r="B443" s="85">
        <v>76378.73</v>
      </c>
      <c r="C443" s="85">
        <v>120000</v>
      </c>
      <c r="D443" s="85">
        <v>165000</v>
      </c>
      <c r="E443" s="85">
        <v>165000</v>
      </c>
      <c r="F443"/>
      <c r="G443"/>
      <c r="H443"/>
      <c r="I443"/>
      <c r="K443"/>
      <c r="L443"/>
      <c r="M443"/>
      <c r="N443"/>
    </row>
    <row r="444" spans="1:14" x14ac:dyDescent="0.35">
      <c r="A444" t="s">
        <v>1282</v>
      </c>
      <c r="B444" s="85">
        <v>0</v>
      </c>
      <c r="C444" s="85">
        <v>50001</v>
      </c>
      <c r="D444" s="85">
        <v>25000</v>
      </c>
      <c r="E444" s="85">
        <v>50400</v>
      </c>
      <c r="F444"/>
      <c r="G444"/>
      <c r="H444"/>
      <c r="I444"/>
      <c r="K444"/>
      <c r="L444"/>
      <c r="M444"/>
      <c r="N444"/>
    </row>
    <row r="445" spans="1:14" x14ac:dyDescent="0.35">
      <c r="A445" t="s">
        <v>2812</v>
      </c>
      <c r="B445" s="85"/>
      <c r="C445" s="85"/>
      <c r="D445" s="85">
        <v>12000</v>
      </c>
      <c r="E445" s="85">
        <v>12000</v>
      </c>
      <c r="F445"/>
      <c r="G445"/>
      <c r="H445"/>
      <c r="I445"/>
      <c r="K445"/>
      <c r="L445"/>
      <c r="M445"/>
      <c r="N445"/>
    </row>
    <row r="446" spans="1:14" x14ac:dyDescent="0.35">
      <c r="A446" t="s">
        <v>1287</v>
      </c>
      <c r="B446" s="85">
        <v>0</v>
      </c>
      <c r="C446" s="85">
        <v>1709607</v>
      </c>
      <c r="D446" s="85">
        <v>1709607</v>
      </c>
      <c r="E446" s="85">
        <v>5437179.1799999997</v>
      </c>
      <c r="F446"/>
      <c r="G446"/>
      <c r="H446"/>
      <c r="I446"/>
      <c r="K446"/>
      <c r="L446"/>
      <c r="M446"/>
      <c r="N446"/>
    </row>
    <row r="447" spans="1:14" x14ac:dyDescent="0.35">
      <c r="A447" t="s">
        <v>1292</v>
      </c>
      <c r="B447" s="85">
        <v>0</v>
      </c>
      <c r="C447" s="85">
        <v>10000</v>
      </c>
      <c r="D447" s="85">
        <v>10000</v>
      </c>
      <c r="E447" s="85">
        <v>10000</v>
      </c>
      <c r="F447"/>
      <c r="G447"/>
      <c r="H447"/>
      <c r="I447"/>
      <c r="K447"/>
      <c r="L447"/>
      <c r="M447"/>
      <c r="N447"/>
    </row>
    <row r="448" spans="1:14" x14ac:dyDescent="0.35">
      <c r="A448" t="s">
        <v>1296</v>
      </c>
      <c r="B448" s="85">
        <v>1268350.46</v>
      </c>
      <c r="C448" s="85">
        <v>2618576</v>
      </c>
      <c r="D448" s="85">
        <v>2618576</v>
      </c>
      <c r="E448" s="85">
        <v>5406325.8589999992</v>
      </c>
      <c r="F448"/>
      <c r="G448"/>
      <c r="H448"/>
      <c r="I448"/>
      <c r="K448"/>
      <c r="L448"/>
      <c r="M448"/>
      <c r="N448"/>
    </row>
    <row r="449" spans="1:14" x14ac:dyDescent="0.35">
      <c r="A449" t="s">
        <v>1299</v>
      </c>
      <c r="B449" s="85">
        <v>0</v>
      </c>
      <c r="C449" s="85">
        <v>45000</v>
      </c>
      <c r="D449" s="85">
        <v>45000</v>
      </c>
      <c r="E449" s="85">
        <v>45000</v>
      </c>
      <c r="F449"/>
      <c r="G449"/>
      <c r="H449"/>
      <c r="I449"/>
      <c r="K449"/>
      <c r="L449"/>
      <c r="M449"/>
      <c r="N449"/>
    </row>
    <row r="450" spans="1:14" x14ac:dyDescent="0.35">
      <c r="A450" t="s">
        <v>1303</v>
      </c>
      <c r="B450" s="85">
        <v>6593486</v>
      </c>
      <c r="C450" s="85">
        <v>3308433</v>
      </c>
      <c r="D450" s="85">
        <v>3308433</v>
      </c>
      <c r="E450" s="85">
        <v>22181820</v>
      </c>
      <c r="F450"/>
      <c r="G450"/>
      <c r="H450"/>
      <c r="I450"/>
      <c r="K450"/>
      <c r="L450"/>
      <c r="M450"/>
      <c r="N450"/>
    </row>
    <row r="451" spans="1:14" x14ac:dyDescent="0.35">
      <c r="A451" t="s">
        <v>1307</v>
      </c>
      <c r="B451" s="85">
        <v>0</v>
      </c>
      <c r="C451" s="85">
        <v>277018</v>
      </c>
      <c r="D451" s="85">
        <v>277018</v>
      </c>
      <c r="E451" s="85">
        <v>300000</v>
      </c>
      <c r="F451"/>
      <c r="G451"/>
      <c r="H451"/>
      <c r="I451"/>
      <c r="K451"/>
      <c r="L451"/>
      <c r="M451"/>
      <c r="N451"/>
    </row>
    <row r="452" spans="1:14" x14ac:dyDescent="0.35">
      <c r="A452" t="s">
        <v>1645</v>
      </c>
      <c r="B452" s="85">
        <v>0</v>
      </c>
      <c r="C452" s="85">
        <v>15000</v>
      </c>
      <c r="D452" s="85"/>
      <c r="E452" s="85">
        <v>15000</v>
      </c>
      <c r="F452"/>
      <c r="G452"/>
      <c r="H452"/>
      <c r="I452"/>
      <c r="K452"/>
      <c r="L452"/>
      <c r="M452"/>
      <c r="N452"/>
    </row>
    <row r="453" spans="1:14" x14ac:dyDescent="0.35">
      <c r="A453" t="s">
        <v>1646</v>
      </c>
      <c r="B453" s="85">
        <v>0</v>
      </c>
      <c r="C453" s="85">
        <v>100000</v>
      </c>
      <c r="D453" s="85"/>
      <c r="E453" s="85">
        <v>160000</v>
      </c>
      <c r="F453"/>
      <c r="G453"/>
      <c r="H453"/>
      <c r="I453"/>
      <c r="K453"/>
      <c r="L453"/>
      <c r="M453"/>
      <c r="N453"/>
    </row>
    <row r="454" spans="1:14" x14ac:dyDescent="0.35">
      <c r="A454" t="s">
        <v>1647</v>
      </c>
      <c r="B454" s="85">
        <v>0</v>
      </c>
      <c r="C454" s="85">
        <v>20000</v>
      </c>
      <c r="D454" s="85"/>
      <c r="E454" s="85">
        <v>20000</v>
      </c>
      <c r="F454"/>
      <c r="G454"/>
      <c r="H454"/>
      <c r="I454"/>
      <c r="K454"/>
      <c r="L454"/>
      <c r="M454"/>
      <c r="N454"/>
    </row>
    <row r="455" spans="1:14" x14ac:dyDescent="0.35">
      <c r="A455" t="s">
        <v>1648</v>
      </c>
      <c r="B455" s="85">
        <v>0</v>
      </c>
      <c r="C455" s="85">
        <v>20000</v>
      </c>
      <c r="D455" s="85"/>
      <c r="E455" s="85">
        <v>20000</v>
      </c>
      <c r="F455"/>
      <c r="G455"/>
      <c r="H455"/>
      <c r="I455"/>
      <c r="K455"/>
      <c r="L455"/>
      <c r="M455"/>
      <c r="N455"/>
    </row>
    <row r="456" spans="1:14" x14ac:dyDescent="0.35">
      <c r="A456" t="s">
        <v>1676</v>
      </c>
      <c r="B456" s="85">
        <v>0</v>
      </c>
      <c r="C456" s="85">
        <v>2200</v>
      </c>
      <c r="D456" s="85"/>
      <c r="E456" s="85">
        <v>4000</v>
      </c>
      <c r="F456"/>
      <c r="G456"/>
      <c r="H456"/>
      <c r="I456"/>
      <c r="K456"/>
      <c r="L456"/>
      <c r="M456"/>
      <c r="N456"/>
    </row>
    <row r="457" spans="1:14" x14ac:dyDescent="0.35">
      <c r="A457" t="s">
        <v>1677</v>
      </c>
      <c r="B457" s="85">
        <v>40250800</v>
      </c>
      <c r="C457" s="85">
        <v>80501600</v>
      </c>
      <c r="D457" s="85"/>
      <c r="E457" s="85">
        <v>98652604.176784843</v>
      </c>
      <c r="F457"/>
      <c r="G457"/>
      <c r="H457"/>
      <c r="I457"/>
      <c r="K457"/>
      <c r="L457"/>
      <c r="M457"/>
      <c r="N457"/>
    </row>
    <row r="458" spans="1:14" x14ac:dyDescent="0.35">
      <c r="A458" t="s">
        <v>1678</v>
      </c>
      <c r="B458" s="85">
        <v>0</v>
      </c>
      <c r="C458" s="85">
        <v>11000</v>
      </c>
      <c r="D458" s="85"/>
      <c r="E458" s="85">
        <v>5190</v>
      </c>
      <c r="F458"/>
      <c r="G458"/>
      <c r="H458"/>
      <c r="I458"/>
      <c r="K458"/>
      <c r="L458"/>
      <c r="M458"/>
      <c r="N458"/>
    </row>
    <row r="459" spans="1:14" x14ac:dyDescent="0.35">
      <c r="A459" t="s">
        <v>1679</v>
      </c>
      <c r="B459" s="85">
        <v>9483734.2200000007</v>
      </c>
      <c r="C459" s="85">
        <v>9500000</v>
      </c>
      <c r="D459" s="85"/>
      <c r="E459" s="85">
        <v>11400000</v>
      </c>
      <c r="F459"/>
      <c r="G459"/>
      <c r="H459"/>
      <c r="I459"/>
      <c r="K459"/>
      <c r="L459"/>
      <c r="M459"/>
      <c r="N459"/>
    </row>
    <row r="460" spans="1:14" x14ac:dyDescent="0.35">
      <c r="A460" t="s">
        <v>1680</v>
      </c>
      <c r="B460" s="85">
        <v>21820</v>
      </c>
      <c r="C460" s="85">
        <v>300000</v>
      </c>
      <c r="D460" s="85"/>
      <c r="E460" s="85">
        <v>361000</v>
      </c>
      <c r="F460"/>
      <c r="G460"/>
      <c r="H460"/>
      <c r="I460"/>
      <c r="K460"/>
      <c r="L460"/>
      <c r="M460"/>
      <c r="N460"/>
    </row>
    <row r="461" spans="1:14" x14ac:dyDescent="0.35">
      <c r="A461" t="s">
        <v>1681</v>
      </c>
      <c r="B461" s="85">
        <v>0</v>
      </c>
      <c r="C461" s="85">
        <v>6000</v>
      </c>
      <c r="D461" s="85"/>
      <c r="E461" s="85">
        <v>2400</v>
      </c>
      <c r="F461"/>
      <c r="G461"/>
      <c r="H461"/>
      <c r="I461"/>
      <c r="K461"/>
      <c r="L461"/>
      <c r="M461"/>
      <c r="N461"/>
    </row>
    <row r="462" spans="1:14" x14ac:dyDescent="0.35">
      <c r="A462" t="s">
        <v>1686</v>
      </c>
      <c r="B462" s="85">
        <v>967573.09</v>
      </c>
      <c r="C462" s="85">
        <v>1647000</v>
      </c>
      <c r="D462" s="85"/>
      <c r="E462" s="85">
        <v>1980000</v>
      </c>
      <c r="F462"/>
      <c r="G462"/>
      <c r="H462"/>
      <c r="I462"/>
      <c r="K462"/>
      <c r="L462"/>
      <c r="M462"/>
      <c r="N462"/>
    </row>
    <row r="463" spans="1:14" x14ac:dyDescent="0.35">
      <c r="A463" t="s">
        <v>1687</v>
      </c>
      <c r="B463" s="85">
        <v>95604.5</v>
      </c>
      <c r="C463" s="85">
        <v>120000</v>
      </c>
      <c r="D463" s="85"/>
      <c r="E463" s="85">
        <v>100000</v>
      </c>
      <c r="F463"/>
      <c r="G463"/>
      <c r="H463"/>
      <c r="I463"/>
      <c r="K463"/>
      <c r="L463"/>
      <c r="M463"/>
      <c r="N463"/>
    </row>
    <row r="464" spans="1:14" x14ac:dyDescent="0.35">
      <c r="A464" t="s">
        <v>1649</v>
      </c>
      <c r="B464" s="85">
        <v>2887.5</v>
      </c>
      <c r="C464" s="85">
        <v>220000</v>
      </c>
      <c r="D464" s="85"/>
      <c r="E464" s="85">
        <v>220000</v>
      </c>
      <c r="F464"/>
      <c r="G464"/>
      <c r="H464"/>
      <c r="I464"/>
      <c r="K464"/>
      <c r="L464"/>
      <c r="M464"/>
      <c r="N464"/>
    </row>
    <row r="465" spans="1:14" x14ac:dyDescent="0.35">
      <c r="A465" t="s">
        <v>1650</v>
      </c>
      <c r="B465" s="85">
        <v>-94.58</v>
      </c>
      <c r="C465" s="85">
        <v>128000</v>
      </c>
      <c r="D465" s="85"/>
      <c r="E465" s="85">
        <v>128000</v>
      </c>
      <c r="F465"/>
      <c r="G465"/>
      <c r="H465"/>
      <c r="I465"/>
      <c r="K465"/>
      <c r="L465"/>
      <c r="M465"/>
      <c r="N465"/>
    </row>
    <row r="466" spans="1:14" x14ac:dyDescent="0.35">
      <c r="A466" t="s">
        <v>1651</v>
      </c>
      <c r="B466" s="85">
        <v>0</v>
      </c>
      <c r="C466" s="85">
        <v>23000</v>
      </c>
      <c r="D466" s="85"/>
      <c r="E466" s="85">
        <v>23000</v>
      </c>
      <c r="F466"/>
      <c r="G466"/>
      <c r="H466"/>
      <c r="I466"/>
      <c r="K466"/>
      <c r="L466"/>
      <c r="M466"/>
      <c r="N466"/>
    </row>
    <row r="467" spans="1:14" x14ac:dyDescent="0.35">
      <c r="A467" t="s">
        <v>1652</v>
      </c>
      <c r="B467" s="85">
        <v>236379.63</v>
      </c>
      <c r="C467" s="85">
        <v>800000</v>
      </c>
      <c r="D467" s="85"/>
      <c r="E467" s="85">
        <v>1000000</v>
      </c>
      <c r="F467"/>
      <c r="G467"/>
      <c r="H467"/>
      <c r="I467"/>
      <c r="K467"/>
      <c r="L467"/>
      <c r="M467"/>
      <c r="N467"/>
    </row>
    <row r="468" spans="1:14" x14ac:dyDescent="0.35">
      <c r="A468" t="s">
        <v>1653</v>
      </c>
      <c r="B468" s="85">
        <v>0</v>
      </c>
      <c r="C468" s="85">
        <v>24000</v>
      </c>
      <c r="D468" s="85"/>
      <c r="E468" s="85">
        <v>24000</v>
      </c>
      <c r="F468"/>
      <c r="G468"/>
      <c r="H468"/>
      <c r="I468"/>
      <c r="K468"/>
      <c r="L468"/>
      <c r="M468"/>
      <c r="N468"/>
    </row>
    <row r="469" spans="1:14" x14ac:dyDescent="0.35">
      <c r="A469" t="s">
        <v>1654</v>
      </c>
      <c r="B469" s="85">
        <v>495462</v>
      </c>
      <c r="C469" s="85">
        <v>353000</v>
      </c>
      <c r="D469" s="85">
        <v>363000</v>
      </c>
      <c r="E469" s="85">
        <v>400000</v>
      </c>
      <c r="F469"/>
      <c r="G469"/>
      <c r="H469"/>
      <c r="I469"/>
      <c r="K469"/>
      <c r="L469"/>
      <c r="M469"/>
      <c r="N469"/>
    </row>
    <row r="470" spans="1:14" x14ac:dyDescent="0.35">
      <c r="A470" t="s">
        <v>1655</v>
      </c>
      <c r="B470" s="85">
        <v>0</v>
      </c>
      <c r="C470" s="85">
        <v>60000</v>
      </c>
      <c r="D470" s="85"/>
      <c r="E470" s="85">
        <v>60000</v>
      </c>
      <c r="F470"/>
      <c r="G470"/>
      <c r="H470"/>
      <c r="I470"/>
      <c r="K470"/>
      <c r="L470"/>
      <c r="M470"/>
      <c r="N470"/>
    </row>
    <row r="471" spans="1:14" x14ac:dyDescent="0.35">
      <c r="A471" t="s">
        <v>1656</v>
      </c>
      <c r="B471" s="85">
        <v>0</v>
      </c>
      <c r="C471" s="85">
        <v>14000</v>
      </c>
      <c r="D471" s="85"/>
      <c r="E471" s="85">
        <v>14000</v>
      </c>
      <c r="F471"/>
      <c r="G471"/>
      <c r="H471"/>
      <c r="I471"/>
      <c r="K471"/>
      <c r="L471"/>
      <c r="M471"/>
      <c r="N471"/>
    </row>
    <row r="472" spans="1:14" x14ac:dyDescent="0.35">
      <c r="A472" t="s">
        <v>1657</v>
      </c>
      <c r="B472" s="85">
        <v>0</v>
      </c>
      <c r="C472" s="85">
        <v>4750</v>
      </c>
      <c r="D472" s="85"/>
      <c r="E472" s="85">
        <v>4750</v>
      </c>
      <c r="F472"/>
      <c r="G472"/>
      <c r="H472"/>
      <c r="I472"/>
      <c r="K472"/>
      <c r="L472"/>
      <c r="M472"/>
      <c r="N472"/>
    </row>
    <row r="473" spans="1:14" x14ac:dyDescent="0.35">
      <c r="A473" t="s">
        <v>1658</v>
      </c>
      <c r="B473" s="85">
        <v>0</v>
      </c>
      <c r="C473" s="85">
        <v>42000</v>
      </c>
      <c r="D473" s="85"/>
      <c r="E473" s="85">
        <v>42000</v>
      </c>
      <c r="F473"/>
      <c r="G473"/>
      <c r="H473"/>
      <c r="I473"/>
      <c r="K473"/>
      <c r="L473"/>
      <c r="M473"/>
      <c r="N473"/>
    </row>
    <row r="474" spans="1:14" x14ac:dyDescent="0.35">
      <c r="A474" t="s">
        <v>1659</v>
      </c>
      <c r="B474" s="85">
        <v>0</v>
      </c>
      <c r="C474" s="85">
        <v>35000</v>
      </c>
      <c r="D474" s="85"/>
      <c r="E474" s="85">
        <v>35000</v>
      </c>
      <c r="F474"/>
      <c r="G474"/>
      <c r="H474"/>
      <c r="I474"/>
      <c r="K474"/>
      <c r="L474"/>
      <c r="M474"/>
      <c r="N474"/>
    </row>
    <row r="475" spans="1:14" x14ac:dyDescent="0.35">
      <c r="A475" t="s">
        <v>1701</v>
      </c>
      <c r="B475" s="85">
        <v>255064.92</v>
      </c>
      <c r="C475" s="85">
        <v>317500</v>
      </c>
      <c r="D475" s="85">
        <v>317500</v>
      </c>
      <c r="E475" s="85">
        <v>1000000</v>
      </c>
      <c r="F475"/>
      <c r="G475"/>
      <c r="H475"/>
      <c r="I475"/>
      <c r="K475"/>
      <c r="L475"/>
      <c r="M475"/>
      <c r="N475"/>
    </row>
    <row r="476" spans="1:14" x14ac:dyDescent="0.35">
      <c r="A476" t="s">
        <v>1702</v>
      </c>
      <c r="B476" s="85">
        <v>370000</v>
      </c>
      <c r="C476" s="85">
        <v>550000</v>
      </c>
      <c r="D476" s="85">
        <v>550000</v>
      </c>
      <c r="E476" s="85">
        <v>560000</v>
      </c>
      <c r="F476"/>
      <c r="G476"/>
      <c r="H476"/>
      <c r="I476"/>
      <c r="K476"/>
      <c r="L476"/>
      <c r="M476"/>
      <c r="N476"/>
    </row>
    <row r="477" spans="1:14" x14ac:dyDescent="0.35">
      <c r="A477" t="s">
        <v>1703</v>
      </c>
      <c r="B477" s="85">
        <v>0</v>
      </c>
      <c r="C477" s="85">
        <v>520000</v>
      </c>
      <c r="D477" s="85">
        <v>520000</v>
      </c>
      <c r="E477" s="85">
        <v>2144000</v>
      </c>
      <c r="F477"/>
      <c r="G477"/>
      <c r="H477"/>
      <c r="I477"/>
      <c r="K477"/>
      <c r="L477"/>
      <c r="M477"/>
      <c r="N477"/>
    </row>
    <row r="478" spans="1:14" x14ac:dyDescent="0.35">
      <c r="A478" t="s">
        <v>1704</v>
      </c>
      <c r="B478" s="85">
        <v>0</v>
      </c>
      <c r="C478" s="85">
        <v>51000</v>
      </c>
      <c r="D478" s="85">
        <v>51000</v>
      </c>
      <c r="E478" s="85">
        <v>75000</v>
      </c>
      <c r="F478"/>
      <c r="G478"/>
      <c r="H478"/>
      <c r="I478"/>
      <c r="K478"/>
      <c r="L478"/>
      <c r="M478"/>
      <c r="N478"/>
    </row>
    <row r="479" spans="1:14" x14ac:dyDescent="0.35">
      <c r="A479" t="s">
        <v>1705</v>
      </c>
      <c r="B479" s="85">
        <v>0</v>
      </c>
      <c r="C479" s="85">
        <v>60608</v>
      </c>
      <c r="D479" s="85">
        <v>60605</v>
      </c>
      <c r="E479" s="85">
        <v>373152</v>
      </c>
      <c r="F479"/>
      <c r="G479"/>
      <c r="H479"/>
      <c r="I479"/>
      <c r="K479"/>
      <c r="L479"/>
      <c r="M479"/>
      <c r="N479"/>
    </row>
    <row r="480" spans="1:14" x14ac:dyDescent="0.35">
      <c r="A480" t="s">
        <v>1706</v>
      </c>
      <c r="B480" s="85">
        <v>0</v>
      </c>
      <c r="C480" s="85">
        <v>10000</v>
      </c>
      <c r="D480" s="85">
        <v>10000</v>
      </c>
      <c r="E480" s="85">
        <v>0</v>
      </c>
      <c r="F480"/>
      <c r="G480"/>
      <c r="H480"/>
      <c r="I480"/>
      <c r="K480"/>
      <c r="L480"/>
      <c r="M480"/>
      <c r="N480"/>
    </row>
    <row r="481" spans="1:14" x14ac:dyDescent="0.35">
      <c r="A481" t="s">
        <v>1707</v>
      </c>
      <c r="B481" s="85">
        <v>0</v>
      </c>
      <c r="C481" s="85">
        <v>46500</v>
      </c>
      <c r="D481" s="85">
        <v>46500</v>
      </c>
      <c r="E481" s="85">
        <v>80000</v>
      </c>
      <c r="F481"/>
      <c r="G481"/>
      <c r="H481"/>
      <c r="I481"/>
      <c r="K481"/>
      <c r="L481"/>
      <c r="M481"/>
      <c r="N481"/>
    </row>
    <row r="482" spans="1:14" x14ac:dyDescent="0.35">
      <c r="A482" t="s">
        <v>1708</v>
      </c>
      <c r="B482" s="85">
        <v>-5910</v>
      </c>
      <c r="C482" s="85">
        <v>10000</v>
      </c>
      <c r="D482" s="85">
        <v>10000</v>
      </c>
      <c r="E482" s="85">
        <v>10000</v>
      </c>
      <c r="F482"/>
      <c r="G482"/>
      <c r="H482"/>
      <c r="I482"/>
      <c r="K482"/>
      <c r="L482"/>
      <c r="M482"/>
      <c r="N482"/>
    </row>
    <row r="483" spans="1:14" x14ac:dyDescent="0.35">
      <c r="A483" t="s">
        <v>1668</v>
      </c>
      <c r="B483" s="85">
        <v>1750.45</v>
      </c>
      <c r="C483" s="85">
        <v>0</v>
      </c>
      <c r="D483" s="85"/>
      <c r="E483" s="85">
        <v>0</v>
      </c>
      <c r="F483"/>
      <c r="G483"/>
      <c r="H483"/>
      <c r="I483"/>
      <c r="K483"/>
      <c r="L483"/>
      <c r="M483"/>
      <c r="N483"/>
    </row>
    <row r="484" spans="1:14" x14ac:dyDescent="0.35">
      <c r="A484" t="s">
        <v>1669</v>
      </c>
      <c r="B484" s="85">
        <v>1240</v>
      </c>
      <c r="C484" s="85">
        <v>0</v>
      </c>
      <c r="D484" s="85"/>
      <c r="E484" s="85">
        <v>0</v>
      </c>
      <c r="F484"/>
      <c r="G484"/>
      <c r="H484"/>
      <c r="I484"/>
      <c r="K484"/>
      <c r="L484"/>
      <c r="M484"/>
      <c r="N484"/>
    </row>
    <row r="485" spans="1:14" x14ac:dyDescent="0.35">
      <c r="A485" t="s">
        <v>1660</v>
      </c>
      <c r="B485" s="85">
        <v>0</v>
      </c>
      <c r="C485" s="85">
        <v>205000</v>
      </c>
      <c r="D485" s="85">
        <v>205000</v>
      </c>
      <c r="E485" s="85">
        <v>274000</v>
      </c>
      <c r="F485"/>
      <c r="G485"/>
      <c r="H485"/>
      <c r="I485"/>
      <c r="K485"/>
      <c r="L485"/>
      <c r="M485"/>
      <c r="N485"/>
    </row>
    <row r="486" spans="1:14" x14ac:dyDescent="0.35">
      <c r="A486" t="s">
        <v>1661</v>
      </c>
      <c r="B486" s="85">
        <v>8221710.8799999999</v>
      </c>
      <c r="C486" s="85">
        <v>9349361</v>
      </c>
      <c r="D486" s="85">
        <v>12000000</v>
      </c>
      <c r="E486" s="85">
        <v>11616828</v>
      </c>
      <c r="F486"/>
      <c r="G486"/>
      <c r="H486"/>
      <c r="I486"/>
      <c r="K486"/>
      <c r="L486"/>
      <c r="M486"/>
      <c r="N486"/>
    </row>
    <row r="487" spans="1:14" x14ac:dyDescent="0.35">
      <c r="A487" t="s">
        <v>1670</v>
      </c>
      <c r="B487" s="85">
        <v>25000</v>
      </c>
      <c r="C487" s="85">
        <v>0</v>
      </c>
      <c r="D487" s="85"/>
      <c r="E487" s="85">
        <v>0</v>
      </c>
      <c r="F487"/>
      <c r="G487"/>
      <c r="H487"/>
      <c r="I487"/>
      <c r="K487"/>
      <c r="L487"/>
      <c r="M487"/>
      <c r="N487"/>
    </row>
    <row r="488" spans="1:14" x14ac:dyDescent="0.35">
      <c r="A488" t="s">
        <v>1662</v>
      </c>
      <c r="B488" s="85">
        <v>229618.26</v>
      </c>
      <c r="C488" s="85">
        <v>936870</v>
      </c>
      <c r="D488" s="85">
        <v>700000</v>
      </c>
      <c r="E488" s="85">
        <v>847520</v>
      </c>
      <c r="F488"/>
      <c r="G488"/>
      <c r="H488"/>
      <c r="I488"/>
      <c r="K488"/>
      <c r="L488"/>
      <c r="M488"/>
      <c r="N488"/>
    </row>
    <row r="489" spans="1:14" x14ac:dyDescent="0.35">
      <c r="A489" t="s">
        <v>1663</v>
      </c>
      <c r="B489" s="85">
        <v>7085.98</v>
      </c>
      <c r="C489" s="85">
        <v>70800</v>
      </c>
      <c r="D489" s="85">
        <v>70800</v>
      </c>
      <c r="E489" s="85">
        <v>170000</v>
      </c>
      <c r="F489"/>
      <c r="G489"/>
      <c r="H489"/>
      <c r="I489"/>
      <c r="K489"/>
      <c r="L489"/>
      <c r="M489"/>
      <c r="N489"/>
    </row>
    <row r="490" spans="1:14" x14ac:dyDescent="0.35">
      <c r="A490" t="s">
        <v>1671</v>
      </c>
      <c r="B490" s="85">
        <v>7904.54000000001</v>
      </c>
      <c r="C490" s="85">
        <v>0</v>
      </c>
      <c r="D490" s="85"/>
      <c r="E490" s="85">
        <v>0</v>
      </c>
      <c r="F490"/>
      <c r="G490"/>
      <c r="H490"/>
      <c r="I490"/>
      <c r="K490"/>
      <c r="L490"/>
      <c r="M490"/>
      <c r="N490"/>
    </row>
    <row r="491" spans="1:14" x14ac:dyDescent="0.35">
      <c r="A491" t="s">
        <v>1672</v>
      </c>
      <c r="B491" s="85">
        <v>506184.86</v>
      </c>
      <c r="C491" s="85">
        <v>0</v>
      </c>
      <c r="D491" s="85"/>
      <c r="E491" s="85">
        <v>0</v>
      </c>
      <c r="F491"/>
      <c r="G491"/>
      <c r="H491"/>
      <c r="I491"/>
      <c r="K491"/>
      <c r="L491"/>
      <c r="M491"/>
      <c r="N491"/>
    </row>
    <row r="492" spans="1:14" x14ac:dyDescent="0.35">
      <c r="A492" t="s">
        <v>1673</v>
      </c>
      <c r="B492" s="85">
        <v>166804.99</v>
      </c>
      <c r="C492" s="85">
        <v>0</v>
      </c>
      <c r="D492" s="85"/>
      <c r="E492" s="85">
        <v>0</v>
      </c>
      <c r="F492"/>
      <c r="G492"/>
      <c r="H492"/>
      <c r="I492"/>
      <c r="K492"/>
      <c r="L492"/>
      <c r="M492"/>
      <c r="N492"/>
    </row>
    <row r="493" spans="1:14" x14ac:dyDescent="0.35">
      <c r="A493" t="s">
        <v>1664</v>
      </c>
      <c r="B493" s="85">
        <v>10810.35</v>
      </c>
      <c r="C493" s="85">
        <v>32500</v>
      </c>
      <c r="D493" s="85">
        <v>32500</v>
      </c>
      <c r="E493" s="85">
        <v>32000</v>
      </c>
      <c r="F493"/>
      <c r="G493"/>
      <c r="H493"/>
      <c r="I493"/>
      <c r="K493"/>
      <c r="L493"/>
      <c r="M493"/>
      <c r="N493"/>
    </row>
    <row r="494" spans="1:14" x14ac:dyDescent="0.35">
      <c r="A494" t="s">
        <v>1674</v>
      </c>
      <c r="B494" s="85">
        <v>5500</v>
      </c>
      <c r="C494" s="85">
        <v>0</v>
      </c>
      <c r="D494" s="85"/>
      <c r="E494" s="85">
        <v>0</v>
      </c>
      <c r="F494"/>
      <c r="G494"/>
      <c r="H494"/>
      <c r="I494"/>
      <c r="K494"/>
      <c r="L494"/>
      <c r="M494"/>
      <c r="N494"/>
    </row>
    <row r="495" spans="1:14" x14ac:dyDescent="0.35">
      <c r="A495" t="s">
        <v>1675</v>
      </c>
      <c r="B495" s="85">
        <v>118836.36</v>
      </c>
      <c r="C495" s="85">
        <v>0</v>
      </c>
      <c r="D495" s="85"/>
      <c r="E495" s="85">
        <v>0</v>
      </c>
      <c r="F495"/>
      <c r="G495"/>
      <c r="H495"/>
      <c r="I495"/>
      <c r="K495"/>
      <c r="L495"/>
      <c r="M495"/>
      <c r="N495"/>
    </row>
    <row r="496" spans="1:14" x14ac:dyDescent="0.35">
      <c r="A496" t="s">
        <v>1665</v>
      </c>
      <c r="B496" s="85">
        <v>31417</v>
      </c>
      <c r="C496" s="85">
        <v>12000</v>
      </c>
      <c r="D496" s="85">
        <v>12000</v>
      </c>
      <c r="E496" s="85">
        <v>80350</v>
      </c>
      <c r="F496"/>
      <c r="G496"/>
      <c r="H496"/>
      <c r="I496"/>
      <c r="K496"/>
      <c r="L496"/>
      <c r="M496"/>
      <c r="N496"/>
    </row>
    <row r="497" spans="1:14" x14ac:dyDescent="0.35">
      <c r="A497" t="s">
        <v>1666</v>
      </c>
      <c r="B497" s="85">
        <v>0</v>
      </c>
      <c r="C497" s="85">
        <v>13500</v>
      </c>
      <c r="D497" s="85">
        <v>13500</v>
      </c>
      <c r="E497" s="85">
        <v>9600</v>
      </c>
      <c r="F497"/>
      <c r="G497"/>
      <c r="H497"/>
      <c r="I497"/>
      <c r="K497"/>
      <c r="L497"/>
      <c r="M497"/>
      <c r="N497"/>
    </row>
    <row r="498" spans="1:14" x14ac:dyDescent="0.35">
      <c r="A498" t="s">
        <v>1682</v>
      </c>
      <c r="B498" s="85">
        <v>0</v>
      </c>
      <c r="C498" s="85">
        <v>50000</v>
      </c>
      <c r="D498" s="85">
        <v>50000</v>
      </c>
      <c r="E498" s="85">
        <v>50000</v>
      </c>
      <c r="F498"/>
      <c r="G498"/>
      <c r="H498"/>
      <c r="I498"/>
      <c r="K498"/>
      <c r="L498"/>
      <c r="M498"/>
      <c r="N498"/>
    </row>
    <row r="499" spans="1:14" x14ac:dyDescent="0.35">
      <c r="A499" t="s">
        <v>1683</v>
      </c>
      <c r="B499" s="85">
        <v>0</v>
      </c>
      <c r="C499" s="85">
        <v>300000</v>
      </c>
      <c r="D499" s="85">
        <v>300000</v>
      </c>
      <c r="E499" s="85">
        <v>300000</v>
      </c>
      <c r="F499"/>
      <c r="G499"/>
      <c r="H499"/>
      <c r="I499"/>
      <c r="K499"/>
      <c r="L499"/>
      <c r="M499"/>
      <c r="N499"/>
    </row>
    <row r="500" spans="1:14" x14ac:dyDescent="0.35">
      <c r="A500" t="s">
        <v>1684</v>
      </c>
      <c r="B500" s="85">
        <v>13236762.58</v>
      </c>
      <c r="C500" s="85">
        <v>15199430</v>
      </c>
      <c r="D500" s="85">
        <v>15199430</v>
      </c>
      <c r="E500" s="85">
        <v>15564000</v>
      </c>
      <c r="F500"/>
      <c r="G500"/>
      <c r="H500"/>
      <c r="I500"/>
      <c r="K500"/>
      <c r="L500"/>
      <c r="M500"/>
      <c r="N500"/>
    </row>
    <row r="501" spans="1:14" x14ac:dyDescent="0.35">
      <c r="A501" t="s">
        <v>1685</v>
      </c>
      <c r="B501" s="85">
        <v>0</v>
      </c>
      <c r="C501" s="85">
        <v>50000</v>
      </c>
      <c r="D501" s="85">
        <v>50000</v>
      </c>
      <c r="E501" s="85">
        <v>48000</v>
      </c>
      <c r="F501"/>
      <c r="G501"/>
      <c r="H501"/>
      <c r="I501"/>
      <c r="K501"/>
      <c r="L501"/>
      <c r="M501"/>
      <c r="N501"/>
    </row>
    <row r="502" spans="1:14" x14ac:dyDescent="0.35">
      <c r="A502" t="s">
        <v>1688</v>
      </c>
      <c r="B502" s="85">
        <v>0</v>
      </c>
      <c r="C502" s="85">
        <v>2500</v>
      </c>
      <c r="D502" s="85">
        <v>2500</v>
      </c>
      <c r="E502" s="85">
        <v>3000</v>
      </c>
      <c r="F502"/>
      <c r="G502"/>
      <c r="H502"/>
      <c r="I502"/>
      <c r="K502"/>
      <c r="L502"/>
      <c r="M502"/>
      <c r="N502"/>
    </row>
    <row r="503" spans="1:14" x14ac:dyDescent="0.35">
      <c r="A503" t="s">
        <v>1689</v>
      </c>
      <c r="B503" s="85">
        <v>14261</v>
      </c>
      <c r="C503" s="85">
        <v>30000</v>
      </c>
      <c r="D503" s="85">
        <v>30000</v>
      </c>
      <c r="E503" s="85">
        <v>36000</v>
      </c>
      <c r="F503"/>
      <c r="G503"/>
      <c r="H503"/>
      <c r="I503"/>
      <c r="K503"/>
      <c r="L503"/>
      <c r="M503"/>
      <c r="N503"/>
    </row>
    <row r="504" spans="1:14" x14ac:dyDescent="0.35">
      <c r="A504" t="s">
        <v>1690</v>
      </c>
      <c r="B504" s="85">
        <v>7346</v>
      </c>
      <c r="C504" s="85">
        <v>60000</v>
      </c>
      <c r="D504" s="85">
        <v>60000</v>
      </c>
      <c r="E504" s="85">
        <v>72000</v>
      </c>
      <c r="F504"/>
      <c r="G504"/>
      <c r="H504"/>
      <c r="I504"/>
      <c r="K504"/>
      <c r="L504"/>
      <c r="M504"/>
      <c r="N504"/>
    </row>
    <row r="505" spans="1:14" x14ac:dyDescent="0.35">
      <c r="A505" t="s">
        <v>1691</v>
      </c>
      <c r="B505" s="85">
        <v>0</v>
      </c>
      <c r="C505" s="85">
        <v>300000</v>
      </c>
      <c r="D505" s="85">
        <v>300000</v>
      </c>
      <c r="E505" s="85">
        <v>360000</v>
      </c>
      <c r="F505"/>
      <c r="G505"/>
      <c r="H505"/>
      <c r="I505"/>
      <c r="K505"/>
      <c r="L505"/>
      <c r="M505"/>
      <c r="N505"/>
    </row>
    <row r="506" spans="1:14" x14ac:dyDescent="0.35">
      <c r="A506" t="s">
        <v>1692</v>
      </c>
      <c r="B506" s="85">
        <v>0</v>
      </c>
      <c r="C506" s="85">
        <v>30000</v>
      </c>
      <c r="D506" s="85">
        <v>30000</v>
      </c>
      <c r="E506" s="85">
        <v>36000</v>
      </c>
      <c r="F506"/>
      <c r="G506"/>
      <c r="H506"/>
      <c r="I506"/>
      <c r="K506"/>
      <c r="L506"/>
      <c r="M506"/>
      <c r="N506"/>
    </row>
    <row r="507" spans="1:14" x14ac:dyDescent="0.35">
      <c r="A507" t="s">
        <v>1693</v>
      </c>
      <c r="B507" s="85">
        <v>30906.93</v>
      </c>
      <c r="C507" s="85">
        <v>200000</v>
      </c>
      <c r="D507" s="85">
        <v>200000</v>
      </c>
      <c r="E507" s="85">
        <v>240000</v>
      </c>
      <c r="F507"/>
      <c r="G507"/>
      <c r="H507"/>
      <c r="I507"/>
      <c r="K507"/>
      <c r="L507"/>
      <c r="M507"/>
      <c r="N507"/>
    </row>
    <row r="508" spans="1:14" x14ac:dyDescent="0.35">
      <c r="A508" t="s">
        <v>1694</v>
      </c>
      <c r="B508" s="85">
        <v>117689.83</v>
      </c>
      <c r="C508" s="85">
        <v>321000</v>
      </c>
      <c r="D508" s="85">
        <v>321000</v>
      </c>
      <c r="E508" s="85">
        <v>1585200</v>
      </c>
      <c r="F508"/>
      <c r="G508"/>
      <c r="H508"/>
      <c r="I508"/>
      <c r="K508"/>
      <c r="L508"/>
      <c r="M508"/>
      <c r="N508"/>
    </row>
    <row r="509" spans="1:14" x14ac:dyDescent="0.35">
      <c r="A509" t="s">
        <v>1700</v>
      </c>
      <c r="B509" s="85">
        <v>2200</v>
      </c>
      <c r="C509" s="85"/>
      <c r="D509" s="85"/>
      <c r="E509" s="85">
        <v>2640</v>
      </c>
      <c r="F509"/>
      <c r="G509"/>
      <c r="H509"/>
      <c r="I509"/>
      <c r="K509"/>
      <c r="L509"/>
      <c r="M509"/>
      <c r="N509"/>
    </row>
    <row r="510" spans="1:14" x14ac:dyDescent="0.35">
      <c r="A510" t="s">
        <v>1695</v>
      </c>
      <c r="B510" s="85">
        <v>866.25</v>
      </c>
      <c r="C510" s="85">
        <v>15000</v>
      </c>
      <c r="D510" s="85">
        <v>15000</v>
      </c>
      <c r="E510" s="85">
        <v>18000</v>
      </c>
      <c r="F510"/>
      <c r="G510"/>
      <c r="H510"/>
      <c r="I510"/>
      <c r="K510"/>
      <c r="L510"/>
      <c r="M510"/>
      <c r="N510"/>
    </row>
    <row r="511" spans="1:14" x14ac:dyDescent="0.35">
      <c r="A511" t="s">
        <v>1696</v>
      </c>
      <c r="B511" s="85">
        <v>0</v>
      </c>
      <c r="C511" s="85">
        <v>200000</v>
      </c>
      <c r="D511" s="85">
        <v>200000</v>
      </c>
      <c r="E511" s="85">
        <v>240000</v>
      </c>
      <c r="F511"/>
      <c r="G511"/>
      <c r="H511"/>
      <c r="I511"/>
      <c r="K511"/>
      <c r="L511"/>
      <c r="M511"/>
      <c r="N511"/>
    </row>
    <row r="512" spans="1:14" x14ac:dyDescent="0.35">
      <c r="A512" t="s">
        <v>1697</v>
      </c>
      <c r="B512" s="85">
        <v>0</v>
      </c>
      <c r="C512" s="85">
        <v>10000</v>
      </c>
      <c r="D512" s="85">
        <v>10000</v>
      </c>
      <c r="E512" s="85">
        <v>12000</v>
      </c>
      <c r="F512"/>
      <c r="G512"/>
      <c r="H512"/>
      <c r="I512"/>
      <c r="K512"/>
      <c r="L512"/>
      <c r="M512"/>
      <c r="N512"/>
    </row>
    <row r="513" spans="1:14" x14ac:dyDescent="0.35">
      <c r="A513" t="s">
        <v>1698</v>
      </c>
      <c r="B513" s="85">
        <v>0</v>
      </c>
      <c r="C513" s="85">
        <v>5000</v>
      </c>
      <c r="D513" s="85">
        <v>5000</v>
      </c>
      <c r="E513" s="85">
        <v>6000</v>
      </c>
      <c r="F513"/>
      <c r="G513"/>
      <c r="H513"/>
      <c r="I513"/>
      <c r="K513"/>
      <c r="L513"/>
      <c r="M513"/>
      <c r="N513"/>
    </row>
    <row r="514" spans="1:14" x14ac:dyDescent="0.35">
      <c r="A514" t="s">
        <v>1699</v>
      </c>
      <c r="B514" s="85">
        <v>0</v>
      </c>
      <c r="C514" s="85">
        <v>6879</v>
      </c>
      <c r="D514" s="85">
        <v>6879</v>
      </c>
      <c r="E514" s="85">
        <v>8250</v>
      </c>
      <c r="F514"/>
      <c r="G514"/>
      <c r="H514"/>
      <c r="I514"/>
      <c r="K514"/>
      <c r="L514"/>
      <c r="M514"/>
      <c r="N514"/>
    </row>
    <row r="515" spans="1:14" x14ac:dyDescent="0.35">
      <c r="A515" t="s">
        <v>1002</v>
      </c>
      <c r="B515" s="85">
        <v>16778285</v>
      </c>
      <c r="C515" s="85">
        <v>21895944</v>
      </c>
      <c r="D515" s="85">
        <v>25770240</v>
      </c>
      <c r="E515" s="85">
        <v>33130272</v>
      </c>
      <c r="F515"/>
      <c r="G515"/>
      <c r="H515"/>
      <c r="I515"/>
      <c r="K515"/>
      <c r="L515"/>
      <c r="M515"/>
      <c r="N515"/>
    </row>
    <row r="516" spans="1:14" x14ac:dyDescent="0.35">
      <c r="A516" t="s">
        <v>1006</v>
      </c>
      <c r="B516" s="85">
        <v>0</v>
      </c>
      <c r="C516" s="85">
        <v>0</v>
      </c>
      <c r="D516" s="85"/>
      <c r="E516" s="85">
        <v>408900</v>
      </c>
      <c r="F516"/>
      <c r="G516"/>
      <c r="H516"/>
      <c r="I516"/>
      <c r="K516"/>
      <c r="L516"/>
      <c r="M516"/>
      <c r="N516"/>
    </row>
    <row r="517" spans="1:14" x14ac:dyDescent="0.35">
      <c r="A517" t="s">
        <v>1012</v>
      </c>
      <c r="B517" s="85">
        <v>0</v>
      </c>
      <c r="C517" s="85">
        <v>271000</v>
      </c>
      <c r="D517" s="85">
        <v>300000</v>
      </c>
      <c r="E517" s="85">
        <v>400000</v>
      </c>
      <c r="F517"/>
      <c r="G517"/>
      <c r="H517"/>
      <c r="I517"/>
      <c r="K517"/>
      <c r="L517"/>
      <c r="M517"/>
      <c r="N517"/>
    </row>
    <row r="518" spans="1:14" x14ac:dyDescent="0.35">
      <c r="A518" t="s">
        <v>1016</v>
      </c>
      <c r="B518" s="85">
        <v>85014.13</v>
      </c>
      <c r="C518" s="85">
        <v>170000</v>
      </c>
      <c r="D518" s="85">
        <v>170000</v>
      </c>
      <c r="E518" s="85">
        <v>360000</v>
      </c>
      <c r="F518"/>
      <c r="G518"/>
      <c r="H518"/>
      <c r="I518"/>
      <c r="K518"/>
      <c r="L518"/>
      <c r="M518"/>
      <c r="N518"/>
    </row>
    <row r="519" spans="1:14" x14ac:dyDescent="0.35">
      <c r="A519" t="s">
        <v>1022</v>
      </c>
      <c r="B519" s="85">
        <v>31000</v>
      </c>
      <c r="C519" s="85">
        <v>12000</v>
      </c>
      <c r="D519" s="85">
        <v>12000</v>
      </c>
      <c r="E519" s="85">
        <v>12000</v>
      </c>
      <c r="F519"/>
      <c r="G519"/>
      <c r="H519"/>
      <c r="I519"/>
      <c r="K519"/>
      <c r="L519"/>
      <c r="M519"/>
      <c r="N519"/>
    </row>
    <row r="520" spans="1:14" x14ac:dyDescent="0.35">
      <c r="A520" t="s">
        <v>1140</v>
      </c>
      <c r="B520" s="85">
        <v>53742.06</v>
      </c>
      <c r="C520" s="85">
        <v>53742.06</v>
      </c>
      <c r="D520" s="85">
        <v>53742.06</v>
      </c>
      <c r="E520" s="85">
        <v>225000</v>
      </c>
      <c r="F520"/>
      <c r="G520"/>
      <c r="H520"/>
      <c r="I520"/>
      <c r="K520"/>
      <c r="L520"/>
      <c r="M520"/>
      <c r="N520"/>
    </row>
    <row r="521" spans="1:14" x14ac:dyDescent="0.35">
      <c r="A521" t="s">
        <v>1147</v>
      </c>
      <c r="B521" s="85">
        <v>0</v>
      </c>
      <c r="C521" s="85">
        <v>0</v>
      </c>
      <c r="D521" s="85"/>
      <c r="E521" s="85">
        <v>250000</v>
      </c>
      <c r="F521"/>
      <c r="G521"/>
      <c r="H521"/>
      <c r="I521"/>
      <c r="K521"/>
      <c r="L521"/>
      <c r="M521"/>
      <c r="N521"/>
    </row>
    <row r="522" spans="1:14" x14ac:dyDescent="0.35">
      <c r="A522" t="s">
        <v>1026</v>
      </c>
      <c r="B522" s="85">
        <v>83485.8</v>
      </c>
      <c r="C522" s="85">
        <v>820000</v>
      </c>
      <c r="D522" s="85">
        <v>340000</v>
      </c>
      <c r="E522" s="85">
        <v>1020000</v>
      </c>
      <c r="F522"/>
      <c r="G522"/>
      <c r="H522"/>
      <c r="I522"/>
      <c r="K522"/>
      <c r="L522"/>
      <c r="M522"/>
      <c r="N522"/>
    </row>
    <row r="523" spans="1:14" x14ac:dyDescent="0.35">
      <c r="A523" t="s">
        <v>1030</v>
      </c>
      <c r="B523" s="85">
        <v>47146.720000000001</v>
      </c>
      <c r="C523" s="85">
        <v>780000</v>
      </c>
      <c r="D523" s="85">
        <v>720000</v>
      </c>
      <c r="E523" s="85">
        <v>1140000</v>
      </c>
      <c r="F523"/>
      <c r="G523"/>
      <c r="H523"/>
      <c r="I523"/>
      <c r="K523"/>
      <c r="L523"/>
      <c r="M523"/>
      <c r="N523"/>
    </row>
    <row r="524" spans="1:14" x14ac:dyDescent="0.35">
      <c r="A524" t="s">
        <v>1033</v>
      </c>
      <c r="B524" s="85">
        <v>1377538.15</v>
      </c>
      <c r="C524" s="85">
        <v>2494345</v>
      </c>
      <c r="D524" s="85">
        <v>3000000</v>
      </c>
      <c r="E524" s="85">
        <v>3000000</v>
      </c>
      <c r="F524"/>
      <c r="G524"/>
      <c r="H524"/>
      <c r="I524"/>
      <c r="K524"/>
      <c r="L524"/>
      <c r="M524"/>
      <c r="N524"/>
    </row>
    <row r="525" spans="1:14" x14ac:dyDescent="0.35">
      <c r="A525" t="s">
        <v>1037</v>
      </c>
      <c r="B525" s="85">
        <v>74619.92</v>
      </c>
      <c r="C525" s="85">
        <v>180000</v>
      </c>
      <c r="D525" s="85">
        <v>180000</v>
      </c>
      <c r="E525" s="85">
        <v>297975</v>
      </c>
      <c r="F525"/>
      <c r="G525"/>
      <c r="H525"/>
      <c r="I525"/>
      <c r="K525"/>
      <c r="L525"/>
      <c r="M525"/>
      <c r="N525"/>
    </row>
    <row r="526" spans="1:14" x14ac:dyDescent="0.35">
      <c r="A526" t="s">
        <v>1042</v>
      </c>
      <c r="B526" s="85">
        <v>16828</v>
      </c>
      <c r="C526" s="85">
        <v>20000</v>
      </c>
      <c r="D526" s="85">
        <v>20000</v>
      </c>
      <c r="E526" s="85">
        <v>825000</v>
      </c>
      <c r="F526"/>
      <c r="G526"/>
      <c r="H526"/>
      <c r="I526"/>
      <c r="K526"/>
      <c r="L526"/>
      <c r="M526"/>
      <c r="N526"/>
    </row>
    <row r="527" spans="1:14" x14ac:dyDescent="0.35">
      <c r="A527" t="s">
        <v>1048</v>
      </c>
      <c r="B527" s="85">
        <v>0</v>
      </c>
      <c r="C527" s="85">
        <v>292600</v>
      </c>
      <c r="D527" s="85">
        <v>292600</v>
      </c>
      <c r="E527" s="85">
        <v>376200</v>
      </c>
      <c r="F527"/>
      <c r="G527"/>
      <c r="H527"/>
      <c r="I527"/>
      <c r="K527"/>
      <c r="L527"/>
      <c r="M527"/>
      <c r="N527"/>
    </row>
    <row r="528" spans="1:14" x14ac:dyDescent="0.35">
      <c r="A528" t="s">
        <v>1053</v>
      </c>
      <c r="B528" s="85">
        <v>14604066.380000001</v>
      </c>
      <c r="C528" s="85">
        <v>24213178</v>
      </c>
      <c r="D528" s="85">
        <v>24213178</v>
      </c>
      <c r="E528" s="85">
        <v>40876000</v>
      </c>
      <c r="F528"/>
      <c r="G528"/>
      <c r="H528"/>
      <c r="I528"/>
      <c r="K528"/>
      <c r="L528"/>
      <c r="M528"/>
      <c r="N528"/>
    </row>
    <row r="529" spans="1:14" x14ac:dyDescent="0.35">
      <c r="A529" t="s">
        <v>1058</v>
      </c>
      <c r="B529" s="85">
        <v>0</v>
      </c>
      <c r="C529" s="85">
        <v>864069</v>
      </c>
      <c r="D529" s="85">
        <v>864069</v>
      </c>
      <c r="E529" s="85">
        <v>2681485</v>
      </c>
      <c r="F529"/>
      <c r="G529"/>
      <c r="H529"/>
      <c r="I529"/>
      <c r="K529"/>
      <c r="L529"/>
      <c r="M529"/>
      <c r="N529"/>
    </row>
    <row r="530" spans="1:14" x14ac:dyDescent="0.35">
      <c r="A530" t="s">
        <v>1061</v>
      </c>
      <c r="B530" s="85">
        <v>0</v>
      </c>
      <c r="C530" s="85">
        <v>2759974</v>
      </c>
      <c r="D530" s="85">
        <v>2759974</v>
      </c>
      <c r="E530" s="85">
        <v>3311974</v>
      </c>
      <c r="F530"/>
      <c r="G530"/>
      <c r="H530"/>
      <c r="I530"/>
      <c r="K530"/>
      <c r="L530"/>
      <c r="M530"/>
      <c r="N530"/>
    </row>
    <row r="531" spans="1:14" x14ac:dyDescent="0.35">
      <c r="A531" t="s">
        <v>1065</v>
      </c>
      <c r="B531" s="85">
        <v>32580</v>
      </c>
      <c r="C531" s="85">
        <v>200000</v>
      </c>
      <c r="D531" s="85">
        <v>200000</v>
      </c>
      <c r="E531" s="85">
        <v>256795</v>
      </c>
      <c r="F531"/>
      <c r="G531"/>
      <c r="H531"/>
      <c r="I531"/>
      <c r="K531"/>
      <c r="L531"/>
      <c r="M531"/>
      <c r="N531"/>
    </row>
    <row r="532" spans="1:14" x14ac:dyDescent="0.35">
      <c r="A532" t="s">
        <v>1068</v>
      </c>
      <c r="B532" s="85">
        <v>20410.759999999998</v>
      </c>
      <c r="C532" s="85">
        <v>185000</v>
      </c>
      <c r="D532" s="85">
        <v>185000</v>
      </c>
      <c r="E532" s="85">
        <v>368650</v>
      </c>
      <c r="F532"/>
      <c r="G532"/>
      <c r="H532"/>
      <c r="I532"/>
      <c r="K532"/>
      <c r="L532"/>
      <c r="M532"/>
      <c r="N532"/>
    </row>
    <row r="533" spans="1:14" x14ac:dyDescent="0.35">
      <c r="A533" t="s">
        <v>1072</v>
      </c>
      <c r="B533" s="85">
        <v>0</v>
      </c>
      <c r="C533" s="85">
        <v>90000</v>
      </c>
      <c r="D533" s="85">
        <v>90000</v>
      </c>
      <c r="E533" s="85">
        <v>102000</v>
      </c>
      <c r="F533"/>
      <c r="G533"/>
      <c r="H533"/>
      <c r="I533"/>
      <c r="K533"/>
      <c r="L533"/>
      <c r="M533"/>
      <c r="N533"/>
    </row>
    <row r="534" spans="1:14" x14ac:dyDescent="0.35">
      <c r="A534" t="s">
        <v>1077</v>
      </c>
      <c r="B534" s="85">
        <v>1212147.98</v>
      </c>
      <c r="C534" s="85">
        <v>977363</v>
      </c>
      <c r="D534" s="85">
        <v>977363</v>
      </c>
      <c r="E534" s="85">
        <v>977363</v>
      </c>
      <c r="F534"/>
      <c r="G534"/>
      <c r="H534"/>
      <c r="I534"/>
      <c r="K534"/>
      <c r="L534"/>
      <c r="M534"/>
      <c r="N534"/>
    </row>
    <row r="535" spans="1:14" x14ac:dyDescent="0.35">
      <c r="A535" t="s">
        <v>1081</v>
      </c>
      <c r="B535" s="85">
        <v>290</v>
      </c>
      <c r="C535" s="85">
        <v>21000</v>
      </c>
      <c r="D535" s="85">
        <v>21000</v>
      </c>
      <c r="E535" s="85">
        <v>21000</v>
      </c>
      <c r="F535"/>
      <c r="G535"/>
      <c r="H535"/>
      <c r="I535"/>
      <c r="K535"/>
      <c r="L535"/>
      <c r="M535"/>
      <c r="N535"/>
    </row>
    <row r="536" spans="1:14" x14ac:dyDescent="0.35">
      <c r="A536" t="s">
        <v>1086</v>
      </c>
      <c r="B536" s="85">
        <v>158351.81</v>
      </c>
      <c r="C536" s="85">
        <v>627674</v>
      </c>
      <c r="D536" s="85">
        <v>627674</v>
      </c>
      <c r="E536" s="85">
        <v>675000</v>
      </c>
      <c r="F536"/>
      <c r="G536"/>
      <c r="H536"/>
      <c r="I536"/>
      <c r="K536"/>
      <c r="L536"/>
      <c r="M536"/>
      <c r="N536"/>
    </row>
    <row r="537" spans="1:14" x14ac:dyDescent="0.35">
      <c r="A537" t="s">
        <v>1091</v>
      </c>
      <c r="B537" s="85">
        <v>14706.73</v>
      </c>
      <c r="C537" s="85">
        <v>153178</v>
      </c>
      <c r="D537" s="85">
        <v>153178</v>
      </c>
      <c r="E537" s="85">
        <v>237360</v>
      </c>
      <c r="F537"/>
      <c r="G537"/>
      <c r="H537"/>
      <c r="I537"/>
      <c r="K537"/>
      <c r="L537"/>
      <c r="M537"/>
      <c r="N537"/>
    </row>
    <row r="538" spans="1:14" x14ac:dyDescent="0.35">
      <c r="A538" t="s">
        <v>1095</v>
      </c>
      <c r="B538" s="85">
        <v>0</v>
      </c>
      <c r="C538" s="85">
        <v>419000</v>
      </c>
      <c r="D538" s="85">
        <v>419000</v>
      </c>
      <c r="E538" s="85">
        <v>450000</v>
      </c>
      <c r="F538"/>
      <c r="G538"/>
      <c r="H538"/>
      <c r="I538"/>
      <c r="K538"/>
      <c r="L538"/>
      <c r="M538"/>
      <c r="N538"/>
    </row>
    <row r="539" spans="1:14" x14ac:dyDescent="0.35">
      <c r="A539" t="s">
        <v>1097</v>
      </c>
      <c r="B539" s="85">
        <v>1200</v>
      </c>
      <c r="C539" s="85">
        <v>5000</v>
      </c>
      <c r="D539" s="85">
        <v>5000</v>
      </c>
      <c r="E539" s="85">
        <v>100000</v>
      </c>
      <c r="F539"/>
      <c r="G539"/>
      <c r="H539"/>
      <c r="I539"/>
      <c r="K539"/>
      <c r="L539"/>
      <c r="M539"/>
      <c r="N539"/>
    </row>
    <row r="540" spans="1:14" x14ac:dyDescent="0.35">
      <c r="A540" t="s">
        <v>1100</v>
      </c>
      <c r="B540" s="85">
        <v>99532.62</v>
      </c>
      <c r="C540" s="85">
        <v>565385</v>
      </c>
      <c r="D540" s="85">
        <v>289385</v>
      </c>
      <c r="E540" s="85">
        <v>1949500</v>
      </c>
      <c r="F540"/>
      <c r="G540"/>
      <c r="H540"/>
      <c r="I540"/>
      <c r="K540"/>
      <c r="L540"/>
      <c r="M540"/>
      <c r="N540"/>
    </row>
    <row r="541" spans="1:14" x14ac:dyDescent="0.35">
      <c r="A541" t="s">
        <v>1104</v>
      </c>
      <c r="B541" s="85">
        <v>55631.5</v>
      </c>
      <c r="C541" s="85">
        <v>516900</v>
      </c>
      <c r="D541" s="85">
        <v>516900</v>
      </c>
      <c r="E541" s="85">
        <v>600000</v>
      </c>
      <c r="F541"/>
      <c r="G541"/>
      <c r="H541"/>
      <c r="I541"/>
      <c r="K541"/>
      <c r="L541"/>
      <c r="M541"/>
      <c r="N541"/>
    </row>
    <row r="542" spans="1:14" x14ac:dyDescent="0.35">
      <c r="A542" t="s">
        <v>1108</v>
      </c>
      <c r="B542" s="85"/>
      <c r="C542" s="85">
        <v>35000</v>
      </c>
      <c r="D542" s="85">
        <v>35000</v>
      </c>
      <c r="E542" s="85">
        <v>200000</v>
      </c>
      <c r="F542"/>
      <c r="G542"/>
      <c r="H542"/>
      <c r="I542"/>
      <c r="K542"/>
      <c r="L542"/>
      <c r="M542"/>
      <c r="N542"/>
    </row>
    <row r="543" spans="1:14" x14ac:dyDescent="0.35">
      <c r="A543" t="s">
        <v>1112</v>
      </c>
      <c r="B543" s="85">
        <v>-22387</v>
      </c>
      <c r="C543" s="85">
        <v>72000</v>
      </c>
      <c r="D543" s="85">
        <v>591905</v>
      </c>
      <c r="E543" s="85">
        <v>641904</v>
      </c>
      <c r="F543"/>
      <c r="G543"/>
      <c r="H543"/>
      <c r="I543"/>
      <c r="K543"/>
      <c r="L543"/>
      <c r="M543"/>
      <c r="N543"/>
    </row>
    <row r="544" spans="1:14" x14ac:dyDescent="0.35">
      <c r="A544" t="s">
        <v>1115</v>
      </c>
      <c r="B544" s="85">
        <v>-22387</v>
      </c>
      <c r="C544" s="85">
        <v>72000</v>
      </c>
      <c r="D544" s="85">
        <v>300000</v>
      </c>
      <c r="E544" s="85">
        <v>300000</v>
      </c>
      <c r="F544"/>
      <c r="G544"/>
      <c r="H544"/>
      <c r="I544"/>
      <c r="K544"/>
      <c r="L544"/>
      <c r="M544"/>
      <c r="N544"/>
    </row>
    <row r="545" spans="1:14" x14ac:dyDescent="0.35">
      <c r="A545" t="s">
        <v>1121</v>
      </c>
      <c r="B545" s="85">
        <v>74471.19</v>
      </c>
      <c r="C545" s="85">
        <v>120000</v>
      </c>
      <c r="D545" s="85">
        <v>500000</v>
      </c>
      <c r="E545" s="85">
        <v>1260000</v>
      </c>
      <c r="F545"/>
      <c r="G545"/>
      <c r="H545"/>
      <c r="I545"/>
      <c r="K545"/>
      <c r="L545"/>
      <c r="M545"/>
      <c r="N545"/>
    </row>
    <row r="546" spans="1:14" x14ac:dyDescent="0.35">
      <c r="A546" t="s">
        <v>1125</v>
      </c>
      <c r="B546" s="85">
        <v>241814.92</v>
      </c>
      <c r="C546" s="85">
        <v>1592072</v>
      </c>
      <c r="D546" s="85">
        <v>14077987</v>
      </c>
      <c r="E546" s="85">
        <v>14077987</v>
      </c>
      <c r="F546"/>
      <c r="G546"/>
      <c r="H546"/>
      <c r="I546"/>
      <c r="K546"/>
      <c r="L546"/>
      <c r="M546"/>
      <c r="N546"/>
    </row>
    <row r="547" spans="1:14" x14ac:dyDescent="0.35">
      <c r="A547" t="s">
        <v>1128</v>
      </c>
      <c r="B547" s="85">
        <v>924.33</v>
      </c>
      <c r="C547" s="85">
        <v>10000</v>
      </c>
      <c r="D547" s="85">
        <v>75000</v>
      </c>
      <c r="E547" s="85">
        <v>225000</v>
      </c>
      <c r="F547"/>
      <c r="G547"/>
      <c r="H547"/>
      <c r="I547"/>
      <c r="K547"/>
      <c r="L547"/>
      <c r="M547"/>
      <c r="N547"/>
    </row>
    <row r="548" spans="1:14" x14ac:dyDescent="0.35">
      <c r="A548" t="s">
        <v>1144</v>
      </c>
      <c r="B548" s="85">
        <v>0</v>
      </c>
      <c r="C548" s="85">
        <v>0</v>
      </c>
      <c r="D548" s="85">
        <v>200000</v>
      </c>
      <c r="E548" s="85">
        <v>300000</v>
      </c>
      <c r="F548"/>
      <c r="G548"/>
      <c r="H548"/>
      <c r="I548"/>
      <c r="K548"/>
      <c r="L548"/>
      <c r="M548"/>
      <c r="N548"/>
    </row>
    <row r="549" spans="1:14" x14ac:dyDescent="0.35">
      <c r="A549" t="s">
        <v>1131</v>
      </c>
      <c r="B549" s="85">
        <v>7188.06</v>
      </c>
      <c r="C549" s="85">
        <v>112000</v>
      </c>
      <c r="D549" s="85">
        <v>200000</v>
      </c>
      <c r="E549" s="85">
        <v>320000</v>
      </c>
      <c r="F549"/>
      <c r="G549"/>
      <c r="H549"/>
      <c r="I549"/>
      <c r="K549"/>
      <c r="L549"/>
      <c r="M549"/>
      <c r="N549"/>
    </row>
    <row r="550" spans="1:14" x14ac:dyDescent="0.35">
      <c r="A550" t="s">
        <v>1137</v>
      </c>
      <c r="B550" s="85">
        <v>11810091.060000001</v>
      </c>
      <c r="C550" s="85">
        <v>17788291</v>
      </c>
      <c r="D550" s="85">
        <v>17788291</v>
      </c>
      <c r="E550" s="85">
        <v>23622096</v>
      </c>
      <c r="F550"/>
      <c r="G550"/>
      <c r="H550"/>
      <c r="I550"/>
      <c r="K550"/>
      <c r="L550"/>
      <c r="M550"/>
      <c r="N550"/>
    </row>
    <row r="551" spans="1:14" x14ac:dyDescent="0.35">
      <c r="A551" t="s">
        <v>2819</v>
      </c>
      <c r="B551" s="85">
        <v>4058968.47</v>
      </c>
      <c r="C551" s="85">
        <v>638656</v>
      </c>
      <c r="D551" s="85">
        <v>638656</v>
      </c>
      <c r="E551" s="85">
        <v>1098800</v>
      </c>
      <c r="F551"/>
      <c r="G551"/>
      <c r="H551"/>
      <c r="I551"/>
      <c r="K551"/>
      <c r="L551"/>
      <c r="M551"/>
      <c r="N551"/>
    </row>
    <row r="552" spans="1:14" x14ac:dyDescent="0.35">
      <c r="A552" t="s">
        <v>2820</v>
      </c>
      <c r="B552" s="85"/>
      <c r="C552" s="85"/>
      <c r="D552" s="85">
        <v>250000</v>
      </c>
      <c r="E552" s="85">
        <v>250000</v>
      </c>
      <c r="F552"/>
      <c r="G552"/>
      <c r="H552"/>
      <c r="I552"/>
      <c r="K552"/>
      <c r="L552"/>
      <c r="M552"/>
      <c r="N552"/>
    </row>
    <row r="553" spans="1:14" x14ac:dyDescent="0.35">
      <c r="A553" t="s">
        <v>2893</v>
      </c>
      <c r="B553" s="85">
        <v>0</v>
      </c>
      <c r="C553" s="85">
        <v>0</v>
      </c>
      <c r="D553" s="85">
        <v>0</v>
      </c>
      <c r="E553" s="85">
        <v>0</v>
      </c>
      <c r="F553"/>
      <c r="G553"/>
      <c r="H553"/>
      <c r="I553"/>
      <c r="K553"/>
      <c r="L553"/>
      <c r="M553"/>
      <c r="N553"/>
    </row>
    <row r="554" spans="1:14" x14ac:dyDescent="0.35">
      <c r="A554" t="s">
        <v>2894</v>
      </c>
      <c r="B554" s="85">
        <v>0</v>
      </c>
      <c r="C554" s="85">
        <v>588000</v>
      </c>
      <c r="D554" s="85">
        <v>588000</v>
      </c>
      <c r="E554" s="85">
        <v>1</v>
      </c>
      <c r="F554"/>
      <c r="G554"/>
      <c r="H554"/>
      <c r="I554"/>
      <c r="K554"/>
      <c r="L554"/>
      <c r="M554"/>
      <c r="N554"/>
    </row>
    <row r="555" spans="1:14" x14ac:dyDescent="0.35">
      <c r="A555" t="s">
        <v>2895</v>
      </c>
      <c r="B555" s="85">
        <v>51393.919999999998</v>
      </c>
      <c r="C555" s="85">
        <v>161375</v>
      </c>
      <c r="D555" s="85">
        <v>161375</v>
      </c>
      <c r="E555" s="85">
        <v>15330</v>
      </c>
      <c r="K555"/>
      <c r="L555"/>
      <c r="M555"/>
      <c r="N555"/>
    </row>
    <row r="556" spans="1:14" x14ac:dyDescent="0.35">
      <c r="A556" t="s">
        <v>2896</v>
      </c>
      <c r="B556" s="85">
        <v>10701612.01</v>
      </c>
      <c r="C556" s="85">
        <v>15319303</v>
      </c>
      <c r="D556" s="85">
        <v>15319303</v>
      </c>
      <c r="E556" s="85">
        <v>17597270</v>
      </c>
      <c r="K556"/>
      <c r="L556"/>
      <c r="M556"/>
      <c r="N556"/>
    </row>
    <row r="557" spans="1:14" x14ac:dyDescent="0.35">
      <c r="A557" t="s">
        <v>2897</v>
      </c>
      <c r="B557" s="85">
        <v>1706315.81</v>
      </c>
      <c r="C557" s="85">
        <v>2753398</v>
      </c>
      <c r="D557" s="85">
        <v>2753398</v>
      </c>
      <c r="E557" s="85">
        <v>14046375</v>
      </c>
      <c r="K557"/>
      <c r="L557"/>
      <c r="M557"/>
      <c r="N557"/>
    </row>
    <row r="558" spans="1:14" x14ac:dyDescent="0.35">
      <c r="A558" t="s">
        <v>2898</v>
      </c>
      <c r="B558" s="85">
        <v>1834890.5</v>
      </c>
      <c r="C558" s="85">
        <v>1304891</v>
      </c>
      <c r="D558" s="85">
        <v>1304891</v>
      </c>
      <c r="E558" s="85">
        <v>865000</v>
      </c>
      <c r="K558"/>
      <c r="L558"/>
      <c r="M558"/>
      <c r="N558"/>
    </row>
    <row r="559" spans="1:14" x14ac:dyDescent="0.35">
      <c r="A559" t="s">
        <v>2899</v>
      </c>
      <c r="B559" s="85">
        <v>7403823.8399999999</v>
      </c>
      <c r="C559" s="85">
        <v>15928069</v>
      </c>
      <c r="D559" s="85">
        <v>15928069</v>
      </c>
      <c r="E559" s="85">
        <v>81669712</v>
      </c>
      <c r="K559"/>
      <c r="L559"/>
      <c r="M559"/>
      <c r="N559"/>
    </row>
    <row r="560" spans="1:14" x14ac:dyDescent="0.35">
      <c r="A560" t="s">
        <v>2996</v>
      </c>
      <c r="B560" s="85">
        <v>100000</v>
      </c>
      <c r="C560" s="85">
        <v>0</v>
      </c>
      <c r="D560" s="85">
        <v>0</v>
      </c>
      <c r="E560" s="85">
        <v>0</v>
      </c>
      <c r="K560"/>
      <c r="L560"/>
      <c r="M560"/>
      <c r="N560"/>
    </row>
    <row r="561" spans="1:5" x14ac:dyDescent="0.35">
      <c r="A561" t="s">
        <v>2943</v>
      </c>
      <c r="B561" s="85">
        <v>-3673.25</v>
      </c>
      <c r="C561" s="85">
        <v>0</v>
      </c>
      <c r="D561" s="85">
        <v>0</v>
      </c>
      <c r="E561" s="85">
        <v>0</v>
      </c>
    </row>
    <row r="562" spans="1:5" x14ac:dyDescent="0.35">
      <c r="A562" t="s">
        <v>3434</v>
      </c>
      <c r="B562" s="85"/>
      <c r="C562" s="85"/>
      <c r="D562" s="85"/>
      <c r="E562" s="85"/>
    </row>
    <row r="563" spans="1:5" x14ac:dyDescent="0.35">
      <c r="A563" t="s">
        <v>2787</v>
      </c>
      <c r="B563" s="85">
        <v>496521420.72000027</v>
      </c>
      <c r="C563" s="85">
        <v>680622263.05999994</v>
      </c>
      <c r="D563" s="85">
        <v>611357781.33999991</v>
      </c>
      <c r="E563" s="54">
        <v>1190175473.8857846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89"/>
  <sheetViews>
    <sheetView topLeftCell="A16" workbookViewId="0">
      <selection activeCell="B436" sqref="B436"/>
    </sheetView>
  </sheetViews>
  <sheetFormatPr defaultRowHeight="14.5" x14ac:dyDescent="0.35"/>
  <cols>
    <col min="1" max="1" width="39.7265625" customWidth="1"/>
    <col min="2" max="2" width="20.36328125" bestFit="1" customWidth="1"/>
  </cols>
  <sheetData>
    <row r="3" spans="1:2" x14ac:dyDescent="0.35">
      <c r="A3" s="84" t="s">
        <v>2786</v>
      </c>
      <c r="B3" t="s">
        <v>2844</v>
      </c>
    </row>
    <row r="4" spans="1:2" x14ac:dyDescent="0.35">
      <c r="A4" s="8" t="s">
        <v>2713</v>
      </c>
      <c r="B4" s="54">
        <v>100000</v>
      </c>
    </row>
    <row r="5" spans="1:2" x14ac:dyDescent="0.35">
      <c r="A5" s="8" t="s">
        <v>2716</v>
      </c>
      <c r="B5" s="54">
        <v>5000000</v>
      </c>
    </row>
    <row r="6" spans="1:2" x14ac:dyDescent="0.35">
      <c r="A6" s="8" t="s">
        <v>2717</v>
      </c>
      <c r="B6" s="54">
        <v>200000</v>
      </c>
    </row>
    <row r="7" spans="1:2" x14ac:dyDescent="0.35">
      <c r="A7" s="8" t="s">
        <v>2719</v>
      </c>
      <c r="B7" s="54">
        <v>300000</v>
      </c>
    </row>
    <row r="8" spans="1:2" x14ac:dyDescent="0.35">
      <c r="A8" s="8" t="s">
        <v>2721</v>
      </c>
      <c r="B8" s="54">
        <v>300000</v>
      </c>
    </row>
    <row r="9" spans="1:2" x14ac:dyDescent="0.35">
      <c r="A9" s="8" t="s">
        <v>2723</v>
      </c>
      <c r="B9" s="54">
        <v>50000</v>
      </c>
    </row>
    <row r="10" spans="1:2" x14ac:dyDescent="0.35">
      <c r="A10" s="8" t="s">
        <v>2725</v>
      </c>
      <c r="B10" s="54">
        <v>1000000</v>
      </c>
    </row>
    <row r="11" spans="1:2" x14ac:dyDescent="0.35">
      <c r="A11" s="8" t="s">
        <v>2727</v>
      </c>
      <c r="B11" s="54">
        <v>50000</v>
      </c>
    </row>
    <row r="12" spans="1:2" x14ac:dyDescent="0.35">
      <c r="A12" s="8" t="s">
        <v>2731</v>
      </c>
      <c r="B12" s="54">
        <v>50000</v>
      </c>
    </row>
    <row r="13" spans="1:2" x14ac:dyDescent="0.35">
      <c r="A13" s="8" t="s">
        <v>2735</v>
      </c>
      <c r="B13" s="54">
        <v>514889</v>
      </c>
    </row>
    <row r="14" spans="1:2" x14ac:dyDescent="0.35">
      <c r="A14" s="8" t="s">
        <v>2745</v>
      </c>
      <c r="B14" s="54">
        <v>165000</v>
      </c>
    </row>
    <row r="15" spans="1:2" x14ac:dyDescent="0.35">
      <c r="A15" s="8" t="s">
        <v>2755</v>
      </c>
      <c r="B15" s="54">
        <v>165000</v>
      </c>
    </row>
    <row r="16" spans="1:2" x14ac:dyDescent="0.35">
      <c r="A16" s="8" t="s">
        <v>2750</v>
      </c>
      <c r="B16" s="54">
        <v>16500</v>
      </c>
    </row>
    <row r="17" spans="1:2" x14ac:dyDescent="0.35">
      <c r="A17" s="8" t="s">
        <v>2756</v>
      </c>
      <c r="B17" s="54">
        <v>165000</v>
      </c>
    </row>
    <row r="18" spans="1:2" x14ac:dyDescent="0.35">
      <c r="A18" s="8" t="s">
        <v>2279</v>
      </c>
      <c r="B18" s="54">
        <v>540000</v>
      </c>
    </row>
    <row r="19" spans="1:2" x14ac:dyDescent="0.35">
      <c r="A19" s="8" t="s">
        <v>2283</v>
      </c>
      <c r="B19" s="54">
        <v>180000</v>
      </c>
    </row>
    <row r="20" spans="1:2" x14ac:dyDescent="0.35">
      <c r="A20" s="8" t="s">
        <v>2288</v>
      </c>
      <c r="B20" s="54">
        <v>551250</v>
      </c>
    </row>
    <row r="21" spans="1:2" x14ac:dyDescent="0.35">
      <c r="A21" s="8" t="s">
        <v>2294</v>
      </c>
      <c r="B21" s="54">
        <v>14404666</v>
      </c>
    </row>
    <row r="22" spans="1:2" x14ac:dyDescent="0.35">
      <c r="A22" s="8" t="s">
        <v>2314</v>
      </c>
      <c r="B22" s="54">
        <v>8025304</v>
      </c>
    </row>
    <row r="23" spans="1:2" x14ac:dyDescent="0.35">
      <c r="A23" s="8" t="s">
        <v>2318</v>
      </c>
      <c r="B23" s="54">
        <v>3000000</v>
      </c>
    </row>
    <row r="24" spans="1:2" x14ac:dyDescent="0.35">
      <c r="A24" s="8" t="s">
        <v>2321</v>
      </c>
      <c r="B24" s="54">
        <v>0</v>
      </c>
    </row>
    <row r="25" spans="1:2" x14ac:dyDescent="0.35">
      <c r="A25" s="8" t="s">
        <v>2324</v>
      </c>
      <c r="B25" s="54">
        <v>2500000</v>
      </c>
    </row>
    <row r="26" spans="1:2" x14ac:dyDescent="0.35">
      <c r="A26" s="8" t="s">
        <v>2330</v>
      </c>
      <c r="B26" s="54">
        <v>749999.99930000002</v>
      </c>
    </row>
    <row r="27" spans="1:2" x14ac:dyDescent="0.35">
      <c r="A27" s="8" t="s">
        <v>2341</v>
      </c>
      <c r="B27" s="54">
        <v>998000</v>
      </c>
    </row>
    <row r="28" spans="1:2" x14ac:dyDescent="0.35">
      <c r="A28" s="8" t="s">
        <v>2346</v>
      </c>
      <c r="B28" s="54">
        <v>10000</v>
      </c>
    </row>
    <row r="29" spans="1:2" x14ac:dyDescent="0.35">
      <c r="A29" s="8" t="s">
        <v>2349</v>
      </c>
      <c r="B29" s="54">
        <v>135000</v>
      </c>
    </row>
    <row r="30" spans="1:2" x14ac:dyDescent="0.35">
      <c r="A30" s="8" t="s">
        <v>2352</v>
      </c>
      <c r="B30" s="54">
        <v>200000</v>
      </c>
    </row>
    <row r="31" spans="1:2" x14ac:dyDescent="0.35">
      <c r="A31" s="8" t="s">
        <v>2760</v>
      </c>
      <c r="B31" s="54">
        <v>320000</v>
      </c>
    </row>
    <row r="32" spans="1:2" x14ac:dyDescent="0.35">
      <c r="A32" s="8" t="s">
        <v>2768</v>
      </c>
      <c r="B32" s="54">
        <v>25000</v>
      </c>
    </row>
    <row r="33" spans="1:2" x14ac:dyDescent="0.35">
      <c r="A33" s="8" t="s">
        <v>2771</v>
      </c>
      <c r="B33" s="54">
        <v>100000</v>
      </c>
    </row>
    <row r="34" spans="1:2" x14ac:dyDescent="0.35">
      <c r="A34" s="8" t="s">
        <v>2778</v>
      </c>
      <c r="B34" s="54">
        <v>1800000</v>
      </c>
    </row>
    <row r="35" spans="1:2" x14ac:dyDescent="0.35">
      <c r="A35" s="8" t="s">
        <v>2776</v>
      </c>
      <c r="B35" s="54">
        <v>100000</v>
      </c>
    </row>
    <row r="36" spans="1:2" x14ac:dyDescent="0.35">
      <c r="A36" s="8" t="s">
        <v>2774</v>
      </c>
      <c r="B36" s="54">
        <v>100000</v>
      </c>
    </row>
    <row r="37" spans="1:2" x14ac:dyDescent="0.35">
      <c r="A37" s="8" t="s">
        <v>226</v>
      </c>
      <c r="B37" s="54">
        <v>462550</v>
      </c>
    </row>
    <row r="38" spans="1:2" x14ac:dyDescent="0.35">
      <c r="A38" s="8" t="s">
        <v>232</v>
      </c>
      <c r="B38" s="54">
        <v>3300000</v>
      </c>
    </row>
    <row r="39" spans="1:2" x14ac:dyDescent="0.35">
      <c r="A39" s="8" t="s">
        <v>240</v>
      </c>
      <c r="B39" s="54">
        <v>150000</v>
      </c>
    </row>
    <row r="40" spans="1:2" x14ac:dyDescent="0.35">
      <c r="A40" s="8" t="s">
        <v>248</v>
      </c>
      <c r="B40" s="54">
        <v>110000</v>
      </c>
    </row>
    <row r="41" spans="1:2" x14ac:dyDescent="0.35">
      <c r="A41" s="8" t="s">
        <v>254</v>
      </c>
      <c r="B41" s="54">
        <v>110000</v>
      </c>
    </row>
    <row r="42" spans="1:2" x14ac:dyDescent="0.35">
      <c r="A42" s="8" t="s">
        <v>260</v>
      </c>
      <c r="B42" s="54">
        <v>3965260</v>
      </c>
    </row>
    <row r="43" spans="1:2" x14ac:dyDescent="0.35">
      <c r="A43" s="8" t="s">
        <v>267</v>
      </c>
      <c r="B43" s="54">
        <v>140820</v>
      </c>
    </row>
    <row r="44" spans="1:2" x14ac:dyDescent="0.35">
      <c r="A44" s="8" t="s">
        <v>273</v>
      </c>
      <c r="B44" s="54">
        <v>50000</v>
      </c>
    </row>
    <row r="45" spans="1:2" x14ac:dyDescent="0.35">
      <c r="A45" s="8" t="s">
        <v>277</v>
      </c>
      <c r="B45" s="54">
        <v>396000</v>
      </c>
    </row>
    <row r="46" spans="1:2" x14ac:dyDescent="0.35">
      <c r="A46" s="8" t="s">
        <v>280</v>
      </c>
      <c r="B46" s="54">
        <v>2200000</v>
      </c>
    </row>
    <row r="47" spans="1:2" x14ac:dyDescent="0.35">
      <c r="A47" s="8" t="s">
        <v>284</v>
      </c>
      <c r="B47" s="54">
        <v>66000</v>
      </c>
    </row>
    <row r="48" spans="1:2" x14ac:dyDescent="0.35">
      <c r="A48" s="8" t="s">
        <v>1643</v>
      </c>
      <c r="B48" s="54">
        <v>6600</v>
      </c>
    </row>
    <row r="49" spans="1:2" x14ac:dyDescent="0.35">
      <c r="A49" s="8" t="s">
        <v>287</v>
      </c>
      <c r="B49" s="54">
        <v>330000</v>
      </c>
    </row>
    <row r="50" spans="1:2" x14ac:dyDescent="0.35">
      <c r="A50" s="8" t="s">
        <v>1715</v>
      </c>
      <c r="B50" s="54">
        <v>2764960</v>
      </c>
    </row>
    <row r="51" spans="1:2" x14ac:dyDescent="0.35">
      <c r="A51" s="8" t="s">
        <v>1716</v>
      </c>
      <c r="B51" s="54">
        <v>300000</v>
      </c>
    </row>
    <row r="52" spans="1:2" x14ac:dyDescent="0.35">
      <c r="A52" s="8" t="s">
        <v>1717</v>
      </c>
      <c r="B52" s="54">
        <v>48000</v>
      </c>
    </row>
    <row r="53" spans="1:2" x14ac:dyDescent="0.35">
      <c r="A53" s="8" t="s">
        <v>1718</v>
      </c>
      <c r="B53" s="54">
        <v>444000</v>
      </c>
    </row>
    <row r="54" spans="1:2" x14ac:dyDescent="0.35">
      <c r="A54" s="8" t="s">
        <v>1719</v>
      </c>
      <c r="B54" s="54">
        <v>0</v>
      </c>
    </row>
    <row r="55" spans="1:2" x14ac:dyDescent="0.35">
      <c r="A55" s="8" t="s">
        <v>1720</v>
      </c>
      <c r="B55" s="54">
        <v>4380000</v>
      </c>
    </row>
    <row r="56" spans="1:2" x14ac:dyDescent="0.35">
      <c r="A56" s="8" t="s">
        <v>1721</v>
      </c>
      <c r="B56" s="54">
        <v>3663925</v>
      </c>
    </row>
    <row r="57" spans="1:2" x14ac:dyDescent="0.35">
      <c r="A57" s="8" t="s">
        <v>1722</v>
      </c>
      <c r="B57" s="54">
        <v>249200000</v>
      </c>
    </row>
    <row r="58" spans="1:2" x14ac:dyDescent="0.35">
      <c r="A58" s="8" t="s">
        <v>1723</v>
      </c>
      <c r="B58" s="54">
        <v>225000</v>
      </c>
    </row>
    <row r="59" spans="1:2" x14ac:dyDescent="0.35">
      <c r="A59" s="8" t="s">
        <v>1724</v>
      </c>
      <c r="B59" s="54">
        <v>225000</v>
      </c>
    </row>
    <row r="60" spans="1:2" x14ac:dyDescent="0.35">
      <c r="A60" s="8" t="s">
        <v>1725</v>
      </c>
      <c r="B60" s="54">
        <v>64320</v>
      </c>
    </row>
    <row r="61" spans="1:2" x14ac:dyDescent="0.35">
      <c r="A61" s="8" t="s">
        <v>1726</v>
      </c>
      <c r="B61" s="54">
        <v>10000</v>
      </c>
    </row>
    <row r="62" spans="1:2" x14ac:dyDescent="0.35">
      <c r="A62" s="8" t="s">
        <v>1727</v>
      </c>
      <c r="B62" s="54">
        <v>95800</v>
      </c>
    </row>
    <row r="63" spans="1:2" x14ac:dyDescent="0.35">
      <c r="A63" s="8" t="s">
        <v>1728</v>
      </c>
      <c r="B63" s="54">
        <v>84864</v>
      </c>
    </row>
    <row r="64" spans="1:2" x14ac:dyDescent="0.35">
      <c r="A64" s="8" t="s">
        <v>1729</v>
      </c>
      <c r="B64" s="54">
        <v>5000</v>
      </c>
    </row>
    <row r="65" spans="1:2" x14ac:dyDescent="0.35">
      <c r="A65" s="8" t="s">
        <v>1730</v>
      </c>
      <c r="B65" s="54">
        <v>931500</v>
      </c>
    </row>
    <row r="66" spans="1:2" x14ac:dyDescent="0.35">
      <c r="A66" s="8" t="s">
        <v>599</v>
      </c>
      <c r="B66" s="54">
        <v>100000</v>
      </c>
    </row>
    <row r="67" spans="1:2" x14ac:dyDescent="0.35">
      <c r="A67" s="8" t="s">
        <v>605</v>
      </c>
      <c r="B67" s="54">
        <v>10000</v>
      </c>
    </row>
    <row r="68" spans="1:2" x14ac:dyDescent="0.35">
      <c r="A68" s="8" t="s">
        <v>611</v>
      </c>
      <c r="B68" s="54">
        <v>90000</v>
      </c>
    </row>
    <row r="69" spans="1:2" x14ac:dyDescent="0.35">
      <c r="A69" s="8" t="s">
        <v>614</v>
      </c>
      <c r="B69" s="54">
        <v>30000</v>
      </c>
    </row>
    <row r="70" spans="1:2" x14ac:dyDescent="0.35">
      <c r="A70" s="8" t="s">
        <v>621</v>
      </c>
      <c r="B70" s="54">
        <v>80000</v>
      </c>
    </row>
    <row r="71" spans="1:2" x14ac:dyDescent="0.35">
      <c r="A71" s="8" t="s">
        <v>627</v>
      </c>
      <c r="B71" s="54">
        <v>120000</v>
      </c>
    </row>
    <row r="72" spans="1:2" x14ac:dyDescent="0.35">
      <c r="A72" s="8" t="s">
        <v>630</v>
      </c>
      <c r="B72" s="54">
        <v>1160000</v>
      </c>
    </row>
    <row r="73" spans="1:2" x14ac:dyDescent="0.35">
      <c r="A73" s="8" t="s">
        <v>633</v>
      </c>
      <c r="B73" s="54">
        <v>40000</v>
      </c>
    </row>
    <row r="74" spans="1:2" x14ac:dyDescent="0.35">
      <c r="A74" s="8" t="s">
        <v>637</v>
      </c>
      <c r="B74" s="54">
        <v>150000</v>
      </c>
    </row>
    <row r="75" spans="1:2" x14ac:dyDescent="0.35">
      <c r="A75" s="8" t="s">
        <v>640</v>
      </c>
      <c r="B75" s="54">
        <v>90000</v>
      </c>
    </row>
    <row r="76" spans="1:2" x14ac:dyDescent="0.35">
      <c r="A76" s="8" t="s">
        <v>644</v>
      </c>
      <c r="B76" s="54">
        <v>36000</v>
      </c>
    </row>
    <row r="77" spans="1:2" x14ac:dyDescent="0.35">
      <c r="A77" s="8" t="s">
        <v>648</v>
      </c>
      <c r="B77" s="54">
        <v>319000</v>
      </c>
    </row>
    <row r="78" spans="1:2" x14ac:dyDescent="0.35">
      <c r="A78" s="8" t="s">
        <v>652</v>
      </c>
      <c r="B78" s="54">
        <v>0</v>
      </c>
    </row>
    <row r="79" spans="1:2" x14ac:dyDescent="0.35">
      <c r="A79" s="8" t="s">
        <v>656</v>
      </c>
      <c r="B79" s="54">
        <v>0</v>
      </c>
    </row>
    <row r="80" spans="1:2" x14ac:dyDescent="0.35">
      <c r="A80" s="8" t="s">
        <v>658</v>
      </c>
      <c r="B80" s="54">
        <v>360000</v>
      </c>
    </row>
    <row r="81" spans="1:2" x14ac:dyDescent="0.35">
      <c r="A81" s="8" t="s">
        <v>662</v>
      </c>
      <c r="B81" s="54">
        <v>180000</v>
      </c>
    </row>
    <row r="82" spans="1:2" x14ac:dyDescent="0.35">
      <c r="A82" s="8" t="s">
        <v>664</v>
      </c>
      <c r="B82" s="54">
        <v>60000</v>
      </c>
    </row>
    <row r="83" spans="1:2" x14ac:dyDescent="0.35">
      <c r="A83" s="8" t="s">
        <v>337</v>
      </c>
      <c r="B83" s="54">
        <v>20000</v>
      </c>
    </row>
    <row r="84" spans="1:2" x14ac:dyDescent="0.35">
      <c r="A84" s="8" t="s">
        <v>343</v>
      </c>
      <c r="B84" s="54">
        <v>30000</v>
      </c>
    </row>
    <row r="85" spans="1:2" x14ac:dyDescent="0.35">
      <c r="A85" s="8" t="s">
        <v>353</v>
      </c>
      <c r="B85" s="54">
        <v>150000</v>
      </c>
    </row>
    <row r="86" spans="1:2" x14ac:dyDescent="0.35">
      <c r="A86" s="8" t="s">
        <v>360</v>
      </c>
      <c r="B86" s="54">
        <v>360000</v>
      </c>
    </row>
    <row r="87" spans="1:2" x14ac:dyDescent="0.35">
      <c r="A87" s="8" t="s">
        <v>368</v>
      </c>
      <c r="B87" s="54">
        <v>340000</v>
      </c>
    </row>
    <row r="88" spans="1:2" x14ac:dyDescent="0.35">
      <c r="A88" s="8" t="s">
        <v>376</v>
      </c>
      <c r="B88" s="54">
        <v>8500</v>
      </c>
    </row>
    <row r="89" spans="1:2" x14ac:dyDescent="0.35">
      <c r="A89" s="8" t="s">
        <v>381</v>
      </c>
      <c r="B89" s="54">
        <v>10000</v>
      </c>
    </row>
    <row r="90" spans="1:2" x14ac:dyDescent="0.35">
      <c r="A90" s="8" t="s">
        <v>386</v>
      </c>
      <c r="B90" s="54">
        <v>340000</v>
      </c>
    </row>
    <row r="91" spans="1:2" x14ac:dyDescent="0.35">
      <c r="A91" s="8" t="s">
        <v>394</v>
      </c>
      <c r="B91" s="54">
        <v>85000</v>
      </c>
    </row>
    <row r="92" spans="1:2" x14ac:dyDescent="0.35">
      <c r="A92" s="8" t="s">
        <v>400</v>
      </c>
      <c r="B92" s="54">
        <v>221000</v>
      </c>
    </row>
    <row r="93" spans="1:2" x14ac:dyDescent="0.35">
      <c r="A93" s="8" t="s">
        <v>406</v>
      </c>
      <c r="B93" s="54">
        <v>255000</v>
      </c>
    </row>
    <row r="94" spans="1:2" x14ac:dyDescent="0.35">
      <c r="A94" s="8" t="s">
        <v>410</v>
      </c>
      <c r="B94" s="54">
        <v>5100</v>
      </c>
    </row>
    <row r="95" spans="1:2" x14ac:dyDescent="0.35">
      <c r="A95" s="8" t="s">
        <v>417</v>
      </c>
      <c r="B95" s="54">
        <v>5950</v>
      </c>
    </row>
    <row r="96" spans="1:2" x14ac:dyDescent="0.35">
      <c r="A96" s="8" t="s">
        <v>421</v>
      </c>
      <c r="B96" s="54">
        <v>2500000</v>
      </c>
    </row>
    <row r="97" spans="1:2" x14ac:dyDescent="0.35">
      <c r="A97" s="8" t="s">
        <v>427</v>
      </c>
      <c r="B97" s="54">
        <v>7000</v>
      </c>
    </row>
    <row r="98" spans="1:2" x14ac:dyDescent="0.35">
      <c r="A98" s="8" t="s">
        <v>432</v>
      </c>
      <c r="B98" s="54">
        <v>10000</v>
      </c>
    </row>
    <row r="99" spans="1:2" x14ac:dyDescent="0.35">
      <c r="A99" s="8" t="s">
        <v>439</v>
      </c>
      <c r="B99" s="54">
        <v>24000</v>
      </c>
    </row>
    <row r="100" spans="1:2" x14ac:dyDescent="0.35">
      <c r="A100" s="8" t="s">
        <v>446</v>
      </c>
      <c r="B100" s="54">
        <v>204000</v>
      </c>
    </row>
    <row r="101" spans="1:2" x14ac:dyDescent="0.35">
      <c r="A101" s="8" t="s">
        <v>451</v>
      </c>
      <c r="B101" s="54">
        <v>320000</v>
      </c>
    </row>
    <row r="102" spans="1:2" x14ac:dyDescent="0.35">
      <c r="A102" s="8" t="s">
        <v>456</v>
      </c>
      <c r="B102" s="54">
        <v>24000</v>
      </c>
    </row>
    <row r="103" spans="1:2" x14ac:dyDescent="0.35">
      <c r="A103" s="8" t="s">
        <v>460</v>
      </c>
      <c r="B103" s="54">
        <v>105000</v>
      </c>
    </row>
    <row r="104" spans="1:2" x14ac:dyDescent="0.35">
      <c r="A104" s="8" t="s">
        <v>465</v>
      </c>
      <c r="B104" s="54">
        <v>20000</v>
      </c>
    </row>
    <row r="105" spans="1:2" x14ac:dyDescent="0.35">
      <c r="A105" s="8" t="s">
        <v>469</v>
      </c>
      <c r="B105" s="54">
        <v>150000</v>
      </c>
    </row>
    <row r="106" spans="1:2" x14ac:dyDescent="0.35">
      <c r="A106" s="8" t="s">
        <v>475</v>
      </c>
      <c r="B106" s="54">
        <v>80000</v>
      </c>
    </row>
    <row r="107" spans="1:2" x14ac:dyDescent="0.35">
      <c r="A107" s="8" t="s">
        <v>481</v>
      </c>
      <c r="B107" s="54">
        <v>220000</v>
      </c>
    </row>
    <row r="108" spans="1:2" x14ac:dyDescent="0.35">
      <c r="A108" s="8" t="s">
        <v>487</v>
      </c>
      <c r="B108" s="54">
        <v>2500</v>
      </c>
    </row>
    <row r="109" spans="1:2" x14ac:dyDescent="0.35">
      <c r="A109" s="8" t="s">
        <v>491</v>
      </c>
      <c r="B109" s="54">
        <v>32000</v>
      </c>
    </row>
    <row r="110" spans="1:2" x14ac:dyDescent="0.35">
      <c r="A110" s="8" t="s">
        <v>494</v>
      </c>
      <c r="B110" s="54">
        <v>2137302</v>
      </c>
    </row>
    <row r="111" spans="1:2" x14ac:dyDescent="0.35">
      <c r="A111" s="8" t="s">
        <v>508</v>
      </c>
      <c r="B111" s="54">
        <v>60000</v>
      </c>
    </row>
    <row r="112" spans="1:2" x14ac:dyDescent="0.35">
      <c r="A112" s="8" t="s">
        <v>513</v>
      </c>
      <c r="B112" s="54">
        <v>30000</v>
      </c>
    </row>
    <row r="113" spans="1:2" x14ac:dyDescent="0.35">
      <c r="A113" s="8" t="s">
        <v>517</v>
      </c>
      <c r="B113" s="54">
        <v>25000</v>
      </c>
    </row>
    <row r="114" spans="1:2" x14ac:dyDescent="0.35">
      <c r="A114" s="8" t="s">
        <v>520</v>
      </c>
      <c r="B114" s="54">
        <v>120000</v>
      </c>
    </row>
    <row r="115" spans="1:2" x14ac:dyDescent="0.35">
      <c r="A115" s="8" t="s">
        <v>522</v>
      </c>
      <c r="B115" s="54">
        <v>450000</v>
      </c>
    </row>
    <row r="116" spans="1:2" x14ac:dyDescent="0.35">
      <c r="A116" s="8" t="s">
        <v>524</v>
      </c>
      <c r="B116" s="54">
        <v>25000</v>
      </c>
    </row>
    <row r="117" spans="1:2" x14ac:dyDescent="0.35">
      <c r="A117" s="8" t="s">
        <v>526</v>
      </c>
      <c r="B117" s="54">
        <v>115000</v>
      </c>
    </row>
    <row r="118" spans="1:2" x14ac:dyDescent="0.35">
      <c r="A118" s="8" t="s">
        <v>528</v>
      </c>
      <c r="B118" s="54">
        <v>35000</v>
      </c>
    </row>
    <row r="119" spans="1:2" x14ac:dyDescent="0.35">
      <c r="A119" s="8" t="s">
        <v>530</v>
      </c>
      <c r="B119" s="54">
        <v>60000</v>
      </c>
    </row>
    <row r="120" spans="1:2" x14ac:dyDescent="0.35">
      <c r="A120" s="8" t="s">
        <v>532</v>
      </c>
      <c r="B120" s="54">
        <v>175000</v>
      </c>
    </row>
    <row r="121" spans="1:2" x14ac:dyDescent="0.35">
      <c r="A121" s="8" t="s">
        <v>534</v>
      </c>
      <c r="B121" s="54">
        <v>35000</v>
      </c>
    </row>
    <row r="122" spans="1:2" x14ac:dyDescent="0.35">
      <c r="A122" s="8" t="s">
        <v>536</v>
      </c>
      <c r="B122" s="54">
        <v>45000</v>
      </c>
    </row>
    <row r="123" spans="1:2" x14ac:dyDescent="0.35">
      <c r="A123" s="8" t="s">
        <v>538</v>
      </c>
      <c r="B123" s="54">
        <v>544000</v>
      </c>
    </row>
    <row r="124" spans="1:2" x14ac:dyDescent="0.35">
      <c r="A124" s="8" t="s">
        <v>542</v>
      </c>
      <c r="B124" s="54">
        <v>18000</v>
      </c>
    </row>
    <row r="125" spans="1:2" x14ac:dyDescent="0.35">
      <c r="A125" s="8" t="s">
        <v>561</v>
      </c>
      <c r="B125" s="54">
        <v>4000</v>
      </c>
    </row>
    <row r="126" spans="1:2" x14ac:dyDescent="0.35">
      <c r="A126" s="8" t="s">
        <v>564</v>
      </c>
      <c r="B126" s="54">
        <v>6600</v>
      </c>
    </row>
    <row r="127" spans="1:2" x14ac:dyDescent="0.35">
      <c r="A127" s="8" t="s">
        <v>568</v>
      </c>
      <c r="B127" s="54">
        <v>5000</v>
      </c>
    </row>
    <row r="128" spans="1:2" x14ac:dyDescent="0.35">
      <c r="A128" s="8" t="s">
        <v>574</v>
      </c>
      <c r="B128" s="54">
        <v>40000</v>
      </c>
    </row>
    <row r="129" spans="1:2" x14ac:dyDescent="0.35">
      <c r="A129" s="8" t="s">
        <v>570</v>
      </c>
      <c r="B129" s="54">
        <v>60000</v>
      </c>
    </row>
    <row r="130" spans="1:2" x14ac:dyDescent="0.35">
      <c r="A130" s="8" t="s">
        <v>578</v>
      </c>
      <c r="B130" s="54">
        <v>220000</v>
      </c>
    </row>
    <row r="131" spans="1:2" x14ac:dyDescent="0.35">
      <c r="A131" s="8" t="s">
        <v>580</v>
      </c>
      <c r="B131" s="54">
        <v>45000</v>
      </c>
    </row>
    <row r="132" spans="1:2" x14ac:dyDescent="0.35">
      <c r="A132" s="8" t="s">
        <v>582</v>
      </c>
      <c r="B132" s="54">
        <v>20000</v>
      </c>
    </row>
    <row r="133" spans="1:2" x14ac:dyDescent="0.35">
      <c r="A133" s="8" t="s">
        <v>584</v>
      </c>
      <c r="B133" s="54">
        <v>200000</v>
      </c>
    </row>
    <row r="134" spans="1:2" x14ac:dyDescent="0.35">
      <c r="A134" s="8" t="s">
        <v>586</v>
      </c>
      <c r="B134" s="54">
        <v>80000</v>
      </c>
    </row>
    <row r="135" spans="1:2" x14ac:dyDescent="0.35">
      <c r="A135" s="8" t="s">
        <v>588</v>
      </c>
      <c r="B135" s="54">
        <v>110000</v>
      </c>
    </row>
    <row r="136" spans="1:2" x14ac:dyDescent="0.35">
      <c r="A136" s="8" t="s">
        <v>590</v>
      </c>
      <c r="B136" s="54">
        <v>1285000</v>
      </c>
    </row>
    <row r="137" spans="1:2" x14ac:dyDescent="0.35">
      <c r="A137" s="8" t="s">
        <v>667</v>
      </c>
      <c r="B137" s="54">
        <v>3000</v>
      </c>
    </row>
    <row r="138" spans="1:2" x14ac:dyDescent="0.35">
      <c r="A138" s="8" t="s">
        <v>671</v>
      </c>
      <c r="B138" s="54">
        <v>10000</v>
      </c>
    </row>
    <row r="139" spans="1:2" x14ac:dyDescent="0.35">
      <c r="A139" s="8" t="s">
        <v>677</v>
      </c>
      <c r="B139" s="54">
        <v>75000</v>
      </c>
    </row>
    <row r="140" spans="1:2" x14ac:dyDescent="0.35">
      <c r="A140" s="8" t="s">
        <v>680</v>
      </c>
      <c r="B140" s="54">
        <v>435000</v>
      </c>
    </row>
    <row r="141" spans="1:2" x14ac:dyDescent="0.35">
      <c r="A141" s="8" t="s">
        <v>684</v>
      </c>
      <c r="B141" s="54">
        <v>1260000</v>
      </c>
    </row>
    <row r="142" spans="1:2" x14ac:dyDescent="0.35">
      <c r="A142" s="8" t="s">
        <v>690</v>
      </c>
      <c r="B142" s="54">
        <v>30000</v>
      </c>
    </row>
    <row r="143" spans="1:2" x14ac:dyDescent="0.35">
      <c r="A143" s="8" t="s">
        <v>695</v>
      </c>
      <c r="B143" s="54">
        <v>710622</v>
      </c>
    </row>
    <row r="144" spans="1:2" x14ac:dyDescent="0.35">
      <c r="A144" s="8" t="s">
        <v>699</v>
      </c>
      <c r="B144" s="54">
        <v>302000</v>
      </c>
    </row>
    <row r="145" spans="1:2" x14ac:dyDescent="0.35">
      <c r="A145" s="8" t="s">
        <v>703</v>
      </c>
      <c r="B145" s="54">
        <v>50000</v>
      </c>
    </row>
    <row r="146" spans="1:2" x14ac:dyDescent="0.35">
      <c r="A146" s="8" t="s">
        <v>708</v>
      </c>
      <c r="B146" s="54">
        <v>441000</v>
      </c>
    </row>
    <row r="147" spans="1:2" x14ac:dyDescent="0.35">
      <c r="A147" s="8" t="s">
        <v>712</v>
      </c>
      <c r="B147" s="54">
        <v>80000</v>
      </c>
    </row>
    <row r="148" spans="1:2" x14ac:dyDescent="0.35">
      <c r="A148" s="8" t="s">
        <v>716</v>
      </c>
      <c r="B148" s="54">
        <v>16000</v>
      </c>
    </row>
    <row r="149" spans="1:2" x14ac:dyDescent="0.35">
      <c r="A149" s="8" t="s">
        <v>719</v>
      </c>
      <c r="B149" s="54">
        <v>500000</v>
      </c>
    </row>
    <row r="150" spans="1:2" x14ac:dyDescent="0.35">
      <c r="A150" s="8" t="s">
        <v>722</v>
      </c>
      <c r="B150" s="54">
        <v>13000</v>
      </c>
    </row>
    <row r="151" spans="1:2" x14ac:dyDescent="0.35">
      <c r="A151" s="8" t="s">
        <v>724</v>
      </c>
      <c r="B151" s="54">
        <v>22000</v>
      </c>
    </row>
    <row r="152" spans="1:2" x14ac:dyDescent="0.35">
      <c r="A152" s="8" t="s">
        <v>726</v>
      </c>
      <c r="B152" s="54">
        <v>10000</v>
      </c>
    </row>
    <row r="153" spans="1:2" x14ac:dyDescent="0.35">
      <c r="A153" s="8" t="s">
        <v>730</v>
      </c>
      <c r="B153" s="54">
        <v>90000</v>
      </c>
    </row>
    <row r="154" spans="1:2" x14ac:dyDescent="0.35">
      <c r="A154" s="8" t="s">
        <v>732</v>
      </c>
      <c r="B154" s="54">
        <v>440000</v>
      </c>
    </row>
    <row r="155" spans="1:2" x14ac:dyDescent="0.35">
      <c r="A155" s="8" t="s">
        <v>735</v>
      </c>
      <c r="B155" s="54">
        <v>36000</v>
      </c>
    </row>
    <row r="156" spans="1:2" x14ac:dyDescent="0.35">
      <c r="A156" s="8" t="s">
        <v>737</v>
      </c>
      <c r="B156" s="54">
        <v>210000</v>
      </c>
    </row>
    <row r="157" spans="1:2" x14ac:dyDescent="0.35">
      <c r="A157" s="8" t="s">
        <v>739</v>
      </c>
      <c r="B157" s="54">
        <v>45000</v>
      </c>
    </row>
    <row r="158" spans="1:2" x14ac:dyDescent="0.35">
      <c r="A158" s="8" t="s">
        <v>742</v>
      </c>
      <c r="B158" s="54">
        <v>65000</v>
      </c>
    </row>
    <row r="159" spans="1:2" x14ac:dyDescent="0.35">
      <c r="A159" s="8" t="s">
        <v>745</v>
      </c>
      <c r="B159" s="54">
        <v>220000</v>
      </c>
    </row>
    <row r="160" spans="1:2" x14ac:dyDescent="0.35">
      <c r="A160" s="8" t="s">
        <v>747</v>
      </c>
      <c r="B160" s="54">
        <v>8750</v>
      </c>
    </row>
    <row r="161" spans="1:2" x14ac:dyDescent="0.35">
      <c r="A161" s="8" t="s">
        <v>751</v>
      </c>
      <c r="B161" s="54">
        <v>12000</v>
      </c>
    </row>
    <row r="162" spans="1:2" x14ac:dyDescent="0.35">
      <c r="A162" s="8" t="s">
        <v>754</v>
      </c>
      <c r="B162" s="54">
        <v>520000</v>
      </c>
    </row>
    <row r="163" spans="1:2" x14ac:dyDescent="0.35">
      <c r="A163" s="8" t="s">
        <v>759</v>
      </c>
      <c r="B163" s="54">
        <v>3000</v>
      </c>
    </row>
    <row r="164" spans="1:2" x14ac:dyDescent="0.35">
      <c r="A164" s="8" t="s">
        <v>762</v>
      </c>
      <c r="B164" s="54">
        <v>10000</v>
      </c>
    </row>
    <row r="165" spans="1:2" x14ac:dyDescent="0.35">
      <c r="A165" s="8" t="s">
        <v>764</v>
      </c>
      <c r="B165" s="54">
        <v>10000</v>
      </c>
    </row>
    <row r="166" spans="1:2" x14ac:dyDescent="0.35">
      <c r="A166" s="8" t="s">
        <v>767</v>
      </c>
      <c r="B166" s="54">
        <v>12000</v>
      </c>
    </row>
    <row r="167" spans="1:2" x14ac:dyDescent="0.35">
      <c r="A167" s="8" t="s">
        <v>769</v>
      </c>
      <c r="B167" s="54">
        <v>550000</v>
      </c>
    </row>
    <row r="168" spans="1:2" x14ac:dyDescent="0.35">
      <c r="A168" s="8" t="s">
        <v>773</v>
      </c>
      <c r="B168" s="54">
        <v>740000</v>
      </c>
    </row>
    <row r="169" spans="1:2" x14ac:dyDescent="0.35">
      <c r="A169" s="8" t="s">
        <v>775</v>
      </c>
      <c r="B169" s="54">
        <v>20000</v>
      </c>
    </row>
    <row r="170" spans="1:2" x14ac:dyDescent="0.35">
      <c r="A170" s="8" t="s">
        <v>777</v>
      </c>
      <c r="B170" s="54">
        <v>240000</v>
      </c>
    </row>
    <row r="171" spans="1:2" x14ac:dyDescent="0.35">
      <c r="A171" s="8" t="s">
        <v>779</v>
      </c>
      <c r="B171" s="54">
        <v>80000</v>
      </c>
    </row>
    <row r="172" spans="1:2" x14ac:dyDescent="0.35">
      <c r="A172" s="8" t="s">
        <v>782</v>
      </c>
      <c r="B172" s="54">
        <v>407000</v>
      </c>
    </row>
    <row r="173" spans="1:2" x14ac:dyDescent="0.35">
      <c r="A173" s="8" t="s">
        <v>784</v>
      </c>
      <c r="B173" s="54">
        <v>240000</v>
      </c>
    </row>
    <row r="174" spans="1:2" x14ac:dyDescent="0.35">
      <c r="A174" s="8" t="s">
        <v>786</v>
      </c>
      <c r="B174" s="54">
        <v>295000</v>
      </c>
    </row>
    <row r="175" spans="1:2" x14ac:dyDescent="0.35">
      <c r="A175" s="8" t="s">
        <v>792</v>
      </c>
      <c r="B175" s="54">
        <v>20000</v>
      </c>
    </row>
    <row r="176" spans="1:2" x14ac:dyDescent="0.35">
      <c r="A176" s="8" t="s">
        <v>797</v>
      </c>
      <c r="B176" s="54">
        <v>35000</v>
      </c>
    </row>
    <row r="177" spans="1:2" x14ac:dyDescent="0.35">
      <c r="A177" s="8" t="s">
        <v>800</v>
      </c>
      <c r="B177" s="54">
        <v>160000</v>
      </c>
    </row>
    <row r="178" spans="1:2" x14ac:dyDescent="0.35">
      <c r="A178" s="8" t="s">
        <v>805</v>
      </c>
      <c r="B178" s="54">
        <v>140000</v>
      </c>
    </row>
    <row r="179" spans="1:2" x14ac:dyDescent="0.35">
      <c r="A179" s="8" t="s">
        <v>808</v>
      </c>
      <c r="B179" s="54">
        <v>3000</v>
      </c>
    </row>
    <row r="180" spans="1:2" x14ac:dyDescent="0.35">
      <c r="A180" s="8" t="s">
        <v>813</v>
      </c>
      <c r="B180" s="54">
        <v>59217</v>
      </c>
    </row>
    <row r="181" spans="1:2" x14ac:dyDescent="0.35">
      <c r="A181" s="8" t="s">
        <v>817</v>
      </c>
      <c r="B181" s="54">
        <v>50000</v>
      </c>
    </row>
    <row r="182" spans="1:2" x14ac:dyDescent="0.35">
      <c r="A182" s="8" t="s">
        <v>822</v>
      </c>
      <c r="B182" s="54">
        <v>168000</v>
      </c>
    </row>
    <row r="183" spans="1:2" x14ac:dyDescent="0.35">
      <c r="A183" s="8" t="s">
        <v>825</v>
      </c>
      <c r="B183" s="54">
        <v>549183.9</v>
      </c>
    </row>
    <row r="184" spans="1:2" x14ac:dyDescent="0.35">
      <c r="A184" s="8" t="s">
        <v>828</v>
      </c>
      <c r="B184" s="54">
        <v>6000</v>
      </c>
    </row>
    <row r="185" spans="1:2" x14ac:dyDescent="0.35">
      <c r="A185" s="8" t="s">
        <v>839</v>
      </c>
      <c r="B185" s="54">
        <v>780474</v>
      </c>
    </row>
    <row r="186" spans="1:2" x14ac:dyDescent="0.35">
      <c r="A186" s="8" t="s">
        <v>844</v>
      </c>
      <c r="B186" s="54">
        <v>25000</v>
      </c>
    </row>
    <row r="187" spans="1:2" x14ac:dyDescent="0.35">
      <c r="A187" s="8" t="s">
        <v>849</v>
      </c>
      <c r="B187" s="54">
        <v>30000</v>
      </c>
    </row>
    <row r="188" spans="1:2" x14ac:dyDescent="0.35">
      <c r="A188" s="8" t="s">
        <v>851</v>
      </c>
      <c r="B188" s="54">
        <v>15000</v>
      </c>
    </row>
    <row r="189" spans="1:2" x14ac:dyDescent="0.35">
      <c r="A189" s="8" t="s">
        <v>853</v>
      </c>
      <c r="B189" s="54">
        <v>264000</v>
      </c>
    </row>
    <row r="190" spans="1:2" x14ac:dyDescent="0.35">
      <c r="A190" s="8" t="s">
        <v>858</v>
      </c>
      <c r="B190" s="54">
        <v>30000</v>
      </c>
    </row>
    <row r="191" spans="1:2" x14ac:dyDescent="0.35">
      <c r="A191" s="8" t="s">
        <v>863</v>
      </c>
      <c r="B191" s="54">
        <v>413000</v>
      </c>
    </row>
    <row r="192" spans="1:2" x14ac:dyDescent="0.35">
      <c r="A192" s="8" t="s">
        <v>870</v>
      </c>
      <c r="B192" s="54">
        <v>510000</v>
      </c>
    </row>
    <row r="193" spans="1:2" x14ac:dyDescent="0.35">
      <c r="A193" s="8" t="s">
        <v>881</v>
      </c>
      <c r="B193" s="54">
        <v>20000</v>
      </c>
    </row>
    <row r="194" spans="1:2" x14ac:dyDescent="0.35">
      <c r="A194" s="8" t="s">
        <v>888</v>
      </c>
      <c r="B194" s="54">
        <v>120000</v>
      </c>
    </row>
    <row r="195" spans="1:2" x14ac:dyDescent="0.35">
      <c r="A195" s="8" t="s">
        <v>892</v>
      </c>
      <c r="B195" s="54">
        <v>132000</v>
      </c>
    </row>
    <row r="196" spans="1:2" x14ac:dyDescent="0.35">
      <c r="A196" s="8" t="s">
        <v>896</v>
      </c>
      <c r="B196" s="54">
        <v>5000</v>
      </c>
    </row>
    <row r="197" spans="1:2" x14ac:dyDescent="0.35">
      <c r="A197" s="8" t="s">
        <v>897</v>
      </c>
      <c r="B197" s="54">
        <v>100000</v>
      </c>
    </row>
    <row r="198" spans="1:2" x14ac:dyDescent="0.35">
      <c r="A198" s="8" t="s">
        <v>899</v>
      </c>
      <c r="B198" s="54">
        <v>2200000</v>
      </c>
    </row>
    <row r="199" spans="1:2" x14ac:dyDescent="0.35">
      <c r="A199" s="8" t="s">
        <v>1786</v>
      </c>
      <c r="B199" s="54">
        <v>23504</v>
      </c>
    </row>
    <row r="200" spans="1:2" x14ac:dyDescent="0.35">
      <c r="A200" s="8" t="s">
        <v>1789</v>
      </c>
      <c r="B200" s="54">
        <v>280000</v>
      </c>
    </row>
    <row r="201" spans="1:2" x14ac:dyDescent="0.35">
      <c r="A201" s="8" t="s">
        <v>1792</v>
      </c>
      <c r="B201" s="54">
        <v>15000</v>
      </c>
    </row>
    <row r="202" spans="1:2" x14ac:dyDescent="0.35">
      <c r="A202" s="8" t="s">
        <v>1794</v>
      </c>
      <c r="B202" s="54">
        <v>15000</v>
      </c>
    </row>
    <row r="203" spans="1:2" x14ac:dyDescent="0.35">
      <c r="A203" s="8" t="s">
        <v>1797</v>
      </c>
      <c r="B203" s="54">
        <v>50000</v>
      </c>
    </row>
    <row r="204" spans="1:2" x14ac:dyDescent="0.35">
      <c r="A204" s="8" t="s">
        <v>1799</v>
      </c>
      <c r="B204" s="54">
        <v>33620</v>
      </c>
    </row>
    <row r="205" spans="1:2" x14ac:dyDescent="0.35">
      <c r="A205" s="8" t="s">
        <v>1807</v>
      </c>
      <c r="B205" s="54">
        <v>30000</v>
      </c>
    </row>
    <row r="206" spans="1:2" x14ac:dyDescent="0.35">
      <c r="A206" s="8" t="s">
        <v>1803</v>
      </c>
      <c r="B206" s="54">
        <v>200000</v>
      </c>
    </row>
    <row r="207" spans="1:2" x14ac:dyDescent="0.35">
      <c r="A207" s="8" t="s">
        <v>1823</v>
      </c>
      <c r="B207" s="54">
        <v>1000</v>
      </c>
    </row>
    <row r="208" spans="1:2" x14ac:dyDescent="0.35">
      <c r="A208" s="8" t="s">
        <v>1826</v>
      </c>
      <c r="B208" s="54">
        <v>144000</v>
      </c>
    </row>
    <row r="209" spans="1:2" x14ac:dyDescent="0.35">
      <c r="A209" s="8" t="s">
        <v>1831</v>
      </c>
      <c r="B209" s="54">
        <v>5600</v>
      </c>
    </row>
    <row r="210" spans="1:2" x14ac:dyDescent="0.35">
      <c r="A210" s="8" t="s">
        <v>1834</v>
      </c>
      <c r="B210" s="54">
        <v>85228</v>
      </c>
    </row>
    <row r="211" spans="1:2" x14ac:dyDescent="0.35">
      <c r="A211" s="8" t="s">
        <v>1837</v>
      </c>
      <c r="B211" s="54">
        <v>100000</v>
      </c>
    </row>
    <row r="212" spans="1:2" x14ac:dyDescent="0.35">
      <c r="A212" s="8" t="s">
        <v>1851</v>
      </c>
      <c r="B212" s="54">
        <v>50000</v>
      </c>
    </row>
    <row r="213" spans="1:2" x14ac:dyDescent="0.35">
      <c r="A213" s="8" t="s">
        <v>1847</v>
      </c>
      <c r="B213" s="54">
        <v>100000</v>
      </c>
    </row>
    <row r="214" spans="1:2" x14ac:dyDescent="0.35">
      <c r="A214" s="8" t="s">
        <v>1860</v>
      </c>
      <c r="B214" s="54">
        <v>20000</v>
      </c>
    </row>
    <row r="215" spans="1:2" x14ac:dyDescent="0.35">
      <c r="A215" s="8" t="s">
        <v>1863</v>
      </c>
      <c r="B215" s="54">
        <v>164000</v>
      </c>
    </row>
    <row r="216" spans="1:2" x14ac:dyDescent="0.35">
      <c r="A216" s="8" t="s">
        <v>1872</v>
      </c>
      <c r="B216" s="54">
        <v>495000</v>
      </c>
    </row>
    <row r="217" spans="1:2" x14ac:dyDescent="0.35">
      <c r="A217" s="8" t="s">
        <v>1879</v>
      </c>
      <c r="B217" s="54">
        <v>260000</v>
      </c>
    </row>
    <row r="218" spans="1:2" x14ac:dyDescent="0.35">
      <c r="A218" s="8" t="s">
        <v>1885</v>
      </c>
      <c r="B218" s="54">
        <v>158812</v>
      </c>
    </row>
    <row r="219" spans="1:2" x14ac:dyDescent="0.35">
      <c r="A219" s="8" t="s">
        <v>1858</v>
      </c>
      <c r="B219" s="54">
        <v>10000</v>
      </c>
    </row>
    <row r="220" spans="1:2" x14ac:dyDescent="0.35">
      <c r="A220" s="8" t="s">
        <v>1854</v>
      </c>
      <c r="B220" s="54">
        <v>3000</v>
      </c>
    </row>
    <row r="221" spans="1:2" x14ac:dyDescent="0.35">
      <c r="A221" s="8" t="s">
        <v>1897</v>
      </c>
      <c r="B221" s="54">
        <v>20000</v>
      </c>
    </row>
    <row r="222" spans="1:2" x14ac:dyDescent="0.35">
      <c r="A222" s="8" t="s">
        <v>1900</v>
      </c>
      <c r="B222" s="54">
        <v>478500</v>
      </c>
    </row>
    <row r="223" spans="1:2" x14ac:dyDescent="0.35">
      <c r="A223" s="8" t="s">
        <v>1910</v>
      </c>
      <c r="B223" s="54">
        <v>240000</v>
      </c>
    </row>
    <row r="224" spans="1:2" x14ac:dyDescent="0.35">
      <c r="A224" s="8" t="s">
        <v>1913</v>
      </c>
      <c r="B224" s="54">
        <v>925000</v>
      </c>
    </row>
    <row r="225" spans="1:2" x14ac:dyDescent="0.35">
      <c r="A225" s="8" t="s">
        <v>1924</v>
      </c>
      <c r="B225" s="54">
        <v>4494200</v>
      </c>
    </row>
    <row r="226" spans="1:2" x14ac:dyDescent="0.35">
      <c r="A226" s="8" t="s">
        <v>1944</v>
      </c>
      <c r="B226" s="54">
        <v>275000</v>
      </c>
    </row>
    <row r="227" spans="1:2" x14ac:dyDescent="0.35">
      <c r="A227" s="8" t="s">
        <v>1947</v>
      </c>
      <c r="B227" s="54">
        <v>270000</v>
      </c>
    </row>
    <row r="228" spans="1:2" x14ac:dyDescent="0.35">
      <c r="A228" s="8" t="s">
        <v>1949</v>
      </c>
      <c r="B228" s="54">
        <v>90000</v>
      </c>
    </row>
    <row r="229" spans="1:2" x14ac:dyDescent="0.35">
      <c r="A229" s="8" t="s">
        <v>1951</v>
      </c>
      <c r="B229" s="54">
        <v>120000</v>
      </c>
    </row>
    <row r="230" spans="1:2" x14ac:dyDescent="0.35">
      <c r="A230" s="8" t="s">
        <v>1954</v>
      </c>
      <c r="B230" s="54">
        <v>450000</v>
      </c>
    </row>
    <row r="231" spans="1:2" x14ac:dyDescent="0.35">
      <c r="A231" s="8" t="s">
        <v>1956</v>
      </c>
      <c r="B231" s="54">
        <v>192000</v>
      </c>
    </row>
    <row r="232" spans="1:2" x14ac:dyDescent="0.35">
      <c r="A232" s="8" t="s">
        <v>1958</v>
      </c>
      <c r="B232" s="54">
        <v>150000</v>
      </c>
    </row>
    <row r="233" spans="1:2" x14ac:dyDescent="0.35">
      <c r="A233" s="8" t="s">
        <v>1960</v>
      </c>
      <c r="B233" s="54">
        <v>840000</v>
      </c>
    </row>
    <row r="234" spans="1:2" x14ac:dyDescent="0.35">
      <c r="A234" s="8" t="s">
        <v>1967</v>
      </c>
      <c r="B234" s="54">
        <v>750000</v>
      </c>
    </row>
    <row r="235" spans="1:2" x14ac:dyDescent="0.35">
      <c r="A235" s="8" t="s">
        <v>1969</v>
      </c>
      <c r="B235" s="54">
        <v>3370000</v>
      </c>
    </row>
    <row r="236" spans="1:2" x14ac:dyDescent="0.35">
      <c r="A236" s="8" t="s">
        <v>1975</v>
      </c>
      <c r="B236" s="54">
        <v>8500</v>
      </c>
    </row>
    <row r="237" spans="1:2" x14ac:dyDescent="0.35">
      <c r="A237" s="8" t="s">
        <v>1978</v>
      </c>
      <c r="B237" s="54">
        <v>373425</v>
      </c>
    </row>
    <row r="238" spans="1:2" x14ac:dyDescent="0.35">
      <c r="A238" s="8" t="s">
        <v>1981</v>
      </c>
      <c r="B238" s="54">
        <v>12000</v>
      </c>
    </row>
    <row r="239" spans="1:2" x14ac:dyDescent="0.35">
      <c r="A239" s="8" t="s">
        <v>1984</v>
      </c>
      <c r="B239" s="54">
        <v>26152</v>
      </c>
    </row>
    <row r="240" spans="1:2" x14ac:dyDescent="0.35">
      <c r="A240" s="8" t="s">
        <v>1987</v>
      </c>
      <c r="B240" s="54">
        <v>1575</v>
      </c>
    </row>
    <row r="241" spans="1:2" x14ac:dyDescent="0.35">
      <c r="A241" s="8" t="s">
        <v>1990</v>
      </c>
      <c r="B241" s="54">
        <v>84600</v>
      </c>
    </row>
    <row r="242" spans="1:2" x14ac:dyDescent="0.35">
      <c r="A242" s="8" t="s">
        <v>2002</v>
      </c>
      <c r="B242" s="54">
        <v>560000</v>
      </c>
    </row>
    <row r="243" spans="1:2" x14ac:dyDescent="0.35">
      <c r="A243" s="8" t="s">
        <v>2006</v>
      </c>
      <c r="B243" s="54">
        <v>150000</v>
      </c>
    </row>
    <row r="244" spans="1:2" x14ac:dyDescent="0.35">
      <c r="A244" s="8" t="s">
        <v>2009</v>
      </c>
      <c r="B244" s="54">
        <v>280000</v>
      </c>
    </row>
    <row r="245" spans="1:2" x14ac:dyDescent="0.35">
      <c r="A245" s="8" t="s">
        <v>2013</v>
      </c>
      <c r="B245" s="54">
        <v>10000</v>
      </c>
    </row>
    <row r="246" spans="1:2" x14ac:dyDescent="0.35">
      <c r="A246" s="8" t="s">
        <v>2017</v>
      </c>
      <c r="B246" s="54">
        <v>225000</v>
      </c>
    </row>
    <row r="247" spans="1:2" x14ac:dyDescent="0.35">
      <c r="A247" s="8" t="s">
        <v>2021</v>
      </c>
      <c r="B247" s="54">
        <v>225000</v>
      </c>
    </row>
    <row r="248" spans="1:2" x14ac:dyDescent="0.35">
      <c r="A248" s="8" t="s">
        <v>2025</v>
      </c>
      <c r="B248" s="54">
        <v>750000</v>
      </c>
    </row>
    <row r="249" spans="1:2" x14ac:dyDescent="0.35">
      <c r="A249" s="8" t="s">
        <v>2028</v>
      </c>
      <c r="B249" s="54">
        <v>300000</v>
      </c>
    </row>
    <row r="250" spans="1:2" x14ac:dyDescent="0.35">
      <c r="A250" s="8" t="s">
        <v>2035</v>
      </c>
      <c r="B250" s="54">
        <v>120000</v>
      </c>
    </row>
    <row r="251" spans="1:2" x14ac:dyDescent="0.35">
      <c r="A251" s="8" t="s">
        <v>2039</v>
      </c>
      <c r="B251" s="54">
        <v>15000</v>
      </c>
    </row>
    <row r="252" spans="1:2" x14ac:dyDescent="0.35">
      <c r="A252" s="8" t="s">
        <v>2041</v>
      </c>
      <c r="B252" s="54">
        <v>225000</v>
      </c>
    </row>
    <row r="253" spans="1:2" x14ac:dyDescent="0.35">
      <c r="A253" s="8" t="s">
        <v>2045</v>
      </c>
      <c r="B253" s="54">
        <v>100000</v>
      </c>
    </row>
    <row r="254" spans="1:2" x14ac:dyDescent="0.35">
      <c r="A254" s="8" t="s">
        <v>2049</v>
      </c>
      <c r="B254" s="54">
        <v>120000</v>
      </c>
    </row>
    <row r="255" spans="1:2" x14ac:dyDescent="0.35">
      <c r="A255" s="8" t="s">
        <v>2052</v>
      </c>
      <c r="B255" s="54">
        <v>40000</v>
      </c>
    </row>
    <row r="256" spans="1:2" x14ac:dyDescent="0.35">
      <c r="A256" s="8" t="s">
        <v>2054</v>
      </c>
      <c r="B256" s="54">
        <v>22500</v>
      </c>
    </row>
    <row r="257" spans="1:2" x14ac:dyDescent="0.35">
      <c r="A257" s="8" t="s">
        <v>2087</v>
      </c>
      <c r="B257" s="54">
        <v>400000</v>
      </c>
    </row>
    <row r="258" spans="1:2" x14ac:dyDescent="0.35">
      <c r="A258" s="8" t="s">
        <v>2090</v>
      </c>
      <c r="B258" s="54">
        <v>450000</v>
      </c>
    </row>
    <row r="259" spans="1:2" x14ac:dyDescent="0.35">
      <c r="A259" s="8" t="s">
        <v>2084</v>
      </c>
      <c r="B259" s="54">
        <v>120000</v>
      </c>
    </row>
    <row r="260" spans="1:2" x14ac:dyDescent="0.35">
      <c r="A260" s="8" t="s">
        <v>2081</v>
      </c>
      <c r="B260" s="54">
        <v>13138</v>
      </c>
    </row>
    <row r="261" spans="1:2" x14ac:dyDescent="0.35">
      <c r="A261" s="8" t="s">
        <v>2094</v>
      </c>
      <c r="B261" s="54">
        <v>600000</v>
      </c>
    </row>
    <row r="262" spans="1:2" x14ac:dyDescent="0.35">
      <c r="A262" s="8" t="s">
        <v>2245</v>
      </c>
      <c r="B262" s="54">
        <v>300000</v>
      </c>
    </row>
    <row r="263" spans="1:2" x14ac:dyDescent="0.35">
      <c r="A263" s="8" t="s">
        <v>2112</v>
      </c>
      <c r="B263" s="54">
        <v>120000</v>
      </c>
    </row>
    <row r="264" spans="1:2" x14ac:dyDescent="0.35">
      <c r="A264" s="8" t="s">
        <v>2114</v>
      </c>
      <c r="B264" s="54">
        <v>280000</v>
      </c>
    </row>
    <row r="265" spans="1:2" x14ac:dyDescent="0.35">
      <c r="A265" s="8" t="s">
        <v>2117</v>
      </c>
      <c r="B265" s="54">
        <v>125000</v>
      </c>
    </row>
    <row r="266" spans="1:2" x14ac:dyDescent="0.35">
      <c r="A266" s="8" t="s">
        <v>2119</v>
      </c>
      <c r="B266" s="54">
        <v>250000</v>
      </c>
    </row>
    <row r="267" spans="1:2" x14ac:dyDescent="0.35">
      <c r="A267" s="8" t="s">
        <v>2133</v>
      </c>
      <c r="B267" s="54">
        <v>12600</v>
      </c>
    </row>
    <row r="268" spans="1:2" x14ac:dyDescent="0.35">
      <c r="A268" s="8" t="s">
        <v>2138</v>
      </c>
      <c r="B268" s="54">
        <v>128000</v>
      </c>
    </row>
    <row r="269" spans="1:2" x14ac:dyDescent="0.35">
      <c r="A269" s="8" t="s">
        <v>2143</v>
      </c>
      <c r="B269" s="54">
        <v>45000</v>
      </c>
    </row>
    <row r="270" spans="1:2" x14ac:dyDescent="0.35">
      <c r="A270" s="8" t="s">
        <v>2148</v>
      </c>
      <c r="B270" s="54">
        <v>45000</v>
      </c>
    </row>
    <row r="271" spans="1:2" x14ac:dyDescent="0.35">
      <c r="A271" s="8" t="s">
        <v>2153</v>
      </c>
      <c r="B271" s="54">
        <v>75000</v>
      </c>
    </row>
    <row r="272" spans="1:2" x14ac:dyDescent="0.35">
      <c r="A272" s="8" t="s">
        <v>2155</v>
      </c>
      <c r="B272" s="54">
        <v>15000</v>
      </c>
    </row>
    <row r="273" spans="1:2" x14ac:dyDescent="0.35">
      <c r="A273" s="8" t="s">
        <v>2157</v>
      </c>
      <c r="B273" s="54">
        <v>360000</v>
      </c>
    </row>
    <row r="274" spans="1:2" x14ac:dyDescent="0.35">
      <c r="A274" s="8" t="s">
        <v>2162</v>
      </c>
      <c r="B274" s="54">
        <v>170000</v>
      </c>
    </row>
    <row r="275" spans="1:2" x14ac:dyDescent="0.35">
      <c r="A275" s="8" t="s">
        <v>2167</v>
      </c>
      <c r="B275" s="54">
        <v>275000</v>
      </c>
    </row>
    <row r="276" spans="1:2" x14ac:dyDescent="0.35">
      <c r="A276" s="8" t="s">
        <v>2172</v>
      </c>
      <c r="B276" s="54">
        <v>9000</v>
      </c>
    </row>
    <row r="277" spans="1:2" x14ac:dyDescent="0.35">
      <c r="A277" s="8" t="s">
        <v>2177</v>
      </c>
      <c r="B277" s="54">
        <v>2700000</v>
      </c>
    </row>
    <row r="278" spans="1:2" x14ac:dyDescent="0.35">
      <c r="A278" s="8" t="s">
        <v>2600</v>
      </c>
      <c r="B278" s="54">
        <v>40000</v>
      </c>
    </row>
    <row r="279" spans="1:2" x14ac:dyDescent="0.35">
      <c r="A279" s="8" t="s">
        <v>2601</v>
      </c>
      <c r="B279" s="54">
        <v>50000</v>
      </c>
    </row>
    <row r="280" spans="1:2" x14ac:dyDescent="0.35">
      <c r="A280" s="8" t="s">
        <v>2602</v>
      </c>
      <c r="B280" s="54">
        <v>150000</v>
      </c>
    </row>
    <row r="281" spans="1:2" x14ac:dyDescent="0.35">
      <c r="A281" s="8" t="s">
        <v>2603</v>
      </c>
      <c r="B281" s="54">
        <v>25000</v>
      </c>
    </row>
    <row r="282" spans="1:2" x14ac:dyDescent="0.35">
      <c r="A282" s="8" t="s">
        <v>2605</v>
      </c>
      <c r="B282" s="54">
        <v>20000</v>
      </c>
    </row>
    <row r="283" spans="1:2" x14ac:dyDescent="0.35">
      <c r="A283" s="8" t="s">
        <v>2608</v>
      </c>
      <c r="B283" s="54">
        <v>40000</v>
      </c>
    </row>
    <row r="284" spans="1:2" x14ac:dyDescent="0.35">
      <c r="A284" s="8" t="s">
        <v>2609</v>
      </c>
      <c r="B284" s="54">
        <v>575000</v>
      </c>
    </row>
    <row r="285" spans="1:2" x14ac:dyDescent="0.35">
      <c r="A285" s="8" t="s">
        <v>2610</v>
      </c>
      <c r="B285" s="54">
        <v>4056438.64</v>
      </c>
    </row>
    <row r="286" spans="1:2" x14ac:dyDescent="0.35">
      <c r="A286" s="8" t="s">
        <v>2611</v>
      </c>
      <c r="B286" s="54">
        <v>747242</v>
      </c>
    </row>
    <row r="287" spans="1:2" x14ac:dyDescent="0.35">
      <c r="A287" s="8" t="s">
        <v>2612</v>
      </c>
      <c r="B287" s="54">
        <v>4118107</v>
      </c>
    </row>
    <row r="288" spans="1:2" x14ac:dyDescent="0.35">
      <c r="A288" s="8" t="s">
        <v>2614</v>
      </c>
      <c r="B288" s="54">
        <v>0</v>
      </c>
    </row>
    <row r="289" spans="1:2" x14ac:dyDescent="0.35">
      <c r="A289" s="8" t="s">
        <v>2615</v>
      </c>
      <c r="B289" s="54">
        <v>0</v>
      </c>
    </row>
    <row r="290" spans="1:2" x14ac:dyDescent="0.35">
      <c r="A290" s="8" t="s">
        <v>2621</v>
      </c>
      <c r="B290" s="54">
        <v>4185720</v>
      </c>
    </row>
    <row r="291" spans="1:2" x14ac:dyDescent="0.35">
      <c r="A291" s="8" t="s">
        <v>2622</v>
      </c>
      <c r="B291" s="54">
        <v>2574558</v>
      </c>
    </row>
    <row r="292" spans="1:2" x14ac:dyDescent="0.35">
      <c r="A292" s="8" t="s">
        <v>2623</v>
      </c>
      <c r="B292" s="54">
        <v>2182509</v>
      </c>
    </row>
    <row r="293" spans="1:2" x14ac:dyDescent="0.35">
      <c r="A293" s="8" t="s">
        <v>2624</v>
      </c>
      <c r="B293" s="54">
        <v>418095</v>
      </c>
    </row>
    <row r="294" spans="1:2" x14ac:dyDescent="0.35">
      <c r="A294" s="8" t="s">
        <v>2625</v>
      </c>
      <c r="B294" s="54">
        <v>0</v>
      </c>
    </row>
    <row r="295" spans="1:2" x14ac:dyDescent="0.35">
      <c r="A295" s="8" t="s">
        <v>2626</v>
      </c>
      <c r="B295" s="54">
        <v>60000</v>
      </c>
    </row>
    <row r="296" spans="1:2" x14ac:dyDescent="0.35">
      <c r="A296" s="8" t="s">
        <v>2627</v>
      </c>
      <c r="B296" s="54">
        <v>50000</v>
      </c>
    </row>
    <row r="297" spans="1:2" x14ac:dyDescent="0.35">
      <c r="A297" s="8" t="s">
        <v>2628</v>
      </c>
      <c r="B297" s="54">
        <v>960437</v>
      </c>
    </row>
    <row r="298" spans="1:2" x14ac:dyDescent="0.35">
      <c r="A298" s="8" t="s">
        <v>2629</v>
      </c>
      <c r="B298" s="54">
        <v>23714</v>
      </c>
    </row>
    <row r="299" spans="1:2" x14ac:dyDescent="0.35">
      <c r="A299" s="8" t="s">
        <v>2630</v>
      </c>
      <c r="B299" s="54">
        <v>0</v>
      </c>
    </row>
    <row r="300" spans="1:2" x14ac:dyDescent="0.35">
      <c r="A300" s="8" t="s">
        <v>2631</v>
      </c>
      <c r="B300" s="54">
        <v>250000</v>
      </c>
    </row>
    <row r="301" spans="1:2" x14ac:dyDescent="0.35">
      <c r="A301" s="8" t="s">
        <v>2613</v>
      </c>
      <c r="B301" s="54">
        <v>220000</v>
      </c>
    </row>
    <row r="302" spans="1:2" x14ac:dyDescent="0.35">
      <c r="A302" s="8" t="s">
        <v>2699</v>
      </c>
      <c r="B302" s="54">
        <v>233000</v>
      </c>
    </row>
    <row r="303" spans="1:2" x14ac:dyDescent="0.35">
      <c r="A303" s="8" t="s">
        <v>2619</v>
      </c>
      <c r="B303" s="54">
        <v>18000000</v>
      </c>
    </row>
    <row r="304" spans="1:2" x14ac:dyDescent="0.35">
      <c r="A304" s="8" t="s">
        <v>2616</v>
      </c>
      <c r="B304" s="54">
        <v>4679199</v>
      </c>
    </row>
    <row r="305" spans="1:2" x14ac:dyDescent="0.35">
      <c r="A305" s="8" t="s">
        <v>2632</v>
      </c>
      <c r="B305" s="54">
        <v>14331121</v>
      </c>
    </row>
    <row r="306" spans="1:2" x14ac:dyDescent="0.35">
      <c r="A306" s="8" t="s">
        <v>2638</v>
      </c>
      <c r="B306" s="54">
        <v>0</v>
      </c>
    </row>
    <row r="307" spans="1:2" x14ac:dyDescent="0.35">
      <c r="A307" s="8" t="s">
        <v>2639</v>
      </c>
      <c r="B307" s="54">
        <v>17457196</v>
      </c>
    </row>
    <row r="308" spans="1:2" x14ac:dyDescent="0.35">
      <c r="A308" s="8" t="s">
        <v>2642</v>
      </c>
      <c r="B308" s="54">
        <v>1735252</v>
      </c>
    </row>
    <row r="309" spans="1:2" x14ac:dyDescent="0.35">
      <c r="A309" s="8" t="s">
        <v>2646</v>
      </c>
      <c r="B309" s="54">
        <v>30000</v>
      </c>
    </row>
    <row r="310" spans="1:2" x14ac:dyDescent="0.35">
      <c r="A310" s="8" t="s">
        <v>2647</v>
      </c>
      <c r="B310" s="54">
        <v>25000</v>
      </c>
    </row>
    <row r="311" spans="1:2" x14ac:dyDescent="0.35">
      <c r="A311" s="8" t="s">
        <v>2648</v>
      </c>
      <c r="B311" s="54">
        <v>0</v>
      </c>
    </row>
    <row r="312" spans="1:2" x14ac:dyDescent="0.35">
      <c r="A312" s="8" t="s">
        <v>2649</v>
      </c>
      <c r="B312" s="54">
        <v>5000000</v>
      </c>
    </row>
    <row r="313" spans="1:2" x14ac:dyDescent="0.35">
      <c r="A313" s="8" t="s">
        <v>2656</v>
      </c>
      <c r="B313" s="54">
        <v>0</v>
      </c>
    </row>
    <row r="314" spans="1:2" x14ac:dyDescent="0.35">
      <c r="A314" s="8" t="s">
        <v>2657</v>
      </c>
      <c r="B314" s="54">
        <v>9790000</v>
      </c>
    </row>
    <row r="315" spans="1:2" x14ac:dyDescent="0.35">
      <c r="A315" s="8" t="s">
        <v>2671</v>
      </c>
      <c r="B315" s="54">
        <v>0</v>
      </c>
    </row>
    <row r="316" spans="1:2" x14ac:dyDescent="0.35">
      <c r="A316" s="8" t="s">
        <v>2672</v>
      </c>
      <c r="B316" s="54">
        <v>0</v>
      </c>
    </row>
    <row r="317" spans="1:2" x14ac:dyDescent="0.35">
      <c r="A317" s="8" t="s">
        <v>2673</v>
      </c>
      <c r="B317" s="54">
        <v>100000</v>
      </c>
    </row>
    <row r="318" spans="1:2" x14ac:dyDescent="0.35">
      <c r="A318" s="8" t="s">
        <v>2667</v>
      </c>
      <c r="B318" s="54">
        <v>2200000</v>
      </c>
    </row>
    <row r="319" spans="1:2" x14ac:dyDescent="0.35">
      <c r="A319" s="8" t="s">
        <v>2841</v>
      </c>
      <c r="B319" s="54">
        <v>2012308</v>
      </c>
    </row>
    <row r="320" spans="1:2" x14ac:dyDescent="0.35">
      <c r="A320" s="8" t="s">
        <v>2679</v>
      </c>
      <c r="B320" s="54">
        <v>900000</v>
      </c>
    </row>
    <row r="321" spans="1:2" x14ac:dyDescent="0.35">
      <c r="A321" s="8" t="s">
        <v>2696</v>
      </c>
      <c r="B321" s="54">
        <v>50000</v>
      </c>
    </row>
    <row r="322" spans="1:2" x14ac:dyDescent="0.35">
      <c r="A322" s="8" t="s">
        <v>2680</v>
      </c>
      <c r="B322" s="54">
        <v>10000</v>
      </c>
    </row>
    <row r="323" spans="1:2" x14ac:dyDescent="0.35">
      <c r="A323" s="8" t="s">
        <v>2681</v>
      </c>
      <c r="B323" s="54">
        <v>30000</v>
      </c>
    </row>
    <row r="324" spans="1:2" x14ac:dyDescent="0.35">
      <c r="A324" s="8" t="s">
        <v>2682</v>
      </c>
      <c r="B324" s="54">
        <v>9664500</v>
      </c>
    </row>
    <row r="325" spans="1:2" x14ac:dyDescent="0.35">
      <c r="A325" s="8" t="s">
        <v>2683</v>
      </c>
      <c r="B325" s="54">
        <v>4615084</v>
      </c>
    </row>
    <row r="326" spans="1:2" x14ac:dyDescent="0.35">
      <c r="A326" s="8" t="s">
        <v>2684</v>
      </c>
      <c r="B326" s="54">
        <v>3976000</v>
      </c>
    </row>
    <row r="327" spans="1:2" x14ac:dyDescent="0.35">
      <c r="A327" s="8" t="s">
        <v>2685</v>
      </c>
      <c r="B327" s="54">
        <v>442627</v>
      </c>
    </row>
    <row r="328" spans="1:2" x14ac:dyDescent="0.35">
      <c r="A328" s="8" t="s">
        <v>2686</v>
      </c>
      <c r="B328" s="54">
        <v>1500000</v>
      </c>
    </row>
    <row r="329" spans="1:2" x14ac:dyDescent="0.35">
      <c r="A329" s="8" t="s">
        <v>2687</v>
      </c>
      <c r="B329" s="54">
        <v>1681399</v>
      </c>
    </row>
    <row r="330" spans="1:2" x14ac:dyDescent="0.35">
      <c r="A330" s="8" t="s">
        <v>2688</v>
      </c>
      <c r="B330" s="54">
        <v>1873450</v>
      </c>
    </row>
    <row r="331" spans="1:2" x14ac:dyDescent="0.35">
      <c r="A331" s="8" t="s">
        <v>2689</v>
      </c>
      <c r="B331" s="54">
        <v>153570</v>
      </c>
    </row>
    <row r="332" spans="1:2" x14ac:dyDescent="0.35">
      <c r="A332" s="8" t="s">
        <v>2690</v>
      </c>
      <c r="B332" s="54">
        <v>48000</v>
      </c>
    </row>
    <row r="333" spans="1:2" x14ac:dyDescent="0.35">
      <c r="A333" s="8" t="s">
        <v>2691</v>
      </c>
      <c r="B333" s="54">
        <v>1870124.77</v>
      </c>
    </row>
    <row r="334" spans="1:2" x14ac:dyDescent="0.35">
      <c r="A334" s="8" t="s">
        <v>2692</v>
      </c>
      <c r="B334" s="54">
        <v>140000</v>
      </c>
    </row>
    <row r="335" spans="1:2" x14ac:dyDescent="0.35">
      <c r="A335" s="8" t="s">
        <v>2694</v>
      </c>
      <c r="B335" s="54">
        <v>840000</v>
      </c>
    </row>
    <row r="336" spans="1:2" x14ac:dyDescent="0.35">
      <c r="A336" s="8" t="s">
        <v>2695</v>
      </c>
      <c r="B336" s="54">
        <v>336000</v>
      </c>
    </row>
    <row r="337" spans="1:2" x14ac:dyDescent="0.35">
      <c r="A337" s="8" t="s">
        <v>2697</v>
      </c>
      <c r="B337" s="54">
        <v>85700</v>
      </c>
    </row>
    <row r="338" spans="1:2" x14ac:dyDescent="0.35">
      <c r="A338" s="8" t="s">
        <v>1152</v>
      </c>
      <c r="B338" s="54">
        <v>236850</v>
      </c>
    </row>
    <row r="339" spans="1:2" x14ac:dyDescent="0.35">
      <c r="A339" s="8" t="s">
        <v>1165</v>
      </c>
      <c r="B339" s="54">
        <v>3000</v>
      </c>
    </row>
    <row r="340" spans="1:2" x14ac:dyDescent="0.35">
      <c r="A340" s="8" t="s">
        <v>1170</v>
      </c>
      <c r="B340" s="54">
        <v>121000</v>
      </c>
    </row>
    <row r="341" spans="1:2" x14ac:dyDescent="0.35">
      <c r="A341" s="8" t="s">
        <v>1180</v>
      </c>
      <c r="B341" s="54">
        <v>8000</v>
      </c>
    </row>
    <row r="342" spans="1:2" x14ac:dyDescent="0.35">
      <c r="A342" s="8" t="s">
        <v>1174</v>
      </c>
      <c r="B342" s="54">
        <v>31680</v>
      </c>
    </row>
    <row r="343" spans="1:2" x14ac:dyDescent="0.35">
      <c r="A343" s="8" t="s">
        <v>2842</v>
      </c>
      <c r="B343" s="54">
        <v>5000</v>
      </c>
    </row>
    <row r="344" spans="1:2" x14ac:dyDescent="0.35">
      <c r="A344" s="8" t="s">
        <v>1322</v>
      </c>
      <c r="B344" s="54">
        <v>100000</v>
      </c>
    </row>
    <row r="345" spans="1:2" x14ac:dyDescent="0.35">
      <c r="A345" s="8" t="s">
        <v>1323</v>
      </c>
      <c r="B345" s="54">
        <v>200000</v>
      </c>
    </row>
    <row r="346" spans="1:2" x14ac:dyDescent="0.35">
      <c r="A346" s="8" t="s">
        <v>1324</v>
      </c>
      <c r="B346" s="54">
        <v>10000</v>
      </c>
    </row>
    <row r="347" spans="1:2" x14ac:dyDescent="0.35">
      <c r="A347" s="8" t="s">
        <v>1325</v>
      </c>
      <c r="B347" s="54">
        <v>12000</v>
      </c>
    </row>
    <row r="348" spans="1:2" x14ac:dyDescent="0.35">
      <c r="A348" s="8" t="s">
        <v>2843</v>
      </c>
      <c r="B348" s="54">
        <v>175000</v>
      </c>
    </row>
    <row r="349" spans="1:2" x14ac:dyDescent="0.35">
      <c r="A349" s="8" t="s">
        <v>1194</v>
      </c>
      <c r="B349" s="54">
        <v>300000</v>
      </c>
    </row>
    <row r="350" spans="1:2" x14ac:dyDescent="0.35">
      <c r="A350" s="8" t="s">
        <v>1206</v>
      </c>
      <c r="B350" s="54">
        <v>10000</v>
      </c>
    </row>
    <row r="351" spans="1:2" x14ac:dyDescent="0.35">
      <c r="A351" s="8" t="s">
        <v>1201</v>
      </c>
      <c r="B351" s="54">
        <v>500000</v>
      </c>
    </row>
    <row r="352" spans="1:2" x14ac:dyDescent="0.35">
      <c r="A352" s="8" t="s">
        <v>1203</v>
      </c>
      <c r="B352" s="54">
        <v>10000</v>
      </c>
    </row>
    <row r="353" spans="1:2" x14ac:dyDescent="0.35">
      <c r="A353" s="8" t="s">
        <v>1739</v>
      </c>
      <c r="B353" s="54">
        <v>10200000</v>
      </c>
    </row>
    <row r="354" spans="1:2" x14ac:dyDescent="0.35">
      <c r="A354" s="8" t="s">
        <v>66</v>
      </c>
      <c r="B354" s="54">
        <v>47375724</v>
      </c>
    </row>
    <row r="355" spans="1:2" x14ac:dyDescent="0.35">
      <c r="A355" s="8" t="s">
        <v>73</v>
      </c>
      <c r="B355" s="54">
        <v>0</v>
      </c>
    </row>
    <row r="356" spans="1:2" x14ac:dyDescent="0.35">
      <c r="A356" s="8" t="s">
        <v>298</v>
      </c>
      <c r="B356" s="54">
        <v>9390501</v>
      </c>
    </row>
    <row r="357" spans="1:2" x14ac:dyDescent="0.35">
      <c r="A357" s="8" t="s">
        <v>142</v>
      </c>
      <c r="B357" s="54">
        <v>720000</v>
      </c>
    </row>
    <row r="358" spans="1:2" x14ac:dyDescent="0.35">
      <c r="A358" s="8" t="s">
        <v>149</v>
      </c>
      <c r="B358" s="54">
        <v>2054028</v>
      </c>
    </row>
    <row r="359" spans="1:2" x14ac:dyDescent="0.35">
      <c r="A359" s="8" t="s">
        <v>155</v>
      </c>
      <c r="B359" s="54">
        <v>400000</v>
      </c>
    </row>
    <row r="360" spans="1:2" x14ac:dyDescent="0.35">
      <c r="A360" s="8" t="s">
        <v>163</v>
      </c>
      <c r="B360" s="54">
        <v>2238200</v>
      </c>
    </row>
    <row r="361" spans="1:2" x14ac:dyDescent="0.35">
      <c r="A361" s="8" t="s">
        <v>168</v>
      </c>
      <c r="B361" s="54">
        <v>2376600</v>
      </c>
    </row>
    <row r="362" spans="1:2" x14ac:dyDescent="0.35">
      <c r="A362" s="8" t="s">
        <v>185</v>
      </c>
      <c r="B362" s="54">
        <v>576000</v>
      </c>
    </row>
    <row r="363" spans="1:2" x14ac:dyDescent="0.35">
      <c r="A363" s="8" t="s">
        <v>193</v>
      </c>
      <c r="B363" s="54">
        <v>340000</v>
      </c>
    </row>
    <row r="364" spans="1:2" x14ac:dyDescent="0.35">
      <c r="A364" s="8" t="s">
        <v>199</v>
      </c>
      <c r="B364" s="54">
        <v>1164000</v>
      </c>
    </row>
    <row r="365" spans="1:2" x14ac:dyDescent="0.35">
      <c r="A365" s="8" t="s">
        <v>207</v>
      </c>
      <c r="B365" s="54">
        <v>1195750</v>
      </c>
    </row>
    <row r="366" spans="1:2" x14ac:dyDescent="0.35">
      <c r="A366" s="8" t="s">
        <v>305</v>
      </c>
      <c r="B366" s="54">
        <v>750000</v>
      </c>
    </row>
    <row r="367" spans="1:2" x14ac:dyDescent="0.35">
      <c r="A367" s="8" t="s">
        <v>2363</v>
      </c>
      <c r="B367" s="54">
        <v>15000000</v>
      </c>
    </row>
    <row r="368" spans="1:2" x14ac:dyDescent="0.35">
      <c r="A368" s="8" t="s">
        <v>2367</v>
      </c>
      <c r="B368" s="54">
        <v>50000</v>
      </c>
    </row>
    <row r="369" spans="1:2" x14ac:dyDescent="0.35">
      <c r="A369" s="8" t="s">
        <v>2357</v>
      </c>
      <c r="B369" s="54">
        <v>1000000</v>
      </c>
    </row>
    <row r="370" spans="1:2" x14ac:dyDescent="0.35">
      <c r="A370" s="8" t="s">
        <v>2360</v>
      </c>
      <c r="B370" s="54">
        <v>3000000</v>
      </c>
    </row>
    <row r="371" spans="1:2" x14ac:dyDescent="0.35">
      <c r="A371" s="8" t="s">
        <v>1714</v>
      </c>
      <c r="B371" s="54">
        <v>130000</v>
      </c>
    </row>
    <row r="372" spans="1:2" x14ac:dyDescent="0.35">
      <c r="A372" s="8" t="s">
        <v>1709</v>
      </c>
      <c r="B372" s="54">
        <v>100000</v>
      </c>
    </row>
    <row r="373" spans="1:2" x14ac:dyDescent="0.35">
      <c r="A373" s="8" t="s">
        <v>1710</v>
      </c>
      <c r="B373" s="54">
        <v>145320</v>
      </c>
    </row>
    <row r="374" spans="1:2" x14ac:dyDescent="0.35">
      <c r="A374" s="8" t="s">
        <v>1711</v>
      </c>
      <c r="B374" s="54">
        <v>97500</v>
      </c>
    </row>
    <row r="375" spans="1:2" x14ac:dyDescent="0.35">
      <c r="A375" s="8" t="s">
        <v>1712</v>
      </c>
      <c r="B375" s="54">
        <v>32000</v>
      </c>
    </row>
    <row r="376" spans="1:2" x14ac:dyDescent="0.35">
      <c r="A376" s="8" t="s">
        <v>1713</v>
      </c>
      <c r="B376" s="54">
        <v>6000</v>
      </c>
    </row>
    <row r="377" spans="1:2" x14ac:dyDescent="0.35">
      <c r="A377" s="8" t="s">
        <v>1211</v>
      </c>
      <c r="B377" s="54">
        <v>30000</v>
      </c>
    </row>
    <row r="378" spans="1:2" x14ac:dyDescent="0.35">
      <c r="A378" s="8" t="s">
        <v>1215</v>
      </c>
      <c r="B378" s="54">
        <v>481840</v>
      </c>
    </row>
    <row r="379" spans="1:2" x14ac:dyDescent="0.35">
      <c r="A379" s="8" t="s">
        <v>1220</v>
      </c>
      <c r="B379" s="54">
        <v>150000</v>
      </c>
    </row>
    <row r="380" spans="1:2" x14ac:dyDescent="0.35">
      <c r="A380" s="8" t="s">
        <v>1226</v>
      </c>
      <c r="B380" s="54">
        <v>180000</v>
      </c>
    </row>
    <row r="381" spans="1:2" x14ac:dyDescent="0.35">
      <c r="A381" s="8" t="s">
        <v>1234</v>
      </c>
      <c r="B381" s="54">
        <v>120000</v>
      </c>
    </row>
    <row r="382" spans="1:2" x14ac:dyDescent="0.35">
      <c r="A382" s="8" t="s">
        <v>1239</v>
      </c>
      <c r="B382" s="54">
        <v>187500</v>
      </c>
    </row>
    <row r="383" spans="1:2" x14ac:dyDescent="0.35">
      <c r="A383" s="8" t="s">
        <v>1230</v>
      </c>
      <c r="B383" s="54">
        <v>5000</v>
      </c>
    </row>
    <row r="384" spans="1:2" x14ac:dyDescent="0.35">
      <c r="A384" s="8" t="s">
        <v>1244</v>
      </c>
      <c r="B384" s="54">
        <v>200000</v>
      </c>
    </row>
    <row r="385" spans="1:2" x14ac:dyDescent="0.35">
      <c r="A385" s="8" t="s">
        <v>1250</v>
      </c>
      <c r="B385" s="54">
        <v>231525</v>
      </c>
    </row>
    <row r="386" spans="1:2" x14ac:dyDescent="0.35">
      <c r="A386" s="8" t="s">
        <v>1329</v>
      </c>
      <c r="B386" s="54">
        <v>120000</v>
      </c>
    </row>
    <row r="387" spans="1:2" x14ac:dyDescent="0.35">
      <c r="A387" s="8" t="s">
        <v>1258</v>
      </c>
      <c r="B387" s="54">
        <v>131130083.97</v>
      </c>
    </row>
    <row r="388" spans="1:2" x14ac:dyDescent="0.35">
      <c r="A388" s="8" t="s">
        <v>1267</v>
      </c>
      <c r="B388" s="54">
        <v>5725275</v>
      </c>
    </row>
    <row r="389" spans="1:2" x14ac:dyDescent="0.35">
      <c r="A389" s="8" t="s">
        <v>1273</v>
      </c>
      <c r="B389" s="54">
        <v>70000</v>
      </c>
    </row>
    <row r="390" spans="1:2" x14ac:dyDescent="0.35">
      <c r="A390" s="8" t="s">
        <v>1275</v>
      </c>
      <c r="B390" s="54">
        <v>102000</v>
      </c>
    </row>
    <row r="391" spans="1:2" x14ac:dyDescent="0.35">
      <c r="A391" s="8" t="s">
        <v>1277</v>
      </c>
      <c r="B391" s="54">
        <v>304000</v>
      </c>
    </row>
    <row r="392" spans="1:2" x14ac:dyDescent="0.35">
      <c r="A392" s="8" t="s">
        <v>1282</v>
      </c>
      <c r="B392" s="54">
        <v>150000</v>
      </c>
    </row>
    <row r="393" spans="1:2" x14ac:dyDescent="0.35">
      <c r="A393" s="8" t="s">
        <v>2812</v>
      </c>
      <c r="B393" s="54">
        <v>15000</v>
      </c>
    </row>
    <row r="394" spans="1:2" x14ac:dyDescent="0.35">
      <c r="A394" s="8" t="s">
        <v>1287</v>
      </c>
      <c r="B394" s="54">
        <v>5807781.6425999999</v>
      </c>
    </row>
    <row r="395" spans="1:2" x14ac:dyDescent="0.35">
      <c r="A395" s="8" t="s">
        <v>1292</v>
      </c>
      <c r="B395" s="54">
        <v>10000</v>
      </c>
    </row>
    <row r="396" spans="1:2" x14ac:dyDescent="0.35">
      <c r="A396" s="8" t="s">
        <v>1296</v>
      </c>
      <c r="B396" s="54">
        <v>5406325.8589999992</v>
      </c>
    </row>
    <row r="397" spans="1:2" x14ac:dyDescent="0.35">
      <c r="A397" s="8" t="s">
        <v>1299</v>
      </c>
      <c r="B397" s="54">
        <v>45000</v>
      </c>
    </row>
    <row r="398" spans="1:2" x14ac:dyDescent="0.35">
      <c r="A398" s="8" t="s">
        <v>1645</v>
      </c>
      <c r="B398" s="54">
        <v>15000</v>
      </c>
    </row>
    <row r="399" spans="1:2" x14ac:dyDescent="0.35">
      <c r="A399" s="8" t="s">
        <v>1646</v>
      </c>
      <c r="B399" s="54">
        <v>160000</v>
      </c>
    </row>
    <row r="400" spans="1:2" x14ac:dyDescent="0.35">
      <c r="A400" s="8" t="s">
        <v>1647</v>
      </c>
      <c r="B400" s="54">
        <v>20000</v>
      </c>
    </row>
    <row r="401" spans="1:2" x14ac:dyDescent="0.35">
      <c r="A401" s="8" t="s">
        <v>1648</v>
      </c>
      <c r="B401" s="54">
        <v>20000</v>
      </c>
    </row>
    <row r="402" spans="1:2" x14ac:dyDescent="0.35">
      <c r="A402" s="8" t="s">
        <v>1676</v>
      </c>
      <c r="B402" s="54">
        <v>4800</v>
      </c>
    </row>
    <row r="403" spans="1:2" x14ac:dyDescent="0.35">
      <c r="A403" s="8" t="s">
        <v>1677</v>
      </c>
      <c r="B403" s="54">
        <v>118383125.01214181</v>
      </c>
    </row>
    <row r="404" spans="1:2" x14ac:dyDescent="0.35">
      <c r="A404" s="8" t="s">
        <v>1678</v>
      </c>
      <c r="B404" s="54">
        <v>6228</v>
      </c>
    </row>
    <row r="405" spans="1:2" x14ac:dyDescent="0.35">
      <c r="A405" s="8" t="s">
        <v>1679</v>
      </c>
      <c r="B405" s="54">
        <v>13680000</v>
      </c>
    </row>
    <row r="406" spans="1:2" x14ac:dyDescent="0.35">
      <c r="A406" s="8" t="s">
        <v>1680</v>
      </c>
      <c r="B406" s="54">
        <v>433200</v>
      </c>
    </row>
    <row r="407" spans="1:2" x14ac:dyDescent="0.35">
      <c r="A407" s="8" t="s">
        <v>1681</v>
      </c>
      <c r="B407" s="54">
        <v>2880</v>
      </c>
    </row>
    <row r="408" spans="1:2" x14ac:dyDescent="0.35">
      <c r="A408" s="8" t="s">
        <v>1686</v>
      </c>
      <c r="B408" s="54">
        <v>2200000</v>
      </c>
    </row>
    <row r="409" spans="1:2" x14ac:dyDescent="0.35">
      <c r="A409" s="8" t="s">
        <v>1687</v>
      </c>
      <c r="B409" s="54">
        <v>100000</v>
      </c>
    </row>
    <row r="410" spans="1:2" x14ac:dyDescent="0.35">
      <c r="A410" s="8" t="s">
        <v>1649</v>
      </c>
      <c r="B410" s="54">
        <v>220000</v>
      </c>
    </row>
    <row r="411" spans="1:2" x14ac:dyDescent="0.35">
      <c r="A411" s="8" t="s">
        <v>1650</v>
      </c>
      <c r="B411" s="54">
        <v>128000</v>
      </c>
    </row>
    <row r="412" spans="1:2" x14ac:dyDescent="0.35">
      <c r="A412" s="8" t="s">
        <v>1651</v>
      </c>
      <c r="B412" s="54">
        <v>23000</v>
      </c>
    </row>
    <row r="413" spans="1:2" x14ac:dyDescent="0.35">
      <c r="A413" s="8" t="s">
        <v>1652</v>
      </c>
      <c r="B413" s="54">
        <v>1200000</v>
      </c>
    </row>
    <row r="414" spans="1:2" x14ac:dyDescent="0.35">
      <c r="A414" s="8" t="s">
        <v>1653</v>
      </c>
      <c r="B414" s="54">
        <v>24000</v>
      </c>
    </row>
    <row r="415" spans="1:2" x14ac:dyDescent="0.35">
      <c r="A415" s="8" t="s">
        <v>1654</v>
      </c>
      <c r="B415" s="54">
        <v>400000</v>
      </c>
    </row>
    <row r="416" spans="1:2" x14ac:dyDescent="0.35">
      <c r="A416" s="8" t="s">
        <v>1655</v>
      </c>
      <c r="B416" s="54">
        <v>60000</v>
      </c>
    </row>
    <row r="417" spans="1:2" x14ac:dyDescent="0.35">
      <c r="A417" s="8" t="s">
        <v>1656</v>
      </c>
      <c r="B417" s="54">
        <v>14000</v>
      </c>
    </row>
    <row r="418" spans="1:2" x14ac:dyDescent="0.35">
      <c r="A418" s="8" t="s">
        <v>1657</v>
      </c>
      <c r="B418" s="54">
        <v>4750</v>
      </c>
    </row>
    <row r="419" spans="1:2" x14ac:dyDescent="0.35">
      <c r="A419" s="8" t="s">
        <v>1658</v>
      </c>
      <c r="B419" s="54">
        <v>42000</v>
      </c>
    </row>
    <row r="420" spans="1:2" x14ac:dyDescent="0.35">
      <c r="A420" s="8" t="s">
        <v>1659</v>
      </c>
      <c r="B420" s="54">
        <v>35000</v>
      </c>
    </row>
    <row r="421" spans="1:2" x14ac:dyDescent="0.35">
      <c r="A421" s="8" t="s">
        <v>1701</v>
      </c>
      <c r="B421" s="54">
        <v>1000000</v>
      </c>
    </row>
    <row r="422" spans="1:2" x14ac:dyDescent="0.35">
      <c r="A422" s="8" t="s">
        <v>1702</v>
      </c>
      <c r="B422" s="54">
        <v>560000</v>
      </c>
    </row>
    <row r="423" spans="1:2" x14ac:dyDescent="0.35">
      <c r="A423" s="8" t="s">
        <v>1703</v>
      </c>
      <c r="B423" s="54">
        <v>2144000</v>
      </c>
    </row>
    <row r="424" spans="1:2" x14ac:dyDescent="0.35">
      <c r="A424" s="8" t="s">
        <v>1704</v>
      </c>
      <c r="B424" s="54">
        <v>75000</v>
      </c>
    </row>
    <row r="425" spans="1:2" x14ac:dyDescent="0.35">
      <c r="A425" s="8" t="s">
        <v>1705</v>
      </c>
      <c r="B425" s="54">
        <v>1119456</v>
      </c>
    </row>
    <row r="426" spans="1:2" x14ac:dyDescent="0.35">
      <c r="A426" s="8" t="s">
        <v>1706</v>
      </c>
      <c r="B426" s="54">
        <v>0</v>
      </c>
    </row>
    <row r="427" spans="1:2" x14ac:dyDescent="0.35">
      <c r="A427" s="8" t="s">
        <v>1707</v>
      </c>
      <c r="B427" s="54">
        <v>80000</v>
      </c>
    </row>
    <row r="428" spans="1:2" x14ac:dyDescent="0.35">
      <c r="A428" s="8" t="s">
        <v>1708</v>
      </c>
      <c r="B428" s="54">
        <v>10000</v>
      </c>
    </row>
    <row r="429" spans="1:2" x14ac:dyDescent="0.35">
      <c r="A429" s="8" t="s">
        <v>2840</v>
      </c>
      <c r="B429" s="54">
        <v>2010000</v>
      </c>
    </row>
    <row r="430" spans="1:2" x14ac:dyDescent="0.35">
      <c r="A430" s="8" t="s">
        <v>1660</v>
      </c>
      <c r="B430" s="54">
        <v>301000</v>
      </c>
    </row>
    <row r="431" spans="1:2" x14ac:dyDescent="0.35">
      <c r="A431" s="8" t="s">
        <v>1661</v>
      </c>
      <c r="B431" s="54">
        <v>11616828</v>
      </c>
    </row>
    <row r="432" spans="1:2" x14ac:dyDescent="0.35">
      <c r="A432" s="8" t="s">
        <v>1662</v>
      </c>
      <c r="B432" s="54">
        <v>1001122</v>
      </c>
    </row>
    <row r="433" spans="1:2" x14ac:dyDescent="0.35">
      <c r="A433" s="8" t="s">
        <v>1663</v>
      </c>
      <c r="B433" s="54">
        <v>170000</v>
      </c>
    </row>
    <row r="434" spans="1:2" x14ac:dyDescent="0.35">
      <c r="A434" s="8" t="s">
        <v>1664</v>
      </c>
      <c r="B434" s="54">
        <v>32000</v>
      </c>
    </row>
    <row r="435" spans="1:2" x14ac:dyDescent="0.35">
      <c r="A435" s="8" t="s">
        <v>1665</v>
      </c>
      <c r="B435" s="54">
        <v>85100</v>
      </c>
    </row>
    <row r="436" spans="1:2" x14ac:dyDescent="0.35">
      <c r="A436" s="8" t="s">
        <v>1666</v>
      </c>
      <c r="B436" s="54">
        <v>12400</v>
      </c>
    </row>
    <row r="437" spans="1:2" x14ac:dyDescent="0.35">
      <c r="A437" s="8" t="s">
        <v>1682</v>
      </c>
      <c r="B437" s="54">
        <v>50000</v>
      </c>
    </row>
    <row r="438" spans="1:2" x14ac:dyDescent="0.35">
      <c r="A438" s="8" t="s">
        <v>1683</v>
      </c>
      <c r="B438" s="54">
        <v>300000</v>
      </c>
    </row>
    <row r="439" spans="1:2" x14ac:dyDescent="0.35">
      <c r="A439" s="8" t="s">
        <v>1684</v>
      </c>
      <c r="B439" s="54">
        <v>16344000</v>
      </c>
    </row>
    <row r="440" spans="1:2" x14ac:dyDescent="0.35">
      <c r="A440" s="8" t="s">
        <v>1685</v>
      </c>
      <c r="B440" s="54">
        <v>44000</v>
      </c>
    </row>
    <row r="441" spans="1:2" x14ac:dyDescent="0.35">
      <c r="A441" s="8" t="s">
        <v>1688</v>
      </c>
      <c r="B441" s="54">
        <v>3750</v>
      </c>
    </row>
    <row r="442" spans="1:2" x14ac:dyDescent="0.35">
      <c r="A442" s="8" t="s">
        <v>1689</v>
      </c>
      <c r="B442" s="54">
        <v>45000</v>
      </c>
    </row>
    <row r="443" spans="1:2" x14ac:dyDescent="0.35">
      <c r="A443" s="8" t="s">
        <v>1690</v>
      </c>
      <c r="B443" s="54">
        <v>90000</v>
      </c>
    </row>
    <row r="444" spans="1:2" x14ac:dyDescent="0.35">
      <c r="A444" s="8" t="s">
        <v>1691</v>
      </c>
      <c r="B444" s="54">
        <v>450000</v>
      </c>
    </row>
    <row r="445" spans="1:2" x14ac:dyDescent="0.35">
      <c r="A445" s="8" t="s">
        <v>1692</v>
      </c>
      <c r="B445" s="54">
        <v>45000</v>
      </c>
    </row>
    <row r="446" spans="1:2" x14ac:dyDescent="0.35">
      <c r="A446" s="8" t="s">
        <v>1693</v>
      </c>
      <c r="B446" s="54">
        <v>300000</v>
      </c>
    </row>
    <row r="447" spans="1:2" x14ac:dyDescent="0.35">
      <c r="A447" s="8" t="s">
        <v>1694</v>
      </c>
      <c r="B447" s="54">
        <v>1902040</v>
      </c>
    </row>
    <row r="448" spans="1:2" x14ac:dyDescent="0.35">
      <c r="A448" s="8" t="s">
        <v>1700</v>
      </c>
      <c r="B448" s="54">
        <v>3300</v>
      </c>
    </row>
    <row r="449" spans="1:2" x14ac:dyDescent="0.35">
      <c r="A449" s="8" t="s">
        <v>1695</v>
      </c>
      <c r="B449" s="54">
        <v>22500</v>
      </c>
    </row>
    <row r="450" spans="1:2" x14ac:dyDescent="0.35">
      <c r="A450" s="8" t="s">
        <v>1696</v>
      </c>
      <c r="B450" s="54">
        <v>300000</v>
      </c>
    </row>
    <row r="451" spans="1:2" x14ac:dyDescent="0.35">
      <c r="A451" s="8" t="s">
        <v>1697</v>
      </c>
      <c r="B451" s="54">
        <v>15000</v>
      </c>
    </row>
    <row r="452" spans="1:2" x14ac:dyDescent="0.35">
      <c r="A452" s="8" t="s">
        <v>1698</v>
      </c>
      <c r="B452" s="54">
        <v>7500</v>
      </c>
    </row>
    <row r="453" spans="1:2" x14ac:dyDescent="0.35">
      <c r="A453" s="8" t="s">
        <v>1699</v>
      </c>
      <c r="B453" s="54">
        <v>10000</v>
      </c>
    </row>
    <row r="454" spans="1:2" x14ac:dyDescent="0.35">
      <c r="A454" s="8" t="s">
        <v>1002</v>
      </c>
      <c r="B454" s="54">
        <v>34786785.600000001</v>
      </c>
    </row>
    <row r="455" spans="1:2" x14ac:dyDescent="0.35">
      <c r="A455" s="8" t="s">
        <v>1006</v>
      </c>
      <c r="B455" s="54">
        <v>429355.5</v>
      </c>
    </row>
    <row r="456" spans="1:2" x14ac:dyDescent="0.35">
      <c r="A456" s="8" t="s">
        <v>1012</v>
      </c>
      <c r="B456" s="54">
        <v>420000</v>
      </c>
    </row>
    <row r="457" spans="1:2" x14ac:dyDescent="0.35">
      <c r="A457" s="8" t="s">
        <v>1016</v>
      </c>
      <c r="B457" s="54">
        <v>378000</v>
      </c>
    </row>
    <row r="458" spans="1:2" x14ac:dyDescent="0.35">
      <c r="A458" s="8" t="s">
        <v>1022</v>
      </c>
      <c r="B458" s="54">
        <v>12600</v>
      </c>
    </row>
    <row r="459" spans="1:2" x14ac:dyDescent="0.35">
      <c r="A459" s="8" t="s">
        <v>1140</v>
      </c>
      <c r="B459" s="54">
        <v>236250</v>
      </c>
    </row>
    <row r="460" spans="1:2" x14ac:dyDescent="0.35">
      <c r="A460" s="8" t="s">
        <v>1147</v>
      </c>
      <c r="B460" s="54">
        <v>315000</v>
      </c>
    </row>
    <row r="461" spans="1:2" x14ac:dyDescent="0.35">
      <c r="A461" s="8" t="s">
        <v>1026</v>
      </c>
      <c r="B461" s="54">
        <v>1071000</v>
      </c>
    </row>
    <row r="462" spans="1:2" x14ac:dyDescent="0.35">
      <c r="A462" s="8" t="s">
        <v>1030</v>
      </c>
      <c r="B462" s="54">
        <v>1197000</v>
      </c>
    </row>
    <row r="463" spans="1:2" x14ac:dyDescent="0.35">
      <c r="A463" s="8" t="s">
        <v>1033</v>
      </c>
      <c r="B463" s="54">
        <v>3150000</v>
      </c>
    </row>
    <row r="464" spans="1:2" x14ac:dyDescent="0.35">
      <c r="A464" s="8" t="s">
        <v>1037</v>
      </c>
      <c r="B464" s="54">
        <v>312873.75</v>
      </c>
    </row>
    <row r="465" spans="1:2" x14ac:dyDescent="0.35">
      <c r="A465" s="8" t="s">
        <v>1042</v>
      </c>
      <c r="B465" s="54">
        <v>866250</v>
      </c>
    </row>
    <row r="466" spans="1:2" x14ac:dyDescent="0.35">
      <c r="A466" s="8" t="s">
        <v>1048</v>
      </c>
      <c r="B466" s="54">
        <v>395010</v>
      </c>
    </row>
    <row r="467" spans="1:2" x14ac:dyDescent="0.35">
      <c r="A467" s="8" t="s">
        <v>1053</v>
      </c>
      <c r="B467" s="54">
        <v>42919800</v>
      </c>
    </row>
    <row r="468" spans="1:2" x14ac:dyDescent="0.35">
      <c r="A468" s="8" t="s">
        <v>1058</v>
      </c>
      <c r="B468" s="54">
        <v>2815559.25</v>
      </c>
    </row>
    <row r="469" spans="1:2" x14ac:dyDescent="0.35">
      <c r="A469" s="8" t="s">
        <v>1061</v>
      </c>
      <c r="B469" s="54">
        <v>3477572.7</v>
      </c>
    </row>
    <row r="470" spans="1:2" x14ac:dyDescent="0.35">
      <c r="A470" s="8" t="s">
        <v>1065</v>
      </c>
      <c r="B470" s="54">
        <v>269634.75</v>
      </c>
    </row>
    <row r="471" spans="1:2" x14ac:dyDescent="0.35">
      <c r="A471" s="8" t="s">
        <v>1068</v>
      </c>
      <c r="B471" s="54">
        <v>387082.5</v>
      </c>
    </row>
    <row r="472" spans="1:2" x14ac:dyDescent="0.35">
      <c r="A472" s="8" t="s">
        <v>1072</v>
      </c>
      <c r="B472" s="54">
        <v>107100</v>
      </c>
    </row>
    <row r="473" spans="1:2" x14ac:dyDescent="0.35">
      <c r="A473" s="8" t="s">
        <v>1077</v>
      </c>
      <c r="B473" s="54">
        <v>1026231.15</v>
      </c>
    </row>
    <row r="474" spans="1:2" x14ac:dyDescent="0.35">
      <c r="A474" s="8" t="s">
        <v>1081</v>
      </c>
      <c r="B474" s="54">
        <v>22050</v>
      </c>
    </row>
    <row r="475" spans="1:2" x14ac:dyDescent="0.35">
      <c r="A475" s="8" t="s">
        <v>1086</v>
      </c>
      <c r="B475" s="54">
        <v>708750</v>
      </c>
    </row>
    <row r="476" spans="1:2" x14ac:dyDescent="0.35">
      <c r="A476" s="8" t="s">
        <v>1091</v>
      </c>
      <c r="B476" s="54">
        <v>249228</v>
      </c>
    </row>
    <row r="477" spans="1:2" x14ac:dyDescent="0.35">
      <c r="A477" s="8" t="s">
        <v>1095</v>
      </c>
      <c r="B477" s="54">
        <v>1050000</v>
      </c>
    </row>
    <row r="478" spans="1:2" x14ac:dyDescent="0.35">
      <c r="A478" s="8" t="s">
        <v>1097</v>
      </c>
      <c r="B478" s="54">
        <v>472500</v>
      </c>
    </row>
    <row r="479" spans="1:2" x14ac:dyDescent="0.35">
      <c r="A479" s="8" t="s">
        <v>1100</v>
      </c>
      <c r="B479" s="54">
        <v>105000</v>
      </c>
    </row>
    <row r="480" spans="1:2" x14ac:dyDescent="0.35">
      <c r="A480" s="8" t="s">
        <v>1104</v>
      </c>
      <c r="B480" s="54">
        <v>2046975</v>
      </c>
    </row>
    <row r="481" spans="1:2" x14ac:dyDescent="0.35">
      <c r="A481" s="8" t="s">
        <v>1108</v>
      </c>
      <c r="B481" s="54">
        <v>630000</v>
      </c>
    </row>
    <row r="482" spans="1:2" x14ac:dyDescent="0.35">
      <c r="A482" s="8" t="s">
        <v>1112</v>
      </c>
      <c r="B482" s="54">
        <v>210000</v>
      </c>
    </row>
    <row r="483" spans="1:2" x14ac:dyDescent="0.35">
      <c r="A483" s="8" t="s">
        <v>1115</v>
      </c>
      <c r="B483" s="54">
        <v>673999.20000000007</v>
      </c>
    </row>
    <row r="484" spans="1:2" x14ac:dyDescent="0.35">
      <c r="A484" s="8" t="s">
        <v>1121</v>
      </c>
      <c r="B484" s="54">
        <v>315000</v>
      </c>
    </row>
    <row r="485" spans="1:2" x14ac:dyDescent="0.35">
      <c r="A485" s="8" t="s">
        <v>1125</v>
      </c>
      <c r="B485" s="54">
        <v>1323000</v>
      </c>
    </row>
    <row r="486" spans="1:2" x14ac:dyDescent="0.35">
      <c r="A486" s="8" t="s">
        <v>1128</v>
      </c>
      <c r="B486" s="54">
        <v>14781886.350000001</v>
      </c>
    </row>
    <row r="487" spans="1:2" x14ac:dyDescent="0.35">
      <c r="A487" s="8" t="s">
        <v>1144</v>
      </c>
      <c r="B487" s="54">
        <v>236250</v>
      </c>
    </row>
    <row r="488" spans="1:2" x14ac:dyDescent="0.35">
      <c r="A488" s="8" t="s">
        <v>1131</v>
      </c>
      <c r="B488" s="54">
        <v>236250</v>
      </c>
    </row>
    <row r="489" spans="1:2" x14ac:dyDescent="0.35">
      <c r="A489" s="8" t="s">
        <v>2787</v>
      </c>
      <c r="B489" s="54">
        <v>1038996169.5430419</v>
      </c>
    </row>
  </sheetData>
  <autoFilter ref="A3:B489"/>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89"/>
  <sheetViews>
    <sheetView workbookViewId="0">
      <selection activeCell="B433" sqref="B433"/>
    </sheetView>
  </sheetViews>
  <sheetFormatPr defaultRowHeight="14.5" x14ac:dyDescent="0.35"/>
  <cols>
    <col min="1" max="1" width="39.7265625" bestFit="1" customWidth="1"/>
    <col min="2" max="2" width="20.36328125" bestFit="1" customWidth="1"/>
  </cols>
  <sheetData>
    <row r="3" spans="1:2" x14ac:dyDescent="0.35">
      <c r="A3" s="84" t="s">
        <v>2786</v>
      </c>
      <c r="B3" t="s">
        <v>2848</v>
      </c>
    </row>
    <row r="4" spans="1:2" x14ac:dyDescent="0.35">
      <c r="A4" s="8" t="s">
        <v>2713</v>
      </c>
      <c r="B4" s="85">
        <v>100000</v>
      </c>
    </row>
    <row r="5" spans="1:2" x14ac:dyDescent="0.35">
      <c r="A5" s="8" t="s">
        <v>2716</v>
      </c>
      <c r="B5" s="85">
        <v>5000000</v>
      </c>
    </row>
    <row r="6" spans="1:2" x14ac:dyDescent="0.35">
      <c r="A6" s="8" t="s">
        <v>2717</v>
      </c>
      <c r="B6" s="85">
        <v>200000</v>
      </c>
    </row>
    <row r="7" spans="1:2" x14ac:dyDescent="0.35">
      <c r="A7" s="8" t="s">
        <v>2719</v>
      </c>
      <c r="B7" s="85">
        <v>300000</v>
      </c>
    </row>
    <row r="8" spans="1:2" x14ac:dyDescent="0.35">
      <c r="A8" s="8" t="s">
        <v>2721</v>
      </c>
      <c r="B8" s="85">
        <v>300000</v>
      </c>
    </row>
    <row r="9" spans="1:2" x14ac:dyDescent="0.35">
      <c r="A9" s="8" t="s">
        <v>2723</v>
      </c>
      <c r="B9" s="85">
        <v>50000</v>
      </c>
    </row>
    <row r="10" spans="1:2" x14ac:dyDescent="0.35">
      <c r="A10" s="8" t="s">
        <v>2725</v>
      </c>
      <c r="B10" s="85">
        <v>1000000</v>
      </c>
    </row>
    <row r="11" spans="1:2" x14ac:dyDescent="0.35">
      <c r="A11" s="8" t="s">
        <v>2727</v>
      </c>
      <c r="B11" s="85">
        <v>50000</v>
      </c>
    </row>
    <row r="12" spans="1:2" x14ac:dyDescent="0.35">
      <c r="A12" s="8" t="s">
        <v>2731</v>
      </c>
      <c r="B12" s="85">
        <v>50000</v>
      </c>
    </row>
    <row r="13" spans="1:2" x14ac:dyDescent="0.35">
      <c r="A13" s="8" t="s">
        <v>2735</v>
      </c>
      <c r="B13" s="85">
        <v>490000</v>
      </c>
    </row>
    <row r="14" spans="1:2" x14ac:dyDescent="0.35">
      <c r="A14" s="8" t="s">
        <v>2741</v>
      </c>
      <c r="B14" s="85">
        <v>24889</v>
      </c>
    </row>
    <row r="15" spans="1:2" x14ac:dyDescent="0.35">
      <c r="A15" s="8" t="s">
        <v>2745</v>
      </c>
      <c r="B15" s="85">
        <v>181500</v>
      </c>
    </row>
    <row r="16" spans="1:2" x14ac:dyDescent="0.35">
      <c r="A16" s="8" t="s">
        <v>2755</v>
      </c>
      <c r="B16" s="85">
        <v>181500</v>
      </c>
    </row>
    <row r="17" spans="1:2" x14ac:dyDescent="0.35">
      <c r="A17" s="8" t="s">
        <v>2750</v>
      </c>
      <c r="B17" s="85">
        <v>18250</v>
      </c>
    </row>
    <row r="18" spans="1:2" x14ac:dyDescent="0.35">
      <c r="A18" s="8" t="s">
        <v>2756</v>
      </c>
      <c r="B18" s="85">
        <v>181500</v>
      </c>
    </row>
    <row r="19" spans="1:2" x14ac:dyDescent="0.35">
      <c r="A19" s="8" t="s">
        <v>2279</v>
      </c>
      <c r="B19" s="85">
        <v>540000</v>
      </c>
    </row>
    <row r="20" spans="1:2" x14ac:dyDescent="0.35">
      <c r="A20" s="8" t="s">
        <v>2283</v>
      </c>
      <c r="B20" s="85">
        <v>180000</v>
      </c>
    </row>
    <row r="21" spans="1:2" x14ac:dyDescent="0.35">
      <c r="A21" s="8" t="s">
        <v>2288</v>
      </c>
      <c r="B21" s="85">
        <v>551250</v>
      </c>
    </row>
    <row r="22" spans="1:2" x14ac:dyDescent="0.35">
      <c r="A22" s="8" t="s">
        <v>2294</v>
      </c>
      <c r="B22" s="85">
        <v>16429640</v>
      </c>
    </row>
    <row r="23" spans="1:2" x14ac:dyDescent="0.35">
      <c r="A23" s="8" t="s">
        <v>2314</v>
      </c>
      <c r="B23" s="85">
        <v>8985370</v>
      </c>
    </row>
    <row r="24" spans="1:2" x14ac:dyDescent="0.35">
      <c r="A24" s="8" t="s">
        <v>2318</v>
      </c>
      <c r="B24" s="85">
        <v>3001800</v>
      </c>
    </row>
    <row r="25" spans="1:2" x14ac:dyDescent="0.35">
      <c r="A25" s="8" t="s">
        <v>2368</v>
      </c>
      <c r="B25" s="85">
        <v>0</v>
      </c>
    </row>
    <row r="26" spans="1:2" x14ac:dyDescent="0.35">
      <c r="A26" s="8" t="s">
        <v>2324</v>
      </c>
      <c r="B26" s="85">
        <v>2500000</v>
      </c>
    </row>
    <row r="27" spans="1:2" x14ac:dyDescent="0.35">
      <c r="A27" s="8" t="s">
        <v>2330</v>
      </c>
      <c r="B27" s="85">
        <v>749999.99930000002</v>
      </c>
    </row>
    <row r="28" spans="1:2" x14ac:dyDescent="0.35">
      <c r="A28" s="8" t="s">
        <v>2341</v>
      </c>
      <c r="B28" s="85">
        <v>920000</v>
      </c>
    </row>
    <row r="29" spans="1:2" x14ac:dyDescent="0.35">
      <c r="A29" s="8" t="s">
        <v>2346</v>
      </c>
      <c r="B29" s="85">
        <v>10000</v>
      </c>
    </row>
    <row r="30" spans="1:2" x14ac:dyDescent="0.35">
      <c r="A30" s="8" t="s">
        <v>2349</v>
      </c>
      <c r="B30" s="85">
        <v>135000</v>
      </c>
    </row>
    <row r="31" spans="1:2" x14ac:dyDescent="0.35">
      <c r="A31" s="8" t="s">
        <v>2352</v>
      </c>
      <c r="B31" s="85">
        <v>200000</v>
      </c>
    </row>
    <row r="32" spans="1:2" x14ac:dyDescent="0.35">
      <c r="A32" s="8" t="s">
        <v>2760</v>
      </c>
      <c r="B32" s="85">
        <v>320000</v>
      </c>
    </row>
    <row r="33" spans="1:2" x14ac:dyDescent="0.35">
      <c r="A33" s="8" t="s">
        <v>2768</v>
      </c>
      <c r="B33" s="85">
        <v>25000</v>
      </c>
    </row>
    <row r="34" spans="1:2" x14ac:dyDescent="0.35">
      <c r="A34" s="8" t="s">
        <v>2771</v>
      </c>
      <c r="B34" s="85">
        <v>100000</v>
      </c>
    </row>
    <row r="35" spans="1:2" x14ac:dyDescent="0.35">
      <c r="A35" s="8" t="s">
        <v>2778</v>
      </c>
      <c r="B35" s="85">
        <v>3000000</v>
      </c>
    </row>
    <row r="36" spans="1:2" x14ac:dyDescent="0.35">
      <c r="A36" s="8" t="s">
        <v>2776</v>
      </c>
      <c r="B36" s="85">
        <v>100000</v>
      </c>
    </row>
    <row r="37" spans="1:2" x14ac:dyDescent="0.35">
      <c r="A37" s="8" t="s">
        <v>2774</v>
      </c>
      <c r="B37" s="85">
        <v>100000</v>
      </c>
    </row>
    <row r="38" spans="1:2" x14ac:dyDescent="0.35">
      <c r="A38" s="8" t="s">
        <v>226</v>
      </c>
      <c r="B38" s="85">
        <v>504600</v>
      </c>
    </row>
    <row r="39" spans="1:2" x14ac:dyDescent="0.35">
      <c r="A39" s="8" t="s">
        <v>232</v>
      </c>
      <c r="B39" s="85">
        <v>3600000</v>
      </c>
    </row>
    <row r="40" spans="1:2" x14ac:dyDescent="0.35">
      <c r="A40" s="8" t="s">
        <v>240</v>
      </c>
      <c r="B40" s="85">
        <v>1</v>
      </c>
    </row>
    <row r="41" spans="1:2" x14ac:dyDescent="0.35">
      <c r="A41" s="8" t="s">
        <v>248</v>
      </c>
      <c r="B41" s="85">
        <v>120000</v>
      </c>
    </row>
    <row r="42" spans="1:2" x14ac:dyDescent="0.35">
      <c r="A42" s="8" t="s">
        <v>254</v>
      </c>
      <c r="B42" s="85">
        <v>120000</v>
      </c>
    </row>
    <row r="43" spans="1:2" x14ac:dyDescent="0.35">
      <c r="A43" s="8" t="s">
        <v>260</v>
      </c>
      <c r="B43" s="85">
        <v>4320030</v>
      </c>
    </row>
    <row r="44" spans="1:2" x14ac:dyDescent="0.35">
      <c r="A44" s="8" t="s">
        <v>267</v>
      </c>
      <c r="B44" s="85">
        <v>153612</v>
      </c>
    </row>
    <row r="45" spans="1:2" x14ac:dyDescent="0.35">
      <c r="A45" s="8" t="s">
        <v>273</v>
      </c>
      <c r="B45" s="85">
        <v>55000</v>
      </c>
    </row>
    <row r="46" spans="1:2" x14ac:dyDescent="0.35">
      <c r="A46" s="8" t="s">
        <v>277</v>
      </c>
      <c r="B46" s="85">
        <v>384000</v>
      </c>
    </row>
    <row r="47" spans="1:2" x14ac:dyDescent="0.35">
      <c r="A47" s="8" t="s">
        <v>280</v>
      </c>
      <c r="B47" s="85">
        <v>2400000</v>
      </c>
    </row>
    <row r="48" spans="1:2" x14ac:dyDescent="0.35">
      <c r="A48" s="8" t="s">
        <v>284</v>
      </c>
      <c r="B48" s="85">
        <v>72000</v>
      </c>
    </row>
    <row r="49" spans="1:2" x14ac:dyDescent="0.35">
      <c r="A49" s="8" t="s">
        <v>1643</v>
      </c>
      <c r="B49" s="85">
        <v>7200</v>
      </c>
    </row>
    <row r="50" spans="1:2" x14ac:dyDescent="0.35">
      <c r="A50" s="8" t="s">
        <v>287</v>
      </c>
      <c r="B50" s="85">
        <v>360000</v>
      </c>
    </row>
    <row r="51" spans="1:2" x14ac:dyDescent="0.35">
      <c r="A51" s="8" t="s">
        <v>1715</v>
      </c>
      <c r="B51" s="85">
        <v>5655600</v>
      </c>
    </row>
    <row r="52" spans="1:2" x14ac:dyDescent="0.35">
      <c r="A52" s="8" t="s">
        <v>1716</v>
      </c>
      <c r="B52" s="85">
        <v>300000</v>
      </c>
    </row>
    <row r="53" spans="1:2" x14ac:dyDescent="0.35">
      <c r="A53" s="8" t="s">
        <v>1717</v>
      </c>
      <c r="B53" s="85">
        <v>64000</v>
      </c>
    </row>
    <row r="54" spans="1:2" x14ac:dyDescent="0.35">
      <c r="A54" s="8" t="s">
        <v>1718</v>
      </c>
      <c r="B54" s="85">
        <v>592000</v>
      </c>
    </row>
    <row r="55" spans="1:2" x14ac:dyDescent="0.35">
      <c r="A55" s="8" t="s">
        <v>1719</v>
      </c>
      <c r="B55" s="85">
        <v>0</v>
      </c>
    </row>
    <row r="56" spans="1:2" x14ac:dyDescent="0.35">
      <c r="A56" s="8" t="s">
        <v>1720</v>
      </c>
      <c r="B56" s="85">
        <v>4824000</v>
      </c>
    </row>
    <row r="57" spans="1:2" x14ac:dyDescent="0.35">
      <c r="A57" s="8" t="s">
        <v>1721</v>
      </c>
      <c r="B57" s="85">
        <v>3931250</v>
      </c>
    </row>
    <row r="58" spans="1:2" x14ac:dyDescent="0.35">
      <c r="A58" s="8" t="s">
        <v>1722</v>
      </c>
      <c r="B58" s="85">
        <v>274120000</v>
      </c>
    </row>
    <row r="59" spans="1:2" x14ac:dyDescent="0.35">
      <c r="A59" s="8" t="s">
        <v>1723</v>
      </c>
      <c r="B59" s="85">
        <v>300000</v>
      </c>
    </row>
    <row r="60" spans="1:2" x14ac:dyDescent="0.35">
      <c r="A60" s="8" t="s">
        <v>1724</v>
      </c>
      <c r="B60" s="85">
        <v>300000</v>
      </c>
    </row>
    <row r="61" spans="1:2" x14ac:dyDescent="0.35">
      <c r="A61" s="8" t="s">
        <v>1725</v>
      </c>
      <c r="B61" s="85">
        <v>77720</v>
      </c>
    </row>
    <row r="62" spans="1:2" x14ac:dyDescent="0.35">
      <c r="A62" s="8" t="s">
        <v>1726</v>
      </c>
      <c r="B62" s="85">
        <v>10000</v>
      </c>
    </row>
    <row r="63" spans="1:2" x14ac:dyDescent="0.35">
      <c r="A63" s="8" t="s">
        <v>1727</v>
      </c>
      <c r="B63" s="85">
        <v>95800</v>
      </c>
    </row>
    <row r="64" spans="1:2" x14ac:dyDescent="0.35">
      <c r="A64" s="8" t="s">
        <v>1728</v>
      </c>
      <c r="B64" s="85">
        <v>128700</v>
      </c>
    </row>
    <row r="65" spans="1:2" x14ac:dyDescent="0.35">
      <c r="A65" s="8" t="s">
        <v>1729</v>
      </c>
      <c r="B65" s="85">
        <v>5000</v>
      </c>
    </row>
    <row r="66" spans="1:2" x14ac:dyDescent="0.35">
      <c r="A66" s="8" t="s">
        <v>1730</v>
      </c>
      <c r="B66" s="85">
        <v>931500</v>
      </c>
    </row>
    <row r="67" spans="1:2" x14ac:dyDescent="0.35">
      <c r="A67" s="8" t="s">
        <v>599</v>
      </c>
      <c r="B67" s="85">
        <v>100000</v>
      </c>
    </row>
    <row r="68" spans="1:2" x14ac:dyDescent="0.35">
      <c r="A68" s="8" t="s">
        <v>605</v>
      </c>
      <c r="B68" s="85">
        <v>15000</v>
      </c>
    </row>
    <row r="69" spans="1:2" x14ac:dyDescent="0.35">
      <c r="A69" s="8" t="s">
        <v>611</v>
      </c>
      <c r="B69" s="85">
        <v>150000</v>
      </c>
    </row>
    <row r="70" spans="1:2" x14ac:dyDescent="0.35">
      <c r="A70" s="8" t="s">
        <v>614</v>
      </c>
      <c r="B70" s="85">
        <v>60000</v>
      </c>
    </row>
    <row r="71" spans="1:2" x14ac:dyDescent="0.35">
      <c r="A71" s="8" t="s">
        <v>621</v>
      </c>
      <c r="B71" s="85">
        <v>40000</v>
      </c>
    </row>
    <row r="72" spans="1:2" x14ac:dyDescent="0.35">
      <c r="A72" s="8" t="s">
        <v>627</v>
      </c>
      <c r="B72" s="85">
        <v>120000</v>
      </c>
    </row>
    <row r="73" spans="1:2" x14ac:dyDescent="0.35">
      <c r="A73" s="8" t="s">
        <v>630</v>
      </c>
      <c r="B73" s="85">
        <v>1100000</v>
      </c>
    </row>
    <row r="74" spans="1:2" x14ac:dyDescent="0.35">
      <c r="A74" s="8" t="s">
        <v>633</v>
      </c>
      <c r="B74" s="85">
        <v>30000</v>
      </c>
    </row>
    <row r="75" spans="1:2" x14ac:dyDescent="0.35">
      <c r="A75" s="8" t="s">
        <v>637</v>
      </c>
      <c r="B75" s="85">
        <v>120000</v>
      </c>
    </row>
    <row r="76" spans="1:2" x14ac:dyDescent="0.35">
      <c r="A76" s="8" t="s">
        <v>640</v>
      </c>
      <c r="B76" s="85">
        <v>60000</v>
      </c>
    </row>
    <row r="77" spans="1:2" x14ac:dyDescent="0.35">
      <c r="A77" s="8" t="s">
        <v>644</v>
      </c>
      <c r="B77" s="85">
        <v>30000</v>
      </c>
    </row>
    <row r="78" spans="1:2" x14ac:dyDescent="0.35">
      <c r="A78" s="8" t="s">
        <v>648</v>
      </c>
      <c r="B78" s="85">
        <v>297000</v>
      </c>
    </row>
    <row r="79" spans="1:2" x14ac:dyDescent="0.35">
      <c r="A79" s="8" t="s">
        <v>658</v>
      </c>
      <c r="B79" s="85">
        <v>315000</v>
      </c>
    </row>
    <row r="80" spans="1:2" x14ac:dyDescent="0.35">
      <c r="A80" s="8" t="s">
        <v>662</v>
      </c>
      <c r="B80" s="85">
        <v>120000</v>
      </c>
    </row>
    <row r="81" spans="1:2" x14ac:dyDescent="0.35">
      <c r="A81" s="8" t="s">
        <v>664</v>
      </c>
      <c r="B81" s="85">
        <v>40000</v>
      </c>
    </row>
    <row r="82" spans="1:2" x14ac:dyDescent="0.35">
      <c r="A82" s="8" t="s">
        <v>337</v>
      </c>
      <c r="B82" s="85">
        <v>20000</v>
      </c>
    </row>
    <row r="83" spans="1:2" x14ac:dyDescent="0.35">
      <c r="A83" s="8" t="s">
        <v>343</v>
      </c>
      <c r="B83" s="85">
        <v>30000</v>
      </c>
    </row>
    <row r="84" spans="1:2" x14ac:dyDescent="0.35">
      <c r="A84" s="8" t="s">
        <v>353</v>
      </c>
      <c r="B84" s="85">
        <v>150000</v>
      </c>
    </row>
    <row r="85" spans="1:2" x14ac:dyDescent="0.35">
      <c r="A85" s="8" t="s">
        <v>360</v>
      </c>
      <c r="B85" s="85">
        <v>360000</v>
      </c>
    </row>
    <row r="86" spans="1:2" x14ac:dyDescent="0.35">
      <c r="A86" s="8" t="s">
        <v>368</v>
      </c>
      <c r="B86" s="85">
        <v>340000</v>
      </c>
    </row>
    <row r="87" spans="1:2" x14ac:dyDescent="0.35">
      <c r="A87" s="8" t="s">
        <v>376</v>
      </c>
      <c r="B87" s="85">
        <v>8500</v>
      </c>
    </row>
    <row r="88" spans="1:2" x14ac:dyDescent="0.35">
      <c r="A88" s="8" t="s">
        <v>381</v>
      </c>
      <c r="B88" s="85">
        <v>10000</v>
      </c>
    </row>
    <row r="89" spans="1:2" x14ac:dyDescent="0.35">
      <c r="A89" s="8" t="s">
        <v>386</v>
      </c>
      <c r="B89" s="85">
        <v>340000</v>
      </c>
    </row>
    <row r="90" spans="1:2" x14ac:dyDescent="0.35">
      <c r="A90" s="8" t="s">
        <v>394</v>
      </c>
      <c r="B90" s="85">
        <v>85000</v>
      </c>
    </row>
    <row r="91" spans="1:2" x14ac:dyDescent="0.35">
      <c r="A91" s="8" t="s">
        <v>400</v>
      </c>
      <c r="B91" s="85">
        <v>221000</v>
      </c>
    </row>
    <row r="92" spans="1:2" x14ac:dyDescent="0.35">
      <c r="A92" s="8" t="s">
        <v>406</v>
      </c>
      <c r="B92" s="85">
        <v>289000</v>
      </c>
    </row>
    <row r="93" spans="1:2" x14ac:dyDescent="0.35">
      <c r="A93" s="8" t="s">
        <v>410</v>
      </c>
      <c r="B93" s="85">
        <v>5100</v>
      </c>
    </row>
    <row r="94" spans="1:2" x14ac:dyDescent="0.35">
      <c r="A94" s="8" t="s">
        <v>417</v>
      </c>
      <c r="B94" s="85">
        <v>5950</v>
      </c>
    </row>
    <row r="95" spans="1:2" x14ac:dyDescent="0.35">
      <c r="A95" s="8" t="s">
        <v>421</v>
      </c>
      <c r="B95" s="85">
        <v>2750000</v>
      </c>
    </row>
    <row r="96" spans="1:2" x14ac:dyDescent="0.35">
      <c r="A96" s="8" t="s">
        <v>427</v>
      </c>
      <c r="B96" s="85">
        <v>7000</v>
      </c>
    </row>
    <row r="97" spans="1:2" x14ac:dyDescent="0.35">
      <c r="A97" s="8" t="s">
        <v>432</v>
      </c>
      <c r="B97" s="85">
        <v>12000</v>
      </c>
    </row>
    <row r="98" spans="1:2" x14ac:dyDescent="0.35">
      <c r="A98" s="8" t="s">
        <v>439</v>
      </c>
      <c r="B98" s="85">
        <v>35000</v>
      </c>
    </row>
    <row r="99" spans="1:2" x14ac:dyDescent="0.35">
      <c r="A99" s="8" t="s">
        <v>446</v>
      </c>
      <c r="B99" s="85">
        <v>210000</v>
      </c>
    </row>
    <row r="100" spans="1:2" x14ac:dyDescent="0.35">
      <c r="A100" s="8" t="s">
        <v>451</v>
      </c>
      <c r="B100" s="85">
        <v>360000</v>
      </c>
    </row>
    <row r="101" spans="1:2" x14ac:dyDescent="0.35">
      <c r="A101" s="8" t="s">
        <v>456</v>
      </c>
      <c r="B101" s="85">
        <v>32000</v>
      </c>
    </row>
    <row r="102" spans="1:2" x14ac:dyDescent="0.35">
      <c r="A102" s="8" t="s">
        <v>460</v>
      </c>
      <c r="B102" s="85">
        <v>107000</v>
      </c>
    </row>
    <row r="103" spans="1:2" x14ac:dyDescent="0.35">
      <c r="A103" s="8" t="s">
        <v>465</v>
      </c>
      <c r="B103" s="85">
        <v>20000</v>
      </c>
    </row>
    <row r="104" spans="1:2" x14ac:dyDescent="0.35">
      <c r="A104" s="8" t="s">
        <v>469</v>
      </c>
      <c r="B104" s="85">
        <v>18000</v>
      </c>
    </row>
    <row r="105" spans="1:2" x14ac:dyDescent="0.35">
      <c r="A105" s="8" t="s">
        <v>475</v>
      </c>
      <c r="B105" s="85">
        <v>80000</v>
      </c>
    </row>
    <row r="106" spans="1:2" x14ac:dyDescent="0.35">
      <c r="A106" s="8" t="s">
        <v>481</v>
      </c>
      <c r="B106" s="85">
        <v>250000</v>
      </c>
    </row>
    <row r="107" spans="1:2" x14ac:dyDescent="0.35">
      <c r="A107" s="8" t="s">
        <v>487</v>
      </c>
      <c r="B107" s="85">
        <v>2500</v>
      </c>
    </row>
    <row r="108" spans="1:2" x14ac:dyDescent="0.35">
      <c r="A108" s="8" t="s">
        <v>491</v>
      </c>
      <c r="B108" s="85">
        <v>16000</v>
      </c>
    </row>
    <row r="109" spans="1:2" x14ac:dyDescent="0.35">
      <c r="A109" s="8" t="s">
        <v>494</v>
      </c>
      <c r="B109" s="85">
        <v>2706002</v>
      </c>
    </row>
    <row r="110" spans="1:2" x14ac:dyDescent="0.35">
      <c r="A110" s="8" t="s">
        <v>508</v>
      </c>
      <c r="B110" s="85">
        <v>60000</v>
      </c>
    </row>
    <row r="111" spans="1:2" x14ac:dyDescent="0.35">
      <c r="A111" s="8" t="s">
        <v>513</v>
      </c>
      <c r="B111" s="85">
        <v>30000</v>
      </c>
    </row>
    <row r="112" spans="1:2" x14ac:dyDescent="0.35">
      <c r="A112" s="8" t="s">
        <v>517</v>
      </c>
      <c r="B112" s="85">
        <v>25000</v>
      </c>
    </row>
    <row r="113" spans="1:2" x14ac:dyDescent="0.35">
      <c r="A113" s="8" t="s">
        <v>520</v>
      </c>
      <c r="B113" s="85">
        <v>120000</v>
      </c>
    </row>
    <row r="114" spans="1:2" x14ac:dyDescent="0.35">
      <c r="A114" s="8" t="s">
        <v>522</v>
      </c>
      <c r="B114" s="85">
        <v>450000</v>
      </c>
    </row>
    <row r="115" spans="1:2" x14ac:dyDescent="0.35">
      <c r="A115" s="8" t="s">
        <v>524</v>
      </c>
      <c r="B115" s="85">
        <v>25000</v>
      </c>
    </row>
    <row r="116" spans="1:2" x14ac:dyDescent="0.35">
      <c r="A116" s="8" t="s">
        <v>526</v>
      </c>
      <c r="B116" s="85">
        <v>120000</v>
      </c>
    </row>
    <row r="117" spans="1:2" x14ac:dyDescent="0.35">
      <c r="A117" s="8" t="s">
        <v>528</v>
      </c>
      <c r="B117" s="85">
        <v>35000</v>
      </c>
    </row>
    <row r="118" spans="1:2" x14ac:dyDescent="0.35">
      <c r="A118" s="8" t="s">
        <v>530</v>
      </c>
      <c r="B118" s="85">
        <v>60000</v>
      </c>
    </row>
    <row r="119" spans="1:2" x14ac:dyDescent="0.35">
      <c r="A119" s="8" t="s">
        <v>532</v>
      </c>
      <c r="B119" s="85">
        <v>175000</v>
      </c>
    </row>
    <row r="120" spans="1:2" x14ac:dyDescent="0.35">
      <c r="A120" s="8" t="s">
        <v>534</v>
      </c>
      <c r="B120" s="85">
        <v>35000</v>
      </c>
    </row>
    <row r="121" spans="1:2" x14ac:dyDescent="0.35">
      <c r="A121" s="8" t="s">
        <v>536</v>
      </c>
      <c r="B121" s="85">
        <v>45000</v>
      </c>
    </row>
    <row r="122" spans="1:2" x14ac:dyDescent="0.35">
      <c r="A122" s="8" t="s">
        <v>538</v>
      </c>
      <c r="B122" s="85">
        <v>835000</v>
      </c>
    </row>
    <row r="123" spans="1:2" x14ac:dyDescent="0.35">
      <c r="A123" s="8" t="s">
        <v>542</v>
      </c>
      <c r="B123" s="85">
        <v>18000</v>
      </c>
    </row>
    <row r="124" spans="1:2" x14ac:dyDescent="0.35">
      <c r="A124" s="8" t="s">
        <v>561</v>
      </c>
      <c r="B124" s="85">
        <v>4000</v>
      </c>
    </row>
    <row r="125" spans="1:2" x14ac:dyDescent="0.35">
      <c r="A125" s="8" t="s">
        <v>564</v>
      </c>
      <c r="B125" s="85">
        <v>6600</v>
      </c>
    </row>
    <row r="126" spans="1:2" x14ac:dyDescent="0.35">
      <c r="A126" s="8" t="s">
        <v>568</v>
      </c>
      <c r="B126" s="85">
        <v>5000</v>
      </c>
    </row>
    <row r="127" spans="1:2" x14ac:dyDescent="0.35">
      <c r="A127" s="8" t="s">
        <v>574</v>
      </c>
      <c r="B127" s="85">
        <v>40000</v>
      </c>
    </row>
    <row r="128" spans="1:2" x14ac:dyDescent="0.35">
      <c r="A128" s="8" t="s">
        <v>570</v>
      </c>
      <c r="B128" s="85">
        <v>60000</v>
      </c>
    </row>
    <row r="129" spans="1:2" x14ac:dyDescent="0.35">
      <c r="A129" s="8" t="s">
        <v>578</v>
      </c>
      <c r="B129" s="85">
        <v>220000</v>
      </c>
    </row>
    <row r="130" spans="1:2" x14ac:dyDescent="0.35">
      <c r="A130" s="8" t="s">
        <v>580</v>
      </c>
      <c r="B130" s="85">
        <v>45000</v>
      </c>
    </row>
    <row r="131" spans="1:2" x14ac:dyDescent="0.35">
      <c r="A131" s="8" t="s">
        <v>582</v>
      </c>
      <c r="B131" s="85">
        <v>20000</v>
      </c>
    </row>
    <row r="132" spans="1:2" x14ac:dyDescent="0.35">
      <c r="A132" s="8" t="s">
        <v>584</v>
      </c>
      <c r="B132" s="85">
        <v>200000</v>
      </c>
    </row>
    <row r="133" spans="1:2" x14ac:dyDescent="0.35">
      <c r="A133" s="8" t="s">
        <v>586</v>
      </c>
      <c r="B133" s="85">
        <v>80000</v>
      </c>
    </row>
    <row r="134" spans="1:2" x14ac:dyDescent="0.35">
      <c r="A134" s="8" t="s">
        <v>588</v>
      </c>
      <c r="B134" s="85">
        <v>110000</v>
      </c>
    </row>
    <row r="135" spans="1:2" x14ac:dyDescent="0.35">
      <c r="A135" s="8" t="s">
        <v>590</v>
      </c>
      <c r="B135" s="85">
        <v>775000</v>
      </c>
    </row>
    <row r="136" spans="1:2" x14ac:dyDescent="0.35">
      <c r="A136" s="8" t="s">
        <v>667</v>
      </c>
      <c r="B136" s="85">
        <v>3000</v>
      </c>
    </row>
    <row r="137" spans="1:2" x14ac:dyDescent="0.35">
      <c r="A137" s="8" t="s">
        <v>671</v>
      </c>
      <c r="B137" s="85">
        <v>10000</v>
      </c>
    </row>
    <row r="138" spans="1:2" x14ac:dyDescent="0.35">
      <c r="A138" s="8" t="s">
        <v>677</v>
      </c>
      <c r="B138" s="85">
        <v>75000</v>
      </c>
    </row>
    <row r="139" spans="1:2" x14ac:dyDescent="0.35">
      <c r="A139" s="8" t="s">
        <v>680</v>
      </c>
      <c r="B139" s="85">
        <v>435000</v>
      </c>
    </row>
    <row r="140" spans="1:2" x14ac:dyDescent="0.35">
      <c r="A140" s="8" t="s">
        <v>684</v>
      </c>
      <c r="B140" s="85">
        <v>1260000</v>
      </c>
    </row>
    <row r="141" spans="1:2" x14ac:dyDescent="0.35">
      <c r="A141" s="8" t="s">
        <v>690</v>
      </c>
      <c r="B141" s="85">
        <v>30000</v>
      </c>
    </row>
    <row r="142" spans="1:2" x14ac:dyDescent="0.35">
      <c r="A142" s="8" t="s">
        <v>695</v>
      </c>
      <c r="B142" s="85">
        <v>870620</v>
      </c>
    </row>
    <row r="143" spans="1:2" x14ac:dyDescent="0.35">
      <c r="A143" s="8" t="s">
        <v>699</v>
      </c>
      <c r="B143" s="85">
        <v>302000</v>
      </c>
    </row>
    <row r="144" spans="1:2" x14ac:dyDescent="0.35">
      <c r="A144" s="8" t="s">
        <v>703</v>
      </c>
      <c r="B144" s="85">
        <v>50000</v>
      </c>
    </row>
    <row r="145" spans="1:2" x14ac:dyDescent="0.35">
      <c r="A145" s="8" t="s">
        <v>708</v>
      </c>
      <c r="B145" s="85">
        <v>441000</v>
      </c>
    </row>
    <row r="146" spans="1:2" x14ac:dyDescent="0.35">
      <c r="A146" s="8" t="s">
        <v>712</v>
      </c>
      <c r="B146" s="85">
        <v>80000</v>
      </c>
    </row>
    <row r="147" spans="1:2" x14ac:dyDescent="0.35">
      <c r="A147" s="8" t="s">
        <v>716</v>
      </c>
      <c r="B147" s="85">
        <v>16000</v>
      </c>
    </row>
    <row r="148" spans="1:2" x14ac:dyDescent="0.35">
      <c r="A148" s="8" t="s">
        <v>719</v>
      </c>
      <c r="B148" s="85">
        <v>500000</v>
      </c>
    </row>
    <row r="149" spans="1:2" x14ac:dyDescent="0.35">
      <c r="A149" s="8" t="s">
        <v>722</v>
      </c>
      <c r="B149" s="85">
        <v>13600</v>
      </c>
    </row>
    <row r="150" spans="1:2" x14ac:dyDescent="0.35">
      <c r="A150" s="8" t="s">
        <v>724</v>
      </c>
      <c r="B150" s="85">
        <v>22000</v>
      </c>
    </row>
    <row r="151" spans="1:2" x14ac:dyDescent="0.35">
      <c r="A151" s="8" t="s">
        <v>726</v>
      </c>
      <c r="B151" s="85">
        <v>12500</v>
      </c>
    </row>
    <row r="152" spans="1:2" x14ac:dyDescent="0.35">
      <c r="A152" s="8" t="s">
        <v>730</v>
      </c>
      <c r="B152" s="85">
        <v>96000</v>
      </c>
    </row>
    <row r="153" spans="1:2" x14ac:dyDescent="0.35">
      <c r="A153" s="8" t="s">
        <v>732</v>
      </c>
      <c r="B153" s="85">
        <v>440000</v>
      </c>
    </row>
    <row r="154" spans="1:2" x14ac:dyDescent="0.35">
      <c r="A154" s="8" t="s">
        <v>735</v>
      </c>
      <c r="B154" s="85">
        <v>36000</v>
      </c>
    </row>
    <row r="155" spans="1:2" x14ac:dyDescent="0.35">
      <c r="A155" s="8" t="s">
        <v>737</v>
      </c>
      <c r="B155" s="85">
        <v>222000</v>
      </c>
    </row>
    <row r="156" spans="1:2" x14ac:dyDescent="0.35">
      <c r="A156" s="8" t="s">
        <v>739</v>
      </c>
      <c r="B156" s="85">
        <v>45000</v>
      </c>
    </row>
    <row r="157" spans="1:2" x14ac:dyDescent="0.35">
      <c r="A157" s="8" t="s">
        <v>742</v>
      </c>
      <c r="B157" s="85">
        <v>71500</v>
      </c>
    </row>
    <row r="158" spans="1:2" x14ac:dyDescent="0.35">
      <c r="A158" s="8" t="s">
        <v>745</v>
      </c>
      <c r="B158" s="85">
        <v>120000</v>
      </c>
    </row>
    <row r="159" spans="1:2" x14ac:dyDescent="0.35">
      <c r="A159" s="8" t="s">
        <v>747</v>
      </c>
      <c r="B159" s="85">
        <v>9000</v>
      </c>
    </row>
    <row r="160" spans="1:2" x14ac:dyDescent="0.35">
      <c r="A160" s="8" t="s">
        <v>751</v>
      </c>
      <c r="B160" s="85">
        <v>12600</v>
      </c>
    </row>
    <row r="161" spans="1:2" x14ac:dyDescent="0.35">
      <c r="A161" s="8" t="s">
        <v>759</v>
      </c>
      <c r="B161" s="85">
        <v>3000</v>
      </c>
    </row>
    <row r="162" spans="1:2" x14ac:dyDescent="0.35">
      <c r="A162" s="8" t="s">
        <v>762</v>
      </c>
      <c r="B162" s="85">
        <v>10000</v>
      </c>
    </row>
    <row r="163" spans="1:2" x14ac:dyDescent="0.35">
      <c r="A163" s="8" t="s">
        <v>764</v>
      </c>
      <c r="B163" s="85">
        <v>10000</v>
      </c>
    </row>
    <row r="164" spans="1:2" x14ac:dyDescent="0.35">
      <c r="A164" s="8" t="s">
        <v>767</v>
      </c>
      <c r="B164" s="85">
        <v>12000</v>
      </c>
    </row>
    <row r="165" spans="1:2" x14ac:dyDescent="0.35">
      <c r="A165" s="8" t="s">
        <v>769</v>
      </c>
      <c r="B165" s="85">
        <v>600000</v>
      </c>
    </row>
    <row r="166" spans="1:2" x14ac:dyDescent="0.35">
      <c r="A166" s="8" t="s">
        <v>773</v>
      </c>
      <c r="B166" s="85">
        <v>880000</v>
      </c>
    </row>
    <row r="167" spans="1:2" x14ac:dyDescent="0.35">
      <c r="A167" s="8" t="s">
        <v>777</v>
      </c>
      <c r="B167" s="85">
        <v>240000</v>
      </c>
    </row>
    <row r="168" spans="1:2" x14ac:dyDescent="0.35">
      <c r="A168" s="8" t="s">
        <v>779</v>
      </c>
      <c r="B168" s="85">
        <v>80000</v>
      </c>
    </row>
    <row r="169" spans="1:2" x14ac:dyDescent="0.35">
      <c r="A169" s="8" t="s">
        <v>782</v>
      </c>
      <c r="B169" s="85">
        <v>480000</v>
      </c>
    </row>
    <row r="170" spans="1:2" x14ac:dyDescent="0.35">
      <c r="A170" s="8" t="s">
        <v>784</v>
      </c>
      <c r="B170" s="85">
        <v>240000</v>
      </c>
    </row>
    <row r="171" spans="1:2" x14ac:dyDescent="0.35">
      <c r="A171" s="8" t="s">
        <v>786</v>
      </c>
      <c r="B171" s="85">
        <v>700000</v>
      </c>
    </row>
    <row r="172" spans="1:2" x14ac:dyDescent="0.35">
      <c r="A172" s="8" t="s">
        <v>792</v>
      </c>
      <c r="B172" s="85">
        <v>20000</v>
      </c>
    </row>
    <row r="173" spans="1:2" x14ac:dyDescent="0.35">
      <c r="A173" s="8" t="s">
        <v>797</v>
      </c>
      <c r="B173" s="85">
        <v>35000</v>
      </c>
    </row>
    <row r="174" spans="1:2" x14ac:dyDescent="0.35">
      <c r="A174" s="8" t="s">
        <v>800</v>
      </c>
      <c r="B174" s="85">
        <v>160000</v>
      </c>
    </row>
    <row r="175" spans="1:2" x14ac:dyDescent="0.35">
      <c r="A175" s="8" t="s">
        <v>805</v>
      </c>
      <c r="B175" s="85">
        <v>199217</v>
      </c>
    </row>
    <row r="176" spans="1:2" x14ac:dyDescent="0.35">
      <c r="A176" s="8" t="s">
        <v>808</v>
      </c>
      <c r="B176" s="85">
        <v>53000</v>
      </c>
    </row>
    <row r="177" spans="1:2" x14ac:dyDescent="0.35">
      <c r="A177" s="8" t="s">
        <v>813</v>
      </c>
      <c r="B177" s="85">
        <v>168000</v>
      </c>
    </row>
    <row r="178" spans="1:2" x14ac:dyDescent="0.35">
      <c r="A178" s="8" t="s">
        <v>817</v>
      </c>
      <c r="B178" s="85">
        <v>549184</v>
      </c>
    </row>
    <row r="179" spans="1:2" x14ac:dyDescent="0.35">
      <c r="A179" s="8" t="s">
        <v>822</v>
      </c>
      <c r="B179" s="85">
        <v>6000</v>
      </c>
    </row>
    <row r="180" spans="1:2" x14ac:dyDescent="0.35">
      <c r="A180" s="8" t="s">
        <v>839</v>
      </c>
      <c r="B180" s="85">
        <v>578400</v>
      </c>
    </row>
    <row r="181" spans="1:2" x14ac:dyDescent="0.35">
      <c r="A181" s="8" t="s">
        <v>844</v>
      </c>
      <c r="B181" s="85">
        <v>27500</v>
      </c>
    </row>
    <row r="182" spans="1:2" x14ac:dyDescent="0.35">
      <c r="A182" s="8" t="s">
        <v>849</v>
      </c>
      <c r="B182" s="85">
        <v>35000</v>
      </c>
    </row>
    <row r="183" spans="1:2" x14ac:dyDescent="0.35">
      <c r="A183" s="8" t="s">
        <v>851</v>
      </c>
      <c r="B183" s="85">
        <v>20000</v>
      </c>
    </row>
    <row r="184" spans="1:2" x14ac:dyDescent="0.35">
      <c r="A184" s="8" t="s">
        <v>853</v>
      </c>
      <c r="B184" s="85">
        <v>325000</v>
      </c>
    </row>
    <row r="185" spans="1:2" x14ac:dyDescent="0.35">
      <c r="A185" s="8" t="s">
        <v>858</v>
      </c>
      <c r="B185" s="85">
        <v>40000</v>
      </c>
    </row>
    <row r="186" spans="1:2" x14ac:dyDescent="0.35">
      <c r="A186" s="8" t="s">
        <v>863</v>
      </c>
      <c r="B186" s="85">
        <v>323000</v>
      </c>
    </row>
    <row r="187" spans="1:2" x14ac:dyDescent="0.35">
      <c r="A187" s="8" t="s">
        <v>870</v>
      </c>
      <c r="B187" s="85">
        <v>425000</v>
      </c>
    </row>
    <row r="188" spans="1:2" x14ac:dyDescent="0.35">
      <c r="A188" s="8" t="s">
        <v>881</v>
      </c>
      <c r="B188" s="85">
        <v>30000</v>
      </c>
    </row>
    <row r="189" spans="1:2" x14ac:dyDescent="0.35">
      <c r="A189" s="8" t="s">
        <v>888</v>
      </c>
      <c r="B189" s="85">
        <v>156000</v>
      </c>
    </row>
    <row r="190" spans="1:2" x14ac:dyDescent="0.35">
      <c r="A190" s="8" t="s">
        <v>892</v>
      </c>
      <c r="B190" s="85">
        <v>132000</v>
      </c>
    </row>
    <row r="191" spans="1:2" x14ac:dyDescent="0.35">
      <c r="A191" s="8" t="s">
        <v>896</v>
      </c>
      <c r="B191" s="85">
        <v>5000</v>
      </c>
    </row>
    <row r="192" spans="1:2" x14ac:dyDescent="0.35">
      <c r="A192" s="8" t="s">
        <v>897</v>
      </c>
      <c r="B192" s="85">
        <v>108000</v>
      </c>
    </row>
    <row r="193" spans="1:2" x14ac:dyDescent="0.35">
      <c r="A193" s="8" t="s">
        <v>899</v>
      </c>
      <c r="B193" s="85">
        <v>3190000</v>
      </c>
    </row>
    <row r="194" spans="1:2" x14ac:dyDescent="0.35">
      <c r="A194" s="8" t="s">
        <v>1786</v>
      </c>
      <c r="B194" s="85">
        <v>26442</v>
      </c>
    </row>
    <row r="195" spans="1:2" x14ac:dyDescent="0.35">
      <c r="A195" s="8" t="s">
        <v>1789</v>
      </c>
      <c r="B195" s="85">
        <v>280000</v>
      </c>
    </row>
    <row r="196" spans="1:2" x14ac:dyDescent="0.35">
      <c r="A196" s="8" t="s">
        <v>1792</v>
      </c>
      <c r="B196" s="85">
        <v>15000</v>
      </c>
    </row>
    <row r="197" spans="1:2" x14ac:dyDescent="0.35">
      <c r="A197" s="8" t="s">
        <v>1794</v>
      </c>
      <c r="B197" s="85">
        <v>15000</v>
      </c>
    </row>
    <row r="198" spans="1:2" x14ac:dyDescent="0.35">
      <c r="A198" s="8" t="s">
        <v>1797</v>
      </c>
      <c r="B198" s="85">
        <v>50000</v>
      </c>
    </row>
    <row r="199" spans="1:2" x14ac:dyDescent="0.35">
      <c r="A199" s="8" t="s">
        <v>1799</v>
      </c>
      <c r="B199" s="85">
        <v>33620</v>
      </c>
    </row>
    <row r="200" spans="1:2" x14ac:dyDescent="0.35">
      <c r="A200" s="8" t="s">
        <v>1807</v>
      </c>
      <c r="B200" s="85">
        <v>30000</v>
      </c>
    </row>
    <row r="201" spans="1:2" x14ac:dyDescent="0.35">
      <c r="A201" s="8" t="s">
        <v>1803</v>
      </c>
      <c r="B201" s="85">
        <v>200000</v>
      </c>
    </row>
    <row r="202" spans="1:2" x14ac:dyDescent="0.35">
      <c r="A202" s="8" t="s">
        <v>1823</v>
      </c>
      <c r="B202" s="85">
        <v>1000</v>
      </c>
    </row>
    <row r="203" spans="1:2" x14ac:dyDescent="0.35">
      <c r="A203" s="8" t="s">
        <v>1826</v>
      </c>
      <c r="B203" s="85">
        <v>144000</v>
      </c>
    </row>
    <row r="204" spans="1:2" x14ac:dyDescent="0.35">
      <c r="A204" s="8" t="s">
        <v>1831</v>
      </c>
      <c r="B204" s="85">
        <v>5600</v>
      </c>
    </row>
    <row r="205" spans="1:2" x14ac:dyDescent="0.35">
      <c r="A205" s="8" t="s">
        <v>1834</v>
      </c>
      <c r="B205" s="85">
        <v>85228</v>
      </c>
    </row>
    <row r="206" spans="1:2" x14ac:dyDescent="0.35">
      <c r="A206" s="8" t="s">
        <v>1837</v>
      </c>
      <c r="B206" s="85">
        <v>100000</v>
      </c>
    </row>
    <row r="207" spans="1:2" x14ac:dyDescent="0.35">
      <c r="A207" s="8" t="s">
        <v>1851</v>
      </c>
      <c r="B207" s="85">
        <v>50000</v>
      </c>
    </row>
    <row r="208" spans="1:2" x14ac:dyDescent="0.35">
      <c r="A208" s="8" t="s">
        <v>1860</v>
      </c>
      <c r="B208" s="85">
        <v>20000</v>
      </c>
    </row>
    <row r="209" spans="1:2" x14ac:dyDescent="0.35">
      <c r="A209" s="8" t="s">
        <v>1863</v>
      </c>
      <c r="B209" s="85">
        <v>189000</v>
      </c>
    </row>
    <row r="210" spans="1:2" x14ac:dyDescent="0.35">
      <c r="A210" s="8" t="s">
        <v>1872</v>
      </c>
      <c r="B210" s="85">
        <v>525000</v>
      </c>
    </row>
    <row r="211" spans="1:2" x14ac:dyDescent="0.35">
      <c r="A211" s="8" t="s">
        <v>1879</v>
      </c>
      <c r="B211" s="85">
        <v>158000</v>
      </c>
    </row>
    <row r="212" spans="1:2" x14ac:dyDescent="0.35">
      <c r="A212" s="8" t="s">
        <v>1885</v>
      </c>
      <c r="B212" s="85">
        <v>158812</v>
      </c>
    </row>
    <row r="213" spans="1:2" x14ac:dyDescent="0.35">
      <c r="A213" s="8" t="s">
        <v>1858</v>
      </c>
      <c r="B213" s="85">
        <v>25000</v>
      </c>
    </row>
    <row r="214" spans="1:2" x14ac:dyDescent="0.35">
      <c r="A214" s="8" t="s">
        <v>1854</v>
      </c>
      <c r="B214" s="85">
        <v>5000</v>
      </c>
    </row>
    <row r="215" spans="1:2" x14ac:dyDescent="0.35">
      <c r="A215" s="8" t="s">
        <v>1897</v>
      </c>
      <c r="B215" s="85">
        <v>25000</v>
      </c>
    </row>
    <row r="216" spans="1:2" x14ac:dyDescent="0.35">
      <c r="A216" s="8" t="s">
        <v>1900</v>
      </c>
      <c r="B216" s="85">
        <v>526000</v>
      </c>
    </row>
    <row r="217" spans="1:2" x14ac:dyDescent="0.35">
      <c r="A217" s="8" t="s">
        <v>1910</v>
      </c>
      <c r="B217" s="85">
        <v>300000</v>
      </c>
    </row>
    <row r="218" spans="1:2" x14ac:dyDescent="0.35">
      <c r="A218" s="8" t="s">
        <v>1913</v>
      </c>
      <c r="B218" s="85">
        <v>900000</v>
      </c>
    </row>
    <row r="219" spans="1:2" x14ac:dyDescent="0.35">
      <c r="A219" s="8" t="s">
        <v>1924</v>
      </c>
      <c r="B219" s="85">
        <v>346260</v>
      </c>
    </row>
    <row r="220" spans="1:2" x14ac:dyDescent="0.35">
      <c r="A220" s="8" t="s">
        <v>1944</v>
      </c>
      <c r="B220" s="85">
        <v>295000</v>
      </c>
    </row>
    <row r="221" spans="1:2" x14ac:dyDescent="0.35">
      <c r="A221" s="8" t="s">
        <v>1947</v>
      </c>
      <c r="B221" s="85">
        <v>337500</v>
      </c>
    </row>
    <row r="222" spans="1:2" x14ac:dyDescent="0.35">
      <c r="A222" s="8" t="s">
        <v>1949</v>
      </c>
      <c r="B222" s="85">
        <v>112500</v>
      </c>
    </row>
    <row r="223" spans="1:2" x14ac:dyDescent="0.35">
      <c r="A223" s="8" t="s">
        <v>1951</v>
      </c>
      <c r="B223" s="85">
        <v>120000</v>
      </c>
    </row>
    <row r="224" spans="1:2" x14ac:dyDescent="0.35">
      <c r="A224" s="8" t="s">
        <v>1954</v>
      </c>
      <c r="B224" s="85">
        <v>400000</v>
      </c>
    </row>
    <row r="225" spans="1:2" x14ac:dyDescent="0.35">
      <c r="A225" s="8" t="s">
        <v>1956</v>
      </c>
      <c r="B225" s="85">
        <v>112500</v>
      </c>
    </row>
    <row r="226" spans="1:2" x14ac:dyDescent="0.35">
      <c r="A226" s="8" t="s">
        <v>1958</v>
      </c>
      <c r="B226" s="85">
        <v>250000</v>
      </c>
    </row>
    <row r="227" spans="1:2" x14ac:dyDescent="0.35">
      <c r="A227" s="8" t="s">
        <v>1960</v>
      </c>
      <c r="B227" s="85">
        <v>1000000</v>
      </c>
    </row>
    <row r="228" spans="1:2" x14ac:dyDescent="0.35">
      <c r="A228" s="8" t="s">
        <v>1967</v>
      </c>
      <c r="B228" s="85">
        <v>750000</v>
      </c>
    </row>
    <row r="229" spans="1:2" x14ac:dyDescent="0.35">
      <c r="A229" s="8" t="s">
        <v>1969</v>
      </c>
      <c r="B229" s="85">
        <v>3000000</v>
      </c>
    </row>
    <row r="230" spans="1:2" x14ac:dyDescent="0.35">
      <c r="A230" s="8" t="s">
        <v>1975</v>
      </c>
      <c r="B230" s="85">
        <v>8500</v>
      </c>
    </row>
    <row r="231" spans="1:2" x14ac:dyDescent="0.35">
      <c r="A231" s="8" t="s">
        <v>1978</v>
      </c>
      <c r="B231" s="85">
        <v>373425</v>
      </c>
    </row>
    <row r="232" spans="1:2" x14ac:dyDescent="0.35">
      <c r="A232" s="8" t="s">
        <v>1981</v>
      </c>
      <c r="B232" s="85">
        <v>12000</v>
      </c>
    </row>
    <row r="233" spans="1:2" x14ac:dyDescent="0.35">
      <c r="A233" s="8" t="s">
        <v>1984</v>
      </c>
      <c r="B233" s="85">
        <v>26152</v>
      </c>
    </row>
    <row r="234" spans="1:2" x14ac:dyDescent="0.35">
      <c r="A234" s="8" t="s">
        <v>1987</v>
      </c>
      <c r="B234" s="85">
        <v>1575</v>
      </c>
    </row>
    <row r="235" spans="1:2" x14ac:dyDescent="0.35">
      <c r="A235" s="8" t="s">
        <v>1990</v>
      </c>
      <c r="B235" s="85">
        <v>84600</v>
      </c>
    </row>
    <row r="236" spans="1:2" x14ac:dyDescent="0.35">
      <c r="A236" s="8" t="s">
        <v>2002</v>
      </c>
      <c r="B236" s="85">
        <v>560000</v>
      </c>
    </row>
    <row r="237" spans="1:2" x14ac:dyDescent="0.35">
      <c r="A237" s="8" t="s">
        <v>2006</v>
      </c>
      <c r="B237" s="85">
        <v>150000</v>
      </c>
    </row>
    <row r="238" spans="1:2" x14ac:dyDescent="0.35">
      <c r="A238" s="8" t="s">
        <v>2009</v>
      </c>
      <c r="B238" s="85">
        <v>280000</v>
      </c>
    </row>
    <row r="239" spans="1:2" x14ac:dyDescent="0.35">
      <c r="A239" s="8" t="s">
        <v>2013</v>
      </c>
      <c r="B239" s="85">
        <v>10000</v>
      </c>
    </row>
    <row r="240" spans="1:2" x14ac:dyDescent="0.35">
      <c r="A240" s="8" t="s">
        <v>2017</v>
      </c>
      <c r="B240" s="85">
        <v>225000</v>
      </c>
    </row>
    <row r="241" spans="1:2" x14ac:dyDescent="0.35">
      <c r="A241" s="8" t="s">
        <v>2021</v>
      </c>
      <c r="B241" s="85">
        <v>225000</v>
      </c>
    </row>
    <row r="242" spans="1:2" x14ac:dyDescent="0.35">
      <c r="A242" s="8" t="s">
        <v>2025</v>
      </c>
      <c r="B242" s="85">
        <v>750000</v>
      </c>
    </row>
    <row r="243" spans="1:2" x14ac:dyDescent="0.35">
      <c r="A243" s="8" t="s">
        <v>2028</v>
      </c>
      <c r="B243" s="85">
        <v>300000</v>
      </c>
    </row>
    <row r="244" spans="1:2" x14ac:dyDescent="0.35">
      <c r="A244" s="8" t="s">
        <v>2035</v>
      </c>
      <c r="B244" s="85">
        <v>120000</v>
      </c>
    </row>
    <row r="245" spans="1:2" x14ac:dyDescent="0.35">
      <c r="A245" s="8" t="s">
        <v>2039</v>
      </c>
      <c r="B245" s="85">
        <v>15000</v>
      </c>
    </row>
    <row r="246" spans="1:2" x14ac:dyDescent="0.35">
      <c r="A246" s="8" t="s">
        <v>2041</v>
      </c>
      <c r="B246" s="85">
        <v>225000</v>
      </c>
    </row>
    <row r="247" spans="1:2" x14ac:dyDescent="0.35">
      <c r="A247" s="8" t="s">
        <v>2045</v>
      </c>
      <c r="B247" s="85">
        <v>100000</v>
      </c>
    </row>
    <row r="248" spans="1:2" x14ac:dyDescent="0.35">
      <c r="A248" s="8" t="s">
        <v>2049</v>
      </c>
      <c r="B248" s="85">
        <v>120000</v>
      </c>
    </row>
    <row r="249" spans="1:2" x14ac:dyDescent="0.35">
      <c r="A249" s="8" t="s">
        <v>2052</v>
      </c>
      <c r="B249" s="85">
        <v>40000</v>
      </c>
    </row>
    <row r="250" spans="1:2" x14ac:dyDescent="0.35">
      <c r="A250" s="8" t="s">
        <v>2054</v>
      </c>
      <c r="B250" s="85">
        <v>22500</v>
      </c>
    </row>
    <row r="251" spans="1:2" x14ac:dyDescent="0.35">
      <c r="A251" s="8" t="s">
        <v>2087</v>
      </c>
      <c r="B251" s="85">
        <v>200000</v>
      </c>
    </row>
    <row r="252" spans="1:2" x14ac:dyDescent="0.35">
      <c r="A252" s="8" t="s">
        <v>2057</v>
      </c>
      <c r="B252" s="85">
        <v>100000</v>
      </c>
    </row>
    <row r="253" spans="1:2" x14ac:dyDescent="0.35">
      <c r="A253" s="8" t="s">
        <v>2062</v>
      </c>
      <c r="B253" s="85">
        <v>36730</v>
      </c>
    </row>
    <row r="254" spans="1:2" x14ac:dyDescent="0.35">
      <c r="A254" s="8" t="s">
        <v>2065</v>
      </c>
      <c r="B254" s="85">
        <v>165000</v>
      </c>
    </row>
    <row r="255" spans="1:2" x14ac:dyDescent="0.35">
      <c r="A255" s="8" t="s">
        <v>2068</v>
      </c>
      <c r="B255" s="85">
        <v>15000</v>
      </c>
    </row>
    <row r="256" spans="1:2" x14ac:dyDescent="0.35">
      <c r="A256" s="8" t="s">
        <v>2070</v>
      </c>
      <c r="B256" s="85">
        <v>600000</v>
      </c>
    </row>
    <row r="257" spans="1:2" x14ac:dyDescent="0.35">
      <c r="A257" s="8" t="s">
        <v>2084</v>
      </c>
      <c r="B257" s="85">
        <v>120000</v>
      </c>
    </row>
    <row r="258" spans="1:2" x14ac:dyDescent="0.35">
      <c r="A258" s="8" t="s">
        <v>2075</v>
      </c>
      <c r="B258" s="85">
        <v>25000</v>
      </c>
    </row>
    <row r="259" spans="1:2" x14ac:dyDescent="0.35">
      <c r="A259" s="8" t="s">
        <v>2081</v>
      </c>
      <c r="B259" s="85">
        <v>13700</v>
      </c>
    </row>
    <row r="260" spans="1:2" x14ac:dyDescent="0.35">
      <c r="A260" s="8" t="s">
        <v>2078</v>
      </c>
      <c r="B260" s="85">
        <v>880000</v>
      </c>
    </row>
    <row r="261" spans="1:2" x14ac:dyDescent="0.35">
      <c r="A261" s="8" t="s">
        <v>2273</v>
      </c>
      <c r="B261" s="85">
        <v>6000000</v>
      </c>
    </row>
    <row r="262" spans="1:2" x14ac:dyDescent="0.35">
      <c r="A262" s="8" t="s">
        <v>2101</v>
      </c>
      <c r="B262" s="85">
        <v>600000</v>
      </c>
    </row>
    <row r="263" spans="1:2" x14ac:dyDescent="0.35">
      <c r="A263" s="8" t="s">
        <v>2104</v>
      </c>
      <c r="B263" s="85">
        <v>210000</v>
      </c>
    </row>
    <row r="264" spans="1:2" x14ac:dyDescent="0.35">
      <c r="A264" s="8" t="s">
        <v>2107</v>
      </c>
      <c r="B264" s="85">
        <v>81000</v>
      </c>
    </row>
    <row r="265" spans="1:2" x14ac:dyDescent="0.35">
      <c r="A265" s="8" t="s">
        <v>2112</v>
      </c>
      <c r="B265" s="85">
        <v>140000</v>
      </c>
    </row>
    <row r="266" spans="1:2" x14ac:dyDescent="0.35">
      <c r="A266" s="8" t="s">
        <v>2114</v>
      </c>
      <c r="B266" s="85">
        <v>320000</v>
      </c>
    </row>
    <row r="267" spans="1:2" x14ac:dyDescent="0.35">
      <c r="A267" s="8" t="s">
        <v>2117</v>
      </c>
      <c r="B267" s="85">
        <v>100000</v>
      </c>
    </row>
    <row r="268" spans="1:2" x14ac:dyDescent="0.35">
      <c r="A268" s="8" t="s">
        <v>2133</v>
      </c>
      <c r="B268" s="85">
        <v>15150</v>
      </c>
    </row>
    <row r="269" spans="1:2" x14ac:dyDescent="0.35">
      <c r="A269" s="8" t="s">
        <v>2138</v>
      </c>
      <c r="B269" s="85">
        <v>160000</v>
      </c>
    </row>
    <row r="270" spans="1:2" x14ac:dyDescent="0.35">
      <c r="A270" s="8" t="s">
        <v>2143</v>
      </c>
      <c r="B270" s="85">
        <v>45000</v>
      </c>
    </row>
    <row r="271" spans="1:2" x14ac:dyDescent="0.35">
      <c r="A271" s="8" t="s">
        <v>2148</v>
      </c>
      <c r="B271" s="85">
        <v>50000</v>
      </c>
    </row>
    <row r="272" spans="1:2" x14ac:dyDescent="0.35">
      <c r="A272" s="8" t="s">
        <v>2153</v>
      </c>
      <c r="B272" s="85">
        <v>75000</v>
      </c>
    </row>
    <row r="273" spans="1:2" x14ac:dyDescent="0.35">
      <c r="A273" s="8" t="s">
        <v>2155</v>
      </c>
      <c r="B273" s="85">
        <v>17500</v>
      </c>
    </row>
    <row r="274" spans="1:2" x14ac:dyDescent="0.35">
      <c r="A274" s="8" t="s">
        <v>2157</v>
      </c>
      <c r="B274" s="85">
        <v>600000</v>
      </c>
    </row>
    <row r="275" spans="1:2" x14ac:dyDescent="0.35">
      <c r="A275" s="8" t="s">
        <v>2162</v>
      </c>
      <c r="B275" s="85">
        <v>200000</v>
      </c>
    </row>
    <row r="276" spans="1:2" x14ac:dyDescent="0.35">
      <c r="A276" s="8" t="s">
        <v>2167</v>
      </c>
      <c r="B276" s="85">
        <v>1122000</v>
      </c>
    </row>
    <row r="277" spans="1:2" x14ac:dyDescent="0.35">
      <c r="A277" s="8" t="s">
        <v>2172</v>
      </c>
      <c r="B277" s="85">
        <v>10000</v>
      </c>
    </row>
    <row r="278" spans="1:2" x14ac:dyDescent="0.35">
      <c r="A278" s="8" t="s">
        <v>2177</v>
      </c>
      <c r="B278" s="85">
        <v>3000000</v>
      </c>
    </row>
    <row r="279" spans="1:2" x14ac:dyDescent="0.35">
      <c r="A279" s="8" t="s">
        <v>2600</v>
      </c>
      <c r="B279" s="85">
        <v>50000</v>
      </c>
    </row>
    <row r="280" spans="1:2" x14ac:dyDescent="0.35">
      <c r="A280" s="8" t="s">
        <v>2601</v>
      </c>
      <c r="B280" s="85">
        <v>60000</v>
      </c>
    </row>
    <row r="281" spans="1:2" x14ac:dyDescent="0.35">
      <c r="A281" s="8" t="s">
        <v>2602</v>
      </c>
      <c r="B281" s="85">
        <v>200000</v>
      </c>
    </row>
    <row r="282" spans="1:2" x14ac:dyDescent="0.35">
      <c r="A282" s="8" t="s">
        <v>2603</v>
      </c>
      <c r="B282" s="85">
        <v>25000</v>
      </c>
    </row>
    <row r="283" spans="1:2" x14ac:dyDescent="0.35">
      <c r="A283" s="8" t="s">
        <v>2605</v>
      </c>
      <c r="B283" s="85">
        <v>20000</v>
      </c>
    </row>
    <row r="284" spans="1:2" x14ac:dyDescent="0.35">
      <c r="A284" s="8" t="s">
        <v>2608</v>
      </c>
      <c r="B284" s="85">
        <v>42000</v>
      </c>
    </row>
    <row r="285" spans="1:2" x14ac:dyDescent="0.35">
      <c r="A285" s="8" t="s">
        <v>2609</v>
      </c>
      <c r="B285" s="85">
        <v>575000</v>
      </c>
    </row>
    <row r="286" spans="1:2" x14ac:dyDescent="0.35">
      <c r="A286" s="8" t="s">
        <v>2610</v>
      </c>
      <c r="B286" s="85">
        <v>4056438.64</v>
      </c>
    </row>
    <row r="287" spans="1:2" x14ac:dyDescent="0.35">
      <c r="A287" s="8" t="s">
        <v>2611</v>
      </c>
      <c r="B287" s="85">
        <v>747242</v>
      </c>
    </row>
    <row r="288" spans="1:2" x14ac:dyDescent="0.35">
      <c r="A288" s="8" t="s">
        <v>2612</v>
      </c>
      <c r="B288" s="85">
        <v>4118107</v>
      </c>
    </row>
    <row r="289" spans="1:2" x14ac:dyDescent="0.35">
      <c r="A289" s="8" t="s">
        <v>2614</v>
      </c>
      <c r="B289" s="85">
        <v>0</v>
      </c>
    </row>
    <row r="290" spans="1:2" x14ac:dyDescent="0.35">
      <c r="A290" s="8" t="s">
        <v>2615</v>
      </c>
      <c r="B290" s="85">
        <v>0</v>
      </c>
    </row>
    <row r="291" spans="1:2" x14ac:dyDescent="0.35">
      <c r="A291" s="8" t="s">
        <v>2621</v>
      </c>
      <c r="B291" s="85">
        <v>4395006</v>
      </c>
    </row>
    <row r="292" spans="1:2" x14ac:dyDescent="0.35">
      <c r="A292" s="8" t="s">
        <v>2622</v>
      </c>
      <c r="B292" s="85">
        <v>2703285</v>
      </c>
    </row>
    <row r="293" spans="1:2" x14ac:dyDescent="0.35">
      <c r="A293" s="8" t="s">
        <v>2623</v>
      </c>
      <c r="B293" s="85">
        <v>2291635</v>
      </c>
    </row>
    <row r="294" spans="1:2" x14ac:dyDescent="0.35">
      <c r="A294" s="8" t="s">
        <v>2624</v>
      </c>
      <c r="B294" s="85">
        <v>439000</v>
      </c>
    </row>
    <row r="295" spans="1:2" x14ac:dyDescent="0.35">
      <c r="A295" s="8" t="s">
        <v>2625</v>
      </c>
      <c r="B295" s="85"/>
    </row>
    <row r="296" spans="1:2" x14ac:dyDescent="0.35">
      <c r="A296" s="8" t="s">
        <v>2626</v>
      </c>
      <c r="B296" s="85">
        <v>70000</v>
      </c>
    </row>
    <row r="297" spans="1:2" x14ac:dyDescent="0.35">
      <c r="A297" s="8" t="s">
        <v>2627</v>
      </c>
      <c r="B297" s="85">
        <v>60000</v>
      </c>
    </row>
    <row r="298" spans="1:2" x14ac:dyDescent="0.35">
      <c r="A298" s="8" t="s">
        <v>2628</v>
      </c>
      <c r="B298" s="85">
        <v>960437</v>
      </c>
    </row>
    <row r="299" spans="1:2" x14ac:dyDescent="0.35">
      <c r="A299" s="8" t="s">
        <v>2629</v>
      </c>
      <c r="B299" s="85">
        <v>23714</v>
      </c>
    </row>
    <row r="300" spans="1:2" x14ac:dyDescent="0.35">
      <c r="A300" s="8" t="s">
        <v>2630</v>
      </c>
      <c r="B300" s="85">
        <v>0</v>
      </c>
    </row>
    <row r="301" spans="1:2" x14ac:dyDescent="0.35">
      <c r="A301" s="8" t="s">
        <v>2631</v>
      </c>
      <c r="B301" s="85">
        <v>300000</v>
      </c>
    </row>
    <row r="302" spans="1:2" x14ac:dyDescent="0.35">
      <c r="A302" s="8" t="s">
        <v>2613</v>
      </c>
      <c r="B302" s="85">
        <v>220000</v>
      </c>
    </row>
    <row r="303" spans="1:2" x14ac:dyDescent="0.35">
      <c r="A303" s="8" t="s">
        <v>2699</v>
      </c>
      <c r="B303" s="85">
        <v>233000</v>
      </c>
    </row>
    <row r="304" spans="1:2" x14ac:dyDescent="0.35">
      <c r="A304" s="8" t="s">
        <v>2619</v>
      </c>
      <c r="B304" s="85">
        <v>18000000</v>
      </c>
    </row>
    <row r="305" spans="1:2" x14ac:dyDescent="0.35">
      <c r="A305" s="8" t="s">
        <v>2616</v>
      </c>
      <c r="B305" s="85">
        <v>4725991</v>
      </c>
    </row>
    <row r="306" spans="1:2" x14ac:dyDescent="0.35">
      <c r="A306" s="8" t="s">
        <v>2632</v>
      </c>
      <c r="B306" s="85">
        <v>13921121</v>
      </c>
    </row>
    <row r="307" spans="1:2" x14ac:dyDescent="0.35">
      <c r="A307" s="8" t="s">
        <v>2638</v>
      </c>
      <c r="B307" s="85"/>
    </row>
    <row r="308" spans="1:2" x14ac:dyDescent="0.35">
      <c r="A308" s="8" t="s">
        <v>2639</v>
      </c>
      <c r="B308" s="85">
        <v>16435196</v>
      </c>
    </row>
    <row r="309" spans="1:2" x14ac:dyDescent="0.35">
      <c r="A309" s="8" t="s">
        <v>2642</v>
      </c>
      <c r="B309" s="85">
        <v>1735252</v>
      </c>
    </row>
    <row r="310" spans="1:2" x14ac:dyDescent="0.35">
      <c r="A310" s="8" t="s">
        <v>2646</v>
      </c>
      <c r="B310" s="85">
        <v>30000</v>
      </c>
    </row>
    <row r="311" spans="1:2" x14ac:dyDescent="0.35">
      <c r="A311" s="8" t="s">
        <v>2647</v>
      </c>
      <c r="B311" s="85">
        <v>25000</v>
      </c>
    </row>
    <row r="312" spans="1:2" x14ac:dyDescent="0.35">
      <c r="A312" s="8" t="s">
        <v>2648</v>
      </c>
      <c r="B312" s="85">
        <v>2520000</v>
      </c>
    </row>
    <row r="313" spans="1:2" x14ac:dyDescent="0.35">
      <c r="A313" s="8" t="s">
        <v>2649</v>
      </c>
      <c r="B313" s="85">
        <v>650000</v>
      </c>
    </row>
    <row r="314" spans="1:2" x14ac:dyDescent="0.35">
      <c r="A314" s="8" t="s">
        <v>2673</v>
      </c>
      <c r="B314" s="85">
        <v>100000</v>
      </c>
    </row>
    <row r="315" spans="1:2" x14ac:dyDescent="0.35">
      <c r="A315" s="8" t="s">
        <v>2667</v>
      </c>
      <c r="B315" s="85">
        <v>2500000</v>
      </c>
    </row>
    <row r="316" spans="1:2" x14ac:dyDescent="0.35">
      <c r="A316" s="8" t="s">
        <v>2709</v>
      </c>
      <c r="B316" s="85">
        <v>1059060</v>
      </c>
    </row>
    <row r="317" spans="1:2" x14ac:dyDescent="0.35">
      <c r="A317" s="8" t="s">
        <v>2706</v>
      </c>
      <c r="B317" s="85">
        <v>1153248</v>
      </c>
    </row>
    <row r="318" spans="1:2" x14ac:dyDescent="0.35">
      <c r="A318" s="8" t="s">
        <v>2679</v>
      </c>
      <c r="B318" s="85">
        <v>900000</v>
      </c>
    </row>
    <row r="319" spans="1:2" x14ac:dyDescent="0.35">
      <c r="A319" s="8" t="s">
        <v>2696</v>
      </c>
      <c r="B319" s="85">
        <v>50000</v>
      </c>
    </row>
    <row r="320" spans="1:2" x14ac:dyDescent="0.35">
      <c r="A320" s="8" t="s">
        <v>2680</v>
      </c>
      <c r="B320" s="85">
        <v>10000</v>
      </c>
    </row>
    <row r="321" spans="1:2" x14ac:dyDescent="0.35">
      <c r="A321" s="8" t="s">
        <v>2681</v>
      </c>
      <c r="B321" s="85">
        <v>30000</v>
      </c>
    </row>
    <row r="322" spans="1:2" x14ac:dyDescent="0.35">
      <c r="A322" s="8" t="s">
        <v>2682</v>
      </c>
      <c r="B322" s="85">
        <v>9664500</v>
      </c>
    </row>
    <row r="323" spans="1:2" x14ac:dyDescent="0.35">
      <c r="A323" s="8" t="s">
        <v>2683</v>
      </c>
      <c r="B323" s="85">
        <v>4615084</v>
      </c>
    </row>
    <row r="324" spans="1:2" x14ac:dyDescent="0.35">
      <c r="A324" s="8" t="s">
        <v>2684</v>
      </c>
      <c r="B324" s="85">
        <v>3976000</v>
      </c>
    </row>
    <row r="325" spans="1:2" x14ac:dyDescent="0.35">
      <c r="A325" s="8" t="s">
        <v>2685</v>
      </c>
      <c r="B325" s="85">
        <v>442627</v>
      </c>
    </row>
    <row r="326" spans="1:2" x14ac:dyDescent="0.35">
      <c r="A326" s="8" t="s">
        <v>2686</v>
      </c>
      <c r="B326" s="85">
        <v>1500000</v>
      </c>
    </row>
    <row r="327" spans="1:2" x14ac:dyDescent="0.35">
      <c r="A327" s="8" t="s">
        <v>2687</v>
      </c>
      <c r="B327" s="85">
        <v>1681399</v>
      </c>
    </row>
    <row r="328" spans="1:2" x14ac:dyDescent="0.35">
      <c r="A328" s="8" t="s">
        <v>2688</v>
      </c>
      <c r="B328" s="85">
        <v>1873450</v>
      </c>
    </row>
    <row r="329" spans="1:2" x14ac:dyDescent="0.35">
      <c r="A329" s="8" t="s">
        <v>2689</v>
      </c>
      <c r="B329" s="85">
        <v>153570</v>
      </c>
    </row>
    <row r="330" spans="1:2" x14ac:dyDescent="0.35">
      <c r="A330" s="8" t="s">
        <v>2690</v>
      </c>
      <c r="B330" s="85">
        <v>48000</v>
      </c>
    </row>
    <row r="331" spans="1:2" x14ac:dyDescent="0.35">
      <c r="A331" s="8" t="s">
        <v>2691</v>
      </c>
      <c r="B331" s="85">
        <v>1870120.77</v>
      </c>
    </row>
    <row r="332" spans="1:2" x14ac:dyDescent="0.35">
      <c r="A332" s="8" t="s">
        <v>2692</v>
      </c>
      <c r="B332" s="85">
        <v>140000</v>
      </c>
    </row>
    <row r="333" spans="1:2" x14ac:dyDescent="0.35">
      <c r="A333" s="8" t="s">
        <v>2694</v>
      </c>
      <c r="B333" s="85">
        <v>840000</v>
      </c>
    </row>
    <row r="334" spans="1:2" x14ac:dyDescent="0.35">
      <c r="A334" s="8" t="s">
        <v>2695</v>
      </c>
      <c r="B334" s="85">
        <v>336000</v>
      </c>
    </row>
    <row r="335" spans="1:2" x14ac:dyDescent="0.35">
      <c r="A335" s="8" t="s">
        <v>2697</v>
      </c>
      <c r="B335" s="85">
        <v>94500</v>
      </c>
    </row>
    <row r="336" spans="1:2" x14ac:dyDescent="0.35">
      <c r="A336" s="8" t="s">
        <v>1152</v>
      </c>
      <c r="B336" s="85">
        <v>236850</v>
      </c>
    </row>
    <row r="337" spans="1:2" x14ac:dyDescent="0.35">
      <c r="A337" s="8" t="s">
        <v>1158</v>
      </c>
      <c r="B337" s="85">
        <v>480000</v>
      </c>
    </row>
    <row r="338" spans="1:2" x14ac:dyDescent="0.35">
      <c r="A338" s="8" t="s">
        <v>1165</v>
      </c>
      <c r="B338" s="85">
        <v>3000</v>
      </c>
    </row>
    <row r="339" spans="1:2" x14ac:dyDescent="0.35">
      <c r="A339" s="8" t="s">
        <v>1170</v>
      </c>
      <c r="B339" s="85">
        <v>121000</v>
      </c>
    </row>
    <row r="340" spans="1:2" x14ac:dyDescent="0.35">
      <c r="A340" s="8" t="s">
        <v>1180</v>
      </c>
      <c r="B340" s="85">
        <v>8000</v>
      </c>
    </row>
    <row r="341" spans="1:2" x14ac:dyDescent="0.35">
      <c r="A341" s="8" t="s">
        <v>1174</v>
      </c>
      <c r="B341" s="85">
        <v>31680</v>
      </c>
    </row>
    <row r="342" spans="1:2" x14ac:dyDescent="0.35">
      <c r="A342" s="8" t="s">
        <v>2842</v>
      </c>
      <c r="B342" s="85">
        <v>5000</v>
      </c>
    </row>
    <row r="343" spans="1:2" x14ac:dyDescent="0.35">
      <c r="A343" s="8" t="s">
        <v>1322</v>
      </c>
      <c r="B343" s="85">
        <v>100000</v>
      </c>
    </row>
    <row r="344" spans="1:2" x14ac:dyDescent="0.35">
      <c r="A344" s="8" t="s">
        <v>1323</v>
      </c>
      <c r="B344" s="85">
        <v>200000</v>
      </c>
    </row>
    <row r="345" spans="1:2" x14ac:dyDescent="0.35">
      <c r="A345" s="8" t="s">
        <v>1324</v>
      </c>
      <c r="B345" s="85">
        <v>10000</v>
      </c>
    </row>
    <row r="346" spans="1:2" x14ac:dyDescent="0.35">
      <c r="A346" s="8" t="s">
        <v>1325</v>
      </c>
      <c r="B346" s="85">
        <v>12000</v>
      </c>
    </row>
    <row r="347" spans="1:2" x14ac:dyDescent="0.35">
      <c r="A347" s="8" t="s">
        <v>1194</v>
      </c>
      <c r="B347" s="85">
        <v>475000</v>
      </c>
    </row>
    <row r="348" spans="1:2" x14ac:dyDescent="0.35">
      <c r="A348" s="8" t="s">
        <v>1206</v>
      </c>
      <c r="B348" s="85">
        <v>10000</v>
      </c>
    </row>
    <row r="349" spans="1:2" x14ac:dyDescent="0.35">
      <c r="A349" s="8" t="s">
        <v>1201</v>
      </c>
      <c r="B349" s="85">
        <v>500000</v>
      </c>
    </row>
    <row r="350" spans="1:2" x14ac:dyDescent="0.35">
      <c r="A350" s="8" t="s">
        <v>1203</v>
      </c>
      <c r="B350" s="85">
        <v>10000</v>
      </c>
    </row>
    <row r="351" spans="1:2" x14ac:dyDescent="0.35">
      <c r="A351" s="8" t="s">
        <v>1739</v>
      </c>
      <c r="B351" s="85">
        <v>10200000</v>
      </c>
    </row>
    <row r="352" spans="1:2" x14ac:dyDescent="0.35">
      <c r="A352" s="8" t="s">
        <v>66</v>
      </c>
      <c r="B352" s="85">
        <v>47375724</v>
      </c>
    </row>
    <row r="353" spans="1:2" x14ac:dyDescent="0.35">
      <c r="A353" s="8" t="s">
        <v>298</v>
      </c>
      <c r="B353" s="85">
        <v>9390501</v>
      </c>
    </row>
    <row r="354" spans="1:2" x14ac:dyDescent="0.35">
      <c r="A354" s="8" t="s">
        <v>142</v>
      </c>
      <c r="B354" s="85">
        <v>720000</v>
      </c>
    </row>
    <row r="355" spans="1:2" x14ac:dyDescent="0.35">
      <c r="A355" s="8" t="s">
        <v>149</v>
      </c>
      <c r="B355" s="85">
        <v>2054028</v>
      </c>
    </row>
    <row r="356" spans="1:2" x14ac:dyDescent="0.35">
      <c r="A356" s="8" t="s">
        <v>155</v>
      </c>
      <c r="B356" s="85">
        <v>400000</v>
      </c>
    </row>
    <row r="357" spans="1:2" x14ac:dyDescent="0.35">
      <c r="A357" s="8" t="s">
        <v>163</v>
      </c>
      <c r="B357" s="85">
        <v>2349800</v>
      </c>
    </row>
    <row r="358" spans="1:2" x14ac:dyDescent="0.35">
      <c r="A358" s="8" t="s">
        <v>168</v>
      </c>
      <c r="B358" s="85">
        <v>2376600</v>
      </c>
    </row>
    <row r="359" spans="1:2" x14ac:dyDescent="0.35">
      <c r="A359" s="8" t="s">
        <v>185</v>
      </c>
      <c r="B359" s="85">
        <v>576000</v>
      </c>
    </row>
    <row r="360" spans="1:2" x14ac:dyDescent="0.35">
      <c r="A360" s="8" t="s">
        <v>193</v>
      </c>
      <c r="B360" s="85">
        <v>340000</v>
      </c>
    </row>
    <row r="361" spans="1:2" x14ac:dyDescent="0.35">
      <c r="A361" s="8" t="s">
        <v>199</v>
      </c>
      <c r="B361" s="85">
        <v>1164000</v>
      </c>
    </row>
    <row r="362" spans="1:2" x14ac:dyDescent="0.35">
      <c r="A362" s="8" t="s">
        <v>207</v>
      </c>
      <c r="B362" s="85">
        <v>1200000</v>
      </c>
    </row>
    <row r="363" spans="1:2" x14ac:dyDescent="0.35">
      <c r="A363" s="8" t="s">
        <v>305</v>
      </c>
      <c r="B363" s="85">
        <v>800000</v>
      </c>
    </row>
    <row r="364" spans="1:2" x14ac:dyDescent="0.35">
      <c r="A364" s="8" t="s">
        <v>2363</v>
      </c>
      <c r="B364" s="85">
        <v>15000000</v>
      </c>
    </row>
    <row r="365" spans="1:2" x14ac:dyDescent="0.35">
      <c r="A365" s="8" t="s">
        <v>2367</v>
      </c>
      <c r="B365" s="85">
        <v>50000</v>
      </c>
    </row>
    <row r="366" spans="1:2" x14ac:dyDescent="0.35">
      <c r="A366" s="8" t="s">
        <v>2357</v>
      </c>
      <c r="B366" s="85">
        <v>1000000</v>
      </c>
    </row>
    <row r="367" spans="1:2" x14ac:dyDescent="0.35">
      <c r="A367" s="8" t="s">
        <v>2360</v>
      </c>
      <c r="B367" s="85">
        <v>3000000</v>
      </c>
    </row>
    <row r="368" spans="1:2" x14ac:dyDescent="0.35">
      <c r="A368" s="8" t="s">
        <v>1714</v>
      </c>
      <c r="B368" s="85">
        <v>140000</v>
      </c>
    </row>
    <row r="369" spans="1:2" x14ac:dyDescent="0.35">
      <c r="A369" s="8" t="s">
        <v>1709</v>
      </c>
      <c r="B369" s="85">
        <v>100000</v>
      </c>
    </row>
    <row r="370" spans="1:2" x14ac:dyDescent="0.35">
      <c r="A370" s="8" t="s">
        <v>1710</v>
      </c>
      <c r="B370" s="85">
        <v>166080</v>
      </c>
    </row>
    <row r="371" spans="1:2" x14ac:dyDescent="0.35">
      <c r="A371" s="8" t="s">
        <v>1711</v>
      </c>
      <c r="B371" s="85">
        <v>105000</v>
      </c>
    </row>
    <row r="372" spans="1:2" x14ac:dyDescent="0.35">
      <c r="A372" s="8" t="s">
        <v>1712</v>
      </c>
      <c r="B372" s="85">
        <v>32000</v>
      </c>
    </row>
    <row r="373" spans="1:2" x14ac:dyDescent="0.35">
      <c r="A373" s="8" t="s">
        <v>1713</v>
      </c>
      <c r="B373" s="85">
        <v>6000</v>
      </c>
    </row>
    <row r="374" spans="1:2" x14ac:dyDescent="0.35">
      <c r="A374" s="8" t="s">
        <v>1211</v>
      </c>
      <c r="B374" s="85">
        <v>30000</v>
      </c>
    </row>
    <row r="375" spans="1:2" x14ac:dyDescent="0.35">
      <c r="A375" s="8" t="s">
        <v>1215</v>
      </c>
      <c r="B375" s="85">
        <v>389707</v>
      </c>
    </row>
    <row r="376" spans="1:2" x14ac:dyDescent="0.35">
      <c r="A376" s="8" t="s">
        <v>1220</v>
      </c>
      <c r="B376" s="85">
        <v>150000</v>
      </c>
    </row>
    <row r="377" spans="1:2" x14ac:dyDescent="0.35">
      <c r="A377" s="8" t="s">
        <v>1226</v>
      </c>
      <c r="B377" s="85">
        <v>180000</v>
      </c>
    </row>
    <row r="378" spans="1:2" x14ac:dyDescent="0.35">
      <c r="A378" s="8" t="s">
        <v>1234</v>
      </c>
      <c r="B378" s="85">
        <v>120000</v>
      </c>
    </row>
    <row r="379" spans="1:2" x14ac:dyDescent="0.35">
      <c r="A379" s="8" t="s">
        <v>1239</v>
      </c>
      <c r="B379" s="85">
        <v>187500</v>
      </c>
    </row>
    <row r="380" spans="1:2" x14ac:dyDescent="0.35">
      <c r="A380" s="8" t="s">
        <v>1230</v>
      </c>
      <c r="B380" s="85">
        <v>5000</v>
      </c>
    </row>
    <row r="381" spans="1:2" x14ac:dyDescent="0.35">
      <c r="A381" s="8" t="s">
        <v>1244</v>
      </c>
      <c r="B381" s="85">
        <v>200000</v>
      </c>
    </row>
    <row r="382" spans="1:2" x14ac:dyDescent="0.35">
      <c r="A382" s="8" t="s">
        <v>1250</v>
      </c>
      <c r="B382" s="85">
        <v>231525</v>
      </c>
    </row>
    <row r="383" spans="1:2" x14ac:dyDescent="0.35">
      <c r="A383" s="8" t="s">
        <v>1329</v>
      </c>
      <c r="B383" s="85">
        <v>120000</v>
      </c>
    </row>
    <row r="384" spans="1:2" x14ac:dyDescent="0.35">
      <c r="A384" s="8" t="s">
        <v>1258</v>
      </c>
      <c r="B384" s="85">
        <v>148199258.20999998</v>
      </c>
    </row>
    <row r="385" spans="1:2" x14ac:dyDescent="0.35">
      <c r="A385" s="8" t="s">
        <v>1267</v>
      </c>
      <c r="B385" s="85">
        <v>6303000</v>
      </c>
    </row>
    <row r="386" spans="1:2" x14ac:dyDescent="0.35">
      <c r="A386" s="8" t="s">
        <v>1273</v>
      </c>
      <c r="B386" s="85">
        <v>70000</v>
      </c>
    </row>
    <row r="387" spans="1:2" x14ac:dyDescent="0.35">
      <c r="A387" s="8" t="s">
        <v>1275</v>
      </c>
      <c r="B387" s="85">
        <v>150000</v>
      </c>
    </row>
    <row r="388" spans="1:2" x14ac:dyDescent="0.35">
      <c r="A388" s="8" t="s">
        <v>1277</v>
      </c>
      <c r="B388" s="85">
        <v>200000</v>
      </c>
    </row>
    <row r="389" spans="1:2" x14ac:dyDescent="0.35">
      <c r="A389" s="8" t="s">
        <v>1282</v>
      </c>
      <c r="B389" s="85">
        <v>150000</v>
      </c>
    </row>
    <row r="390" spans="1:2" x14ac:dyDescent="0.35">
      <c r="A390" s="8" t="s">
        <v>2812</v>
      </c>
      <c r="B390" s="85">
        <v>15000</v>
      </c>
    </row>
    <row r="391" spans="1:2" x14ac:dyDescent="0.35">
      <c r="A391" s="8" t="s">
        <v>1287</v>
      </c>
      <c r="B391" s="85">
        <v>5807781.6425999999</v>
      </c>
    </row>
    <row r="392" spans="1:2" x14ac:dyDescent="0.35">
      <c r="A392" s="8" t="s">
        <v>1292</v>
      </c>
      <c r="B392" s="85">
        <v>10000</v>
      </c>
    </row>
    <row r="393" spans="1:2" x14ac:dyDescent="0.35">
      <c r="A393" s="8" t="s">
        <v>1296</v>
      </c>
      <c r="B393" s="85">
        <v>6541654.2893899996</v>
      </c>
    </row>
    <row r="394" spans="1:2" x14ac:dyDescent="0.35">
      <c r="A394" s="8" t="s">
        <v>1299</v>
      </c>
      <c r="B394" s="85">
        <v>45000</v>
      </c>
    </row>
    <row r="395" spans="1:2" x14ac:dyDescent="0.35">
      <c r="A395" s="8" t="s">
        <v>2845</v>
      </c>
      <c r="B395" s="85">
        <v>300000</v>
      </c>
    </row>
    <row r="396" spans="1:2" x14ac:dyDescent="0.35">
      <c r="A396" s="8" t="s">
        <v>1645</v>
      </c>
      <c r="B396" s="85">
        <v>15000</v>
      </c>
    </row>
    <row r="397" spans="1:2" x14ac:dyDescent="0.35">
      <c r="A397" s="8" t="s">
        <v>1646</v>
      </c>
      <c r="B397" s="85">
        <v>160000</v>
      </c>
    </row>
    <row r="398" spans="1:2" x14ac:dyDescent="0.35">
      <c r="A398" s="8" t="s">
        <v>1647</v>
      </c>
      <c r="B398" s="85">
        <v>20000</v>
      </c>
    </row>
    <row r="399" spans="1:2" x14ac:dyDescent="0.35">
      <c r="A399" s="8" t="s">
        <v>1648</v>
      </c>
      <c r="B399" s="85">
        <v>20000</v>
      </c>
    </row>
    <row r="400" spans="1:2" x14ac:dyDescent="0.35">
      <c r="A400" s="8" t="s">
        <v>1676</v>
      </c>
      <c r="B400" s="85">
        <v>5760</v>
      </c>
    </row>
    <row r="401" spans="1:2" x14ac:dyDescent="0.35">
      <c r="A401" s="8" t="s">
        <v>1677</v>
      </c>
      <c r="B401" s="85">
        <v>142059750.01457018</v>
      </c>
    </row>
    <row r="402" spans="1:2" x14ac:dyDescent="0.35">
      <c r="A402" s="8" t="s">
        <v>1678</v>
      </c>
      <c r="B402" s="85">
        <v>7473.6</v>
      </c>
    </row>
    <row r="403" spans="1:2" x14ac:dyDescent="0.35">
      <c r="A403" s="8" t="s">
        <v>1679</v>
      </c>
      <c r="B403" s="85">
        <v>16416000</v>
      </c>
    </row>
    <row r="404" spans="1:2" x14ac:dyDescent="0.35">
      <c r="A404" s="8" t="s">
        <v>1680</v>
      </c>
      <c r="B404" s="85">
        <v>519840</v>
      </c>
    </row>
    <row r="405" spans="1:2" x14ac:dyDescent="0.35">
      <c r="A405" s="8" t="s">
        <v>1681</v>
      </c>
      <c r="B405" s="85">
        <v>3456</v>
      </c>
    </row>
    <row r="406" spans="1:2" x14ac:dyDescent="0.35">
      <c r="A406" s="8" t="s">
        <v>1686</v>
      </c>
      <c r="B406" s="85">
        <v>2500000</v>
      </c>
    </row>
    <row r="407" spans="1:2" x14ac:dyDescent="0.35">
      <c r="A407" s="8" t="s">
        <v>1687</v>
      </c>
      <c r="B407" s="85">
        <v>100000</v>
      </c>
    </row>
    <row r="408" spans="1:2" x14ac:dyDescent="0.35">
      <c r="A408" s="8" t="s">
        <v>1649</v>
      </c>
      <c r="B408" s="85">
        <v>220000</v>
      </c>
    </row>
    <row r="409" spans="1:2" x14ac:dyDescent="0.35">
      <c r="A409" s="8" t="s">
        <v>1650</v>
      </c>
      <c r="B409" s="85">
        <v>128000</v>
      </c>
    </row>
    <row r="410" spans="1:2" x14ac:dyDescent="0.35">
      <c r="A410" s="8" t="s">
        <v>1651</v>
      </c>
      <c r="B410" s="85">
        <v>23000</v>
      </c>
    </row>
    <row r="411" spans="1:2" x14ac:dyDescent="0.35">
      <c r="A411" s="8" t="s">
        <v>1652</v>
      </c>
      <c r="B411" s="85">
        <v>1200000</v>
      </c>
    </row>
    <row r="412" spans="1:2" x14ac:dyDescent="0.35">
      <c r="A412" s="8" t="s">
        <v>1653</v>
      </c>
      <c r="B412" s="85">
        <v>24000</v>
      </c>
    </row>
    <row r="413" spans="1:2" x14ac:dyDescent="0.35">
      <c r="A413" s="8" t="s">
        <v>1654</v>
      </c>
      <c r="B413" s="85">
        <v>400000</v>
      </c>
    </row>
    <row r="414" spans="1:2" x14ac:dyDescent="0.35">
      <c r="A414" s="8" t="s">
        <v>1655</v>
      </c>
      <c r="B414" s="85">
        <v>60000</v>
      </c>
    </row>
    <row r="415" spans="1:2" x14ac:dyDescent="0.35">
      <c r="A415" s="8" t="s">
        <v>1656</v>
      </c>
      <c r="B415" s="85">
        <v>14000</v>
      </c>
    </row>
    <row r="416" spans="1:2" x14ac:dyDescent="0.35">
      <c r="A416" s="8" t="s">
        <v>1657</v>
      </c>
      <c r="B416" s="85">
        <v>4750</v>
      </c>
    </row>
    <row r="417" spans="1:2" x14ac:dyDescent="0.35">
      <c r="A417" s="8" t="s">
        <v>1658</v>
      </c>
      <c r="B417" s="85">
        <v>42000</v>
      </c>
    </row>
    <row r="418" spans="1:2" x14ac:dyDescent="0.35">
      <c r="A418" s="8" t="s">
        <v>1659</v>
      </c>
      <c r="B418" s="85">
        <v>35000</v>
      </c>
    </row>
    <row r="419" spans="1:2" x14ac:dyDescent="0.35">
      <c r="A419" s="8" t="s">
        <v>1701</v>
      </c>
      <c r="B419" s="85">
        <v>1000000</v>
      </c>
    </row>
    <row r="420" spans="1:2" x14ac:dyDescent="0.35">
      <c r="A420" s="8" t="s">
        <v>1702</v>
      </c>
      <c r="B420" s="85">
        <v>560000</v>
      </c>
    </row>
    <row r="421" spans="1:2" x14ac:dyDescent="0.35">
      <c r="A421" s="8" t="s">
        <v>1703</v>
      </c>
      <c r="B421" s="85">
        <v>2144000</v>
      </c>
    </row>
    <row r="422" spans="1:2" x14ac:dyDescent="0.35">
      <c r="A422" s="8" t="s">
        <v>1704</v>
      </c>
      <c r="B422" s="85">
        <v>75000</v>
      </c>
    </row>
    <row r="423" spans="1:2" x14ac:dyDescent="0.35">
      <c r="A423" s="8" t="s">
        <v>1705</v>
      </c>
      <c r="B423" s="85">
        <v>1119456</v>
      </c>
    </row>
    <row r="424" spans="1:2" x14ac:dyDescent="0.35">
      <c r="A424" s="8" t="s">
        <v>1706</v>
      </c>
      <c r="B424" s="85">
        <v>0</v>
      </c>
    </row>
    <row r="425" spans="1:2" x14ac:dyDescent="0.35">
      <c r="A425" s="8" t="s">
        <v>1707</v>
      </c>
      <c r="B425" s="85">
        <v>80000</v>
      </c>
    </row>
    <row r="426" spans="1:2" x14ac:dyDescent="0.35">
      <c r="A426" s="8" t="s">
        <v>1708</v>
      </c>
      <c r="B426" s="85">
        <v>10000</v>
      </c>
    </row>
    <row r="427" spans="1:2" x14ac:dyDescent="0.35">
      <c r="A427" s="8" t="s">
        <v>2840</v>
      </c>
      <c r="B427" s="85">
        <v>2128000</v>
      </c>
    </row>
    <row r="428" spans="1:2" x14ac:dyDescent="0.35">
      <c r="A428" s="8" t="s">
        <v>1660</v>
      </c>
      <c r="B428" s="85">
        <v>318000</v>
      </c>
    </row>
    <row r="429" spans="1:2" x14ac:dyDescent="0.35">
      <c r="A429" s="8" t="s">
        <v>1661</v>
      </c>
      <c r="B429" s="85">
        <v>11616828</v>
      </c>
    </row>
    <row r="430" spans="1:2" x14ac:dyDescent="0.35">
      <c r="A430" s="8" t="s">
        <v>1662</v>
      </c>
      <c r="B430" s="85">
        <v>1188622</v>
      </c>
    </row>
    <row r="431" spans="1:2" x14ac:dyDescent="0.35">
      <c r="A431" s="8" t="s">
        <v>1663</v>
      </c>
      <c r="B431" s="85">
        <v>170000</v>
      </c>
    </row>
    <row r="432" spans="1:2" x14ac:dyDescent="0.35">
      <c r="A432" s="8" t="s">
        <v>1664</v>
      </c>
      <c r="B432" s="85">
        <v>32000</v>
      </c>
    </row>
    <row r="433" spans="1:2" x14ac:dyDescent="0.35">
      <c r="A433" s="8" t="s">
        <v>1665</v>
      </c>
      <c r="B433" s="85">
        <v>85100</v>
      </c>
    </row>
    <row r="434" spans="1:2" x14ac:dyDescent="0.35">
      <c r="A434" s="8" t="s">
        <v>1666</v>
      </c>
      <c r="B434" s="85">
        <v>12400</v>
      </c>
    </row>
    <row r="435" spans="1:2" x14ac:dyDescent="0.35">
      <c r="A435" s="8" t="s">
        <v>1682</v>
      </c>
      <c r="B435" s="85">
        <v>50000</v>
      </c>
    </row>
    <row r="436" spans="1:2" x14ac:dyDescent="0.35">
      <c r="A436" s="8" t="s">
        <v>1683</v>
      </c>
      <c r="B436" s="85">
        <v>300000</v>
      </c>
    </row>
    <row r="437" spans="1:2" x14ac:dyDescent="0.35">
      <c r="A437" s="8" t="s">
        <v>2846</v>
      </c>
      <c r="B437" s="85">
        <v>0</v>
      </c>
    </row>
    <row r="438" spans="1:2" x14ac:dyDescent="0.35">
      <c r="A438" s="8" t="s">
        <v>1684</v>
      </c>
      <c r="B438" s="85">
        <v>17160000</v>
      </c>
    </row>
    <row r="439" spans="1:2" x14ac:dyDescent="0.35">
      <c r="A439" s="8" t="s">
        <v>1685</v>
      </c>
      <c r="B439" s="85">
        <v>500000</v>
      </c>
    </row>
    <row r="440" spans="1:2" x14ac:dyDescent="0.35">
      <c r="A440" s="8" t="s">
        <v>1688</v>
      </c>
      <c r="B440" s="85">
        <v>4875</v>
      </c>
    </row>
    <row r="441" spans="1:2" x14ac:dyDescent="0.35">
      <c r="A441" s="8" t="s">
        <v>1689</v>
      </c>
      <c r="B441" s="85">
        <v>58500</v>
      </c>
    </row>
    <row r="442" spans="1:2" x14ac:dyDescent="0.35">
      <c r="A442" s="8" t="s">
        <v>1690</v>
      </c>
      <c r="B442" s="85">
        <v>117000</v>
      </c>
    </row>
    <row r="443" spans="1:2" x14ac:dyDescent="0.35">
      <c r="A443" s="8" t="s">
        <v>1691</v>
      </c>
      <c r="B443" s="85">
        <v>585000</v>
      </c>
    </row>
    <row r="444" spans="1:2" x14ac:dyDescent="0.35">
      <c r="A444" s="8" t="s">
        <v>1692</v>
      </c>
      <c r="B444" s="85">
        <v>58500</v>
      </c>
    </row>
    <row r="445" spans="1:2" x14ac:dyDescent="0.35">
      <c r="A445" s="8" t="s">
        <v>1693</v>
      </c>
      <c r="B445" s="85">
        <v>390000</v>
      </c>
    </row>
    <row r="446" spans="1:2" x14ac:dyDescent="0.35">
      <c r="A446" s="8" t="s">
        <v>1694</v>
      </c>
      <c r="B446" s="85">
        <v>2852800</v>
      </c>
    </row>
    <row r="447" spans="1:2" x14ac:dyDescent="0.35">
      <c r="A447" s="8" t="s">
        <v>1700</v>
      </c>
      <c r="B447" s="85">
        <v>4200</v>
      </c>
    </row>
    <row r="448" spans="1:2" x14ac:dyDescent="0.35">
      <c r="A448" s="8" t="s">
        <v>1695</v>
      </c>
      <c r="B448" s="85">
        <v>30000</v>
      </c>
    </row>
    <row r="449" spans="1:2" x14ac:dyDescent="0.35">
      <c r="A449" s="8" t="s">
        <v>1696</v>
      </c>
      <c r="B449" s="85">
        <v>390000</v>
      </c>
    </row>
    <row r="450" spans="1:2" x14ac:dyDescent="0.35">
      <c r="A450" s="8" t="s">
        <v>1697</v>
      </c>
      <c r="B450" s="85">
        <v>19500</v>
      </c>
    </row>
    <row r="451" spans="1:2" x14ac:dyDescent="0.35">
      <c r="A451" s="8" t="s">
        <v>1698</v>
      </c>
      <c r="B451" s="85">
        <v>10000</v>
      </c>
    </row>
    <row r="452" spans="1:2" x14ac:dyDescent="0.35">
      <c r="A452" s="8" t="s">
        <v>1699</v>
      </c>
      <c r="B452" s="85">
        <v>14000</v>
      </c>
    </row>
    <row r="453" spans="1:2" x14ac:dyDescent="0.35">
      <c r="A453" s="8" t="s">
        <v>1002</v>
      </c>
      <c r="B453" s="85">
        <v>36443299.200000003</v>
      </c>
    </row>
    <row r="454" spans="1:2" x14ac:dyDescent="0.35">
      <c r="A454" s="8" t="s">
        <v>1006</v>
      </c>
      <c r="B454" s="85">
        <v>449801.00000000006</v>
      </c>
    </row>
    <row r="455" spans="1:2" x14ac:dyDescent="0.35">
      <c r="A455" s="8" t="s">
        <v>1012</v>
      </c>
      <c r="B455" s="85">
        <v>500000</v>
      </c>
    </row>
    <row r="456" spans="1:2" x14ac:dyDescent="0.35">
      <c r="A456" s="8" t="s">
        <v>1016</v>
      </c>
      <c r="B456" s="85">
        <v>440000.00000000006</v>
      </c>
    </row>
    <row r="457" spans="1:2" x14ac:dyDescent="0.35">
      <c r="A457" s="8" t="s">
        <v>1022</v>
      </c>
      <c r="B457" s="85">
        <v>396000.00000000006</v>
      </c>
    </row>
    <row r="458" spans="1:2" x14ac:dyDescent="0.35">
      <c r="A458" s="8" t="s">
        <v>1140</v>
      </c>
      <c r="B458" s="85">
        <v>275000</v>
      </c>
    </row>
    <row r="459" spans="1:2" x14ac:dyDescent="0.35">
      <c r="A459" s="8" t="s">
        <v>1147</v>
      </c>
      <c r="B459" s="85">
        <v>1122000</v>
      </c>
    </row>
    <row r="460" spans="1:2" x14ac:dyDescent="0.35">
      <c r="A460" s="8" t="s">
        <v>1026</v>
      </c>
      <c r="B460" s="85">
        <v>1020000</v>
      </c>
    </row>
    <row r="461" spans="1:2" x14ac:dyDescent="0.35">
      <c r="A461" s="8" t="s">
        <v>1030</v>
      </c>
      <c r="B461" s="85">
        <v>1140000</v>
      </c>
    </row>
    <row r="462" spans="1:2" x14ac:dyDescent="0.35">
      <c r="A462" s="8" t="s">
        <v>1033</v>
      </c>
      <c r="B462" s="85">
        <v>3100000</v>
      </c>
    </row>
    <row r="463" spans="1:2" x14ac:dyDescent="0.35">
      <c r="A463" s="8" t="s">
        <v>1037</v>
      </c>
      <c r="B463" s="85">
        <v>304500</v>
      </c>
    </row>
    <row r="464" spans="1:2" x14ac:dyDescent="0.35">
      <c r="A464" s="8" t="s">
        <v>1042</v>
      </c>
      <c r="B464" s="85">
        <v>825000</v>
      </c>
    </row>
    <row r="465" spans="1:2" x14ac:dyDescent="0.35">
      <c r="A465" s="8" t="s">
        <v>1048</v>
      </c>
      <c r="B465" s="85">
        <v>378000</v>
      </c>
    </row>
    <row r="466" spans="1:2" x14ac:dyDescent="0.35">
      <c r="A466" s="8" t="s">
        <v>1053</v>
      </c>
      <c r="B466" s="85">
        <v>44963600</v>
      </c>
    </row>
    <row r="467" spans="1:2" x14ac:dyDescent="0.35">
      <c r="A467" s="8" t="s">
        <v>1058</v>
      </c>
      <c r="B467" s="85">
        <v>2949633.5000000005</v>
      </c>
    </row>
    <row r="468" spans="1:2" x14ac:dyDescent="0.35">
      <c r="A468" s="8" t="s">
        <v>1061</v>
      </c>
      <c r="B468" s="85">
        <v>3643171.4000000004</v>
      </c>
    </row>
    <row r="469" spans="1:2" x14ac:dyDescent="0.35">
      <c r="A469" s="8" t="s">
        <v>1065</v>
      </c>
      <c r="B469" s="85">
        <v>282474.5</v>
      </c>
    </row>
    <row r="470" spans="1:2" x14ac:dyDescent="0.35">
      <c r="A470" s="8" t="s">
        <v>1068</v>
      </c>
      <c r="B470" s="85">
        <v>405515.00000000006</v>
      </c>
    </row>
    <row r="471" spans="1:2" x14ac:dyDescent="0.35">
      <c r="A471" s="8" t="s">
        <v>1072</v>
      </c>
      <c r="B471" s="85">
        <v>112200.00000000001</v>
      </c>
    </row>
    <row r="472" spans="1:2" x14ac:dyDescent="0.35">
      <c r="A472" s="8" t="s">
        <v>1077</v>
      </c>
      <c r="B472" s="85">
        <v>1075099.3</v>
      </c>
    </row>
    <row r="473" spans="1:2" x14ac:dyDescent="0.35">
      <c r="A473" s="8" t="s">
        <v>1081</v>
      </c>
      <c r="B473" s="85">
        <v>23100.000000000004</v>
      </c>
    </row>
    <row r="474" spans="1:2" x14ac:dyDescent="0.35">
      <c r="A474" s="8" t="s">
        <v>1086</v>
      </c>
      <c r="B474" s="85">
        <v>742500.00000000012</v>
      </c>
    </row>
    <row r="475" spans="1:2" x14ac:dyDescent="0.35">
      <c r="A475" s="8" t="s">
        <v>1091</v>
      </c>
      <c r="B475" s="85">
        <v>261096.00000000003</v>
      </c>
    </row>
    <row r="476" spans="1:2" x14ac:dyDescent="0.35">
      <c r="A476" s="8" t="s">
        <v>2847</v>
      </c>
      <c r="B476" s="85">
        <v>0</v>
      </c>
    </row>
    <row r="477" spans="1:2" x14ac:dyDescent="0.35">
      <c r="A477" s="8" t="s">
        <v>1095</v>
      </c>
      <c r="B477" s="85">
        <v>495000.00000000006</v>
      </c>
    </row>
    <row r="478" spans="1:2" x14ac:dyDescent="0.35">
      <c r="A478" s="8" t="s">
        <v>1097</v>
      </c>
      <c r="B478" s="85">
        <v>110000.00000000001</v>
      </c>
    </row>
    <row r="479" spans="1:2" x14ac:dyDescent="0.35">
      <c r="A479" s="8" t="s">
        <v>1100</v>
      </c>
      <c r="B479" s="85">
        <v>2144450</v>
      </c>
    </row>
    <row r="480" spans="1:2" x14ac:dyDescent="0.35">
      <c r="A480" s="8" t="s">
        <v>1104</v>
      </c>
      <c r="B480" s="85">
        <v>660000</v>
      </c>
    </row>
    <row r="481" spans="1:2" x14ac:dyDescent="0.35">
      <c r="A481" s="8" t="s">
        <v>1108</v>
      </c>
      <c r="B481" s="85">
        <v>220000.00000000003</v>
      </c>
    </row>
    <row r="482" spans="1:2" x14ac:dyDescent="0.35">
      <c r="A482" s="8" t="s">
        <v>1112</v>
      </c>
      <c r="B482" s="85">
        <v>706094.4</v>
      </c>
    </row>
    <row r="483" spans="1:2" x14ac:dyDescent="0.35">
      <c r="A483" s="8" t="s">
        <v>1115</v>
      </c>
      <c r="B483" s="85">
        <v>330000</v>
      </c>
    </row>
    <row r="484" spans="1:2" x14ac:dyDescent="0.35">
      <c r="A484" s="8" t="s">
        <v>1121</v>
      </c>
      <c r="B484" s="85">
        <v>1386000</v>
      </c>
    </row>
    <row r="485" spans="1:2" x14ac:dyDescent="0.35">
      <c r="A485" s="8" t="s">
        <v>1125</v>
      </c>
      <c r="B485" s="85">
        <v>15485785.700000001</v>
      </c>
    </row>
    <row r="486" spans="1:2" x14ac:dyDescent="0.35">
      <c r="A486" s="8" t="s">
        <v>1128</v>
      </c>
      <c r="B486" s="85">
        <v>247500.00000000003</v>
      </c>
    </row>
    <row r="487" spans="1:2" x14ac:dyDescent="0.35">
      <c r="A487" s="8" t="s">
        <v>1144</v>
      </c>
      <c r="B487" s="85">
        <v>330000</v>
      </c>
    </row>
    <row r="488" spans="1:2" x14ac:dyDescent="0.35">
      <c r="A488" s="8" t="s">
        <v>1131</v>
      </c>
      <c r="B488" s="85">
        <v>352000</v>
      </c>
    </row>
    <row r="489" spans="1:2" x14ac:dyDescent="0.35">
      <c r="A489" s="8" t="s">
        <v>2787</v>
      </c>
      <c r="B489" s="85">
        <v>1121432082.1658602</v>
      </c>
    </row>
  </sheetData>
  <autoFilter ref="A3:B489"/>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Y693"/>
  <sheetViews>
    <sheetView topLeftCell="O1" zoomScale="80" zoomScaleNormal="80" workbookViewId="0">
      <pane ySplit="1" topLeftCell="A2" activePane="bottomLeft" state="frozen"/>
      <selection activeCell="H1" sqref="H1"/>
      <selection pane="bottomLeft" activeCell="U659" sqref="U659:U662"/>
    </sheetView>
  </sheetViews>
  <sheetFormatPr defaultRowHeight="14" customHeight="1" x14ac:dyDescent="0.35"/>
  <cols>
    <col min="1" max="1" width="24.1796875" bestFit="1" customWidth="1"/>
    <col min="2" max="2" width="38.26953125" bestFit="1" customWidth="1"/>
    <col min="3" max="3" width="33.26953125" bestFit="1" customWidth="1"/>
    <col min="4" max="4" width="15" bestFit="1" customWidth="1"/>
    <col min="5" max="5" width="15.26953125" bestFit="1" customWidth="1"/>
    <col min="6" max="6" width="26.36328125" customWidth="1"/>
    <col min="7" max="7" width="6.26953125" bestFit="1" customWidth="1"/>
    <col min="8" max="8" width="13.36328125" bestFit="1" customWidth="1"/>
    <col min="9" max="9" width="67.90625" bestFit="1" customWidth="1"/>
    <col min="10" max="10" width="22.26953125" bestFit="1" customWidth="1"/>
    <col min="11" max="11" width="23.81640625" bestFit="1" customWidth="1"/>
    <col min="12" max="12" width="15.26953125" bestFit="1" customWidth="1"/>
    <col min="13" max="13" width="20.54296875" bestFit="1" customWidth="1"/>
    <col min="14" max="14" width="26.08984375" customWidth="1"/>
    <col min="15" max="15" width="41" bestFit="1" customWidth="1"/>
    <col min="16" max="16" width="55.90625" customWidth="1"/>
    <col min="17" max="17" width="13.453125" bestFit="1" customWidth="1"/>
    <col min="18" max="18" width="24.1796875" bestFit="1" customWidth="1"/>
    <col min="19" max="19" width="17.08984375" bestFit="1" customWidth="1"/>
    <col min="20" max="20" width="31.6328125" customWidth="1"/>
    <col min="21" max="21" width="16.08984375" bestFit="1" customWidth="1"/>
    <col min="24" max="24" width="34" style="13" customWidth="1"/>
    <col min="25" max="25" width="14.6328125" bestFit="1" customWidth="1"/>
  </cols>
  <sheetData>
    <row r="1" spans="1:25" ht="14"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18</v>
      </c>
      <c r="Q1" s="1" t="s">
        <v>19</v>
      </c>
      <c r="R1" s="1" t="s">
        <v>20</v>
      </c>
      <c r="S1" s="1" t="s">
        <v>21</v>
      </c>
      <c r="T1" s="1" t="s">
        <v>22</v>
      </c>
      <c r="U1" s="1" t="s">
        <v>296</v>
      </c>
      <c r="V1" s="1" t="s">
        <v>24</v>
      </c>
      <c r="W1" s="1" t="s">
        <v>25</v>
      </c>
      <c r="X1" s="53" t="s">
        <v>45</v>
      </c>
      <c r="Y1" s="67" t="s">
        <v>1738</v>
      </c>
    </row>
    <row r="2" spans="1:25" s="39" customFormat="1" ht="14" customHeight="1" x14ac:dyDescent="0.35">
      <c r="A2" s="37" t="s">
        <v>46</v>
      </c>
      <c r="B2" s="37" t="s">
        <v>46</v>
      </c>
      <c r="C2" s="37" t="s">
        <v>47</v>
      </c>
      <c r="D2" s="37">
        <v>847</v>
      </c>
      <c r="E2" s="37">
        <v>8470810</v>
      </c>
      <c r="F2" s="37" t="s">
        <v>48</v>
      </c>
      <c r="G2" s="37">
        <v>1</v>
      </c>
      <c r="H2" s="37">
        <v>413328</v>
      </c>
      <c r="I2" s="37" t="s">
        <v>49</v>
      </c>
      <c r="J2" s="37" t="s">
        <v>60</v>
      </c>
      <c r="K2" s="37" t="s">
        <v>50</v>
      </c>
      <c r="L2" s="37">
        <v>847001</v>
      </c>
      <c r="M2" s="37" t="s">
        <v>972</v>
      </c>
      <c r="N2" s="37">
        <v>100180</v>
      </c>
      <c r="O2" s="37" t="str">
        <f>CONCATENATE(D2,".",E2,".",G2,".",H2,".",J2,".",L2,".",N2)</f>
        <v>847.8470810.1.413328.000000.847001.100180</v>
      </c>
      <c r="P2" s="37" t="s">
        <v>52</v>
      </c>
      <c r="Q2" s="37" t="s">
        <v>53</v>
      </c>
      <c r="R2" s="37">
        <v>12</v>
      </c>
      <c r="S2" s="37">
        <v>850000</v>
      </c>
      <c r="T2" s="37" t="s">
        <v>54</v>
      </c>
      <c r="U2" s="38">
        <v>10200000</v>
      </c>
      <c r="V2" s="37" t="s">
        <v>55</v>
      </c>
      <c r="W2" s="37" t="s">
        <v>56</v>
      </c>
      <c r="X2" s="21" t="s">
        <v>70</v>
      </c>
      <c r="Y2" s="70">
        <f>(R2*S2)-U2</f>
        <v>0</v>
      </c>
    </row>
    <row r="3" spans="1:25" s="39" customFormat="1" ht="14" customHeight="1" x14ac:dyDescent="0.35">
      <c r="A3" s="37" t="s">
        <v>63</v>
      </c>
      <c r="B3" s="37" t="s">
        <v>64</v>
      </c>
      <c r="C3" s="37" t="s">
        <v>47</v>
      </c>
      <c r="D3" s="37">
        <v>847</v>
      </c>
      <c r="E3" s="37">
        <v>8470810</v>
      </c>
      <c r="F3" s="37" t="s">
        <v>48</v>
      </c>
      <c r="G3" s="37">
        <v>1</v>
      </c>
      <c r="H3" s="37">
        <v>420811</v>
      </c>
      <c r="I3" s="37" t="s">
        <v>65</v>
      </c>
      <c r="J3" s="37" t="s">
        <v>60</v>
      </c>
      <c r="K3" s="37" t="s">
        <v>50</v>
      </c>
      <c r="L3" s="37">
        <v>847001</v>
      </c>
      <c r="M3" s="37" t="s">
        <v>61</v>
      </c>
      <c r="N3" s="37">
        <v>200179</v>
      </c>
      <c r="O3" s="37" t="str">
        <f t="shared" ref="O3:O66" si="0">CONCATENATE(D3,".",E3,".",G3,".",H3,".",J3,".",L3,".",N3)</f>
        <v>847.8470810.1.420811.000000.847001.200179</v>
      </c>
      <c r="P3" s="37" t="s">
        <v>67</v>
      </c>
      <c r="Q3" s="37" t="s">
        <v>68</v>
      </c>
      <c r="R3" s="37">
        <v>12</v>
      </c>
      <c r="S3" s="37">
        <v>3947977</v>
      </c>
      <c r="T3" s="37" t="s">
        <v>69</v>
      </c>
      <c r="U3" s="38">
        <v>47375724</v>
      </c>
      <c r="V3" s="37" t="s">
        <v>55</v>
      </c>
      <c r="W3" s="37" t="s">
        <v>56</v>
      </c>
      <c r="X3" s="21" t="s">
        <v>70</v>
      </c>
      <c r="Y3" s="70">
        <f t="shared" ref="Y3:Y66" si="1">(R3*S3)-U3</f>
        <v>0</v>
      </c>
    </row>
    <row r="4" spans="1:25" s="39" customFormat="1" ht="14" customHeight="1" x14ac:dyDescent="0.35">
      <c r="A4" s="37" t="s">
        <v>71</v>
      </c>
      <c r="B4" s="37" t="s">
        <v>58</v>
      </c>
      <c r="C4" s="37" t="s">
        <v>47</v>
      </c>
      <c r="D4" s="37">
        <v>847</v>
      </c>
      <c r="E4" s="37">
        <v>8470810</v>
      </c>
      <c r="F4" s="37" t="s">
        <v>48</v>
      </c>
      <c r="G4" s="37">
        <v>1</v>
      </c>
      <c r="H4" s="37">
        <v>421100</v>
      </c>
      <c r="I4" s="37" t="s">
        <v>72</v>
      </c>
      <c r="J4" s="37" t="s">
        <v>60</v>
      </c>
      <c r="K4" s="37" t="s">
        <v>50</v>
      </c>
      <c r="L4" s="37">
        <v>847001</v>
      </c>
      <c r="M4" s="37" t="s">
        <v>61</v>
      </c>
      <c r="N4" s="37">
        <v>200179</v>
      </c>
      <c r="O4" s="37" t="str">
        <f t="shared" si="0"/>
        <v>847.8470810.1.421100.000000.847001.200179</v>
      </c>
      <c r="P4" s="37"/>
      <c r="Q4" s="37" t="s">
        <v>62</v>
      </c>
      <c r="R4" s="37"/>
      <c r="S4" s="37"/>
      <c r="T4" s="37"/>
      <c r="U4" s="38">
        <v>0</v>
      </c>
      <c r="V4" s="37"/>
      <c r="W4" s="37"/>
      <c r="X4" s="21"/>
      <c r="Y4" s="70">
        <f t="shared" si="1"/>
        <v>0</v>
      </c>
    </row>
    <row r="5" spans="1:25" s="39" customFormat="1" ht="14" customHeight="1" x14ac:dyDescent="0.35">
      <c r="A5" s="37" t="s">
        <v>63</v>
      </c>
      <c r="B5" s="37" t="s">
        <v>64</v>
      </c>
      <c r="C5" s="37" t="s">
        <v>47</v>
      </c>
      <c r="D5" s="37">
        <v>847</v>
      </c>
      <c r="E5" s="37">
        <v>8470810</v>
      </c>
      <c r="F5" s="37" t="s">
        <v>48</v>
      </c>
      <c r="G5" s="37">
        <v>1</v>
      </c>
      <c r="H5" s="37">
        <v>426610</v>
      </c>
      <c r="I5" s="37" t="s">
        <v>74</v>
      </c>
      <c r="J5" s="37" t="s">
        <v>60</v>
      </c>
      <c r="K5" s="37" t="s">
        <v>50</v>
      </c>
      <c r="L5" s="37">
        <v>847001</v>
      </c>
      <c r="M5" s="37" t="s">
        <v>61</v>
      </c>
      <c r="N5" s="37">
        <v>200179</v>
      </c>
      <c r="O5" s="37" t="str">
        <f t="shared" si="0"/>
        <v>847.8470810.1.426610.000000.847001.200179</v>
      </c>
      <c r="P5" s="37" t="s">
        <v>75</v>
      </c>
      <c r="Q5" s="37" t="s">
        <v>76</v>
      </c>
      <c r="R5" s="37">
        <v>1</v>
      </c>
      <c r="S5" s="37">
        <v>9390501</v>
      </c>
      <c r="T5" s="37" t="s">
        <v>299</v>
      </c>
      <c r="U5" s="38">
        <v>9390501</v>
      </c>
      <c r="V5" s="37" t="s">
        <v>55</v>
      </c>
      <c r="W5" s="37" t="s">
        <v>56</v>
      </c>
      <c r="X5" s="21" t="s">
        <v>70</v>
      </c>
      <c r="Y5" s="70">
        <f t="shared" si="1"/>
        <v>0</v>
      </c>
    </row>
    <row r="6" spans="1:25" s="39" customFormat="1" ht="14" customHeight="1" x14ac:dyDescent="0.35">
      <c r="A6" s="37" t="s">
        <v>63</v>
      </c>
      <c r="B6" s="37" t="s">
        <v>58</v>
      </c>
      <c r="C6" s="37" t="s">
        <v>47</v>
      </c>
      <c r="D6" s="37">
        <v>847</v>
      </c>
      <c r="E6" s="37">
        <v>8470810</v>
      </c>
      <c r="F6" s="37" t="s">
        <v>48</v>
      </c>
      <c r="G6" s="37">
        <v>1</v>
      </c>
      <c r="H6" s="37">
        <v>427810</v>
      </c>
      <c r="I6" s="37" t="s">
        <v>141</v>
      </c>
      <c r="J6" s="37" t="s">
        <v>60</v>
      </c>
      <c r="K6" s="37" t="s">
        <v>50</v>
      </c>
      <c r="L6" s="37">
        <v>847001</v>
      </c>
      <c r="M6" s="37" t="s">
        <v>61</v>
      </c>
      <c r="N6" s="37">
        <v>200179</v>
      </c>
      <c r="O6" s="37" t="str">
        <f t="shared" si="0"/>
        <v>847.8470810.1.427810.000000.847001.200179</v>
      </c>
      <c r="P6" s="37" t="s">
        <v>143</v>
      </c>
      <c r="Q6" s="37" t="s">
        <v>68</v>
      </c>
      <c r="R6" s="37">
        <v>12</v>
      </c>
      <c r="S6" s="37">
        <v>60000</v>
      </c>
      <c r="T6" s="37" t="s">
        <v>300</v>
      </c>
      <c r="U6" s="38">
        <v>720000</v>
      </c>
      <c r="V6" s="37" t="s">
        <v>55</v>
      </c>
      <c r="W6" s="37" t="s">
        <v>56</v>
      </c>
      <c r="X6" s="21" t="s">
        <v>70</v>
      </c>
      <c r="Y6" s="70">
        <f t="shared" si="1"/>
        <v>0</v>
      </c>
    </row>
    <row r="7" spans="1:25" s="39" customFormat="1" ht="14" customHeight="1" x14ac:dyDescent="0.35">
      <c r="A7" s="37" t="s">
        <v>63</v>
      </c>
      <c r="B7" s="37" t="s">
        <v>58</v>
      </c>
      <c r="C7" s="37" t="s">
        <v>47</v>
      </c>
      <c r="D7" s="37">
        <v>847</v>
      </c>
      <c r="E7" s="37">
        <v>8470810</v>
      </c>
      <c r="F7" s="37" t="s">
        <v>48</v>
      </c>
      <c r="G7" s="37">
        <v>1</v>
      </c>
      <c r="H7" s="37">
        <v>427850</v>
      </c>
      <c r="I7" s="37" t="s">
        <v>148</v>
      </c>
      <c r="J7" s="37" t="s">
        <v>60</v>
      </c>
      <c r="K7" s="37" t="s">
        <v>50</v>
      </c>
      <c r="L7" s="37">
        <v>847001</v>
      </c>
      <c r="M7" s="37" t="s">
        <v>61</v>
      </c>
      <c r="N7" s="37">
        <v>200179</v>
      </c>
      <c r="O7" s="37" t="str">
        <f t="shared" si="0"/>
        <v>847.8470810.1.427850.000000.847001.200179</v>
      </c>
      <c r="P7" s="37" t="s">
        <v>150</v>
      </c>
      <c r="Q7" s="37" t="s">
        <v>68</v>
      </c>
      <c r="R7" s="37">
        <v>12</v>
      </c>
      <c r="S7" s="37">
        <v>171169</v>
      </c>
      <c r="T7" s="37" t="s">
        <v>151</v>
      </c>
      <c r="U7" s="38">
        <v>2054028</v>
      </c>
      <c r="V7" s="37" t="s">
        <v>55</v>
      </c>
      <c r="W7" s="37" t="s">
        <v>56</v>
      </c>
      <c r="X7" s="21" t="s">
        <v>70</v>
      </c>
      <c r="Y7" s="70">
        <f t="shared" si="1"/>
        <v>0</v>
      </c>
    </row>
    <row r="8" spans="1:25" s="39" customFormat="1" ht="14" customHeight="1" x14ac:dyDescent="0.35">
      <c r="A8" s="37" t="s">
        <v>153</v>
      </c>
      <c r="B8" s="37" t="s">
        <v>58</v>
      </c>
      <c r="C8" s="37" t="s">
        <v>47</v>
      </c>
      <c r="D8" s="37">
        <v>847</v>
      </c>
      <c r="E8" s="37">
        <v>8470810</v>
      </c>
      <c r="F8" s="37" t="s">
        <v>48</v>
      </c>
      <c r="G8" s="37">
        <v>1</v>
      </c>
      <c r="H8" s="37">
        <v>428090</v>
      </c>
      <c r="I8" s="37" t="s">
        <v>154</v>
      </c>
      <c r="J8" s="37" t="s">
        <v>60</v>
      </c>
      <c r="K8" s="37" t="s">
        <v>50</v>
      </c>
      <c r="L8" s="37">
        <v>847001</v>
      </c>
      <c r="M8" s="37" t="s">
        <v>61</v>
      </c>
      <c r="N8" s="37">
        <v>200179</v>
      </c>
      <c r="O8" s="37" t="str">
        <f t="shared" si="0"/>
        <v>847.8470810.1.428090.000000.847001.200179</v>
      </c>
      <c r="P8" s="37" t="s">
        <v>156</v>
      </c>
      <c r="Q8" s="37" t="s">
        <v>157</v>
      </c>
      <c r="R8" s="37">
        <v>10</v>
      </c>
      <c r="S8" s="37">
        <v>40000</v>
      </c>
      <c r="T8" s="37" t="s">
        <v>301</v>
      </c>
      <c r="U8" s="38">
        <v>400000</v>
      </c>
      <c r="V8" s="37" t="s">
        <v>55</v>
      </c>
      <c r="W8" s="37" t="s">
        <v>56</v>
      </c>
      <c r="X8" s="21" t="s">
        <v>70</v>
      </c>
      <c r="Y8" s="70">
        <f t="shared" si="1"/>
        <v>0</v>
      </c>
    </row>
    <row r="9" spans="1:25" s="39" customFormat="1" ht="14" customHeight="1" x14ac:dyDescent="0.35">
      <c r="A9" s="37" t="s">
        <v>161</v>
      </c>
      <c r="B9" s="37" t="s">
        <v>64</v>
      </c>
      <c r="C9" s="37" t="s">
        <v>47</v>
      </c>
      <c r="D9" s="37">
        <v>847</v>
      </c>
      <c r="E9" s="37">
        <v>8470810</v>
      </c>
      <c r="F9" s="37" t="s">
        <v>48</v>
      </c>
      <c r="G9" s="37">
        <v>1</v>
      </c>
      <c r="H9" s="37">
        <v>430250</v>
      </c>
      <c r="I9" s="37" t="s">
        <v>162</v>
      </c>
      <c r="J9" s="37" t="s">
        <v>60</v>
      </c>
      <c r="K9" s="37" t="s">
        <v>50</v>
      </c>
      <c r="L9" s="37">
        <v>847001</v>
      </c>
      <c r="M9" s="37" t="s">
        <v>61</v>
      </c>
      <c r="N9" s="37">
        <v>200179</v>
      </c>
      <c r="O9" s="37" t="str">
        <f t="shared" si="0"/>
        <v>847.8470810.1.430250.000000.847001.200179</v>
      </c>
      <c r="P9" s="37" t="s">
        <v>164</v>
      </c>
      <c r="Q9" s="37" t="s">
        <v>157</v>
      </c>
      <c r="R9" s="37">
        <v>1444</v>
      </c>
      <c r="S9" s="37">
        <v>1550</v>
      </c>
      <c r="T9" s="37" t="s">
        <v>165</v>
      </c>
      <c r="U9" s="38">
        <v>2238200</v>
      </c>
      <c r="V9" s="37" t="s">
        <v>55</v>
      </c>
      <c r="W9" s="37" t="s">
        <v>56</v>
      </c>
      <c r="X9" s="21" t="s">
        <v>70</v>
      </c>
      <c r="Y9" s="70">
        <f t="shared" si="1"/>
        <v>0</v>
      </c>
    </row>
    <row r="10" spans="1:25" s="39" customFormat="1" ht="14" customHeight="1" x14ac:dyDescent="0.35">
      <c r="A10" s="37" t="s">
        <v>63</v>
      </c>
      <c r="B10" s="37" t="s">
        <v>64</v>
      </c>
      <c r="C10" s="37" t="s">
        <v>47</v>
      </c>
      <c r="D10" s="37">
        <v>847</v>
      </c>
      <c r="E10" s="37">
        <v>8470810</v>
      </c>
      <c r="F10" s="37" t="s">
        <v>48</v>
      </c>
      <c r="G10" s="37">
        <v>1</v>
      </c>
      <c r="H10" s="37">
        <v>432205</v>
      </c>
      <c r="I10" s="37" t="s">
        <v>167</v>
      </c>
      <c r="J10" s="37" t="s">
        <v>60</v>
      </c>
      <c r="K10" s="37" t="s">
        <v>50</v>
      </c>
      <c r="L10" s="37">
        <v>847001</v>
      </c>
      <c r="M10" s="37" t="s">
        <v>61</v>
      </c>
      <c r="N10" s="37">
        <v>200179</v>
      </c>
      <c r="O10" s="37" t="str">
        <f t="shared" si="0"/>
        <v>847.8470810.1.432205.000000.847001.200179</v>
      </c>
      <c r="P10" s="37" t="s">
        <v>173</v>
      </c>
      <c r="Q10" s="37" t="s">
        <v>76</v>
      </c>
      <c r="R10" s="37">
        <v>1</v>
      </c>
      <c r="S10" s="37">
        <v>2376600</v>
      </c>
      <c r="T10" s="37" t="s">
        <v>302</v>
      </c>
      <c r="U10" s="38">
        <v>2376600</v>
      </c>
      <c r="V10" s="37" t="s">
        <v>55</v>
      </c>
      <c r="W10" s="37" t="s">
        <v>56</v>
      </c>
      <c r="X10" s="21" t="s">
        <v>70</v>
      </c>
      <c r="Y10" s="70">
        <f t="shared" si="1"/>
        <v>0</v>
      </c>
    </row>
    <row r="11" spans="1:25" s="39" customFormat="1" ht="14" customHeight="1" x14ac:dyDescent="0.35">
      <c r="A11" s="37" t="s">
        <v>63</v>
      </c>
      <c r="B11" s="37" t="s">
        <v>58</v>
      </c>
      <c r="C11" s="37" t="s">
        <v>47</v>
      </c>
      <c r="D11" s="37">
        <v>847</v>
      </c>
      <c r="E11" s="37">
        <v>8470810</v>
      </c>
      <c r="F11" s="37" t="s">
        <v>48</v>
      </c>
      <c r="G11" s="37">
        <v>1</v>
      </c>
      <c r="H11" s="37">
        <v>432226</v>
      </c>
      <c r="I11" s="37" t="s">
        <v>184</v>
      </c>
      <c r="J11" s="37" t="s">
        <v>60</v>
      </c>
      <c r="K11" s="37" t="s">
        <v>50</v>
      </c>
      <c r="L11" s="37">
        <v>847001</v>
      </c>
      <c r="M11" s="37" t="s">
        <v>61</v>
      </c>
      <c r="N11" s="37">
        <v>200179</v>
      </c>
      <c r="O11" s="37" t="str">
        <f t="shared" si="0"/>
        <v>847.8470810.1.432226.000000.847001.200179</v>
      </c>
      <c r="P11" s="37" t="s">
        <v>186</v>
      </c>
      <c r="Q11" s="37" t="s">
        <v>68</v>
      </c>
      <c r="R11" s="37">
        <v>12</v>
      </c>
      <c r="S11" s="37">
        <v>48000</v>
      </c>
      <c r="T11" s="37" t="s">
        <v>187</v>
      </c>
      <c r="U11" s="38">
        <v>576000</v>
      </c>
      <c r="V11" s="37" t="s">
        <v>55</v>
      </c>
      <c r="W11" s="37" t="s">
        <v>56</v>
      </c>
      <c r="X11" s="21" t="s">
        <v>70</v>
      </c>
      <c r="Y11" s="70">
        <f t="shared" si="1"/>
        <v>0</v>
      </c>
    </row>
    <row r="12" spans="1:25" s="39" customFormat="1" ht="14" customHeight="1" x14ac:dyDescent="0.35">
      <c r="A12" s="37" t="s">
        <v>63</v>
      </c>
      <c r="B12" s="37" t="s">
        <v>64</v>
      </c>
      <c r="C12" s="37" t="s">
        <v>47</v>
      </c>
      <c r="D12" s="37">
        <v>847</v>
      </c>
      <c r="E12" s="37">
        <v>8470810</v>
      </c>
      <c r="F12" s="37" t="s">
        <v>48</v>
      </c>
      <c r="G12" s="37">
        <v>1</v>
      </c>
      <c r="H12" s="37">
        <v>492310</v>
      </c>
      <c r="I12" s="37" t="s">
        <v>191</v>
      </c>
      <c r="J12" s="37" t="s">
        <v>60</v>
      </c>
      <c r="K12" s="37" t="s">
        <v>50</v>
      </c>
      <c r="L12" s="37">
        <v>847001</v>
      </c>
      <c r="M12" s="37" t="s">
        <v>192</v>
      </c>
      <c r="N12" s="37">
        <v>300180</v>
      </c>
      <c r="O12" s="37" t="str">
        <f t="shared" si="0"/>
        <v>847.8470810.1.492310.000000.847001.300180</v>
      </c>
      <c r="P12" s="37" t="s">
        <v>194</v>
      </c>
      <c r="Q12" s="37" t="s">
        <v>195</v>
      </c>
      <c r="R12" s="37">
        <v>1</v>
      </c>
      <c r="S12" s="37">
        <v>340000</v>
      </c>
      <c r="T12" s="37" t="s">
        <v>303</v>
      </c>
      <c r="U12" s="38">
        <v>340000</v>
      </c>
      <c r="V12" s="37" t="s">
        <v>55</v>
      </c>
      <c r="W12" s="37" t="s">
        <v>56</v>
      </c>
      <c r="X12" s="21" t="s">
        <v>70</v>
      </c>
      <c r="Y12" s="70">
        <f t="shared" si="1"/>
        <v>0</v>
      </c>
    </row>
    <row r="13" spans="1:25" s="39" customFormat="1" ht="14" customHeight="1" x14ac:dyDescent="0.35">
      <c r="A13" s="37" t="s">
        <v>63</v>
      </c>
      <c r="B13" s="37" t="s">
        <v>64</v>
      </c>
      <c r="C13" s="37" t="s">
        <v>47</v>
      </c>
      <c r="D13" s="37">
        <v>847</v>
      </c>
      <c r="E13" s="37">
        <v>8470810</v>
      </c>
      <c r="F13" s="37" t="s">
        <v>48</v>
      </c>
      <c r="G13" s="37">
        <v>1</v>
      </c>
      <c r="H13" s="37">
        <v>492352</v>
      </c>
      <c r="I13" s="37" t="s">
        <v>198</v>
      </c>
      <c r="J13" s="37" t="s">
        <v>60</v>
      </c>
      <c r="K13" s="37" t="s">
        <v>50</v>
      </c>
      <c r="L13" s="37">
        <v>847001</v>
      </c>
      <c r="M13" s="37" t="s">
        <v>192</v>
      </c>
      <c r="N13" s="37">
        <v>300180</v>
      </c>
      <c r="O13" s="37" t="str">
        <f t="shared" si="0"/>
        <v>847.8470810.1.492352.000000.847001.300180</v>
      </c>
      <c r="P13" s="37" t="s">
        <v>200</v>
      </c>
      <c r="Q13" s="37" t="s">
        <v>201</v>
      </c>
      <c r="R13" s="37">
        <v>1</v>
      </c>
      <c r="S13" s="37">
        <v>1164000</v>
      </c>
      <c r="T13" s="37" t="s">
        <v>304</v>
      </c>
      <c r="U13" s="38">
        <v>1164000</v>
      </c>
      <c r="V13" s="37" t="s">
        <v>55</v>
      </c>
      <c r="W13" s="37" t="s">
        <v>56</v>
      </c>
      <c r="X13" s="21" t="s">
        <v>70</v>
      </c>
      <c r="Y13" s="70">
        <f t="shared" si="1"/>
        <v>0</v>
      </c>
    </row>
    <row r="14" spans="1:25" s="39" customFormat="1" ht="14" customHeight="1" x14ac:dyDescent="0.35">
      <c r="A14" s="37" t="s">
        <v>63</v>
      </c>
      <c r="B14" s="37" t="s">
        <v>64</v>
      </c>
      <c r="C14" s="37" t="s">
        <v>47</v>
      </c>
      <c r="D14" s="37">
        <v>847</v>
      </c>
      <c r="E14" s="37">
        <v>8470810</v>
      </c>
      <c r="F14" s="37" t="s">
        <v>48</v>
      </c>
      <c r="G14" s="37">
        <v>1</v>
      </c>
      <c r="H14" s="37">
        <v>492356</v>
      </c>
      <c r="I14" s="37" t="s">
        <v>206</v>
      </c>
      <c r="J14" s="37" t="s">
        <v>60</v>
      </c>
      <c r="K14" s="37" t="s">
        <v>50</v>
      </c>
      <c r="L14" s="37">
        <v>847001</v>
      </c>
      <c r="M14" s="37" t="s">
        <v>192</v>
      </c>
      <c r="N14" s="37">
        <v>300180</v>
      </c>
      <c r="O14" s="37" t="str">
        <f t="shared" si="0"/>
        <v>847.8470810.1.492356.000000.847001.300180</v>
      </c>
      <c r="P14" s="37" t="s">
        <v>208</v>
      </c>
      <c r="Q14" s="37" t="s">
        <v>201</v>
      </c>
      <c r="R14" s="37">
        <v>1</v>
      </c>
      <c r="S14" s="37">
        <v>1195750</v>
      </c>
      <c r="T14" s="37" t="s">
        <v>209</v>
      </c>
      <c r="U14" s="38">
        <v>1195750</v>
      </c>
      <c r="V14" s="37" t="s">
        <v>55</v>
      </c>
      <c r="W14" s="37" t="s">
        <v>56</v>
      </c>
      <c r="X14" s="21" t="s">
        <v>70</v>
      </c>
      <c r="Y14" s="70">
        <f t="shared" si="1"/>
        <v>0</v>
      </c>
    </row>
    <row r="15" spans="1:25" s="39" customFormat="1" ht="14" customHeight="1" x14ac:dyDescent="0.35">
      <c r="A15" s="37" t="s">
        <v>63</v>
      </c>
      <c r="B15" s="37" t="s">
        <v>64</v>
      </c>
      <c r="C15" s="37" t="s">
        <v>47</v>
      </c>
      <c r="D15" s="37">
        <v>847</v>
      </c>
      <c r="E15" s="37">
        <v>8470810</v>
      </c>
      <c r="F15" s="37" t="s">
        <v>48</v>
      </c>
      <c r="G15" s="37">
        <v>1</v>
      </c>
      <c r="H15" s="37">
        <v>495113</v>
      </c>
      <c r="I15" s="37" t="s">
        <v>214</v>
      </c>
      <c r="J15" s="37" t="s">
        <v>60</v>
      </c>
      <c r="K15" s="37" t="s">
        <v>50</v>
      </c>
      <c r="L15" s="37">
        <v>847001</v>
      </c>
      <c r="M15" s="37" t="s">
        <v>192</v>
      </c>
      <c r="N15" s="37">
        <v>300180</v>
      </c>
      <c r="O15" s="37" t="str">
        <f t="shared" si="0"/>
        <v>847.8470810.1.495113.000000.847001.300180</v>
      </c>
      <c r="P15" s="37" t="s">
        <v>215</v>
      </c>
      <c r="Q15" s="37" t="s">
        <v>157</v>
      </c>
      <c r="R15" s="37">
        <v>1</v>
      </c>
      <c r="S15" s="37">
        <v>750000</v>
      </c>
      <c r="T15" s="37" t="s">
        <v>306</v>
      </c>
      <c r="U15" s="38">
        <v>750000</v>
      </c>
      <c r="V15" s="37" t="s">
        <v>55</v>
      </c>
      <c r="W15" s="37" t="s">
        <v>56</v>
      </c>
      <c r="X15" s="21" t="s">
        <v>70</v>
      </c>
      <c r="Y15" s="70">
        <f t="shared" si="1"/>
        <v>0</v>
      </c>
    </row>
    <row r="16" spans="1:25" s="39" customFormat="1" ht="14" customHeight="1" x14ac:dyDescent="0.35">
      <c r="A16" s="37" t="s">
        <v>222</v>
      </c>
      <c r="B16" s="37" t="s">
        <v>58</v>
      </c>
      <c r="C16" s="37" t="s">
        <v>223</v>
      </c>
      <c r="D16" s="37">
        <v>847</v>
      </c>
      <c r="E16" s="37">
        <v>8470220</v>
      </c>
      <c r="F16" s="37" t="s">
        <v>224</v>
      </c>
      <c r="G16" s="37">
        <v>1</v>
      </c>
      <c r="H16" s="37">
        <v>420550</v>
      </c>
      <c r="I16" s="37" t="s">
        <v>225</v>
      </c>
      <c r="J16" s="37" t="s">
        <v>60</v>
      </c>
      <c r="K16" s="37" t="s">
        <v>50</v>
      </c>
      <c r="L16" s="37">
        <v>847001</v>
      </c>
      <c r="M16" s="37" t="s">
        <v>61</v>
      </c>
      <c r="N16" s="37">
        <v>200179</v>
      </c>
      <c r="O16" s="37" t="str">
        <f t="shared" si="0"/>
        <v>847.8470220.1.420550.000000.847001.200179</v>
      </c>
      <c r="P16" s="37" t="s">
        <v>227</v>
      </c>
      <c r="Q16" s="37"/>
      <c r="R16" s="37">
        <v>145</v>
      </c>
      <c r="S16" s="37">
        <v>3190</v>
      </c>
      <c r="T16" s="37" t="s">
        <v>307</v>
      </c>
      <c r="U16" s="38">
        <v>462550</v>
      </c>
      <c r="V16" s="37" t="s">
        <v>55</v>
      </c>
      <c r="W16" s="37" t="s">
        <v>56</v>
      </c>
      <c r="X16" s="21" t="s">
        <v>230</v>
      </c>
      <c r="Y16" s="70">
        <f t="shared" si="1"/>
        <v>0</v>
      </c>
    </row>
    <row r="17" spans="1:25" s="39" customFormat="1" ht="14" customHeight="1" x14ac:dyDescent="0.35">
      <c r="A17" s="37" t="s">
        <v>222</v>
      </c>
      <c r="B17" s="37" t="s">
        <v>58</v>
      </c>
      <c r="C17" s="37" t="s">
        <v>223</v>
      </c>
      <c r="D17" s="37">
        <v>847</v>
      </c>
      <c r="E17" s="37">
        <v>8470220</v>
      </c>
      <c r="F17" s="37" t="s">
        <v>224</v>
      </c>
      <c r="G17" s="37">
        <v>1</v>
      </c>
      <c r="H17" s="37">
        <v>420570</v>
      </c>
      <c r="I17" s="37" t="s">
        <v>231</v>
      </c>
      <c r="J17" s="37" t="s">
        <v>60</v>
      </c>
      <c r="K17" s="37" t="s">
        <v>50</v>
      </c>
      <c r="L17" s="37">
        <v>847001</v>
      </c>
      <c r="M17" s="37" t="s">
        <v>61</v>
      </c>
      <c r="N17" s="37">
        <v>200179</v>
      </c>
      <c r="O17" s="37" t="str">
        <f t="shared" si="0"/>
        <v>847.8470220.1.420570.000000.847001.200179</v>
      </c>
      <c r="P17" s="37" t="s">
        <v>233</v>
      </c>
      <c r="Q17" s="37" t="s">
        <v>234</v>
      </c>
      <c r="R17" s="37">
        <v>1</v>
      </c>
      <c r="S17" s="37">
        <v>3300000</v>
      </c>
      <c r="T17" s="37" t="s">
        <v>235</v>
      </c>
      <c r="U17" s="38">
        <v>3300000</v>
      </c>
      <c r="V17" s="37" t="s">
        <v>55</v>
      </c>
      <c r="W17" s="37" t="s">
        <v>56</v>
      </c>
      <c r="X17" s="21" t="s">
        <v>237</v>
      </c>
      <c r="Y17" s="70">
        <f t="shared" si="1"/>
        <v>0</v>
      </c>
    </row>
    <row r="18" spans="1:25" s="39" customFormat="1" ht="14" customHeight="1" x14ac:dyDescent="0.35">
      <c r="A18" s="37" t="s">
        <v>222</v>
      </c>
      <c r="B18" s="37" t="s">
        <v>238</v>
      </c>
      <c r="C18" s="37" t="s">
        <v>223</v>
      </c>
      <c r="D18" s="37">
        <v>847</v>
      </c>
      <c r="E18" s="37">
        <v>8470220</v>
      </c>
      <c r="F18" s="37" t="s">
        <v>224</v>
      </c>
      <c r="G18" s="37">
        <v>1</v>
      </c>
      <c r="H18" s="37">
        <v>421700</v>
      </c>
      <c r="I18" s="37" t="s">
        <v>239</v>
      </c>
      <c r="J18" s="37" t="s">
        <v>60</v>
      </c>
      <c r="K18" s="37" t="s">
        <v>50</v>
      </c>
      <c r="L18" s="37">
        <v>847001</v>
      </c>
      <c r="M18" s="37" t="s">
        <v>61</v>
      </c>
      <c r="N18" s="37">
        <v>200179</v>
      </c>
      <c r="O18" s="37" t="str">
        <f t="shared" si="0"/>
        <v>847.8470220.1.421700.000000.847001.200179</v>
      </c>
      <c r="P18" s="37" t="s">
        <v>241</v>
      </c>
      <c r="Q18" s="37" t="s">
        <v>157</v>
      </c>
      <c r="R18" s="37">
        <v>1</v>
      </c>
      <c r="S18" s="37">
        <v>150000</v>
      </c>
      <c r="T18" s="37" t="s">
        <v>308</v>
      </c>
      <c r="U18" s="38">
        <v>150000</v>
      </c>
      <c r="V18" s="37" t="s">
        <v>55</v>
      </c>
      <c r="W18" s="37" t="s">
        <v>197</v>
      </c>
      <c r="X18" s="21" t="s">
        <v>244</v>
      </c>
      <c r="Y18" s="70">
        <f t="shared" si="1"/>
        <v>0</v>
      </c>
    </row>
    <row r="19" spans="1:25" s="39" customFormat="1" ht="14" customHeight="1" x14ac:dyDescent="0.35">
      <c r="A19" s="37" t="s">
        <v>245</v>
      </c>
      <c r="B19" s="37" t="s">
        <v>246</v>
      </c>
      <c r="C19" s="37" t="s">
        <v>223</v>
      </c>
      <c r="D19" s="37">
        <v>847</v>
      </c>
      <c r="E19" s="37">
        <v>8470220</v>
      </c>
      <c r="F19" s="37" t="s">
        <v>224</v>
      </c>
      <c r="G19" s="37">
        <v>1</v>
      </c>
      <c r="H19" s="37">
        <v>425510</v>
      </c>
      <c r="I19" s="37" t="s">
        <v>247</v>
      </c>
      <c r="J19" s="37" t="s">
        <v>60</v>
      </c>
      <c r="K19" s="37" t="s">
        <v>50</v>
      </c>
      <c r="L19" s="37">
        <v>847001</v>
      </c>
      <c r="M19" s="37" t="s">
        <v>61</v>
      </c>
      <c r="N19" s="37">
        <v>200179</v>
      </c>
      <c r="O19" s="37" t="str">
        <f t="shared" si="0"/>
        <v>847.8470220.1.425510.000000.847001.200179</v>
      </c>
      <c r="P19" s="37" t="s">
        <v>249</v>
      </c>
      <c r="Q19" s="37" t="s">
        <v>250</v>
      </c>
      <c r="R19" s="37">
        <v>5</v>
      </c>
      <c r="S19" s="37">
        <v>22000</v>
      </c>
      <c r="T19" s="37" t="s">
        <v>309</v>
      </c>
      <c r="U19" s="38">
        <v>110000</v>
      </c>
      <c r="V19" s="37" t="s">
        <v>55</v>
      </c>
      <c r="W19" s="37" t="s">
        <v>56</v>
      </c>
      <c r="X19" s="21" t="s">
        <v>252</v>
      </c>
      <c r="Y19" s="70">
        <f t="shared" si="1"/>
        <v>0</v>
      </c>
    </row>
    <row r="20" spans="1:25" s="39" customFormat="1" ht="14" customHeight="1" x14ac:dyDescent="0.35">
      <c r="A20" s="37" t="s">
        <v>245</v>
      </c>
      <c r="B20" s="37" t="s">
        <v>58</v>
      </c>
      <c r="C20" s="37" t="s">
        <v>223</v>
      </c>
      <c r="D20" s="37">
        <v>847</v>
      </c>
      <c r="E20" s="37">
        <v>8470220</v>
      </c>
      <c r="F20" s="37" t="s">
        <v>224</v>
      </c>
      <c r="G20" s="37">
        <v>1</v>
      </c>
      <c r="H20" s="37">
        <v>425550</v>
      </c>
      <c r="I20" s="37" t="s">
        <v>253</v>
      </c>
      <c r="J20" s="37" t="s">
        <v>60</v>
      </c>
      <c r="K20" s="37" t="s">
        <v>50</v>
      </c>
      <c r="L20" s="37">
        <v>847001</v>
      </c>
      <c r="M20" s="37" t="s">
        <v>61</v>
      </c>
      <c r="N20" s="37">
        <v>200179</v>
      </c>
      <c r="O20" s="37" t="str">
        <f t="shared" si="0"/>
        <v>847.8470220.1.425550.000000.847001.200179</v>
      </c>
      <c r="P20" s="37" t="s">
        <v>255</v>
      </c>
      <c r="Q20" s="37" t="s">
        <v>256</v>
      </c>
      <c r="R20" s="37">
        <v>5</v>
      </c>
      <c r="S20" s="37">
        <v>22000</v>
      </c>
      <c r="T20" s="37" t="s">
        <v>310</v>
      </c>
      <c r="U20" s="38">
        <v>110000</v>
      </c>
      <c r="V20" s="37" t="s">
        <v>55</v>
      </c>
      <c r="W20" s="37" t="s">
        <v>56</v>
      </c>
      <c r="X20" s="21" t="s">
        <v>252</v>
      </c>
      <c r="Y20" s="70">
        <f t="shared" si="1"/>
        <v>0</v>
      </c>
    </row>
    <row r="21" spans="1:25" s="39" customFormat="1" ht="14" customHeight="1" x14ac:dyDescent="0.35">
      <c r="A21" s="37" t="s">
        <v>258</v>
      </c>
      <c r="B21" s="37" t="s">
        <v>58</v>
      </c>
      <c r="C21" s="37" t="s">
        <v>223</v>
      </c>
      <c r="D21" s="37">
        <v>847</v>
      </c>
      <c r="E21" s="37">
        <v>8470220</v>
      </c>
      <c r="F21" s="37" t="s">
        <v>224</v>
      </c>
      <c r="G21" s="37">
        <v>1</v>
      </c>
      <c r="H21" s="37">
        <v>425740</v>
      </c>
      <c r="I21" s="37" t="s">
        <v>259</v>
      </c>
      <c r="J21" s="37" t="s">
        <v>60</v>
      </c>
      <c r="K21" s="37" t="s">
        <v>50</v>
      </c>
      <c r="L21" s="37">
        <v>847001</v>
      </c>
      <c r="M21" s="37" t="s">
        <v>61</v>
      </c>
      <c r="N21" s="37">
        <v>200179</v>
      </c>
      <c r="O21" s="37" t="str">
        <f t="shared" si="0"/>
        <v>847.8470220.1.425740.000000.847001.200179</v>
      </c>
      <c r="P21" s="37" t="s">
        <v>261</v>
      </c>
      <c r="Q21" s="37" t="s">
        <v>262</v>
      </c>
      <c r="R21" s="37">
        <v>26</v>
      </c>
      <c r="S21" s="37">
        <v>152510</v>
      </c>
      <c r="T21" s="37" t="s">
        <v>311</v>
      </c>
      <c r="U21" s="38">
        <v>3965260</v>
      </c>
      <c r="V21" s="37" t="s">
        <v>55</v>
      </c>
      <c r="W21" s="37" t="s">
        <v>56</v>
      </c>
      <c r="X21" s="21" t="s">
        <v>264</v>
      </c>
      <c r="Y21" s="70">
        <f t="shared" si="1"/>
        <v>0</v>
      </c>
    </row>
    <row r="22" spans="1:25" s="39" customFormat="1" ht="14" customHeight="1" x14ac:dyDescent="0.35">
      <c r="A22" s="37" t="s">
        <v>189</v>
      </c>
      <c r="B22" s="37" t="s">
        <v>265</v>
      </c>
      <c r="C22" s="37" t="s">
        <v>223</v>
      </c>
      <c r="D22" s="37">
        <v>847</v>
      </c>
      <c r="E22" s="37">
        <v>8470220</v>
      </c>
      <c r="F22" s="37" t="s">
        <v>224</v>
      </c>
      <c r="G22" s="37">
        <v>1</v>
      </c>
      <c r="H22" s="37">
        <v>425900</v>
      </c>
      <c r="I22" s="37" t="s">
        <v>266</v>
      </c>
      <c r="J22" s="37" t="s">
        <v>60</v>
      </c>
      <c r="K22" s="37" t="s">
        <v>50</v>
      </c>
      <c r="L22" s="37">
        <v>847001</v>
      </c>
      <c r="M22" s="37" t="s">
        <v>61</v>
      </c>
      <c r="N22" s="37">
        <v>200179</v>
      </c>
      <c r="O22" s="37" t="str">
        <f t="shared" si="0"/>
        <v>847.8470220.1.425900.000000.847001.200179</v>
      </c>
      <c r="P22" s="37" t="s">
        <v>268</v>
      </c>
      <c r="Q22" s="37" t="s">
        <v>269</v>
      </c>
      <c r="R22" s="37">
        <v>12</v>
      </c>
      <c r="S22" s="37">
        <v>11735</v>
      </c>
      <c r="T22" s="37" t="s">
        <v>312</v>
      </c>
      <c r="U22" s="38">
        <v>140820</v>
      </c>
      <c r="V22" s="37" t="s">
        <v>55</v>
      </c>
      <c r="W22" s="37" t="s">
        <v>56</v>
      </c>
      <c r="X22" s="21" t="s">
        <v>272</v>
      </c>
      <c r="Y22" s="70">
        <f t="shared" si="1"/>
        <v>0</v>
      </c>
    </row>
    <row r="23" spans="1:25" s="39" customFormat="1" ht="14" customHeight="1" x14ac:dyDescent="0.35">
      <c r="A23" s="37" t="s">
        <v>63</v>
      </c>
      <c r="B23" s="37" t="s">
        <v>64</v>
      </c>
      <c r="C23" s="37" t="s">
        <v>223</v>
      </c>
      <c r="D23" s="37">
        <v>847</v>
      </c>
      <c r="E23" s="37">
        <v>8470220</v>
      </c>
      <c r="F23" s="37" t="s">
        <v>224</v>
      </c>
      <c r="G23" s="37">
        <v>1</v>
      </c>
      <c r="H23" s="37">
        <v>426610</v>
      </c>
      <c r="I23" s="37" t="s">
        <v>74</v>
      </c>
      <c r="J23" s="37" t="s">
        <v>60</v>
      </c>
      <c r="K23" s="37" t="s">
        <v>50</v>
      </c>
      <c r="L23" s="37">
        <v>847001</v>
      </c>
      <c r="M23" s="37" t="s">
        <v>61</v>
      </c>
      <c r="N23" s="37">
        <v>200179</v>
      </c>
      <c r="O23" s="37" t="str">
        <f t="shared" si="0"/>
        <v>847.8470220.1.426610.000000.847001.200179</v>
      </c>
      <c r="P23" s="37" t="s">
        <v>274</v>
      </c>
      <c r="Q23" s="37" t="s">
        <v>157</v>
      </c>
      <c r="R23" s="37">
        <v>1</v>
      </c>
      <c r="S23" s="37">
        <v>50000</v>
      </c>
      <c r="T23" s="37">
        <v>50000</v>
      </c>
      <c r="U23" s="38">
        <v>50000</v>
      </c>
      <c r="V23" s="37" t="s">
        <v>55</v>
      </c>
      <c r="W23" s="37" t="s">
        <v>197</v>
      </c>
      <c r="X23" s="21" t="s">
        <v>70</v>
      </c>
      <c r="Y23" s="70">
        <f t="shared" si="1"/>
        <v>0</v>
      </c>
    </row>
    <row r="24" spans="1:25" s="39" customFormat="1" ht="14" customHeight="1" x14ac:dyDescent="0.35">
      <c r="A24" s="37" t="s">
        <v>153</v>
      </c>
      <c r="B24" s="37" t="s">
        <v>58</v>
      </c>
      <c r="C24" s="37" t="s">
        <v>223</v>
      </c>
      <c r="D24" s="37">
        <v>847</v>
      </c>
      <c r="E24" s="37">
        <v>8470220</v>
      </c>
      <c r="F24" s="37" t="s">
        <v>224</v>
      </c>
      <c r="G24" s="37">
        <v>1</v>
      </c>
      <c r="H24" s="37">
        <v>428090</v>
      </c>
      <c r="I24" s="37" t="s">
        <v>154</v>
      </c>
      <c r="J24" s="37" t="s">
        <v>60</v>
      </c>
      <c r="K24" s="37" t="s">
        <v>50</v>
      </c>
      <c r="L24" s="37">
        <v>847001</v>
      </c>
      <c r="M24" s="37" t="s">
        <v>61</v>
      </c>
      <c r="N24" s="37">
        <v>200179</v>
      </c>
      <c r="O24" s="37" t="str">
        <f t="shared" si="0"/>
        <v>847.8470220.1.428090.000000.847001.200179</v>
      </c>
      <c r="P24" s="37" t="s">
        <v>156</v>
      </c>
      <c r="Q24" s="37" t="s">
        <v>157</v>
      </c>
      <c r="R24" s="37">
        <v>9</v>
      </c>
      <c r="S24" s="37">
        <v>44000</v>
      </c>
      <c r="T24" s="37" t="s">
        <v>278</v>
      </c>
      <c r="U24" s="38">
        <v>396000</v>
      </c>
      <c r="V24" s="37" t="s">
        <v>210</v>
      </c>
      <c r="W24" s="37" t="s">
        <v>197</v>
      </c>
      <c r="X24" s="21" t="s">
        <v>237</v>
      </c>
      <c r="Y24" s="70">
        <f t="shared" si="1"/>
        <v>0</v>
      </c>
    </row>
    <row r="25" spans="1:25" s="39" customFormat="1" ht="14" customHeight="1" x14ac:dyDescent="0.35">
      <c r="A25" s="37" t="s">
        <v>245</v>
      </c>
      <c r="B25" s="37" t="s">
        <v>246</v>
      </c>
      <c r="C25" s="37" t="s">
        <v>223</v>
      </c>
      <c r="D25" s="37">
        <v>847</v>
      </c>
      <c r="E25" s="37">
        <v>8470220</v>
      </c>
      <c r="F25" s="37" t="s">
        <v>224</v>
      </c>
      <c r="G25" s="37">
        <v>1</v>
      </c>
      <c r="H25" s="37">
        <v>428640</v>
      </c>
      <c r="I25" s="37" t="s">
        <v>279</v>
      </c>
      <c r="J25" s="37" t="s">
        <v>60</v>
      </c>
      <c r="K25" s="37" t="s">
        <v>50</v>
      </c>
      <c r="L25" s="37">
        <v>847001</v>
      </c>
      <c r="M25" s="37" t="s">
        <v>61</v>
      </c>
      <c r="N25" s="37">
        <v>200179</v>
      </c>
      <c r="O25" s="37" t="str">
        <f t="shared" si="0"/>
        <v>847.8470220.1.428640.000000.847001.200179</v>
      </c>
      <c r="P25" s="37" t="s">
        <v>281</v>
      </c>
      <c r="Q25" s="37" t="s">
        <v>269</v>
      </c>
      <c r="R25" s="37">
        <v>1</v>
      </c>
      <c r="S25" s="37">
        <v>2200000</v>
      </c>
      <c r="T25" s="37" t="s">
        <v>282</v>
      </c>
      <c r="U25" s="38">
        <v>2200000</v>
      </c>
      <c r="V25" s="37" t="s">
        <v>55</v>
      </c>
      <c r="W25" s="37" t="s">
        <v>197</v>
      </c>
      <c r="X25" s="21" t="s">
        <v>272</v>
      </c>
      <c r="Y25" s="70">
        <f t="shared" si="1"/>
        <v>0</v>
      </c>
    </row>
    <row r="26" spans="1:25" s="39" customFormat="1" ht="14" customHeight="1" x14ac:dyDescent="0.35">
      <c r="A26" s="37" t="s">
        <v>63</v>
      </c>
      <c r="B26" s="37" t="s">
        <v>64</v>
      </c>
      <c r="C26" s="37" t="s">
        <v>223</v>
      </c>
      <c r="D26" s="37">
        <v>847</v>
      </c>
      <c r="E26" s="37">
        <v>8470220</v>
      </c>
      <c r="F26" s="37" t="s">
        <v>224</v>
      </c>
      <c r="G26" s="37">
        <v>1</v>
      </c>
      <c r="H26" s="37">
        <v>432205</v>
      </c>
      <c r="I26" s="37" t="s">
        <v>167</v>
      </c>
      <c r="J26" s="37" t="s">
        <v>60</v>
      </c>
      <c r="K26" s="37" t="s">
        <v>50</v>
      </c>
      <c r="L26" s="37">
        <v>847001</v>
      </c>
      <c r="M26" s="37" t="s">
        <v>61</v>
      </c>
      <c r="N26" s="37">
        <v>200179</v>
      </c>
      <c r="O26" s="37" t="str">
        <f t="shared" si="0"/>
        <v>847.8470220.1.432205.000000.847001.200179</v>
      </c>
      <c r="P26" s="37" t="s">
        <v>173</v>
      </c>
      <c r="Q26" s="37" t="s">
        <v>76</v>
      </c>
      <c r="R26" s="37">
        <v>6</v>
      </c>
      <c r="S26" s="37">
        <v>11000</v>
      </c>
      <c r="T26" s="37" t="s">
        <v>285</v>
      </c>
      <c r="U26" s="38">
        <v>66000</v>
      </c>
      <c r="V26" s="37" t="s">
        <v>55</v>
      </c>
      <c r="W26" s="37" t="s">
        <v>197</v>
      </c>
      <c r="X26" s="21" t="s">
        <v>70</v>
      </c>
      <c r="Y26" s="70">
        <f t="shared" si="1"/>
        <v>0</v>
      </c>
    </row>
    <row r="27" spans="1:25" s="39" customFormat="1" ht="14" customHeight="1" x14ac:dyDescent="0.35">
      <c r="A27" s="37" t="s">
        <v>161</v>
      </c>
      <c r="B27" s="37" t="s">
        <v>220</v>
      </c>
      <c r="C27" s="37" t="s">
        <v>223</v>
      </c>
      <c r="D27" s="37">
        <v>847</v>
      </c>
      <c r="E27" s="37">
        <v>8470220</v>
      </c>
      <c r="F27" s="37" t="s">
        <v>224</v>
      </c>
      <c r="G27" s="37">
        <v>1</v>
      </c>
      <c r="H27" s="37">
        <v>492316</v>
      </c>
      <c r="I27" s="37" t="s">
        <v>221</v>
      </c>
      <c r="J27" s="37" t="s">
        <v>60</v>
      </c>
      <c r="K27" s="37" t="s">
        <v>50</v>
      </c>
      <c r="L27" s="37">
        <v>847001</v>
      </c>
      <c r="M27" s="37" t="s">
        <v>192</v>
      </c>
      <c r="N27" s="37">
        <v>300180</v>
      </c>
      <c r="O27" s="37" t="str">
        <f t="shared" si="0"/>
        <v>847.8470220.1.492316.000000.847001.300180</v>
      </c>
      <c r="P27" s="37" t="s">
        <v>288</v>
      </c>
      <c r="Q27" s="37" t="s">
        <v>157</v>
      </c>
      <c r="R27" s="37">
        <v>1</v>
      </c>
      <c r="S27" s="37">
        <v>330000</v>
      </c>
      <c r="T27" s="37" t="s">
        <v>289</v>
      </c>
      <c r="U27" s="38">
        <v>330000</v>
      </c>
      <c r="V27" s="37" t="s">
        <v>210</v>
      </c>
      <c r="W27" s="37" t="s">
        <v>56</v>
      </c>
      <c r="X27" s="21" t="s">
        <v>70</v>
      </c>
      <c r="Y27" s="70">
        <f t="shared" si="1"/>
        <v>0</v>
      </c>
    </row>
    <row r="28" spans="1:25" s="39" customFormat="1" ht="14" customHeight="1" x14ac:dyDescent="0.35">
      <c r="A28" s="37" t="s">
        <v>46</v>
      </c>
      <c r="B28" s="37" t="s">
        <v>46</v>
      </c>
      <c r="C28" s="37" t="s">
        <v>223</v>
      </c>
      <c r="D28" s="37">
        <v>847</v>
      </c>
      <c r="E28" s="37">
        <v>8470220</v>
      </c>
      <c r="F28" s="37" t="s">
        <v>224</v>
      </c>
      <c r="G28" s="37">
        <v>1</v>
      </c>
      <c r="H28" s="37">
        <v>436120</v>
      </c>
      <c r="I28" s="37" t="s">
        <v>291</v>
      </c>
      <c r="J28" s="37" t="s">
        <v>60</v>
      </c>
      <c r="K28" s="37" t="s">
        <v>50</v>
      </c>
      <c r="L28" s="37">
        <v>847001</v>
      </c>
      <c r="M28" s="37" t="s">
        <v>61</v>
      </c>
      <c r="N28" s="37">
        <v>200179</v>
      </c>
      <c r="O28" s="37" t="str">
        <f t="shared" si="0"/>
        <v>847.8470220.1.436120.000000.847001.200179</v>
      </c>
      <c r="P28" s="37" t="s">
        <v>292</v>
      </c>
      <c r="Q28" s="37" t="s">
        <v>157</v>
      </c>
      <c r="R28" s="37">
        <v>6</v>
      </c>
      <c r="S28" s="37">
        <v>1100</v>
      </c>
      <c r="T28" s="37" t="s">
        <v>293</v>
      </c>
      <c r="U28" s="38">
        <v>6600</v>
      </c>
      <c r="V28" s="37" t="s">
        <v>55</v>
      </c>
      <c r="W28" s="37" t="s">
        <v>56</v>
      </c>
      <c r="X28" s="21" t="s">
        <v>295</v>
      </c>
      <c r="Y28" s="70">
        <f t="shared" si="1"/>
        <v>0</v>
      </c>
    </row>
    <row r="29" spans="1:25" s="39" customFormat="1" ht="14" customHeight="1" x14ac:dyDescent="0.35">
      <c r="A29" s="20" t="s">
        <v>222</v>
      </c>
      <c r="B29" s="20" t="s">
        <v>58</v>
      </c>
      <c r="C29" s="20" t="s">
        <v>334</v>
      </c>
      <c r="D29" s="20">
        <v>847</v>
      </c>
      <c r="E29" s="20">
        <v>8470305</v>
      </c>
      <c r="F29" s="20" t="s">
        <v>598</v>
      </c>
      <c r="G29" s="20">
        <v>1</v>
      </c>
      <c r="H29" s="20">
        <v>420550</v>
      </c>
      <c r="I29" s="20" t="s">
        <v>225</v>
      </c>
      <c r="J29" s="20" t="s">
        <v>60</v>
      </c>
      <c r="K29" s="20" t="s">
        <v>50</v>
      </c>
      <c r="L29" s="20">
        <v>847001</v>
      </c>
      <c r="M29" s="20" t="s">
        <v>61</v>
      </c>
      <c r="N29" s="20">
        <v>200179</v>
      </c>
      <c r="O29" s="37" t="str">
        <f t="shared" si="0"/>
        <v>847.8470305.1.420550.000000.847001.200179</v>
      </c>
      <c r="P29" s="20" t="s">
        <v>227</v>
      </c>
      <c r="Q29" s="20" t="s">
        <v>157</v>
      </c>
      <c r="R29" s="20">
        <v>2</v>
      </c>
      <c r="S29" s="20">
        <v>50000</v>
      </c>
      <c r="T29" s="21" t="s">
        <v>600</v>
      </c>
      <c r="U29" s="20">
        <v>100000</v>
      </c>
      <c r="V29" s="20">
        <f t="shared" ref="V29:V60" si="2">R29*S29</f>
        <v>100000</v>
      </c>
      <c r="W29" s="20">
        <f t="shared" ref="W29:W60" si="3">U29-V29</f>
        <v>0</v>
      </c>
      <c r="X29" s="21" t="s">
        <v>55</v>
      </c>
      <c r="Y29" s="70">
        <f t="shared" si="1"/>
        <v>0</v>
      </c>
    </row>
    <row r="30" spans="1:25" s="39" customFormat="1" ht="14" customHeight="1" x14ac:dyDescent="0.35">
      <c r="A30" s="20" t="s">
        <v>222</v>
      </c>
      <c r="B30" s="20" t="s">
        <v>58</v>
      </c>
      <c r="C30" s="20" t="s">
        <v>334</v>
      </c>
      <c r="D30" s="20">
        <v>847</v>
      </c>
      <c r="E30" s="20">
        <v>8470305</v>
      </c>
      <c r="F30" s="20" t="s">
        <v>598</v>
      </c>
      <c r="G30" s="20">
        <v>1</v>
      </c>
      <c r="H30" s="20">
        <v>420570</v>
      </c>
      <c r="I30" s="20" t="s">
        <v>231</v>
      </c>
      <c r="J30" s="20" t="s">
        <v>60</v>
      </c>
      <c r="K30" s="20" t="s">
        <v>50</v>
      </c>
      <c r="L30" s="20">
        <v>847001</v>
      </c>
      <c r="M30" s="20" t="s">
        <v>61</v>
      </c>
      <c r="N30" s="20">
        <v>200179</v>
      </c>
      <c r="O30" s="37" t="str">
        <f t="shared" si="0"/>
        <v>847.8470305.1.420570.000000.847001.200179</v>
      </c>
      <c r="P30" s="20" t="s">
        <v>606</v>
      </c>
      <c r="Q30" s="20" t="s">
        <v>607</v>
      </c>
      <c r="R30" s="20">
        <v>2</v>
      </c>
      <c r="S30" s="20">
        <v>5000</v>
      </c>
      <c r="T30" s="21" t="s">
        <v>608</v>
      </c>
      <c r="U30" s="20">
        <v>10000</v>
      </c>
      <c r="V30" s="20">
        <f t="shared" si="2"/>
        <v>10000</v>
      </c>
      <c r="W30" s="20">
        <f t="shared" si="3"/>
        <v>0</v>
      </c>
      <c r="X30" s="21" t="s">
        <v>55</v>
      </c>
      <c r="Y30" s="70">
        <f t="shared" si="1"/>
        <v>0</v>
      </c>
    </row>
    <row r="31" spans="1:25" s="39" customFormat="1" ht="14" customHeight="1" x14ac:dyDescent="0.35">
      <c r="A31" s="20" t="s">
        <v>222</v>
      </c>
      <c r="B31" s="20" t="s">
        <v>238</v>
      </c>
      <c r="C31" s="20" t="s">
        <v>334</v>
      </c>
      <c r="D31" s="20">
        <v>847</v>
      </c>
      <c r="E31" s="20">
        <v>8470305</v>
      </c>
      <c r="F31" s="20" t="s">
        <v>598</v>
      </c>
      <c r="G31" s="20">
        <v>1</v>
      </c>
      <c r="H31" s="20">
        <v>421700</v>
      </c>
      <c r="I31" s="20" t="s">
        <v>239</v>
      </c>
      <c r="J31" s="20" t="s">
        <v>60</v>
      </c>
      <c r="K31" s="20" t="s">
        <v>50</v>
      </c>
      <c r="L31" s="20">
        <v>847001</v>
      </c>
      <c r="M31" s="20" t="s">
        <v>61</v>
      </c>
      <c r="N31" s="20">
        <v>200179</v>
      </c>
      <c r="O31" s="37" t="str">
        <f t="shared" si="0"/>
        <v>847.8470305.1.421700.000000.847001.200179</v>
      </c>
      <c r="P31" s="20" t="s">
        <v>241</v>
      </c>
      <c r="Q31" s="20" t="s">
        <v>157</v>
      </c>
      <c r="R31" s="20">
        <v>9</v>
      </c>
      <c r="S31" s="20">
        <v>10000</v>
      </c>
      <c r="T31" s="21" t="s">
        <v>924</v>
      </c>
      <c r="U31" s="20">
        <v>90000</v>
      </c>
      <c r="V31" s="20">
        <f t="shared" si="2"/>
        <v>90000</v>
      </c>
      <c r="W31" s="20">
        <f t="shared" si="3"/>
        <v>0</v>
      </c>
      <c r="X31" s="21" t="s">
        <v>55</v>
      </c>
      <c r="Y31" s="70">
        <f t="shared" si="1"/>
        <v>0</v>
      </c>
    </row>
    <row r="32" spans="1:25" s="39" customFormat="1" ht="14" customHeight="1" x14ac:dyDescent="0.35">
      <c r="A32" s="20" t="s">
        <v>245</v>
      </c>
      <c r="B32" s="20" t="s">
        <v>246</v>
      </c>
      <c r="C32" s="20" t="s">
        <v>334</v>
      </c>
      <c r="D32" s="20">
        <v>847</v>
      </c>
      <c r="E32" s="20">
        <v>8470305</v>
      </c>
      <c r="F32" s="20" t="s">
        <v>598</v>
      </c>
      <c r="G32" s="20">
        <v>1</v>
      </c>
      <c r="H32" s="20">
        <v>425510</v>
      </c>
      <c r="I32" s="20" t="s">
        <v>247</v>
      </c>
      <c r="J32" s="20" t="s">
        <v>60</v>
      </c>
      <c r="K32" s="20" t="s">
        <v>50</v>
      </c>
      <c r="L32" s="20">
        <v>847001</v>
      </c>
      <c r="M32" s="20" t="s">
        <v>61</v>
      </c>
      <c r="N32" s="20">
        <v>200179</v>
      </c>
      <c r="O32" s="37" t="str">
        <f t="shared" si="0"/>
        <v>847.8470305.1.425510.000000.847001.200179</v>
      </c>
      <c r="P32" s="20" t="s">
        <v>615</v>
      </c>
      <c r="Q32" s="20" t="s">
        <v>616</v>
      </c>
      <c r="R32" s="20">
        <v>3</v>
      </c>
      <c r="S32" s="20">
        <v>10000</v>
      </c>
      <c r="T32" s="21" t="s">
        <v>617</v>
      </c>
      <c r="U32" s="20">
        <v>30000</v>
      </c>
      <c r="V32" s="20">
        <f t="shared" si="2"/>
        <v>30000</v>
      </c>
      <c r="W32" s="20">
        <f t="shared" si="3"/>
        <v>0</v>
      </c>
      <c r="X32" s="21" t="s">
        <v>55</v>
      </c>
      <c r="Y32" s="70">
        <f t="shared" si="1"/>
        <v>0</v>
      </c>
    </row>
    <row r="33" spans="1:25" s="39" customFormat="1" ht="14" customHeight="1" x14ac:dyDescent="0.35">
      <c r="A33" s="20" t="s">
        <v>258</v>
      </c>
      <c r="B33" s="20" t="s">
        <v>58</v>
      </c>
      <c r="C33" s="20" t="s">
        <v>334</v>
      </c>
      <c r="D33" s="20">
        <v>847</v>
      </c>
      <c r="E33" s="20">
        <v>8470305</v>
      </c>
      <c r="F33" s="20" t="s">
        <v>598</v>
      </c>
      <c r="G33" s="20">
        <v>1</v>
      </c>
      <c r="H33" s="20">
        <v>425763</v>
      </c>
      <c r="I33" s="20" t="s">
        <v>359</v>
      </c>
      <c r="J33" s="20" t="s">
        <v>60</v>
      </c>
      <c r="K33" s="20" t="s">
        <v>50</v>
      </c>
      <c r="L33" s="20">
        <v>847001</v>
      </c>
      <c r="M33" s="20" t="s">
        <v>61</v>
      </c>
      <c r="N33" s="20">
        <v>200179</v>
      </c>
      <c r="O33" s="37" t="str">
        <f t="shared" si="0"/>
        <v>847.8470305.1.425763.000000.847001.200179</v>
      </c>
      <c r="P33" s="20" t="s">
        <v>361</v>
      </c>
      <c r="Q33" s="20" t="s">
        <v>68</v>
      </c>
      <c r="R33" s="20">
        <v>8</v>
      </c>
      <c r="S33" s="20">
        <v>15000</v>
      </c>
      <c r="T33" s="21" t="s">
        <v>628</v>
      </c>
      <c r="U33" s="20">
        <v>120000</v>
      </c>
      <c r="V33" s="20">
        <f t="shared" si="2"/>
        <v>120000</v>
      </c>
      <c r="W33" s="20">
        <f t="shared" si="3"/>
        <v>0</v>
      </c>
      <c r="X33" s="21" t="s">
        <v>55</v>
      </c>
      <c r="Y33" s="70">
        <f t="shared" si="1"/>
        <v>0</v>
      </c>
    </row>
    <row r="34" spans="1:25" s="39" customFormat="1" ht="14" customHeight="1" x14ac:dyDescent="0.35">
      <c r="A34" s="20" t="s">
        <v>222</v>
      </c>
      <c r="B34" s="20" t="s">
        <v>58</v>
      </c>
      <c r="C34" s="20" t="s">
        <v>334</v>
      </c>
      <c r="D34" s="20">
        <v>847</v>
      </c>
      <c r="E34" s="20">
        <v>8470305</v>
      </c>
      <c r="F34" s="20" t="s">
        <v>598</v>
      </c>
      <c r="G34" s="20">
        <v>1</v>
      </c>
      <c r="H34" s="20">
        <v>425770</v>
      </c>
      <c r="I34" s="20" t="s">
        <v>367</v>
      </c>
      <c r="J34" s="20" t="s">
        <v>60</v>
      </c>
      <c r="K34" s="20" t="s">
        <v>50</v>
      </c>
      <c r="L34" s="20">
        <v>847001</v>
      </c>
      <c r="M34" s="20" t="s">
        <v>61</v>
      </c>
      <c r="N34" s="20">
        <v>200179</v>
      </c>
      <c r="O34" s="37" t="str">
        <f t="shared" si="0"/>
        <v>847.8470305.1.425770.000000.847001.200179</v>
      </c>
      <c r="P34" s="20" t="s">
        <v>369</v>
      </c>
      <c r="Q34" s="20" t="s">
        <v>157</v>
      </c>
      <c r="R34" s="20">
        <v>58</v>
      </c>
      <c r="S34" s="20">
        <v>20000</v>
      </c>
      <c r="T34" s="21" t="s">
        <v>631</v>
      </c>
      <c r="U34" s="20">
        <v>1160000</v>
      </c>
      <c r="V34" s="20">
        <f t="shared" si="2"/>
        <v>1160000</v>
      </c>
      <c r="W34" s="20">
        <f t="shared" si="3"/>
        <v>0</v>
      </c>
      <c r="X34" s="21" t="s">
        <v>55</v>
      </c>
      <c r="Y34" s="70">
        <f t="shared" si="1"/>
        <v>0</v>
      </c>
    </row>
    <row r="35" spans="1:25" s="39" customFormat="1" ht="14" customHeight="1" x14ac:dyDescent="0.35">
      <c r="A35" s="20" t="s">
        <v>189</v>
      </c>
      <c r="B35" s="20" t="s">
        <v>265</v>
      </c>
      <c r="C35" s="20" t="s">
        <v>334</v>
      </c>
      <c r="D35" s="20">
        <v>847</v>
      </c>
      <c r="E35" s="20">
        <v>8470305</v>
      </c>
      <c r="F35" s="20" t="s">
        <v>598</v>
      </c>
      <c r="G35" s="20">
        <v>1</v>
      </c>
      <c r="H35" s="20">
        <v>425900</v>
      </c>
      <c r="I35" s="20" t="s">
        <v>266</v>
      </c>
      <c r="J35" s="20" t="s">
        <v>60</v>
      </c>
      <c r="K35" s="20" t="s">
        <v>50</v>
      </c>
      <c r="L35" s="20">
        <v>847001</v>
      </c>
      <c r="M35" s="20" t="s">
        <v>61</v>
      </c>
      <c r="N35" s="20">
        <v>200179</v>
      </c>
      <c r="O35" s="37" t="str">
        <f t="shared" si="0"/>
        <v>847.8470305.1.425900.000000.847001.200179</v>
      </c>
      <c r="P35" s="20" t="s">
        <v>268</v>
      </c>
      <c r="Q35" s="20" t="s">
        <v>269</v>
      </c>
      <c r="R35" s="20">
        <v>4</v>
      </c>
      <c r="S35" s="20">
        <v>10000</v>
      </c>
      <c r="T35" s="21" t="s">
        <v>634</v>
      </c>
      <c r="U35" s="20">
        <v>40000</v>
      </c>
      <c r="V35" s="20">
        <f t="shared" si="2"/>
        <v>40000</v>
      </c>
      <c r="W35" s="20">
        <f t="shared" si="3"/>
        <v>0</v>
      </c>
      <c r="X35" s="21" t="s">
        <v>55</v>
      </c>
      <c r="Y35" s="70">
        <f t="shared" si="1"/>
        <v>0</v>
      </c>
    </row>
    <row r="36" spans="1:25" s="39" customFormat="1" ht="14" customHeight="1" x14ac:dyDescent="0.35">
      <c r="A36" s="20" t="s">
        <v>63</v>
      </c>
      <c r="B36" s="20" t="s">
        <v>64</v>
      </c>
      <c r="C36" s="20" t="s">
        <v>334</v>
      </c>
      <c r="D36" s="20">
        <v>847</v>
      </c>
      <c r="E36" s="20">
        <v>8470305</v>
      </c>
      <c r="F36" s="20" t="s">
        <v>598</v>
      </c>
      <c r="G36" s="20">
        <v>1</v>
      </c>
      <c r="H36" s="20">
        <v>426610</v>
      </c>
      <c r="I36" s="20" t="s">
        <v>74</v>
      </c>
      <c r="J36" s="20" t="s">
        <v>60</v>
      </c>
      <c r="K36" s="20" t="s">
        <v>50</v>
      </c>
      <c r="L36" s="20">
        <v>847001</v>
      </c>
      <c r="M36" s="20" t="s">
        <v>61</v>
      </c>
      <c r="N36" s="20">
        <v>200179</v>
      </c>
      <c r="O36" s="37" t="str">
        <f t="shared" si="0"/>
        <v>847.8470305.1.426610.000000.847001.200179</v>
      </c>
      <c r="P36" s="20" t="s">
        <v>75</v>
      </c>
      <c r="Q36" s="20" t="s">
        <v>76</v>
      </c>
      <c r="R36" s="20">
        <v>1</v>
      </c>
      <c r="S36" s="20">
        <v>150000</v>
      </c>
      <c r="T36" s="21" t="s">
        <v>638</v>
      </c>
      <c r="U36" s="20">
        <v>150000</v>
      </c>
      <c r="V36" s="20">
        <f t="shared" si="2"/>
        <v>150000</v>
      </c>
      <c r="W36" s="20">
        <f t="shared" si="3"/>
        <v>0</v>
      </c>
      <c r="X36" s="21" t="s">
        <v>55</v>
      </c>
      <c r="Y36" s="70">
        <f t="shared" si="1"/>
        <v>0</v>
      </c>
    </row>
    <row r="37" spans="1:25" s="39" customFormat="1" ht="14" customHeight="1" x14ac:dyDescent="0.35">
      <c r="A37" s="20" t="s">
        <v>153</v>
      </c>
      <c r="B37" s="20" t="s">
        <v>58</v>
      </c>
      <c r="C37" s="20" t="s">
        <v>334</v>
      </c>
      <c r="D37" s="20">
        <v>847</v>
      </c>
      <c r="E37" s="20">
        <v>8470305</v>
      </c>
      <c r="F37" s="20" t="s">
        <v>598</v>
      </c>
      <c r="G37" s="20">
        <v>1</v>
      </c>
      <c r="H37" s="20">
        <v>428090</v>
      </c>
      <c r="I37" s="20" t="s">
        <v>154</v>
      </c>
      <c r="J37" s="20" t="s">
        <v>60</v>
      </c>
      <c r="K37" s="20" t="s">
        <v>50</v>
      </c>
      <c r="L37" s="20">
        <v>847001</v>
      </c>
      <c r="M37" s="20" t="s">
        <v>61</v>
      </c>
      <c r="N37" s="20">
        <v>200179</v>
      </c>
      <c r="O37" s="37" t="str">
        <f t="shared" si="0"/>
        <v>847.8470305.1.428090.000000.847001.200179</v>
      </c>
      <c r="P37" s="20" t="s">
        <v>156</v>
      </c>
      <c r="Q37" s="20" t="s">
        <v>157</v>
      </c>
      <c r="R37" s="20">
        <v>3</v>
      </c>
      <c r="S37" s="20">
        <v>30000</v>
      </c>
      <c r="T37" s="21" t="s">
        <v>641</v>
      </c>
      <c r="U37" s="20">
        <v>90000</v>
      </c>
      <c r="V37" s="20">
        <f t="shared" si="2"/>
        <v>90000</v>
      </c>
      <c r="W37" s="20">
        <f t="shared" si="3"/>
        <v>0</v>
      </c>
      <c r="X37" s="21" t="s">
        <v>55</v>
      </c>
      <c r="Y37" s="70">
        <f t="shared" si="1"/>
        <v>0</v>
      </c>
    </row>
    <row r="38" spans="1:25" s="39" customFormat="1" ht="14" customHeight="1" x14ac:dyDescent="0.35">
      <c r="A38" s="20" t="s">
        <v>245</v>
      </c>
      <c r="B38" s="20" t="s">
        <v>246</v>
      </c>
      <c r="C38" s="20" t="s">
        <v>334</v>
      </c>
      <c r="D38" s="20">
        <v>847</v>
      </c>
      <c r="E38" s="20">
        <v>8470305</v>
      </c>
      <c r="F38" s="20" t="s">
        <v>598</v>
      </c>
      <c r="G38" s="20">
        <v>1</v>
      </c>
      <c r="H38" s="20">
        <v>428640</v>
      </c>
      <c r="I38" s="20" t="s">
        <v>279</v>
      </c>
      <c r="J38" s="20" t="s">
        <v>60</v>
      </c>
      <c r="K38" s="20" t="s">
        <v>50</v>
      </c>
      <c r="L38" s="20">
        <v>847001</v>
      </c>
      <c r="M38" s="20" t="s">
        <v>61</v>
      </c>
      <c r="N38" s="20">
        <v>200179</v>
      </c>
      <c r="O38" s="37" t="str">
        <f t="shared" si="0"/>
        <v>847.8470305.1.428640.000000.847001.200179</v>
      </c>
      <c r="P38" s="20" t="s">
        <v>645</v>
      </c>
      <c r="Q38" s="20" t="s">
        <v>269</v>
      </c>
      <c r="R38" s="20">
        <v>20</v>
      </c>
      <c r="S38" s="20">
        <v>1800</v>
      </c>
      <c r="T38" s="21" t="s">
        <v>646</v>
      </c>
      <c r="U38" s="20">
        <v>36000</v>
      </c>
      <c r="V38" s="20">
        <f t="shared" si="2"/>
        <v>36000</v>
      </c>
      <c r="W38" s="20">
        <f t="shared" si="3"/>
        <v>0</v>
      </c>
      <c r="X38" s="21" t="s">
        <v>55</v>
      </c>
      <c r="Y38" s="70">
        <f t="shared" si="1"/>
        <v>0</v>
      </c>
    </row>
    <row r="39" spans="1:25" s="39" customFormat="1" ht="14" customHeight="1" x14ac:dyDescent="0.35">
      <c r="A39" s="20" t="s">
        <v>222</v>
      </c>
      <c r="B39" s="20" t="s">
        <v>58</v>
      </c>
      <c r="C39" s="20" t="s">
        <v>334</v>
      </c>
      <c r="D39" s="20">
        <v>847</v>
      </c>
      <c r="E39" s="20">
        <v>8470305</v>
      </c>
      <c r="F39" s="20" t="s">
        <v>598</v>
      </c>
      <c r="G39" s="20">
        <v>1</v>
      </c>
      <c r="H39" s="20">
        <v>432209</v>
      </c>
      <c r="I39" s="20" t="s">
        <v>393</v>
      </c>
      <c r="J39" s="20" t="s">
        <v>60</v>
      </c>
      <c r="K39" s="20" t="s">
        <v>50</v>
      </c>
      <c r="L39" s="20">
        <v>847001</v>
      </c>
      <c r="M39" s="20" t="s">
        <v>61</v>
      </c>
      <c r="N39" s="20">
        <v>200179</v>
      </c>
      <c r="O39" s="37" t="str">
        <f t="shared" si="0"/>
        <v>847.8470305.1.432209.000000.847001.200179</v>
      </c>
      <c r="P39" s="20" t="s">
        <v>288</v>
      </c>
      <c r="Q39" s="20" t="s">
        <v>157</v>
      </c>
      <c r="R39" s="20">
        <v>58</v>
      </c>
      <c r="S39" s="20">
        <v>5500</v>
      </c>
      <c r="T39" s="21" t="s">
        <v>649</v>
      </c>
      <c r="U39" s="20">
        <v>319000</v>
      </c>
      <c r="V39" s="20">
        <f t="shared" si="2"/>
        <v>319000</v>
      </c>
      <c r="W39" s="20">
        <f t="shared" si="3"/>
        <v>0</v>
      </c>
      <c r="X39" s="21" t="s">
        <v>55</v>
      </c>
      <c r="Y39" s="70">
        <f t="shared" si="1"/>
        <v>0</v>
      </c>
    </row>
    <row r="40" spans="1:25" s="39" customFormat="1" ht="14" customHeight="1" x14ac:dyDescent="0.35">
      <c r="A40" s="20" t="s">
        <v>222</v>
      </c>
      <c r="B40" s="20" t="s">
        <v>58</v>
      </c>
      <c r="C40" s="20" t="s">
        <v>334</v>
      </c>
      <c r="D40" s="20">
        <v>847</v>
      </c>
      <c r="E40" s="20">
        <v>8470305</v>
      </c>
      <c r="F40" s="20" t="s">
        <v>598</v>
      </c>
      <c r="G40" s="20">
        <v>1</v>
      </c>
      <c r="H40" s="20">
        <v>435350</v>
      </c>
      <c r="I40" s="20" t="s">
        <v>399</v>
      </c>
      <c r="J40" s="20" t="s">
        <v>60</v>
      </c>
      <c r="K40" s="20" t="s">
        <v>50</v>
      </c>
      <c r="L40" s="20">
        <v>847001</v>
      </c>
      <c r="M40" s="20" t="s">
        <v>61</v>
      </c>
      <c r="N40" s="20">
        <v>200179</v>
      </c>
      <c r="O40" s="37" t="str">
        <f t="shared" si="0"/>
        <v>847.8470305.1.435350.000000.847001.200179</v>
      </c>
      <c r="P40" s="20" t="s">
        <v>401</v>
      </c>
      <c r="Q40" s="20" t="s">
        <v>157</v>
      </c>
      <c r="R40" s="20">
        <v>80</v>
      </c>
      <c r="S40" s="20">
        <v>4500</v>
      </c>
      <c r="T40" s="21" t="s">
        <v>659</v>
      </c>
      <c r="U40" s="20">
        <v>360000</v>
      </c>
      <c r="V40" s="20">
        <f t="shared" si="2"/>
        <v>360000</v>
      </c>
      <c r="W40" s="20">
        <f t="shared" si="3"/>
        <v>0</v>
      </c>
      <c r="X40" s="21" t="s">
        <v>55</v>
      </c>
      <c r="Y40" s="70">
        <f t="shared" si="1"/>
        <v>0</v>
      </c>
    </row>
    <row r="41" spans="1:25" s="39" customFormat="1" ht="14" customHeight="1" x14ac:dyDescent="0.35">
      <c r="A41" s="20" t="s">
        <v>222</v>
      </c>
      <c r="B41" s="20" t="s">
        <v>220</v>
      </c>
      <c r="C41" s="20" t="s">
        <v>334</v>
      </c>
      <c r="D41" s="20">
        <v>847</v>
      </c>
      <c r="E41" s="20">
        <v>8470305</v>
      </c>
      <c r="F41" s="20" t="s">
        <v>598</v>
      </c>
      <c r="G41" s="20">
        <v>1</v>
      </c>
      <c r="H41" s="20">
        <v>435508</v>
      </c>
      <c r="I41" s="20" t="s">
        <v>405</v>
      </c>
      <c r="J41" s="20" t="s">
        <v>60</v>
      </c>
      <c r="K41" s="20" t="s">
        <v>50</v>
      </c>
      <c r="L41" s="20">
        <v>847001</v>
      </c>
      <c r="M41" s="20" t="s">
        <v>61</v>
      </c>
      <c r="N41" s="20">
        <v>200179</v>
      </c>
      <c r="O41" s="37" t="str">
        <f t="shared" si="0"/>
        <v>847.8470305.1.435508.000000.847001.200179</v>
      </c>
      <c r="P41" s="20" t="s">
        <v>407</v>
      </c>
      <c r="Q41" s="20" t="s">
        <v>157</v>
      </c>
      <c r="R41" s="20">
        <v>3</v>
      </c>
      <c r="S41" s="20">
        <v>60000</v>
      </c>
      <c r="T41" s="21" t="s">
        <v>663</v>
      </c>
      <c r="U41" s="20">
        <v>180000</v>
      </c>
      <c r="V41" s="20">
        <f t="shared" si="2"/>
        <v>180000</v>
      </c>
      <c r="W41" s="20">
        <f t="shared" si="3"/>
        <v>0</v>
      </c>
      <c r="X41" s="21" t="s">
        <v>55</v>
      </c>
      <c r="Y41" s="70">
        <f t="shared" si="1"/>
        <v>0</v>
      </c>
    </row>
    <row r="42" spans="1:25" s="39" customFormat="1" ht="14" customHeight="1" x14ac:dyDescent="0.35">
      <c r="A42" s="20" t="s">
        <v>222</v>
      </c>
      <c r="B42" s="20" t="s">
        <v>58</v>
      </c>
      <c r="C42" s="20" t="s">
        <v>334</v>
      </c>
      <c r="D42" s="20">
        <v>847</v>
      </c>
      <c r="E42" s="20">
        <v>8470305</v>
      </c>
      <c r="F42" s="20" t="s">
        <v>598</v>
      </c>
      <c r="G42" s="20">
        <v>1</v>
      </c>
      <c r="H42" s="20">
        <v>436600</v>
      </c>
      <c r="I42" s="20" t="s">
        <v>416</v>
      </c>
      <c r="J42" s="20" t="s">
        <v>60</v>
      </c>
      <c r="K42" s="20" t="s">
        <v>50</v>
      </c>
      <c r="L42" s="20">
        <v>847001</v>
      </c>
      <c r="M42" s="20" t="s">
        <v>61</v>
      </c>
      <c r="N42" s="20">
        <v>200179</v>
      </c>
      <c r="O42" s="37" t="str">
        <f t="shared" si="0"/>
        <v>847.8470305.1.436600.000000.847001.200179</v>
      </c>
      <c r="P42" s="20" t="s">
        <v>418</v>
      </c>
      <c r="Q42" s="20" t="s">
        <v>157</v>
      </c>
      <c r="R42" s="20">
        <v>3</v>
      </c>
      <c r="S42" s="20">
        <v>20000</v>
      </c>
      <c r="T42" s="21" t="s">
        <v>665</v>
      </c>
      <c r="U42" s="20">
        <v>60000</v>
      </c>
      <c r="V42" s="20">
        <f t="shared" si="2"/>
        <v>60000</v>
      </c>
      <c r="W42" s="20">
        <f t="shared" si="3"/>
        <v>0</v>
      </c>
      <c r="X42" s="21" t="s">
        <v>55</v>
      </c>
      <c r="Y42" s="70">
        <f t="shared" si="1"/>
        <v>0</v>
      </c>
    </row>
    <row r="43" spans="1:25" s="39" customFormat="1" ht="14" customHeight="1" x14ac:dyDescent="0.35">
      <c r="A43" s="20" t="s">
        <v>258</v>
      </c>
      <c r="B43" s="20" t="s">
        <v>58</v>
      </c>
      <c r="C43" s="20" t="s">
        <v>334</v>
      </c>
      <c r="D43" s="20">
        <v>847</v>
      </c>
      <c r="E43" s="20">
        <v>8470305</v>
      </c>
      <c r="F43" s="20" t="s">
        <v>598</v>
      </c>
      <c r="G43" s="20">
        <v>1</v>
      </c>
      <c r="H43" s="20">
        <v>425720</v>
      </c>
      <c r="I43" s="20" t="s">
        <v>620</v>
      </c>
      <c r="J43" s="20" t="s">
        <v>60</v>
      </c>
      <c r="K43" s="20" t="s">
        <v>50</v>
      </c>
      <c r="L43" s="20">
        <v>847001</v>
      </c>
      <c r="M43" s="20" t="s">
        <v>61</v>
      </c>
      <c r="N43" s="20">
        <v>200179</v>
      </c>
      <c r="O43" s="37" t="str">
        <f t="shared" si="0"/>
        <v>847.8470305.1.425720.000000.847001.200179</v>
      </c>
      <c r="P43" s="20" t="s">
        <v>622</v>
      </c>
      <c r="Q43" s="20" t="s">
        <v>623</v>
      </c>
      <c r="R43" s="20">
        <v>4</v>
      </c>
      <c r="S43" s="20">
        <v>20000</v>
      </c>
      <c r="T43" s="21" t="s">
        <v>624</v>
      </c>
      <c r="U43" s="20">
        <v>80000</v>
      </c>
      <c r="V43" s="20">
        <f t="shared" si="2"/>
        <v>80000</v>
      </c>
      <c r="W43" s="20">
        <f t="shared" si="3"/>
        <v>0</v>
      </c>
      <c r="X43" s="21" t="s">
        <v>55</v>
      </c>
      <c r="Y43" s="70">
        <f t="shared" si="1"/>
        <v>0</v>
      </c>
    </row>
    <row r="44" spans="1:25" s="39" customFormat="1" ht="14" customHeight="1" x14ac:dyDescent="0.35">
      <c r="A44" s="20" t="s">
        <v>161</v>
      </c>
      <c r="B44" s="20" t="s">
        <v>220</v>
      </c>
      <c r="C44" s="20" t="s">
        <v>334</v>
      </c>
      <c r="D44" s="20">
        <v>847</v>
      </c>
      <c r="E44" s="20">
        <v>8470305</v>
      </c>
      <c r="F44" s="20" t="s">
        <v>598</v>
      </c>
      <c r="G44" s="20">
        <v>1</v>
      </c>
      <c r="H44" s="20">
        <v>432690</v>
      </c>
      <c r="I44" s="20" t="s">
        <v>651</v>
      </c>
      <c r="J44" s="20" t="s">
        <v>60</v>
      </c>
      <c r="K44" s="20" t="s">
        <v>50</v>
      </c>
      <c r="L44" s="20">
        <v>847001</v>
      </c>
      <c r="M44" s="20" t="s">
        <v>61</v>
      </c>
      <c r="N44" s="20">
        <v>200179</v>
      </c>
      <c r="O44" s="37" t="str">
        <f t="shared" si="0"/>
        <v>847.8470305.1.432690.000000.847001.200179</v>
      </c>
      <c r="P44" s="20"/>
      <c r="Q44" s="20" t="s">
        <v>62</v>
      </c>
      <c r="R44" s="20"/>
      <c r="S44" s="20"/>
      <c r="T44" s="21"/>
      <c r="U44" s="20">
        <v>0</v>
      </c>
      <c r="V44" s="20">
        <f t="shared" si="2"/>
        <v>0</v>
      </c>
      <c r="W44" s="20">
        <f t="shared" si="3"/>
        <v>0</v>
      </c>
      <c r="X44" s="21"/>
      <c r="Y44" s="70">
        <f t="shared" si="1"/>
        <v>0</v>
      </c>
    </row>
    <row r="45" spans="1:25" s="39" customFormat="1" ht="14" customHeight="1" x14ac:dyDescent="0.35">
      <c r="A45" s="20" t="s">
        <v>222</v>
      </c>
      <c r="B45" s="20" t="s">
        <v>58</v>
      </c>
      <c r="C45" s="20" t="s">
        <v>334</v>
      </c>
      <c r="D45" s="20">
        <v>847</v>
      </c>
      <c r="E45" s="20">
        <v>8470305</v>
      </c>
      <c r="F45" s="20" t="s">
        <v>598</v>
      </c>
      <c r="G45" s="20">
        <v>1</v>
      </c>
      <c r="H45" s="20">
        <v>435340</v>
      </c>
      <c r="I45" s="20" t="s">
        <v>655</v>
      </c>
      <c r="J45" s="20" t="s">
        <v>60</v>
      </c>
      <c r="K45" s="20" t="s">
        <v>50</v>
      </c>
      <c r="L45" s="20">
        <v>847001</v>
      </c>
      <c r="M45" s="20" t="s">
        <v>61</v>
      </c>
      <c r="N45" s="20">
        <v>200179</v>
      </c>
      <c r="O45" s="37" t="str">
        <f t="shared" si="0"/>
        <v>847.8470305.1.435340.000000.847001.200179</v>
      </c>
      <c r="P45" s="20"/>
      <c r="Q45" s="20" t="s">
        <v>62</v>
      </c>
      <c r="R45" s="20"/>
      <c r="S45" s="20"/>
      <c r="T45" s="21"/>
      <c r="U45" s="20">
        <v>0</v>
      </c>
      <c r="V45" s="20">
        <f t="shared" si="2"/>
        <v>0</v>
      </c>
      <c r="W45" s="20">
        <f t="shared" si="3"/>
        <v>0</v>
      </c>
      <c r="X45" s="21"/>
      <c r="Y45" s="70">
        <f t="shared" si="1"/>
        <v>0</v>
      </c>
    </row>
    <row r="46" spans="1:25" s="39" customFormat="1" ht="14" customHeight="1" x14ac:dyDescent="0.35">
      <c r="A46" s="20" t="s">
        <v>222</v>
      </c>
      <c r="B46" s="20" t="s">
        <v>58</v>
      </c>
      <c r="C46" s="20" t="s">
        <v>334</v>
      </c>
      <c r="D46" s="20">
        <v>847</v>
      </c>
      <c r="E46" s="20">
        <v>8470310</v>
      </c>
      <c r="F46" s="20" t="s">
        <v>335</v>
      </c>
      <c r="G46" s="20">
        <v>1</v>
      </c>
      <c r="H46" s="20">
        <v>420550</v>
      </c>
      <c r="I46" s="20" t="s">
        <v>225</v>
      </c>
      <c r="J46" s="20" t="s">
        <v>60</v>
      </c>
      <c r="K46" s="20" t="s">
        <v>50</v>
      </c>
      <c r="L46" s="20">
        <v>847001</v>
      </c>
      <c r="M46" s="20" t="s">
        <v>61</v>
      </c>
      <c r="N46" s="20">
        <v>200179</v>
      </c>
      <c r="O46" s="37" t="str">
        <f t="shared" si="0"/>
        <v>847.8470310.1.420550.000000.847001.200179</v>
      </c>
      <c r="P46" s="20" t="s">
        <v>338</v>
      </c>
      <c r="Q46" s="20" t="s">
        <v>157</v>
      </c>
      <c r="R46" s="20">
        <v>2</v>
      </c>
      <c r="S46" s="20">
        <v>10000</v>
      </c>
      <c r="T46" s="21" t="s">
        <v>339</v>
      </c>
      <c r="U46" s="20">
        <v>20000</v>
      </c>
      <c r="V46" s="20">
        <f t="shared" si="2"/>
        <v>20000</v>
      </c>
      <c r="W46" s="20">
        <f t="shared" si="3"/>
        <v>0</v>
      </c>
      <c r="X46" s="21" t="s">
        <v>55</v>
      </c>
      <c r="Y46" s="70">
        <f t="shared" si="1"/>
        <v>0</v>
      </c>
    </row>
    <row r="47" spans="1:25" s="39" customFormat="1" ht="14" customHeight="1" x14ac:dyDescent="0.35">
      <c r="A47" s="20" t="s">
        <v>245</v>
      </c>
      <c r="B47" s="20" t="s">
        <v>246</v>
      </c>
      <c r="C47" s="20" t="s">
        <v>334</v>
      </c>
      <c r="D47" s="20">
        <v>847</v>
      </c>
      <c r="E47" s="20">
        <v>8470310</v>
      </c>
      <c r="F47" s="20" t="s">
        <v>335</v>
      </c>
      <c r="G47" s="20">
        <v>1</v>
      </c>
      <c r="H47" s="20">
        <v>425510</v>
      </c>
      <c r="I47" s="20" t="s">
        <v>247</v>
      </c>
      <c r="J47" s="20" t="s">
        <v>60</v>
      </c>
      <c r="K47" s="20" t="s">
        <v>50</v>
      </c>
      <c r="L47" s="20">
        <v>847001</v>
      </c>
      <c r="M47" s="20" t="s">
        <v>61</v>
      </c>
      <c r="N47" s="20">
        <v>200179</v>
      </c>
      <c r="O47" s="37" t="str">
        <f t="shared" si="0"/>
        <v>847.8470310.1.425510.000000.847001.200179</v>
      </c>
      <c r="P47" s="20" t="s">
        <v>344</v>
      </c>
      <c r="Q47" s="20" t="s">
        <v>256</v>
      </c>
      <c r="R47" s="20">
        <v>3</v>
      </c>
      <c r="S47" s="20">
        <v>10000</v>
      </c>
      <c r="T47" s="21" t="s">
        <v>345</v>
      </c>
      <c r="U47" s="20">
        <v>30000</v>
      </c>
      <c r="V47" s="20">
        <f t="shared" si="2"/>
        <v>30000</v>
      </c>
      <c r="W47" s="20">
        <f t="shared" si="3"/>
        <v>0</v>
      </c>
      <c r="X47" s="21" t="s">
        <v>55</v>
      </c>
      <c r="Y47" s="70">
        <f t="shared" si="1"/>
        <v>0</v>
      </c>
    </row>
    <row r="48" spans="1:25" s="39" customFormat="1" ht="14" customHeight="1" x14ac:dyDescent="0.35">
      <c r="A48" s="20" t="s">
        <v>258</v>
      </c>
      <c r="B48" s="20" t="s">
        <v>350</v>
      </c>
      <c r="C48" s="20" t="s">
        <v>334</v>
      </c>
      <c r="D48" s="20">
        <v>847</v>
      </c>
      <c r="E48" s="20">
        <v>8470310</v>
      </c>
      <c r="F48" s="20" t="s">
        <v>335</v>
      </c>
      <c r="G48" s="20">
        <v>1</v>
      </c>
      <c r="H48" s="20">
        <v>425760</v>
      </c>
      <c r="I48" s="20" t="s">
        <v>352</v>
      </c>
      <c r="J48" s="20" t="s">
        <v>60</v>
      </c>
      <c r="K48" s="20" t="s">
        <v>50</v>
      </c>
      <c r="L48" s="20">
        <v>847001</v>
      </c>
      <c r="M48" s="20" t="s">
        <v>61</v>
      </c>
      <c r="N48" s="20">
        <v>200179</v>
      </c>
      <c r="O48" s="37" t="str">
        <f t="shared" si="0"/>
        <v>847.8470310.1.425760.000000.847001.200179</v>
      </c>
      <c r="P48" s="20" t="s">
        <v>354</v>
      </c>
      <c r="Q48" s="20" t="s">
        <v>262</v>
      </c>
      <c r="R48" s="20">
        <v>15</v>
      </c>
      <c r="S48" s="20">
        <v>10000</v>
      </c>
      <c r="T48" s="21" t="s">
        <v>355</v>
      </c>
      <c r="U48" s="20">
        <v>150000</v>
      </c>
      <c r="V48" s="20">
        <f t="shared" si="2"/>
        <v>150000</v>
      </c>
      <c r="W48" s="20">
        <f t="shared" si="3"/>
        <v>0</v>
      </c>
      <c r="X48" s="21" t="s">
        <v>55</v>
      </c>
      <c r="Y48" s="70">
        <f t="shared" si="1"/>
        <v>0</v>
      </c>
    </row>
    <row r="49" spans="1:25" s="39" customFormat="1" ht="14" customHeight="1" x14ac:dyDescent="0.35">
      <c r="A49" s="20" t="s">
        <v>258</v>
      </c>
      <c r="B49" s="20" t="s">
        <v>58</v>
      </c>
      <c r="C49" s="20" t="s">
        <v>334</v>
      </c>
      <c r="D49" s="20">
        <v>847</v>
      </c>
      <c r="E49" s="20">
        <v>8470310</v>
      </c>
      <c r="F49" s="20" t="s">
        <v>335</v>
      </c>
      <c r="G49" s="20">
        <v>1</v>
      </c>
      <c r="H49" s="20">
        <v>425763</v>
      </c>
      <c r="I49" s="20" t="s">
        <v>359</v>
      </c>
      <c r="J49" s="20" t="s">
        <v>60</v>
      </c>
      <c r="K49" s="20" t="s">
        <v>50</v>
      </c>
      <c r="L49" s="20">
        <v>847001</v>
      </c>
      <c r="M49" s="20" t="s">
        <v>61</v>
      </c>
      <c r="N49" s="20">
        <v>200179</v>
      </c>
      <c r="O49" s="37" t="str">
        <f t="shared" si="0"/>
        <v>847.8470310.1.425763.000000.847001.200179</v>
      </c>
      <c r="P49" s="20" t="s">
        <v>361</v>
      </c>
      <c r="Q49" s="20" t="s">
        <v>68</v>
      </c>
      <c r="R49" s="20">
        <v>12</v>
      </c>
      <c r="S49" s="20">
        <v>30000</v>
      </c>
      <c r="T49" s="21" t="s">
        <v>362</v>
      </c>
      <c r="U49" s="20">
        <v>360000</v>
      </c>
      <c r="V49" s="20">
        <f t="shared" si="2"/>
        <v>360000</v>
      </c>
      <c r="W49" s="20">
        <f t="shared" si="3"/>
        <v>0</v>
      </c>
      <c r="X49" s="21" t="s">
        <v>55</v>
      </c>
      <c r="Y49" s="70">
        <f t="shared" si="1"/>
        <v>0</v>
      </c>
    </row>
    <row r="50" spans="1:25" s="39" customFormat="1" ht="14" customHeight="1" x14ac:dyDescent="0.35">
      <c r="A50" s="20" t="s">
        <v>222</v>
      </c>
      <c r="B50" s="20" t="s">
        <v>58</v>
      </c>
      <c r="C50" s="20" t="s">
        <v>334</v>
      </c>
      <c r="D50" s="20">
        <v>847</v>
      </c>
      <c r="E50" s="20">
        <v>8470310</v>
      </c>
      <c r="F50" s="20" t="s">
        <v>335</v>
      </c>
      <c r="G50" s="20">
        <v>1</v>
      </c>
      <c r="H50" s="20">
        <v>425770</v>
      </c>
      <c r="I50" s="20" t="s">
        <v>367</v>
      </c>
      <c r="J50" s="20" t="s">
        <v>60</v>
      </c>
      <c r="K50" s="20" t="s">
        <v>50</v>
      </c>
      <c r="L50" s="20">
        <v>847001</v>
      </c>
      <c r="M50" s="20" t="s">
        <v>61</v>
      </c>
      <c r="N50" s="20">
        <v>200179</v>
      </c>
      <c r="O50" s="37" t="str">
        <f t="shared" si="0"/>
        <v>847.8470310.1.425770.000000.847001.200179</v>
      </c>
      <c r="P50" s="20" t="s">
        <v>369</v>
      </c>
      <c r="Q50" s="20" t="s">
        <v>157</v>
      </c>
      <c r="R50" s="20">
        <v>17</v>
      </c>
      <c r="S50" s="20">
        <v>20000</v>
      </c>
      <c r="T50" s="21" t="s">
        <v>370</v>
      </c>
      <c r="U50" s="20">
        <v>340000</v>
      </c>
      <c r="V50" s="20">
        <f t="shared" si="2"/>
        <v>340000</v>
      </c>
      <c r="W50" s="20">
        <f t="shared" si="3"/>
        <v>0</v>
      </c>
      <c r="X50" s="21" t="s">
        <v>55</v>
      </c>
      <c r="Y50" s="70">
        <f t="shared" si="1"/>
        <v>0</v>
      </c>
    </row>
    <row r="51" spans="1:25" s="39" customFormat="1" ht="14" customHeight="1" x14ac:dyDescent="0.35">
      <c r="A51" s="20" t="s">
        <v>189</v>
      </c>
      <c r="B51" s="20" t="s">
        <v>265</v>
      </c>
      <c r="C51" s="20" t="s">
        <v>334</v>
      </c>
      <c r="D51" s="20">
        <v>847</v>
      </c>
      <c r="E51" s="20">
        <v>8470310</v>
      </c>
      <c r="F51" s="20" t="s">
        <v>335</v>
      </c>
      <c r="G51" s="20">
        <v>1</v>
      </c>
      <c r="H51" s="20">
        <v>425900</v>
      </c>
      <c r="I51" s="20" t="s">
        <v>266</v>
      </c>
      <c r="J51" s="20" t="s">
        <v>60</v>
      </c>
      <c r="K51" s="20" t="s">
        <v>50</v>
      </c>
      <c r="L51" s="20">
        <v>847001</v>
      </c>
      <c r="M51" s="20" t="s">
        <v>61</v>
      </c>
      <c r="N51" s="20">
        <v>200179</v>
      </c>
      <c r="O51" s="37" t="str">
        <f t="shared" si="0"/>
        <v>847.8470310.1.425900.000000.847001.200179</v>
      </c>
      <c r="P51" s="20" t="s">
        <v>268</v>
      </c>
      <c r="Q51" s="20" t="s">
        <v>269</v>
      </c>
      <c r="R51" s="20">
        <v>17</v>
      </c>
      <c r="S51" s="20">
        <v>500</v>
      </c>
      <c r="T51" s="21" t="s">
        <v>377</v>
      </c>
      <c r="U51" s="20">
        <v>8500</v>
      </c>
      <c r="V51" s="20">
        <f t="shared" si="2"/>
        <v>8500</v>
      </c>
      <c r="W51" s="20">
        <f t="shared" si="3"/>
        <v>0</v>
      </c>
      <c r="X51" s="21" t="s">
        <v>55</v>
      </c>
      <c r="Y51" s="70">
        <f t="shared" si="1"/>
        <v>0</v>
      </c>
    </row>
    <row r="52" spans="1:25" s="39" customFormat="1" ht="14" customHeight="1" x14ac:dyDescent="0.35">
      <c r="A52" s="20" t="s">
        <v>63</v>
      </c>
      <c r="B52" s="20" t="s">
        <v>64</v>
      </c>
      <c r="C52" s="20" t="s">
        <v>334</v>
      </c>
      <c r="D52" s="20">
        <v>847</v>
      </c>
      <c r="E52" s="20">
        <v>8470310</v>
      </c>
      <c r="F52" s="20" t="s">
        <v>335</v>
      </c>
      <c r="G52" s="20">
        <v>1</v>
      </c>
      <c r="H52" s="20">
        <v>426610</v>
      </c>
      <c r="I52" s="20" t="s">
        <v>74</v>
      </c>
      <c r="J52" s="20" t="s">
        <v>60</v>
      </c>
      <c r="K52" s="20" t="s">
        <v>50</v>
      </c>
      <c r="L52" s="20">
        <v>847001</v>
      </c>
      <c r="M52" s="20" t="s">
        <v>61</v>
      </c>
      <c r="N52" s="20">
        <v>200179</v>
      </c>
      <c r="O52" s="37" t="str">
        <f t="shared" si="0"/>
        <v>847.8470310.1.426610.000000.847001.200179</v>
      </c>
      <c r="P52" s="20" t="s">
        <v>274</v>
      </c>
      <c r="Q52" s="20" t="s">
        <v>157</v>
      </c>
      <c r="R52" s="20">
        <v>1</v>
      </c>
      <c r="S52" s="20">
        <v>10000</v>
      </c>
      <c r="T52" s="21" t="s">
        <v>382</v>
      </c>
      <c r="U52" s="20">
        <v>10000</v>
      </c>
      <c r="V52" s="20">
        <f t="shared" si="2"/>
        <v>10000</v>
      </c>
      <c r="W52" s="20">
        <f t="shared" si="3"/>
        <v>0</v>
      </c>
      <c r="X52" s="21" t="s">
        <v>55</v>
      </c>
      <c r="Y52" s="70">
        <f t="shared" si="1"/>
        <v>0</v>
      </c>
    </row>
    <row r="53" spans="1:25" s="39" customFormat="1" ht="14" customHeight="1" x14ac:dyDescent="0.35">
      <c r="A53" s="20" t="s">
        <v>153</v>
      </c>
      <c r="B53" s="20" t="s">
        <v>58</v>
      </c>
      <c r="C53" s="20" t="s">
        <v>334</v>
      </c>
      <c r="D53" s="20">
        <v>847</v>
      </c>
      <c r="E53" s="20">
        <v>8470310</v>
      </c>
      <c r="F53" s="20" t="s">
        <v>335</v>
      </c>
      <c r="G53" s="20">
        <v>1</v>
      </c>
      <c r="H53" s="20">
        <v>428090</v>
      </c>
      <c r="I53" s="20" t="s">
        <v>154</v>
      </c>
      <c r="J53" s="20" t="s">
        <v>60</v>
      </c>
      <c r="K53" s="20" t="s">
        <v>50</v>
      </c>
      <c r="L53" s="20">
        <v>847001</v>
      </c>
      <c r="M53" s="20" t="s">
        <v>61</v>
      </c>
      <c r="N53" s="20">
        <v>200179</v>
      </c>
      <c r="O53" s="37" t="str">
        <f t="shared" si="0"/>
        <v>847.8470310.1.428090.000000.847001.200179</v>
      </c>
      <c r="P53" s="20" t="s">
        <v>387</v>
      </c>
      <c r="Q53" s="20" t="s">
        <v>157</v>
      </c>
      <c r="R53" s="20">
        <v>17</v>
      </c>
      <c r="S53" s="20">
        <v>20000</v>
      </c>
      <c r="T53" s="21" t="s">
        <v>388</v>
      </c>
      <c r="U53" s="20">
        <v>340000</v>
      </c>
      <c r="V53" s="20">
        <f t="shared" si="2"/>
        <v>340000</v>
      </c>
      <c r="W53" s="20">
        <f t="shared" si="3"/>
        <v>0</v>
      </c>
      <c r="X53" s="21" t="s">
        <v>55</v>
      </c>
      <c r="Y53" s="70">
        <f t="shared" si="1"/>
        <v>0</v>
      </c>
    </row>
    <row r="54" spans="1:25" s="39" customFormat="1" ht="14" customHeight="1" x14ac:dyDescent="0.35">
      <c r="A54" s="20" t="s">
        <v>222</v>
      </c>
      <c r="B54" s="20" t="s">
        <v>58</v>
      </c>
      <c r="C54" s="20" t="s">
        <v>334</v>
      </c>
      <c r="D54" s="20">
        <v>847</v>
      </c>
      <c r="E54" s="20">
        <v>8470310</v>
      </c>
      <c r="F54" s="20" t="s">
        <v>335</v>
      </c>
      <c r="G54" s="20">
        <v>1</v>
      </c>
      <c r="H54" s="20">
        <v>432209</v>
      </c>
      <c r="I54" s="20" t="s">
        <v>393</v>
      </c>
      <c r="J54" s="20" t="s">
        <v>60</v>
      </c>
      <c r="K54" s="20" t="s">
        <v>50</v>
      </c>
      <c r="L54" s="20">
        <v>847001</v>
      </c>
      <c r="M54" s="20" t="s">
        <v>61</v>
      </c>
      <c r="N54" s="20">
        <v>200179</v>
      </c>
      <c r="O54" s="37" t="str">
        <f t="shared" si="0"/>
        <v>847.8470310.1.432209.000000.847001.200179</v>
      </c>
      <c r="P54" s="20" t="s">
        <v>288</v>
      </c>
      <c r="Q54" s="20" t="s">
        <v>157</v>
      </c>
      <c r="R54" s="20">
        <v>17</v>
      </c>
      <c r="S54" s="20">
        <v>5000</v>
      </c>
      <c r="T54" s="21" t="s">
        <v>395</v>
      </c>
      <c r="U54" s="20">
        <v>85000</v>
      </c>
      <c r="V54" s="20">
        <f t="shared" si="2"/>
        <v>85000</v>
      </c>
      <c r="W54" s="20">
        <f t="shared" si="3"/>
        <v>0</v>
      </c>
      <c r="X54" s="21" t="s">
        <v>55</v>
      </c>
      <c r="Y54" s="70">
        <f t="shared" si="1"/>
        <v>0</v>
      </c>
    </row>
    <row r="55" spans="1:25" s="39" customFormat="1" ht="14" customHeight="1" x14ac:dyDescent="0.35">
      <c r="A55" s="20" t="s">
        <v>222</v>
      </c>
      <c r="B55" s="20" t="s">
        <v>58</v>
      </c>
      <c r="C55" s="20" t="s">
        <v>334</v>
      </c>
      <c r="D55" s="20">
        <v>847</v>
      </c>
      <c r="E55" s="20">
        <v>8470310</v>
      </c>
      <c r="F55" s="20" t="s">
        <v>335</v>
      </c>
      <c r="G55" s="20">
        <v>1</v>
      </c>
      <c r="H55" s="20">
        <v>435350</v>
      </c>
      <c r="I55" s="20" t="s">
        <v>399</v>
      </c>
      <c r="J55" s="20" t="s">
        <v>60</v>
      </c>
      <c r="K55" s="20" t="s">
        <v>50</v>
      </c>
      <c r="L55" s="20">
        <v>847001</v>
      </c>
      <c r="M55" s="20" t="s">
        <v>61</v>
      </c>
      <c r="N55" s="20">
        <v>200179</v>
      </c>
      <c r="O55" s="37" t="str">
        <f t="shared" si="0"/>
        <v>847.8470310.1.435350.000000.847001.200179</v>
      </c>
      <c r="P55" s="20" t="s">
        <v>401</v>
      </c>
      <c r="Q55" s="20" t="s">
        <v>157</v>
      </c>
      <c r="R55" s="20">
        <v>17</v>
      </c>
      <c r="S55" s="20">
        <v>13000</v>
      </c>
      <c r="T55" s="21" t="s">
        <v>402</v>
      </c>
      <c r="U55" s="20">
        <v>221000</v>
      </c>
      <c r="V55" s="20">
        <f t="shared" si="2"/>
        <v>221000</v>
      </c>
      <c r="W55" s="20">
        <f t="shared" si="3"/>
        <v>0</v>
      </c>
      <c r="X55" s="21" t="s">
        <v>55</v>
      </c>
      <c r="Y55" s="70">
        <f t="shared" si="1"/>
        <v>0</v>
      </c>
    </row>
    <row r="56" spans="1:25" s="39" customFormat="1" ht="14" customHeight="1" x14ac:dyDescent="0.35">
      <c r="A56" s="20" t="s">
        <v>222</v>
      </c>
      <c r="B56" s="20" t="s">
        <v>220</v>
      </c>
      <c r="C56" s="20" t="s">
        <v>334</v>
      </c>
      <c r="D56" s="20">
        <v>847</v>
      </c>
      <c r="E56" s="20">
        <v>8470310</v>
      </c>
      <c r="F56" s="20" t="s">
        <v>335</v>
      </c>
      <c r="G56" s="20">
        <v>1</v>
      </c>
      <c r="H56" s="20">
        <v>435508</v>
      </c>
      <c r="I56" s="20" t="s">
        <v>405</v>
      </c>
      <c r="J56" s="20" t="s">
        <v>60</v>
      </c>
      <c r="K56" s="20" t="s">
        <v>50</v>
      </c>
      <c r="L56" s="20">
        <v>847001</v>
      </c>
      <c r="M56" s="20" t="s">
        <v>61</v>
      </c>
      <c r="N56" s="20">
        <v>200179</v>
      </c>
      <c r="O56" s="37" t="str">
        <f t="shared" si="0"/>
        <v>847.8470310.1.435508.000000.847001.200179</v>
      </c>
      <c r="P56" s="20" t="s">
        <v>407</v>
      </c>
      <c r="Q56" s="20" t="s">
        <v>157</v>
      </c>
      <c r="R56" s="20">
        <v>17</v>
      </c>
      <c r="S56" s="20">
        <v>15000</v>
      </c>
      <c r="T56" s="21" t="s">
        <v>408</v>
      </c>
      <c r="U56" s="20">
        <v>255000</v>
      </c>
      <c r="V56" s="20">
        <f t="shared" si="2"/>
        <v>255000</v>
      </c>
      <c r="W56" s="20">
        <f t="shared" si="3"/>
        <v>0</v>
      </c>
      <c r="X56" s="21" t="s">
        <v>55</v>
      </c>
      <c r="Y56" s="70">
        <f t="shared" si="1"/>
        <v>0</v>
      </c>
    </row>
    <row r="57" spans="1:25" s="39" customFormat="1" ht="14" customHeight="1" x14ac:dyDescent="0.35">
      <c r="A57" s="20" t="s">
        <v>189</v>
      </c>
      <c r="B57" s="20" t="s">
        <v>58</v>
      </c>
      <c r="C57" s="20" t="s">
        <v>334</v>
      </c>
      <c r="D57" s="20">
        <v>847</v>
      </c>
      <c r="E57" s="20">
        <v>8470310</v>
      </c>
      <c r="F57" s="20" t="s">
        <v>335</v>
      </c>
      <c r="G57" s="20">
        <v>1</v>
      </c>
      <c r="H57" s="20">
        <v>436110</v>
      </c>
      <c r="I57" s="20" t="s">
        <v>190</v>
      </c>
      <c r="J57" s="20" t="s">
        <v>60</v>
      </c>
      <c r="K57" s="20" t="s">
        <v>50</v>
      </c>
      <c r="L57" s="20">
        <v>847001</v>
      </c>
      <c r="M57" s="20" t="s">
        <v>61</v>
      </c>
      <c r="N57" s="20">
        <v>200179</v>
      </c>
      <c r="O57" s="37" t="str">
        <f t="shared" si="0"/>
        <v>847.8470310.1.436110.000000.847001.200179</v>
      </c>
      <c r="P57" s="20" t="s">
        <v>411</v>
      </c>
      <c r="Q57" s="20" t="s">
        <v>157</v>
      </c>
      <c r="R57" s="20">
        <v>17</v>
      </c>
      <c r="S57" s="20">
        <v>300</v>
      </c>
      <c r="T57" s="21" t="s">
        <v>412</v>
      </c>
      <c r="U57" s="20">
        <v>5100</v>
      </c>
      <c r="V57" s="20">
        <f t="shared" si="2"/>
        <v>5100</v>
      </c>
      <c r="W57" s="20">
        <f t="shared" si="3"/>
        <v>0</v>
      </c>
      <c r="X57" s="21" t="s">
        <v>55</v>
      </c>
      <c r="Y57" s="70">
        <f t="shared" si="1"/>
        <v>0</v>
      </c>
    </row>
    <row r="58" spans="1:25" s="39" customFormat="1" ht="14" customHeight="1" x14ac:dyDescent="0.35">
      <c r="A58" s="20" t="s">
        <v>222</v>
      </c>
      <c r="B58" s="20" t="s">
        <v>58</v>
      </c>
      <c r="C58" s="20" t="s">
        <v>334</v>
      </c>
      <c r="D58" s="20">
        <v>847</v>
      </c>
      <c r="E58" s="20">
        <v>8470310</v>
      </c>
      <c r="F58" s="20" t="s">
        <v>335</v>
      </c>
      <c r="G58" s="20">
        <v>1</v>
      </c>
      <c r="H58" s="20">
        <v>436600</v>
      </c>
      <c r="I58" s="20" t="s">
        <v>416</v>
      </c>
      <c r="J58" s="20" t="s">
        <v>60</v>
      </c>
      <c r="K58" s="20" t="s">
        <v>50</v>
      </c>
      <c r="L58" s="20">
        <v>847001</v>
      </c>
      <c r="M58" s="20" t="s">
        <v>61</v>
      </c>
      <c r="N58" s="20">
        <v>200179</v>
      </c>
      <c r="O58" s="37" t="str">
        <f t="shared" si="0"/>
        <v>847.8470310.1.436600.000000.847001.200179</v>
      </c>
      <c r="P58" s="20" t="s">
        <v>418</v>
      </c>
      <c r="Q58" s="20" t="s">
        <v>157</v>
      </c>
      <c r="R58" s="20">
        <v>17</v>
      </c>
      <c r="S58" s="20">
        <v>350</v>
      </c>
      <c r="T58" s="21" t="s">
        <v>419</v>
      </c>
      <c r="U58" s="20">
        <v>5950</v>
      </c>
      <c r="V58" s="20">
        <f t="shared" si="2"/>
        <v>5950</v>
      </c>
      <c r="W58" s="20">
        <f t="shared" si="3"/>
        <v>0</v>
      </c>
      <c r="X58" s="21" t="s">
        <v>55</v>
      </c>
      <c r="Y58" s="70">
        <f t="shared" si="1"/>
        <v>0</v>
      </c>
    </row>
    <row r="59" spans="1:25" s="39" customFormat="1" ht="14" customHeight="1" x14ac:dyDescent="0.35">
      <c r="A59" s="20" t="s">
        <v>161</v>
      </c>
      <c r="B59" s="20" t="s">
        <v>220</v>
      </c>
      <c r="C59" s="20" t="s">
        <v>334</v>
      </c>
      <c r="D59" s="20">
        <v>847</v>
      </c>
      <c r="E59" s="20">
        <v>8470310</v>
      </c>
      <c r="F59" s="20" t="s">
        <v>335</v>
      </c>
      <c r="G59" s="20">
        <v>1</v>
      </c>
      <c r="H59" s="20">
        <v>492316</v>
      </c>
      <c r="I59" s="20" t="s">
        <v>221</v>
      </c>
      <c r="J59" s="20" t="s">
        <v>60</v>
      </c>
      <c r="K59" s="20" t="s">
        <v>50</v>
      </c>
      <c r="L59" s="20">
        <v>847001</v>
      </c>
      <c r="M59" s="20" t="s">
        <v>192</v>
      </c>
      <c r="N59" s="20">
        <v>300180</v>
      </c>
      <c r="O59" s="37" t="str">
        <f t="shared" si="0"/>
        <v>847.8470310.1.492316.000000.847001.300180</v>
      </c>
      <c r="P59" s="20" t="s">
        <v>422</v>
      </c>
      <c r="Q59" s="20" t="s">
        <v>157</v>
      </c>
      <c r="R59" s="20">
        <v>1</v>
      </c>
      <c r="S59" s="20">
        <v>2500000</v>
      </c>
      <c r="T59" s="21" t="s">
        <v>925</v>
      </c>
      <c r="U59" s="20">
        <v>2500000</v>
      </c>
      <c r="V59" s="20">
        <f t="shared" si="2"/>
        <v>2500000</v>
      </c>
      <c r="W59" s="20">
        <f t="shared" si="3"/>
        <v>0</v>
      </c>
      <c r="X59" s="21" t="s">
        <v>55</v>
      </c>
      <c r="Y59" s="70">
        <f t="shared" si="1"/>
        <v>0</v>
      </c>
    </row>
    <row r="60" spans="1:25" s="39" customFormat="1" ht="14" customHeight="1" x14ac:dyDescent="0.35">
      <c r="A60" s="20" t="s">
        <v>222</v>
      </c>
      <c r="B60" s="20" t="s">
        <v>58</v>
      </c>
      <c r="C60" s="20" t="s">
        <v>334</v>
      </c>
      <c r="D60" s="20">
        <v>847</v>
      </c>
      <c r="E60" s="20">
        <v>8470315</v>
      </c>
      <c r="F60" s="20" t="s">
        <v>426</v>
      </c>
      <c r="G60" s="20">
        <v>1</v>
      </c>
      <c r="H60" s="20">
        <v>420550</v>
      </c>
      <c r="I60" s="20" t="s">
        <v>225</v>
      </c>
      <c r="J60" s="20" t="s">
        <v>60</v>
      </c>
      <c r="K60" s="20" t="s">
        <v>50</v>
      </c>
      <c r="L60" s="20">
        <v>847001</v>
      </c>
      <c r="M60" s="20" t="s">
        <v>61</v>
      </c>
      <c r="N60" s="20">
        <v>200179</v>
      </c>
      <c r="O60" s="37" t="str">
        <f t="shared" si="0"/>
        <v>847.8470315.1.420550.000000.847001.200179</v>
      </c>
      <c r="P60" s="20" t="s">
        <v>227</v>
      </c>
      <c r="Q60" s="20" t="s">
        <v>157</v>
      </c>
      <c r="R60" s="20">
        <v>1</v>
      </c>
      <c r="S60" s="20">
        <v>7000</v>
      </c>
      <c r="T60" s="21" t="s">
        <v>428</v>
      </c>
      <c r="U60" s="20">
        <v>7000</v>
      </c>
      <c r="V60" s="20">
        <f t="shared" si="2"/>
        <v>7000</v>
      </c>
      <c r="W60" s="20">
        <f t="shared" si="3"/>
        <v>0</v>
      </c>
      <c r="X60" s="21" t="s">
        <v>55</v>
      </c>
      <c r="Y60" s="70">
        <f t="shared" si="1"/>
        <v>0</v>
      </c>
    </row>
    <row r="61" spans="1:25" s="39" customFormat="1" ht="14" customHeight="1" x14ac:dyDescent="0.35">
      <c r="A61" s="20" t="s">
        <v>245</v>
      </c>
      <c r="B61" s="20" t="s">
        <v>246</v>
      </c>
      <c r="C61" s="20" t="s">
        <v>334</v>
      </c>
      <c r="D61" s="20">
        <v>847</v>
      </c>
      <c r="E61" s="20">
        <v>8470315</v>
      </c>
      <c r="F61" s="20" t="s">
        <v>426</v>
      </c>
      <c r="G61" s="20">
        <v>1</v>
      </c>
      <c r="H61" s="20">
        <v>425510</v>
      </c>
      <c r="I61" s="20" t="s">
        <v>247</v>
      </c>
      <c r="J61" s="20" t="s">
        <v>60</v>
      </c>
      <c r="K61" s="20" t="s">
        <v>50</v>
      </c>
      <c r="L61" s="20">
        <v>847001</v>
      </c>
      <c r="M61" s="20" t="s">
        <v>61</v>
      </c>
      <c r="N61" s="20">
        <v>200179</v>
      </c>
      <c r="O61" s="37" t="str">
        <f t="shared" si="0"/>
        <v>847.8470315.1.425510.000000.847001.200179</v>
      </c>
      <c r="P61" s="20" t="s">
        <v>433</v>
      </c>
      <c r="Q61" s="20" t="s">
        <v>434</v>
      </c>
      <c r="R61" s="20">
        <v>10</v>
      </c>
      <c r="S61" s="20">
        <v>1000</v>
      </c>
      <c r="T61" s="21" t="s">
        <v>435</v>
      </c>
      <c r="U61" s="20">
        <v>10000</v>
      </c>
      <c r="V61" s="20">
        <f t="shared" ref="V61:V92" si="4">R61*S61</f>
        <v>10000</v>
      </c>
      <c r="W61" s="20">
        <f t="shared" ref="W61:W92" si="5">U61-V61</f>
        <v>0</v>
      </c>
      <c r="X61" s="21" t="s">
        <v>55</v>
      </c>
      <c r="Y61" s="70">
        <f t="shared" si="1"/>
        <v>0</v>
      </c>
    </row>
    <row r="62" spans="1:25" s="39" customFormat="1" ht="14" customHeight="1" x14ac:dyDescent="0.35">
      <c r="A62" s="20" t="s">
        <v>258</v>
      </c>
      <c r="B62" s="20" t="s">
        <v>350</v>
      </c>
      <c r="C62" s="20" t="s">
        <v>334</v>
      </c>
      <c r="D62" s="20">
        <v>847</v>
      </c>
      <c r="E62" s="20">
        <v>8470315</v>
      </c>
      <c r="F62" s="20" t="s">
        <v>426</v>
      </c>
      <c r="G62" s="20">
        <v>1</v>
      </c>
      <c r="H62" s="20">
        <v>425760</v>
      </c>
      <c r="I62" s="20" t="s">
        <v>352</v>
      </c>
      <c r="J62" s="20" t="s">
        <v>60</v>
      </c>
      <c r="K62" s="20" t="s">
        <v>50</v>
      </c>
      <c r="L62" s="20">
        <v>847001</v>
      </c>
      <c r="M62" s="20" t="s">
        <v>61</v>
      </c>
      <c r="N62" s="20">
        <v>200179</v>
      </c>
      <c r="O62" s="37" t="str">
        <f t="shared" si="0"/>
        <v>847.8470315.1.425760.000000.847001.200179</v>
      </c>
      <c r="P62" s="20" t="s">
        <v>440</v>
      </c>
      <c r="Q62" s="20" t="s">
        <v>441</v>
      </c>
      <c r="R62" s="20">
        <v>6</v>
      </c>
      <c r="S62" s="20">
        <v>4000</v>
      </c>
      <c r="T62" s="21" t="s">
        <v>442</v>
      </c>
      <c r="U62" s="20">
        <v>24000</v>
      </c>
      <c r="V62" s="20">
        <f t="shared" si="4"/>
        <v>24000</v>
      </c>
      <c r="W62" s="20">
        <f t="shared" si="5"/>
        <v>0</v>
      </c>
      <c r="X62" s="21" t="s">
        <v>55</v>
      </c>
      <c r="Y62" s="70">
        <f t="shared" si="1"/>
        <v>0</v>
      </c>
    </row>
    <row r="63" spans="1:25" s="39" customFormat="1" ht="14" customHeight="1" x14ac:dyDescent="0.35">
      <c r="A63" s="20" t="s">
        <v>258</v>
      </c>
      <c r="B63" s="20" t="s">
        <v>58</v>
      </c>
      <c r="C63" s="20" t="s">
        <v>334</v>
      </c>
      <c r="D63" s="20">
        <v>847</v>
      </c>
      <c r="E63" s="20">
        <v>8470315</v>
      </c>
      <c r="F63" s="20" t="s">
        <v>426</v>
      </c>
      <c r="G63" s="20">
        <v>1</v>
      </c>
      <c r="H63" s="20">
        <v>425763</v>
      </c>
      <c r="I63" s="20" t="s">
        <v>359</v>
      </c>
      <c r="J63" s="20" t="s">
        <v>60</v>
      </c>
      <c r="K63" s="20" t="s">
        <v>50</v>
      </c>
      <c r="L63" s="20">
        <v>847001</v>
      </c>
      <c r="M63" s="20" t="s">
        <v>61</v>
      </c>
      <c r="N63" s="20">
        <v>200179</v>
      </c>
      <c r="O63" s="37" t="str">
        <f t="shared" si="0"/>
        <v>847.8470315.1.425763.000000.847001.200179</v>
      </c>
      <c r="P63" s="20" t="s">
        <v>361</v>
      </c>
      <c r="Q63" s="20" t="s">
        <v>68</v>
      </c>
      <c r="R63" s="20">
        <v>68</v>
      </c>
      <c r="S63" s="20">
        <v>3000</v>
      </c>
      <c r="T63" s="21" t="s">
        <v>447</v>
      </c>
      <c r="U63" s="20">
        <v>204000</v>
      </c>
      <c r="V63" s="20">
        <f t="shared" si="4"/>
        <v>204000</v>
      </c>
      <c r="W63" s="20">
        <f t="shared" si="5"/>
        <v>0</v>
      </c>
      <c r="X63" s="21" t="s">
        <v>55</v>
      </c>
      <c r="Y63" s="70">
        <f t="shared" si="1"/>
        <v>0</v>
      </c>
    </row>
    <row r="64" spans="1:25" s="39" customFormat="1" ht="14" customHeight="1" x14ac:dyDescent="0.35">
      <c r="A64" s="20" t="s">
        <v>222</v>
      </c>
      <c r="B64" s="20" t="s">
        <v>58</v>
      </c>
      <c r="C64" s="20" t="s">
        <v>334</v>
      </c>
      <c r="D64" s="20">
        <v>847</v>
      </c>
      <c r="E64" s="20">
        <v>8470315</v>
      </c>
      <c r="F64" s="20" t="s">
        <v>426</v>
      </c>
      <c r="G64" s="20">
        <v>1</v>
      </c>
      <c r="H64" s="20">
        <v>425770</v>
      </c>
      <c r="I64" s="20" t="s">
        <v>367</v>
      </c>
      <c r="J64" s="20" t="s">
        <v>60</v>
      </c>
      <c r="K64" s="20" t="s">
        <v>50</v>
      </c>
      <c r="L64" s="20">
        <v>847001</v>
      </c>
      <c r="M64" s="20" t="s">
        <v>61</v>
      </c>
      <c r="N64" s="20">
        <v>200179</v>
      </c>
      <c r="O64" s="37" t="str">
        <f t="shared" si="0"/>
        <v>847.8470315.1.425770.000000.847001.200179</v>
      </c>
      <c r="P64" s="20" t="s">
        <v>926</v>
      </c>
      <c r="Q64" s="20" t="s">
        <v>157</v>
      </c>
      <c r="R64" s="20">
        <v>16</v>
      </c>
      <c r="S64" s="20">
        <v>20000</v>
      </c>
      <c r="T64" s="21" t="s">
        <v>452</v>
      </c>
      <c r="U64" s="20">
        <v>320000</v>
      </c>
      <c r="V64" s="20">
        <f t="shared" si="4"/>
        <v>320000</v>
      </c>
      <c r="W64" s="20">
        <f t="shared" si="5"/>
        <v>0</v>
      </c>
      <c r="X64" s="21" t="s">
        <v>55</v>
      </c>
      <c r="Y64" s="70">
        <f t="shared" si="1"/>
        <v>0</v>
      </c>
    </row>
    <row r="65" spans="1:25" s="39" customFormat="1" ht="14" customHeight="1" x14ac:dyDescent="0.35">
      <c r="A65" s="20" t="s">
        <v>189</v>
      </c>
      <c r="B65" s="20" t="s">
        <v>265</v>
      </c>
      <c r="C65" s="20" t="s">
        <v>334</v>
      </c>
      <c r="D65" s="20">
        <v>847</v>
      </c>
      <c r="E65" s="20">
        <v>8470315</v>
      </c>
      <c r="F65" s="20" t="s">
        <v>426</v>
      </c>
      <c r="G65" s="20">
        <v>1</v>
      </c>
      <c r="H65" s="20">
        <v>425900</v>
      </c>
      <c r="I65" s="20" t="s">
        <v>266</v>
      </c>
      <c r="J65" s="20" t="s">
        <v>60</v>
      </c>
      <c r="K65" s="20" t="s">
        <v>50</v>
      </c>
      <c r="L65" s="20">
        <v>847001</v>
      </c>
      <c r="M65" s="20" t="s">
        <v>61</v>
      </c>
      <c r="N65" s="20">
        <v>200179</v>
      </c>
      <c r="O65" s="37" t="str">
        <f t="shared" si="0"/>
        <v>847.8470315.1.425900.000000.847001.200179</v>
      </c>
      <c r="P65" s="20" t="s">
        <v>268</v>
      </c>
      <c r="Q65" s="20" t="s">
        <v>269</v>
      </c>
      <c r="R65" s="20">
        <v>16</v>
      </c>
      <c r="S65" s="20">
        <v>1500</v>
      </c>
      <c r="T65" s="21" t="s">
        <v>457</v>
      </c>
      <c r="U65" s="20">
        <v>24000</v>
      </c>
      <c r="V65" s="20">
        <f t="shared" si="4"/>
        <v>24000</v>
      </c>
      <c r="W65" s="20">
        <f t="shared" si="5"/>
        <v>0</v>
      </c>
      <c r="X65" s="21" t="s">
        <v>55</v>
      </c>
      <c r="Y65" s="70">
        <f t="shared" si="1"/>
        <v>0</v>
      </c>
    </row>
    <row r="66" spans="1:25" s="39" customFormat="1" ht="14" customHeight="1" x14ac:dyDescent="0.35">
      <c r="A66" s="20" t="s">
        <v>63</v>
      </c>
      <c r="B66" s="20" t="s">
        <v>64</v>
      </c>
      <c r="C66" s="20" t="s">
        <v>334</v>
      </c>
      <c r="D66" s="20">
        <v>847</v>
      </c>
      <c r="E66" s="20">
        <v>8470315</v>
      </c>
      <c r="F66" s="20" t="s">
        <v>426</v>
      </c>
      <c r="G66" s="20">
        <v>1</v>
      </c>
      <c r="H66" s="20">
        <v>426610</v>
      </c>
      <c r="I66" s="20" t="s">
        <v>74</v>
      </c>
      <c r="J66" s="20" t="s">
        <v>60</v>
      </c>
      <c r="K66" s="20" t="s">
        <v>50</v>
      </c>
      <c r="L66" s="20">
        <v>847001</v>
      </c>
      <c r="M66" s="20" t="s">
        <v>61</v>
      </c>
      <c r="N66" s="20">
        <v>200179</v>
      </c>
      <c r="O66" s="37" t="str">
        <f t="shared" si="0"/>
        <v>847.8470315.1.426610.000000.847001.200179</v>
      </c>
      <c r="P66" s="20" t="s">
        <v>274</v>
      </c>
      <c r="Q66" s="20" t="s">
        <v>157</v>
      </c>
      <c r="R66" s="20">
        <v>1</v>
      </c>
      <c r="S66" s="20">
        <v>105000</v>
      </c>
      <c r="T66" s="21" t="s">
        <v>461</v>
      </c>
      <c r="U66" s="20">
        <v>105000</v>
      </c>
      <c r="V66" s="20">
        <f t="shared" si="4"/>
        <v>105000</v>
      </c>
      <c r="W66" s="20">
        <f t="shared" si="5"/>
        <v>0</v>
      </c>
      <c r="X66" s="21" t="s">
        <v>55</v>
      </c>
      <c r="Y66" s="70">
        <f t="shared" si="1"/>
        <v>0</v>
      </c>
    </row>
    <row r="67" spans="1:25" s="39" customFormat="1" ht="14" customHeight="1" x14ac:dyDescent="0.35">
      <c r="A67" s="20" t="s">
        <v>153</v>
      </c>
      <c r="B67" s="20" t="s">
        <v>58</v>
      </c>
      <c r="C67" s="20" t="s">
        <v>334</v>
      </c>
      <c r="D67" s="20">
        <v>847</v>
      </c>
      <c r="E67" s="20">
        <v>8470315</v>
      </c>
      <c r="F67" s="20" t="s">
        <v>426</v>
      </c>
      <c r="G67" s="20">
        <v>1</v>
      </c>
      <c r="H67" s="20">
        <v>428090</v>
      </c>
      <c r="I67" s="20" t="s">
        <v>154</v>
      </c>
      <c r="J67" s="20" t="s">
        <v>60</v>
      </c>
      <c r="K67" s="20" t="s">
        <v>50</v>
      </c>
      <c r="L67" s="20">
        <v>847001</v>
      </c>
      <c r="M67" s="20" t="s">
        <v>61</v>
      </c>
      <c r="N67" s="20">
        <v>200179</v>
      </c>
      <c r="O67" s="37" t="str">
        <f t="shared" ref="O67:O130" si="6">CONCATENATE(D67,".",E67,".",G67,".",H67,".",J67,".",L67,".",N67)</f>
        <v>847.8470315.1.428090.000000.847001.200179</v>
      </c>
      <c r="P67" s="20" t="s">
        <v>387</v>
      </c>
      <c r="Q67" s="20" t="s">
        <v>157</v>
      </c>
      <c r="R67" s="20">
        <v>2</v>
      </c>
      <c r="S67" s="20">
        <v>10000</v>
      </c>
      <c r="T67" s="21" t="s">
        <v>466</v>
      </c>
      <c r="U67" s="20">
        <v>20000</v>
      </c>
      <c r="V67" s="20">
        <f t="shared" si="4"/>
        <v>20000</v>
      </c>
      <c r="W67" s="20">
        <f t="shared" si="5"/>
        <v>0</v>
      </c>
      <c r="X67" s="21" t="s">
        <v>55</v>
      </c>
      <c r="Y67" s="70">
        <f t="shared" ref="Y67:Y130" si="7">(R67*S67)-U67</f>
        <v>0</v>
      </c>
    </row>
    <row r="68" spans="1:25" s="39" customFormat="1" ht="14" customHeight="1" x14ac:dyDescent="0.35">
      <c r="A68" s="20" t="s">
        <v>222</v>
      </c>
      <c r="B68" s="20" t="s">
        <v>58</v>
      </c>
      <c r="C68" s="20" t="s">
        <v>334</v>
      </c>
      <c r="D68" s="20">
        <v>847</v>
      </c>
      <c r="E68" s="20">
        <v>8470315</v>
      </c>
      <c r="F68" s="20" t="s">
        <v>426</v>
      </c>
      <c r="G68" s="20">
        <v>1</v>
      </c>
      <c r="H68" s="20">
        <v>432209</v>
      </c>
      <c r="I68" s="20" t="s">
        <v>393</v>
      </c>
      <c r="J68" s="20" t="s">
        <v>60</v>
      </c>
      <c r="K68" s="20" t="s">
        <v>50</v>
      </c>
      <c r="L68" s="20">
        <v>847001</v>
      </c>
      <c r="M68" s="20" t="s">
        <v>61</v>
      </c>
      <c r="N68" s="20">
        <v>200179</v>
      </c>
      <c r="O68" s="37" t="str">
        <f t="shared" si="6"/>
        <v>847.8470315.1.432209.000000.847001.200179</v>
      </c>
      <c r="P68" s="20" t="s">
        <v>470</v>
      </c>
      <c r="Q68" s="20" t="s">
        <v>157</v>
      </c>
      <c r="R68" s="20">
        <v>1</v>
      </c>
      <c r="S68" s="20">
        <v>150000</v>
      </c>
      <c r="T68" s="21" t="s">
        <v>927</v>
      </c>
      <c r="U68" s="20">
        <v>150000</v>
      </c>
      <c r="V68" s="20">
        <f t="shared" si="4"/>
        <v>150000</v>
      </c>
      <c r="W68" s="20">
        <f t="shared" si="5"/>
        <v>0</v>
      </c>
      <c r="X68" s="21" t="s">
        <v>55</v>
      </c>
      <c r="Y68" s="70">
        <f t="shared" si="7"/>
        <v>0</v>
      </c>
    </row>
    <row r="69" spans="1:25" s="39" customFormat="1" ht="14" customHeight="1" x14ac:dyDescent="0.35">
      <c r="A69" s="20" t="s">
        <v>222</v>
      </c>
      <c r="B69" s="20" t="s">
        <v>58</v>
      </c>
      <c r="C69" s="20" t="s">
        <v>334</v>
      </c>
      <c r="D69" s="20">
        <v>847</v>
      </c>
      <c r="E69" s="20">
        <v>8470315</v>
      </c>
      <c r="F69" s="20" t="s">
        <v>426</v>
      </c>
      <c r="G69" s="20">
        <v>1</v>
      </c>
      <c r="H69" s="20">
        <v>435350</v>
      </c>
      <c r="I69" s="20" t="s">
        <v>399</v>
      </c>
      <c r="J69" s="20" t="s">
        <v>60</v>
      </c>
      <c r="K69" s="20" t="s">
        <v>50</v>
      </c>
      <c r="L69" s="20">
        <v>847001</v>
      </c>
      <c r="M69" s="20" t="s">
        <v>61</v>
      </c>
      <c r="N69" s="20">
        <v>200179</v>
      </c>
      <c r="O69" s="37" t="str">
        <f t="shared" si="6"/>
        <v>847.8470315.1.435350.000000.847001.200179</v>
      </c>
      <c r="P69" s="20" t="s">
        <v>401</v>
      </c>
      <c r="Q69" s="20" t="s">
        <v>157</v>
      </c>
      <c r="R69" s="20">
        <v>16</v>
      </c>
      <c r="S69" s="20">
        <v>5000</v>
      </c>
      <c r="T69" s="21" t="s">
        <v>476</v>
      </c>
      <c r="U69" s="20">
        <v>80000</v>
      </c>
      <c r="V69" s="20">
        <f t="shared" si="4"/>
        <v>80000</v>
      </c>
      <c r="W69" s="20">
        <f t="shared" si="5"/>
        <v>0</v>
      </c>
      <c r="X69" s="21" t="s">
        <v>55</v>
      </c>
      <c r="Y69" s="70">
        <f t="shared" si="7"/>
        <v>0</v>
      </c>
    </row>
    <row r="70" spans="1:25" s="39" customFormat="1" ht="14" customHeight="1" x14ac:dyDescent="0.35">
      <c r="A70" s="20" t="s">
        <v>222</v>
      </c>
      <c r="B70" s="20" t="s">
        <v>220</v>
      </c>
      <c r="C70" s="20" t="s">
        <v>334</v>
      </c>
      <c r="D70" s="20">
        <v>847</v>
      </c>
      <c r="E70" s="20">
        <v>8470315</v>
      </c>
      <c r="F70" s="20" t="s">
        <v>426</v>
      </c>
      <c r="G70" s="20">
        <v>1</v>
      </c>
      <c r="H70" s="20">
        <v>435508</v>
      </c>
      <c r="I70" s="20" t="s">
        <v>405</v>
      </c>
      <c r="J70" s="20" t="s">
        <v>60</v>
      </c>
      <c r="K70" s="20" t="s">
        <v>50</v>
      </c>
      <c r="L70" s="20">
        <v>847001</v>
      </c>
      <c r="M70" s="20" t="s">
        <v>61</v>
      </c>
      <c r="N70" s="20">
        <v>200179</v>
      </c>
      <c r="O70" s="37" t="str">
        <f t="shared" si="6"/>
        <v>847.8470315.1.435508.000000.847001.200179</v>
      </c>
      <c r="P70" s="20" t="s">
        <v>482</v>
      </c>
      <c r="Q70" s="20" t="s">
        <v>157</v>
      </c>
      <c r="R70" s="20">
        <v>1</v>
      </c>
      <c r="S70" s="20">
        <v>220000</v>
      </c>
      <c r="T70" s="21" t="s">
        <v>928</v>
      </c>
      <c r="U70" s="20">
        <v>220000</v>
      </c>
      <c r="V70" s="20">
        <f t="shared" si="4"/>
        <v>220000</v>
      </c>
      <c r="W70" s="20">
        <f t="shared" si="5"/>
        <v>0</v>
      </c>
      <c r="X70" s="21" t="s">
        <v>55</v>
      </c>
      <c r="Y70" s="70">
        <f t="shared" si="7"/>
        <v>0</v>
      </c>
    </row>
    <row r="71" spans="1:25" s="39" customFormat="1" ht="14" customHeight="1" x14ac:dyDescent="0.35">
      <c r="A71" s="20" t="s">
        <v>189</v>
      </c>
      <c r="B71" s="20" t="s">
        <v>58</v>
      </c>
      <c r="C71" s="20" t="s">
        <v>334</v>
      </c>
      <c r="D71" s="20">
        <v>847</v>
      </c>
      <c r="E71" s="20">
        <v>8470315</v>
      </c>
      <c r="F71" s="20" t="s">
        <v>426</v>
      </c>
      <c r="G71" s="20">
        <v>1</v>
      </c>
      <c r="H71" s="20">
        <v>436110</v>
      </c>
      <c r="I71" s="20" t="s">
        <v>190</v>
      </c>
      <c r="J71" s="20" t="s">
        <v>60</v>
      </c>
      <c r="K71" s="20" t="s">
        <v>50</v>
      </c>
      <c r="L71" s="20">
        <v>847001</v>
      </c>
      <c r="M71" s="20" t="s">
        <v>61</v>
      </c>
      <c r="N71" s="20">
        <v>200179</v>
      </c>
      <c r="O71" s="37" t="str">
        <f t="shared" si="6"/>
        <v>847.8470315.1.436110.000000.847001.200179</v>
      </c>
      <c r="P71" s="20" t="s">
        <v>488</v>
      </c>
      <c r="Q71" s="20" t="s">
        <v>157</v>
      </c>
      <c r="R71" s="20">
        <v>5</v>
      </c>
      <c r="S71" s="20">
        <v>500</v>
      </c>
      <c r="T71" s="21" t="s">
        <v>489</v>
      </c>
      <c r="U71" s="20">
        <v>2500</v>
      </c>
      <c r="V71" s="20">
        <f t="shared" si="4"/>
        <v>2500</v>
      </c>
      <c r="W71" s="20">
        <f t="shared" si="5"/>
        <v>0</v>
      </c>
      <c r="X71" s="21" t="s">
        <v>55</v>
      </c>
      <c r="Y71" s="70">
        <f t="shared" si="7"/>
        <v>0</v>
      </c>
    </row>
    <row r="72" spans="1:25" s="39" customFormat="1" ht="14" customHeight="1" x14ac:dyDescent="0.35">
      <c r="A72" s="20" t="s">
        <v>222</v>
      </c>
      <c r="B72" s="20" t="s">
        <v>58</v>
      </c>
      <c r="C72" s="20" t="s">
        <v>334</v>
      </c>
      <c r="D72" s="20">
        <v>847</v>
      </c>
      <c r="E72" s="20">
        <v>8470315</v>
      </c>
      <c r="F72" s="20" t="s">
        <v>426</v>
      </c>
      <c r="G72" s="20">
        <v>1</v>
      </c>
      <c r="H72" s="20">
        <v>436600</v>
      </c>
      <c r="I72" s="20" t="s">
        <v>416</v>
      </c>
      <c r="J72" s="20" t="s">
        <v>60</v>
      </c>
      <c r="K72" s="20" t="s">
        <v>50</v>
      </c>
      <c r="L72" s="20">
        <v>847001</v>
      </c>
      <c r="M72" s="20" t="s">
        <v>61</v>
      </c>
      <c r="N72" s="20">
        <v>200179</v>
      </c>
      <c r="O72" s="37" t="str">
        <f t="shared" si="6"/>
        <v>847.8470315.1.436600.000000.847001.200179</v>
      </c>
      <c r="P72" s="20" t="s">
        <v>492</v>
      </c>
      <c r="Q72" s="20" t="s">
        <v>157</v>
      </c>
      <c r="R72" s="20">
        <v>16</v>
      </c>
      <c r="S72" s="20">
        <v>2000</v>
      </c>
      <c r="T72" s="21" t="s">
        <v>929</v>
      </c>
      <c r="U72" s="20">
        <v>32000</v>
      </c>
      <c r="V72" s="20">
        <f t="shared" si="4"/>
        <v>32000</v>
      </c>
      <c r="W72" s="20">
        <f t="shared" si="5"/>
        <v>0</v>
      </c>
      <c r="X72" s="21" t="s">
        <v>55</v>
      </c>
      <c r="Y72" s="70">
        <f t="shared" si="7"/>
        <v>0</v>
      </c>
    </row>
    <row r="73" spans="1:25" s="39" customFormat="1" ht="14" customHeight="1" x14ac:dyDescent="0.35">
      <c r="A73" s="20" t="s">
        <v>161</v>
      </c>
      <c r="B73" s="20" t="s">
        <v>220</v>
      </c>
      <c r="C73" s="20" t="s">
        <v>334</v>
      </c>
      <c r="D73" s="20">
        <v>847</v>
      </c>
      <c r="E73" s="20">
        <v>8470315</v>
      </c>
      <c r="F73" s="20" t="s">
        <v>426</v>
      </c>
      <c r="G73" s="20">
        <v>1</v>
      </c>
      <c r="H73" s="20">
        <v>492316</v>
      </c>
      <c r="I73" s="20" t="s">
        <v>221</v>
      </c>
      <c r="J73" s="20" t="s">
        <v>60</v>
      </c>
      <c r="K73" s="20" t="s">
        <v>50</v>
      </c>
      <c r="L73" s="20">
        <v>847001</v>
      </c>
      <c r="M73" s="20" t="s">
        <v>192</v>
      </c>
      <c r="N73" s="20">
        <v>300180</v>
      </c>
      <c r="O73" s="37" t="str">
        <f t="shared" si="6"/>
        <v>847.8470315.1.492316.000000.847001.300180</v>
      </c>
      <c r="P73" s="20" t="s">
        <v>495</v>
      </c>
      <c r="Q73" s="20" t="s">
        <v>157</v>
      </c>
      <c r="R73" s="20">
        <v>3</v>
      </c>
      <c r="S73" s="20">
        <v>65000</v>
      </c>
      <c r="T73" s="21" t="s">
        <v>930</v>
      </c>
      <c r="U73" s="20">
        <v>195000</v>
      </c>
      <c r="V73" s="20">
        <f t="shared" si="4"/>
        <v>195000</v>
      </c>
      <c r="W73" s="20">
        <f t="shared" si="5"/>
        <v>0</v>
      </c>
      <c r="X73" s="21" t="s">
        <v>210</v>
      </c>
      <c r="Y73" s="70">
        <f t="shared" si="7"/>
        <v>0</v>
      </c>
    </row>
    <row r="74" spans="1:25" s="39" customFormat="1" ht="14" customHeight="1" x14ac:dyDescent="0.35">
      <c r="A74" s="20" t="s">
        <v>46</v>
      </c>
      <c r="B74" s="20" t="s">
        <v>46</v>
      </c>
      <c r="C74" s="20" t="s">
        <v>334</v>
      </c>
      <c r="D74" s="20">
        <v>847</v>
      </c>
      <c r="E74" s="20">
        <v>8470315</v>
      </c>
      <c r="F74" s="20" t="s">
        <v>426</v>
      </c>
      <c r="G74" s="20">
        <v>1</v>
      </c>
      <c r="H74" s="20">
        <v>492316</v>
      </c>
      <c r="I74" s="20" t="s">
        <v>221</v>
      </c>
      <c r="J74" s="20" t="s">
        <v>60</v>
      </c>
      <c r="K74" s="20" t="s">
        <v>50</v>
      </c>
      <c r="L74" s="20">
        <v>847001</v>
      </c>
      <c r="M74" s="20" t="s">
        <v>192</v>
      </c>
      <c r="N74" s="20">
        <v>300180</v>
      </c>
      <c r="O74" s="37" t="str">
        <f t="shared" si="6"/>
        <v>847.8470315.1.492316.000000.847001.300180</v>
      </c>
      <c r="P74" s="20" t="s">
        <v>495</v>
      </c>
      <c r="Q74" s="20" t="s">
        <v>157</v>
      </c>
      <c r="R74" s="20">
        <v>4</v>
      </c>
      <c r="S74" s="20">
        <v>37728</v>
      </c>
      <c r="T74" s="21" t="s">
        <v>931</v>
      </c>
      <c r="U74" s="20">
        <v>150912</v>
      </c>
      <c r="V74" s="20">
        <f t="shared" si="4"/>
        <v>150912</v>
      </c>
      <c r="W74" s="20">
        <f t="shared" si="5"/>
        <v>0</v>
      </c>
      <c r="X74" s="21" t="s">
        <v>210</v>
      </c>
      <c r="Y74" s="70">
        <f t="shared" si="7"/>
        <v>0</v>
      </c>
    </row>
    <row r="75" spans="1:25" s="39" customFormat="1" ht="14" customHeight="1" x14ac:dyDescent="0.35">
      <c r="A75" s="20" t="s">
        <v>46</v>
      </c>
      <c r="B75" s="20" t="s">
        <v>46</v>
      </c>
      <c r="C75" s="20" t="s">
        <v>334</v>
      </c>
      <c r="D75" s="20">
        <v>847</v>
      </c>
      <c r="E75" s="20">
        <v>8470315</v>
      </c>
      <c r="F75" s="20" t="s">
        <v>426</v>
      </c>
      <c r="G75" s="20">
        <v>1</v>
      </c>
      <c r="H75" s="20">
        <v>492316</v>
      </c>
      <c r="I75" s="20" t="s">
        <v>221</v>
      </c>
      <c r="J75" s="20" t="s">
        <v>60</v>
      </c>
      <c r="K75" s="20" t="s">
        <v>50</v>
      </c>
      <c r="L75" s="20">
        <v>847001</v>
      </c>
      <c r="M75" s="20" t="s">
        <v>192</v>
      </c>
      <c r="N75" s="20">
        <v>300180</v>
      </c>
      <c r="O75" s="37" t="str">
        <f t="shared" si="6"/>
        <v>847.8470315.1.492316.000000.847001.300180</v>
      </c>
      <c r="P75" s="20" t="s">
        <v>495</v>
      </c>
      <c r="Q75" s="20" t="s">
        <v>157</v>
      </c>
      <c r="R75" s="20">
        <v>2</v>
      </c>
      <c r="S75" s="20">
        <v>25000</v>
      </c>
      <c r="T75" s="21" t="s">
        <v>504</v>
      </c>
      <c r="U75" s="20">
        <v>50000</v>
      </c>
      <c r="V75" s="20">
        <f t="shared" si="4"/>
        <v>50000</v>
      </c>
      <c r="W75" s="20">
        <f t="shared" si="5"/>
        <v>0</v>
      </c>
      <c r="X75" s="21" t="s">
        <v>210</v>
      </c>
      <c r="Y75" s="70">
        <f t="shared" si="7"/>
        <v>0</v>
      </c>
    </row>
    <row r="76" spans="1:25" s="39" customFormat="1" ht="14" customHeight="1" x14ac:dyDescent="0.35">
      <c r="A76" s="20" t="s">
        <v>46</v>
      </c>
      <c r="B76" s="20" t="s">
        <v>46</v>
      </c>
      <c r="C76" s="20" t="s">
        <v>334</v>
      </c>
      <c r="D76" s="20">
        <v>847</v>
      </c>
      <c r="E76" s="20">
        <v>8470315</v>
      </c>
      <c r="F76" s="20" t="s">
        <v>426</v>
      </c>
      <c r="G76" s="20">
        <v>1</v>
      </c>
      <c r="H76" s="20">
        <v>492316</v>
      </c>
      <c r="I76" s="20" t="s">
        <v>221</v>
      </c>
      <c r="J76" s="20" t="s">
        <v>60</v>
      </c>
      <c r="K76" s="20" t="s">
        <v>50</v>
      </c>
      <c r="L76" s="20">
        <v>847001</v>
      </c>
      <c r="M76" s="20" t="s">
        <v>192</v>
      </c>
      <c r="N76" s="20">
        <v>300180</v>
      </c>
      <c r="O76" s="37" t="str">
        <f t="shared" si="6"/>
        <v>847.8470315.1.492316.000000.847001.300180</v>
      </c>
      <c r="P76" s="20" t="s">
        <v>495</v>
      </c>
      <c r="Q76" s="20" t="s">
        <v>157</v>
      </c>
      <c r="R76" s="20">
        <v>30</v>
      </c>
      <c r="S76" s="20">
        <v>6000</v>
      </c>
      <c r="T76" s="21" t="s">
        <v>932</v>
      </c>
      <c r="U76" s="20">
        <v>180000</v>
      </c>
      <c r="V76" s="20">
        <f t="shared" si="4"/>
        <v>180000</v>
      </c>
      <c r="W76" s="20">
        <f t="shared" si="5"/>
        <v>0</v>
      </c>
      <c r="X76" s="21" t="s">
        <v>210</v>
      </c>
      <c r="Y76" s="70">
        <f t="shared" si="7"/>
        <v>0</v>
      </c>
    </row>
    <row r="77" spans="1:25" s="39" customFormat="1" ht="14" customHeight="1" x14ac:dyDescent="0.35">
      <c r="A77" s="20" t="s">
        <v>46</v>
      </c>
      <c r="B77" s="20" t="s">
        <v>46</v>
      </c>
      <c r="C77" s="20" t="s">
        <v>334</v>
      </c>
      <c r="D77" s="20">
        <v>847</v>
      </c>
      <c r="E77" s="20">
        <v>8470315</v>
      </c>
      <c r="F77" s="20" t="s">
        <v>426</v>
      </c>
      <c r="G77" s="20">
        <v>1</v>
      </c>
      <c r="H77" s="20">
        <v>492316</v>
      </c>
      <c r="I77" s="20" t="s">
        <v>221</v>
      </c>
      <c r="J77" s="20" t="s">
        <v>60</v>
      </c>
      <c r="K77" s="20" t="s">
        <v>50</v>
      </c>
      <c r="L77" s="20">
        <v>847001</v>
      </c>
      <c r="M77" s="20" t="s">
        <v>192</v>
      </c>
      <c r="N77" s="20">
        <v>300180</v>
      </c>
      <c r="O77" s="37" t="str">
        <f t="shared" si="6"/>
        <v>847.8470315.1.492316.000000.847001.300180</v>
      </c>
      <c r="P77" s="20" t="s">
        <v>495</v>
      </c>
      <c r="Q77" s="20" t="s">
        <v>157</v>
      </c>
      <c r="R77" s="20">
        <v>1</v>
      </c>
      <c r="S77" s="20">
        <v>198000</v>
      </c>
      <c r="T77" s="21" t="s">
        <v>933</v>
      </c>
      <c r="U77" s="20">
        <v>198000</v>
      </c>
      <c r="V77" s="20">
        <f t="shared" si="4"/>
        <v>198000</v>
      </c>
      <c r="W77" s="20">
        <f t="shared" si="5"/>
        <v>0</v>
      </c>
      <c r="X77" s="21" t="s">
        <v>210</v>
      </c>
      <c r="Y77" s="70">
        <f t="shared" si="7"/>
        <v>0</v>
      </c>
    </row>
    <row r="78" spans="1:25" s="39" customFormat="1" ht="14" customHeight="1" x14ac:dyDescent="0.35">
      <c r="A78" s="20" t="s">
        <v>46</v>
      </c>
      <c r="B78" s="20" t="s">
        <v>46</v>
      </c>
      <c r="C78" s="20" t="s">
        <v>334</v>
      </c>
      <c r="D78" s="20">
        <v>847</v>
      </c>
      <c r="E78" s="20">
        <v>8470315</v>
      </c>
      <c r="F78" s="20" t="s">
        <v>426</v>
      </c>
      <c r="G78" s="20">
        <v>1</v>
      </c>
      <c r="H78" s="20">
        <v>492316</v>
      </c>
      <c r="I78" s="20" t="s">
        <v>221</v>
      </c>
      <c r="J78" s="20" t="s">
        <v>60</v>
      </c>
      <c r="K78" s="20" t="s">
        <v>50</v>
      </c>
      <c r="L78" s="20">
        <v>847001</v>
      </c>
      <c r="M78" s="20" t="s">
        <v>192</v>
      </c>
      <c r="N78" s="20">
        <v>300180</v>
      </c>
      <c r="O78" s="37" t="str">
        <f t="shared" si="6"/>
        <v>847.8470315.1.492316.000000.847001.300180</v>
      </c>
      <c r="P78" s="20" t="s">
        <v>495</v>
      </c>
      <c r="Q78" s="20" t="s">
        <v>157</v>
      </c>
      <c r="R78" s="20">
        <v>1</v>
      </c>
      <c r="S78" s="20">
        <v>237490</v>
      </c>
      <c r="T78" s="21" t="s">
        <v>934</v>
      </c>
      <c r="U78" s="20">
        <v>237490</v>
      </c>
      <c r="V78" s="20">
        <f t="shared" si="4"/>
        <v>237490</v>
      </c>
      <c r="W78" s="20">
        <f t="shared" si="5"/>
        <v>0</v>
      </c>
      <c r="X78" s="21" t="s">
        <v>210</v>
      </c>
      <c r="Y78" s="70">
        <f t="shared" si="7"/>
        <v>0</v>
      </c>
    </row>
    <row r="79" spans="1:25" s="39" customFormat="1" ht="14" customHeight="1" x14ac:dyDescent="0.35">
      <c r="A79" s="20" t="s">
        <v>46</v>
      </c>
      <c r="B79" s="20" t="s">
        <v>46</v>
      </c>
      <c r="C79" s="20" t="s">
        <v>334</v>
      </c>
      <c r="D79" s="20">
        <v>847</v>
      </c>
      <c r="E79" s="20">
        <v>8470315</v>
      </c>
      <c r="F79" s="20" t="s">
        <v>426</v>
      </c>
      <c r="G79" s="20">
        <v>1</v>
      </c>
      <c r="H79" s="20">
        <v>492316</v>
      </c>
      <c r="I79" s="20" t="s">
        <v>221</v>
      </c>
      <c r="J79" s="20" t="s">
        <v>60</v>
      </c>
      <c r="K79" s="20" t="s">
        <v>50</v>
      </c>
      <c r="L79" s="20">
        <v>847001</v>
      </c>
      <c r="M79" s="20" t="s">
        <v>192</v>
      </c>
      <c r="N79" s="20">
        <v>300180</v>
      </c>
      <c r="O79" s="37" t="str">
        <f t="shared" si="6"/>
        <v>847.8470315.1.492316.000000.847001.300180</v>
      </c>
      <c r="P79" s="20" t="s">
        <v>495</v>
      </c>
      <c r="Q79" s="20" t="s">
        <v>157</v>
      </c>
      <c r="R79" s="20">
        <v>1</v>
      </c>
      <c r="S79" s="20">
        <v>41000</v>
      </c>
      <c r="T79" s="21" t="s">
        <v>935</v>
      </c>
      <c r="U79" s="20">
        <v>41000</v>
      </c>
      <c r="V79" s="20">
        <f t="shared" si="4"/>
        <v>41000</v>
      </c>
      <c r="W79" s="20">
        <f t="shared" si="5"/>
        <v>0</v>
      </c>
      <c r="X79" s="21" t="s">
        <v>210</v>
      </c>
      <c r="Y79" s="70">
        <f t="shared" si="7"/>
        <v>0</v>
      </c>
    </row>
    <row r="80" spans="1:25" s="39" customFormat="1" ht="14" customHeight="1" x14ac:dyDescent="0.35">
      <c r="A80" s="20" t="s">
        <v>46</v>
      </c>
      <c r="B80" s="20" t="s">
        <v>46</v>
      </c>
      <c r="C80" s="20" t="s">
        <v>334</v>
      </c>
      <c r="D80" s="20">
        <v>847</v>
      </c>
      <c r="E80" s="20">
        <v>8470315</v>
      </c>
      <c r="F80" s="20" t="s">
        <v>426</v>
      </c>
      <c r="G80" s="20">
        <v>1</v>
      </c>
      <c r="H80" s="20">
        <v>492316</v>
      </c>
      <c r="I80" s="20" t="s">
        <v>221</v>
      </c>
      <c r="J80" s="20" t="s">
        <v>60</v>
      </c>
      <c r="K80" s="20" t="s">
        <v>50</v>
      </c>
      <c r="L80" s="20">
        <v>847001</v>
      </c>
      <c r="M80" s="20" t="s">
        <v>192</v>
      </c>
      <c r="N80" s="20">
        <v>300180</v>
      </c>
      <c r="O80" s="37" t="str">
        <f t="shared" si="6"/>
        <v>847.8470315.1.492316.000000.847001.300180</v>
      </c>
      <c r="P80" s="20" t="s">
        <v>495</v>
      </c>
      <c r="Q80" s="20" t="s">
        <v>157</v>
      </c>
      <c r="R80" s="20">
        <v>1</v>
      </c>
      <c r="S80" s="20">
        <v>163400</v>
      </c>
      <c r="T80" s="21" t="s">
        <v>936</v>
      </c>
      <c r="U80" s="20">
        <v>163400</v>
      </c>
      <c r="V80" s="20">
        <f t="shared" si="4"/>
        <v>163400</v>
      </c>
      <c r="W80" s="20">
        <f t="shared" si="5"/>
        <v>0</v>
      </c>
      <c r="X80" s="21" t="s">
        <v>210</v>
      </c>
      <c r="Y80" s="70">
        <f t="shared" si="7"/>
        <v>0</v>
      </c>
    </row>
    <row r="81" spans="1:25" s="39" customFormat="1" ht="14" customHeight="1" x14ac:dyDescent="0.35">
      <c r="A81" s="20" t="s">
        <v>46</v>
      </c>
      <c r="B81" s="20" t="s">
        <v>46</v>
      </c>
      <c r="C81" s="20" t="s">
        <v>334</v>
      </c>
      <c r="D81" s="20">
        <v>847</v>
      </c>
      <c r="E81" s="20">
        <v>8470315</v>
      </c>
      <c r="F81" s="20" t="s">
        <v>426</v>
      </c>
      <c r="G81" s="20">
        <v>1</v>
      </c>
      <c r="H81" s="20">
        <v>492316</v>
      </c>
      <c r="I81" s="20" t="s">
        <v>221</v>
      </c>
      <c r="J81" s="20" t="s">
        <v>60</v>
      </c>
      <c r="K81" s="20" t="s">
        <v>50</v>
      </c>
      <c r="L81" s="20">
        <v>847001</v>
      </c>
      <c r="M81" s="20" t="s">
        <v>192</v>
      </c>
      <c r="N81" s="20">
        <v>300180</v>
      </c>
      <c r="O81" s="37" t="str">
        <f t="shared" si="6"/>
        <v>847.8470315.1.492316.000000.847001.300180</v>
      </c>
      <c r="P81" s="20" t="s">
        <v>495</v>
      </c>
      <c r="Q81" s="20" t="s">
        <v>157</v>
      </c>
      <c r="R81" s="20">
        <v>1</v>
      </c>
      <c r="S81" s="20">
        <v>36000</v>
      </c>
      <c r="T81" s="21" t="s">
        <v>937</v>
      </c>
      <c r="U81" s="20">
        <v>36000</v>
      </c>
      <c r="V81" s="20">
        <f t="shared" si="4"/>
        <v>36000</v>
      </c>
      <c r="W81" s="20">
        <f t="shared" si="5"/>
        <v>0</v>
      </c>
      <c r="X81" s="21" t="s">
        <v>210</v>
      </c>
      <c r="Y81" s="70">
        <f t="shared" si="7"/>
        <v>0</v>
      </c>
    </row>
    <row r="82" spans="1:25" s="39" customFormat="1" ht="14" customHeight="1" x14ac:dyDescent="0.35">
      <c r="A82" s="20" t="s">
        <v>46</v>
      </c>
      <c r="B82" s="20" t="s">
        <v>46</v>
      </c>
      <c r="C82" s="20" t="s">
        <v>334</v>
      </c>
      <c r="D82" s="20">
        <v>847</v>
      </c>
      <c r="E82" s="20">
        <v>8470315</v>
      </c>
      <c r="F82" s="20" t="s">
        <v>426</v>
      </c>
      <c r="G82" s="20">
        <v>1</v>
      </c>
      <c r="H82" s="20">
        <v>492316</v>
      </c>
      <c r="I82" s="20" t="s">
        <v>221</v>
      </c>
      <c r="J82" s="20" t="s">
        <v>60</v>
      </c>
      <c r="K82" s="20" t="s">
        <v>50</v>
      </c>
      <c r="L82" s="20">
        <v>847001</v>
      </c>
      <c r="M82" s="20" t="s">
        <v>192</v>
      </c>
      <c r="N82" s="20">
        <v>300180</v>
      </c>
      <c r="O82" s="37" t="str">
        <f t="shared" si="6"/>
        <v>847.8470315.1.492316.000000.847001.300180</v>
      </c>
      <c r="P82" s="20" t="s">
        <v>495</v>
      </c>
      <c r="Q82" s="20" t="s">
        <v>157</v>
      </c>
      <c r="R82" s="20">
        <v>1</v>
      </c>
      <c r="S82" s="20">
        <v>885500</v>
      </c>
      <c r="T82" s="21" t="s">
        <v>938</v>
      </c>
      <c r="U82" s="20">
        <v>885500</v>
      </c>
      <c r="V82" s="20">
        <f t="shared" si="4"/>
        <v>885500</v>
      </c>
      <c r="W82" s="20">
        <f t="shared" si="5"/>
        <v>0</v>
      </c>
      <c r="X82" s="21" t="s">
        <v>210</v>
      </c>
      <c r="Y82" s="70">
        <f t="shared" si="7"/>
        <v>0</v>
      </c>
    </row>
    <row r="83" spans="1:25" s="39" customFormat="1" ht="14" customHeight="1" x14ac:dyDescent="0.35">
      <c r="A83" s="20" t="s">
        <v>46</v>
      </c>
      <c r="B83" s="20" t="s">
        <v>46</v>
      </c>
      <c r="C83" s="20" t="s">
        <v>334</v>
      </c>
      <c r="D83" s="20">
        <v>847</v>
      </c>
      <c r="E83" s="20">
        <v>8470315</v>
      </c>
      <c r="F83" s="20" t="s">
        <v>426</v>
      </c>
      <c r="G83" s="20">
        <v>1</v>
      </c>
      <c r="H83" s="20">
        <v>492316</v>
      </c>
      <c r="I83" s="20" t="s">
        <v>221</v>
      </c>
      <c r="J83" s="20" t="s">
        <v>60</v>
      </c>
      <c r="K83" s="20" t="s">
        <v>50</v>
      </c>
      <c r="L83" s="20">
        <v>847001</v>
      </c>
      <c r="M83" s="20" t="s">
        <v>192</v>
      </c>
      <c r="N83" s="20">
        <v>300180</v>
      </c>
      <c r="O83" s="37" t="str">
        <f t="shared" si="6"/>
        <v>847.8470315.1.492316.000000.847001.300180</v>
      </c>
      <c r="P83" s="20" t="s">
        <v>495</v>
      </c>
      <c r="Q83" s="20" t="s">
        <v>157</v>
      </c>
      <c r="R83" s="20"/>
      <c r="S83" s="20"/>
      <c r="T83" s="21"/>
      <c r="U83" s="20">
        <v>0</v>
      </c>
      <c r="V83" s="20">
        <f t="shared" si="4"/>
        <v>0</v>
      </c>
      <c r="W83" s="20">
        <f t="shared" si="5"/>
        <v>0</v>
      </c>
      <c r="X83" s="21"/>
      <c r="Y83" s="70">
        <f t="shared" si="7"/>
        <v>0</v>
      </c>
    </row>
    <row r="84" spans="1:25" s="39" customFormat="1" ht="14" customHeight="1" x14ac:dyDescent="0.35">
      <c r="A84" s="20" t="s">
        <v>222</v>
      </c>
      <c r="B84" s="20" t="s">
        <v>58</v>
      </c>
      <c r="C84" s="20" t="s">
        <v>334</v>
      </c>
      <c r="D84" s="20">
        <v>847</v>
      </c>
      <c r="E84" s="20">
        <v>8470320</v>
      </c>
      <c r="F84" s="20" t="s">
        <v>507</v>
      </c>
      <c r="G84" s="20">
        <v>1</v>
      </c>
      <c r="H84" s="20">
        <v>420550</v>
      </c>
      <c r="I84" s="20" t="s">
        <v>225</v>
      </c>
      <c r="J84" s="20" t="s">
        <v>60</v>
      </c>
      <c r="K84" s="20" t="s">
        <v>50</v>
      </c>
      <c r="L84" s="20">
        <v>847001</v>
      </c>
      <c r="M84" s="20" t="s">
        <v>61</v>
      </c>
      <c r="N84" s="20">
        <v>200179</v>
      </c>
      <c r="O84" s="37" t="str">
        <f t="shared" si="6"/>
        <v>847.8470320.1.420550.000000.847001.200179</v>
      </c>
      <c r="P84" s="20" t="s">
        <v>227</v>
      </c>
      <c r="Q84" s="20" t="s">
        <v>157</v>
      </c>
      <c r="R84" s="20">
        <v>1</v>
      </c>
      <c r="S84" s="20">
        <v>60000</v>
      </c>
      <c r="T84" s="21" t="s">
        <v>509</v>
      </c>
      <c r="U84" s="20">
        <v>60000</v>
      </c>
      <c r="V84" s="20">
        <f t="shared" si="4"/>
        <v>60000</v>
      </c>
      <c r="W84" s="20">
        <f t="shared" si="5"/>
        <v>0</v>
      </c>
      <c r="X84" s="21" t="s">
        <v>55</v>
      </c>
      <c r="Y84" s="70">
        <f t="shared" si="7"/>
        <v>0</v>
      </c>
    </row>
    <row r="85" spans="1:25" s="39" customFormat="1" ht="14" customHeight="1" x14ac:dyDescent="0.35">
      <c r="A85" s="20" t="s">
        <v>245</v>
      </c>
      <c r="B85" s="20" t="s">
        <v>246</v>
      </c>
      <c r="C85" s="20" t="s">
        <v>334</v>
      </c>
      <c r="D85" s="20">
        <v>847</v>
      </c>
      <c r="E85" s="20">
        <v>8470320</v>
      </c>
      <c r="F85" s="20" t="s">
        <v>507</v>
      </c>
      <c r="G85" s="20">
        <v>1</v>
      </c>
      <c r="H85" s="20">
        <v>425510</v>
      </c>
      <c r="I85" s="20" t="s">
        <v>247</v>
      </c>
      <c r="J85" s="20" t="s">
        <v>60</v>
      </c>
      <c r="K85" s="20" t="s">
        <v>50</v>
      </c>
      <c r="L85" s="20">
        <v>847001</v>
      </c>
      <c r="M85" s="20" t="s">
        <v>61</v>
      </c>
      <c r="N85" s="20">
        <v>200179</v>
      </c>
      <c r="O85" s="37" t="str">
        <f t="shared" si="6"/>
        <v>847.8470320.1.425510.000000.847001.200179</v>
      </c>
      <c r="P85" s="20" t="s">
        <v>514</v>
      </c>
      <c r="Q85" s="20" t="s">
        <v>515</v>
      </c>
      <c r="R85" s="20">
        <v>5</v>
      </c>
      <c r="S85" s="20">
        <v>6000</v>
      </c>
      <c r="T85" s="21" t="s">
        <v>516</v>
      </c>
      <c r="U85" s="20">
        <v>30000</v>
      </c>
      <c r="V85" s="20">
        <f t="shared" si="4"/>
        <v>30000</v>
      </c>
      <c r="W85" s="20">
        <f t="shared" si="5"/>
        <v>0</v>
      </c>
      <c r="X85" s="21" t="s">
        <v>55</v>
      </c>
      <c r="Y85" s="70">
        <f t="shared" si="7"/>
        <v>0</v>
      </c>
    </row>
    <row r="86" spans="1:25" s="39" customFormat="1" ht="14" customHeight="1" x14ac:dyDescent="0.35">
      <c r="A86" s="20" t="s">
        <v>258</v>
      </c>
      <c r="B86" s="20" t="s">
        <v>350</v>
      </c>
      <c r="C86" s="20" t="s">
        <v>334</v>
      </c>
      <c r="D86" s="20">
        <v>847</v>
      </c>
      <c r="E86" s="20">
        <v>8470320</v>
      </c>
      <c r="F86" s="20" t="s">
        <v>507</v>
      </c>
      <c r="G86" s="20">
        <v>1</v>
      </c>
      <c r="H86" s="20">
        <v>425760</v>
      </c>
      <c r="I86" s="20" t="s">
        <v>352</v>
      </c>
      <c r="J86" s="20" t="s">
        <v>60</v>
      </c>
      <c r="K86" s="20" t="s">
        <v>50</v>
      </c>
      <c r="L86" s="20">
        <v>847001</v>
      </c>
      <c r="M86" s="20" t="s">
        <v>61</v>
      </c>
      <c r="N86" s="20">
        <v>200179</v>
      </c>
      <c r="O86" s="37" t="str">
        <f t="shared" si="6"/>
        <v>847.8470320.1.425760.000000.847001.200179</v>
      </c>
      <c r="P86" s="20" t="s">
        <v>354</v>
      </c>
      <c r="Q86" s="20" t="s">
        <v>262</v>
      </c>
      <c r="R86" s="20">
        <v>2</v>
      </c>
      <c r="S86" s="20">
        <v>12500</v>
      </c>
      <c r="T86" s="21" t="s">
        <v>518</v>
      </c>
      <c r="U86" s="20">
        <v>25000</v>
      </c>
      <c r="V86" s="20">
        <f t="shared" si="4"/>
        <v>25000</v>
      </c>
      <c r="W86" s="20">
        <f t="shared" si="5"/>
        <v>0</v>
      </c>
      <c r="X86" s="21" t="s">
        <v>55</v>
      </c>
      <c r="Y86" s="70">
        <f t="shared" si="7"/>
        <v>0</v>
      </c>
    </row>
    <row r="87" spans="1:25" s="39" customFormat="1" ht="14" customHeight="1" x14ac:dyDescent="0.35">
      <c r="A87" s="20" t="s">
        <v>258</v>
      </c>
      <c r="B87" s="20" t="s">
        <v>58</v>
      </c>
      <c r="C87" s="20" t="s">
        <v>334</v>
      </c>
      <c r="D87" s="20">
        <v>847</v>
      </c>
      <c r="E87" s="20">
        <v>8470320</v>
      </c>
      <c r="F87" s="20" t="s">
        <v>507</v>
      </c>
      <c r="G87" s="20">
        <v>1</v>
      </c>
      <c r="H87" s="20">
        <v>425763</v>
      </c>
      <c r="I87" s="20" t="s">
        <v>359</v>
      </c>
      <c r="J87" s="20" t="s">
        <v>60</v>
      </c>
      <c r="K87" s="20" t="s">
        <v>50</v>
      </c>
      <c r="L87" s="20">
        <v>847001</v>
      </c>
      <c r="M87" s="20" t="s">
        <v>61</v>
      </c>
      <c r="N87" s="20">
        <v>200179</v>
      </c>
      <c r="O87" s="37" t="str">
        <f t="shared" si="6"/>
        <v>847.8470320.1.425763.000000.847001.200179</v>
      </c>
      <c r="P87" s="20" t="s">
        <v>361</v>
      </c>
      <c r="Q87" s="20" t="s">
        <v>68</v>
      </c>
      <c r="R87" s="20">
        <v>12</v>
      </c>
      <c r="S87" s="20">
        <v>10000</v>
      </c>
      <c r="T87" s="21" t="s">
        <v>521</v>
      </c>
      <c r="U87" s="20">
        <v>120000</v>
      </c>
      <c r="V87" s="20">
        <f t="shared" si="4"/>
        <v>120000</v>
      </c>
      <c r="W87" s="20">
        <f t="shared" si="5"/>
        <v>0</v>
      </c>
      <c r="X87" s="21" t="s">
        <v>55</v>
      </c>
      <c r="Y87" s="70">
        <f t="shared" si="7"/>
        <v>0</v>
      </c>
    </row>
    <row r="88" spans="1:25" s="39" customFormat="1" ht="14" customHeight="1" x14ac:dyDescent="0.35">
      <c r="A88" s="20" t="s">
        <v>222</v>
      </c>
      <c r="B88" s="20" t="s">
        <v>58</v>
      </c>
      <c r="C88" s="20" t="s">
        <v>334</v>
      </c>
      <c r="D88" s="20">
        <v>847</v>
      </c>
      <c r="E88" s="20">
        <v>8470320</v>
      </c>
      <c r="F88" s="20" t="s">
        <v>507</v>
      </c>
      <c r="G88" s="20">
        <v>1</v>
      </c>
      <c r="H88" s="20">
        <v>425770</v>
      </c>
      <c r="I88" s="20" t="s">
        <v>367</v>
      </c>
      <c r="J88" s="20" t="s">
        <v>60</v>
      </c>
      <c r="K88" s="20" t="s">
        <v>50</v>
      </c>
      <c r="L88" s="20">
        <v>847001</v>
      </c>
      <c r="M88" s="20" t="s">
        <v>61</v>
      </c>
      <c r="N88" s="20">
        <v>200179</v>
      </c>
      <c r="O88" s="37" t="str">
        <f t="shared" si="6"/>
        <v>847.8470320.1.425770.000000.847001.200179</v>
      </c>
      <c r="P88" s="20" t="s">
        <v>369</v>
      </c>
      <c r="Q88" s="20" t="s">
        <v>157</v>
      </c>
      <c r="R88" s="20">
        <v>30</v>
      </c>
      <c r="S88" s="20">
        <v>15000</v>
      </c>
      <c r="T88" s="21" t="s">
        <v>523</v>
      </c>
      <c r="U88" s="20">
        <v>450000</v>
      </c>
      <c r="V88" s="20">
        <f t="shared" si="4"/>
        <v>450000</v>
      </c>
      <c r="W88" s="20">
        <f t="shared" si="5"/>
        <v>0</v>
      </c>
      <c r="X88" s="21" t="s">
        <v>55</v>
      </c>
      <c r="Y88" s="70">
        <f t="shared" si="7"/>
        <v>0</v>
      </c>
    </row>
    <row r="89" spans="1:25" s="39" customFormat="1" ht="14" customHeight="1" x14ac:dyDescent="0.35">
      <c r="A89" s="20" t="s">
        <v>189</v>
      </c>
      <c r="B89" s="20" t="s">
        <v>265</v>
      </c>
      <c r="C89" s="20" t="s">
        <v>334</v>
      </c>
      <c r="D89" s="20">
        <v>847</v>
      </c>
      <c r="E89" s="20">
        <v>8470320</v>
      </c>
      <c r="F89" s="20" t="s">
        <v>507</v>
      </c>
      <c r="G89" s="20">
        <v>1</v>
      </c>
      <c r="H89" s="20">
        <v>425900</v>
      </c>
      <c r="I89" s="20" t="s">
        <v>266</v>
      </c>
      <c r="J89" s="20" t="s">
        <v>60</v>
      </c>
      <c r="K89" s="20" t="s">
        <v>50</v>
      </c>
      <c r="L89" s="20">
        <v>847001</v>
      </c>
      <c r="M89" s="20" t="s">
        <v>61</v>
      </c>
      <c r="N89" s="20">
        <v>200179</v>
      </c>
      <c r="O89" s="37" t="str">
        <f t="shared" si="6"/>
        <v>847.8470320.1.425900.000000.847001.200179</v>
      </c>
      <c r="P89" s="20" t="s">
        <v>268</v>
      </c>
      <c r="Q89" s="20" t="s">
        <v>269</v>
      </c>
      <c r="R89" s="20">
        <v>10</v>
      </c>
      <c r="S89" s="20">
        <v>2500</v>
      </c>
      <c r="T89" s="21" t="s">
        <v>525</v>
      </c>
      <c r="U89" s="20">
        <v>25000</v>
      </c>
      <c r="V89" s="20">
        <f t="shared" si="4"/>
        <v>25000</v>
      </c>
      <c r="W89" s="20">
        <f t="shared" si="5"/>
        <v>0</v>
      </c>
      <c r="X89" s="21" t="s">
        <v>55</v>
      </c>
      <c r="Y89" s="70">
        <f t="shared" si="7"/>
        <v>0</v>
      </c>
    </row>
    <row r="90" spans="1:25" s="39" customFormat="1" ht="14" customHeight="1" x14ac:dyDescent="0.35">
      <c r="A90" s="20" t="s">
        <v>63</v>
      </c>
      <c r="B90" s="20" t="s">
        <v>64</v>
      </c>
      <c r="C90" s="20" t="s">
        <v>334</v>
      </c>
      <c r="D90" s="20">
        <v>847</v>
      </c>
      <c r="E90" s="20">
        <v>8470320</v>
      </c>
      <c r="F90" s="20" t="s">
        <v>507</v>
      </c>
      <c r="G90" s="20">
        <v>1</v>
      </c>
      <c r="H90" s="20">
        <v>426610</v>
      </c>
      <c r="I90" s="20" t="s">
        <v>74</v>
      </c>
      <c r="J90" s="20" t="s">
        <v>60</v>
      </c>
      <c r="K90" s="20" t="s">
        <v>50</v>
      </c>
      <c r="L90" s="20">
        <v>847001</v>
      </c>
      <c r="M90" s="20" t="s">
        <v>61</v>
      </c>
      <c r="N90" s="20">
        <v>200179</v>
      </c>
      <c r="O90" s="37" t="str">
        <f t="shared" si="6"/>
        <v>847.8470320.1.426610.000000.847001.200179</v>
      </c>
      <c r="P90" s="20" t="s">
        <v>274</v>
      </c>
      <c r="Q90" s="20" t="s">
        <v>157</v>
      </c>
      <c r="R90" s="20">
        <v>1</v>
      </c>
      <c r="S90" s="20">
        <v>115000</v>
      </c>
      <c r="T90" s="21" t="s">
        <v>527</v>
      </c>
      <c r="U90" s="20">
        <v>115000</v>
      </c>
      <c r="V90" s="20">
        <f t="shared" si="4"/>
        <v>115000</v>
      </c>
      <c r="W90" s="20">
        <f t="shared" si="5"/>
        <v>0</v>
      </c>
      <c r="X90" s="21" t="s">
        <v>55</v>
      </c>
      <c r="Y90" s="70">
        <f t="shared" si="7"/>
        <v>0</v>
      </c>
    </row>
    <row r="91" spans="1:25" s="39" customFormat="1" ht="14" customHeight="1" x14ac:dyDescent="0.35">
      <c r="A91" s="20" t="s">
        <v>153</v>
      </c>
      <c r="B91" s="20" t="s">
        <v>58</v>
      </c>
      <c r="C91" s="20" t="s">
        <v>334</v>
      </c>
      <c r="D91" s="20">
        <v>847</v>
      </c>
      <c r="E91" s="20">
        <v>8470320</v>
      </c>
      <c r="F91" s="20" t="s">
        <v>507</v>
      </c>
      <c r="G91" s="20">
        <v>1</v>
      </c>
      <c r="H91" s="20">
        <v>428090</v>
      </c>
      <c r="I91" s="20" t="s">
        <v>154</v>
      </c>
      <c r="J91" s="20" t="s">
        <v>60</v>
      </c>
      <c r="K91" s="20" t="s">
        <v>50</v>
      </c>
      <c r="L91" s="20">
        <v>847001</v>
      </c>
      <c r="M91" s="20" t="s">
        <v>61</v>
      </c>
      <c r="N91" s="20">
        <v>200179</v>
      </c>
      <c r="O91" s="37" t="str">
        <f t="shared" si="6"/>
        <v>847.8470320.1.428090.000000.847001.200179</v>
      </c>
      <c r="P91" s="20" t="s">
        <v>156</v>
      </c>
      <c r="Q91" s="20" t="s">
        <v>157</v>
      </c>
      <c r="R91" s="20">
        <v>1</v>
      </c>
      <c r="S91" s="20">
        <v>35000</v>
      </c>
      <c r="T91" s="21" t="s">
        <v>529</v>
      </c>
      <c r="U91" s="20">
        <v>35000</v>
      </c>
      <c r="V91" s="20">
        <f t="shared" si="4"/>
        <v>35000</v>
      </c>
      <c r="W91" s="20">
        <f t="shared" si="5"/>
        <v>0</v>
      </c>
      <c r="X91" s="21" t="s">
        <v>55</v>
      </c>
      <c r="Y91" s="70">
        <f t="shared" si="7"/>
        <v>0</v>
      </c>
    </row>
    <row r="92" spans="1:25" s="39" customFormat="1" ht="14" customHeight="1" x14ac:dyDescent="0.35">
      <c r="A92" s="20" t="s">
        <v>222</v>
      </c>
      <c r="B92" s="20" t="s">
        <v>58</v>
      </c>
      <c r="C92" s="20" t="s">
        <v>334</v>
      </c>
      <c r="D92" s="20">
        <v>847</v>
      </c>
      <c r="E92" s="20">
        <v>8470320</v>
      </c>
      <c r="F92" s="20" t="s">
        <v>507</v>
      </c>
      <c r="G92" s="20">
        <v>1</v>
      </c>
      <c r="H92" s="20">
        <v>435350</v>
      </c>
      <c r="I92" s="20" t="s">
        <v>399</v>
      </c>
      <c r="J92" s="20" t="s">
        <v>60</v>
      </c>
      <c r="K92" s="20" t="s">
        <v>50</v>
      </c>
      <c r="L92" s="20">
        <v>847001</v>
      </c>
      <c r="M92" s="20" t="s">
        <v>61</v>
      </c>
      <c r="N92" s="20">
        <v>200179</v>
      </c>
      <c r="O92" s="37" t="str">
        <f t="shared" si="6"/>
        <v>847.8470320.1.435350.000000.847001.200179</v>
      </c>
      <c r="P92" s="20" t="s">
        <v>401</v>
      </c>
      <c r="Q92" s="20" t="s">
        <v>157</v>
      </c>
      <c r="R92" s="20">
        <v>10</v>
      </c>
      <c r="S92" s="20">
        <v>6000</v>
      </c>
      <c r="T92" s="21" t="s">
        <v>531</v>
      </c>
      <c r="U92" s="20">
        <v>60000</v>
      </c>
      <c r="V92" s="20">
        <f t="shared" si="4"/>
        <v>60000</v>
      </c>
      <c r="W92" s="20">
        <f t="shared" si="5"/>
        <v>0</v>
      </c>
      <c r="X92" s="21" t="s">
        <v>55</v>
      </c>
      <c r="Y92" s="70">
        <f t="shared" si="7"/>
        <v>0</v>
      </c>
    </row>
    <row r="93" spans="1:25" s="39" customFormat="1" ht="14" customHeight="1" x14ac:dyDescent="0.35">
      <c r="A93" s="20" t="s">
        <v>222</v>
      </c>
      <c r="B93" s="20" t="s">
        <v>220</v>
      </c>
      <c r="C93" s="20" t="s">
        <v>334</v>
      </c>
      <c r="D93" s="20">
        <v>847</v>
      </c>
      <c r="E93" s="20">
        <v>8470320</v>
      </c>
      <c r="F93" s="20" t="s">
        <v>507</v>
      </c>
      <c r="G93" s="20">
        <v>1</v>
      </c>
      <c r="H93" s="20">
        <v>435508</v>
      </c>
      <c r="I93" s="20" t="s">
        <v>405</v>
      </c>
      <c r="J93" s="20" t="s">
        <v>60</v>
      </c>
      <c r="K93" s="20" t="s">
        <v>50</v>
      </c>
      <c r="L93" s="20">
        <v>847001</v>
      </c>
      <c r="M93" s="20" t="s">
        <v>61</v>
      </c>
      <c r="N93" s="20">
        <v>200179</v>
      </c>
      <c r="O93" s="37" t="str">
        <f t="shared" si="6"/>
        <v>847.8470320.1.435508.000000.847001.200179</v>
      </c>
      <c r="P93" s="20" t="s">
        <v>407</v>
      </c>
      <c r="Q93" s="20" t="s">
        <v>157</v>
      </c>
      <c r="R93" s="20">
        <v>1</v>
      </c>
      <c r="S93" s="20">
        <v>175000</v>
      </c>
      <c r="T93" s="21" t="s">
        <v>533</v>
      </c>
      <c r="U93" s="20">
        <v>175000</v>
      </c>
      <c r="V93" s="20">
        <f t="shared" ref="V93:V124" si="8">R93*S93</f>
        <v>175000</v>
      </c>
      <c r="W93" s="20">
        <f t="shared" ref="W93:W124" si="9">U93-V93</f>
        <v>0</v>
      </c>
      <c r="X93" s="21" t="s">
        <v>55</v>
      </c>
      <c r="Y93" s="70">
        <f t="shared" si="7"/>
        <v>0</v>
      </c>
    </row>
    <row r="94" spans="1:25" s="39" customFormat="1" ht="14" customHeight="1" x14ac:dyDescent="0.35">
      <c r="A94" s="20" t="s">
        <v>189</v>
      </c>
      <c r="B94" s="20" t="s">
        <v>58</v>
      </c>
      <c r="C94" s="20" t="s">
        <v>334</v>
      </c>
      <c r="D94" s="20">
        <v>847</v>
      </c>
      <c r="E94" s="20">
        <v>8470320</v>
      </c>
      <c r="F94" s="20" t="s">
        <v>507</v>
      </c>
      <c r="G94" s="20">
        <v>1</v>
      </c>
      <c r="H94" s="20">
        <v>436110</v>
      </c>
      <c r="I94" s="20" t="s">
        <v>190</v>
      </c>
      <c r="J94" s="20" t="s">
        <v>60</v>
      </c>
      <c r="K94" s="20" t="s">
        <v>50</v>
      </c>
      <c r="L94" s="20">
        <v>847001</v>
      </c>
      <c r="M94" s="20" t="s">
        <v>61</v>
      </c>
      <c r="N94" s="20">
        <v>200179</v>
      </c>
      <c r="O94" s="37" t="str">
        <f t="shared" si="6"/>
        <v>847.8470320.1.436110.000000.847001.200179</v>
      </c>
      <c r="P94" s="20" t="s">
        <v>411</v>
      </c>
      <c r="Q94" s="20" t="s">
        <v>157</v>
      </c>
      <c r="R94" s="20">
        <v>35</v>
      </c>
      <c r="S94" s="20">
        <v>1000</v>
      </c>
      <c r="T94" s="21" t="s">
        <v>535</v>
      </c>
      <c r="U94" s="20">
        <v>35000</v>
      </c>
      <c r="V94" s="20">
        <f t="shared" si="8"/>
        <v>35000</v>
      </c>
      <c r="W94" s="20">
        <f t="shared" si="9"/>
        <v>0</v>
      </c>
      <c r="X94" s="21" t="s">
        <v>55</v>
      </c>
      <c r="Y94" s="70">
        <f t="shared" si="7"/>
        <v>0</v>
      </c>
    </row>
    <row r="95" spans="1:25" s="39" customFormat="1" ht="14" customHeight="1" x14ac:dyDescent="0.35">
      <c r="A95" s="20" t="s">
        <v>222</v>
      </c>
      <c r="B95" s="20" t="s">
        <v>58</v>
      </c>
      <c r="C95" s="20" t="s">
        <v>334</v>
      </c>
      <c r="D95" s="20">
        <v>847</v>
      </c>
      <c r="E95" s="20">
        <v>8470320</v>
      </c>
      <c r="F95" s="20" t="s">
        <v>507</v>
      </c>
      <c r="G95" s="20">
        <v>1</v>
      </c>
      <c r="H95" s="20">
        <v>436600</v>
      </c>
      <c r="I95" s="20" t="s">
        <v>416</v>
      </c>
      <c r="J95" s="20" t="s">
        <v>60</v>
      </c>
      <c r="K95" s="20" t="s">
        <v>50</v>
      </c>
      <c r="L95" s="20">
        <v>847001</v>
      </c>
      <c r="M95" s="20" t="s">
        <v>61</v>
      </c>
      <c r="N95" s="20">
        <v>200179</v>
      </c>
      <c r="O95" s="37" t="str">
        <f t="shared" si="6"/>
        <v>847.8470320.1.436600.000000.847001.200179</v>
      </c>
      <c r="P95" s="20" t="s">
        <v>492</v>
      </c>
      <c r="Q95" s="20" t="s">
        <v>157</v>
      </c>
      <c r="R95" s="20">
        <v>3</v>
      </c>
      <c r="S95" s="20">
        <v>15000</v>
      </c>
      <c r="T95" s="21" t="s">
        <v>537</v>
      </c>
      <c r="U95" s="20">
        <v>45000</v>
      </c>
      <c r="V95" s="20">
        <f t="shared" si="8"/>
        <v>45000</v>
      </c>
      <c r="W95" s="20">
        <f t="shared" si="9"/>
        <v>0</v>
      </c>
      <c r="X95" s="21" t="s">
        <v>55</v>
      </c>
      <c r="Y95" s="70">
        <f t="shared" si="7"/>
        <v>0</v>
      </c>
    </row>
    <row r="96" spans="1:25" s="39" customFormat="1" ht="14" customHeight="1" x14ac:dyDescent="0.35">
      <c r="A96" s="20" t="s">
        <v>161</v>
      </c>
      <c r="B96" s="20" t="s">
        <v>220</v>
      </c>
      <c r="C96" s="20" t="s">
        <v>334</v>
      </c>
      <c r="D96" s="20">
        <v>847</v>
      </c>
      <c r="E96" s="20">
        <v>8470320</v>
      </c>
      <c r="F96" s="20" t="s">
        <v>507</v>
      </c>
      <c r="G96" s="20">
        <v>1</v>
      </c>
      <c r="H96" s="20">
        <v>492316</v>
      </c>
      <c r="I96" s="20" t="s">
        <v>221</v>
      </c>
      <c r="J96" s="20" t="s">
        <v>60</v>
      </c>
      <c r="K96" s="20" t="s">
        <v>50</v>
      </c>
      <c r="L96" s="20">
        <v>847001</v>
      </c>
      <c r="M96" s="20" t="s">
        <v>192</v>
      </c>
      <c r="N96" s="20">
        <v>300180</v>
      </c>
      <c r="O96" s="37" t="str">
        <f t="shared" si="6"/>
        <v>847.8470320.1.492316.000000.847001.300180</v>
      </c>
      <c r="P96" s="20" t="s">
        <v>495</v>
      </c>
      <c r="Q96" s="20" t="s">
        <v>157</v>
      </c>
      <c r="R96" s="20">
        <v>1</v>
      </c>
      <c r="S96" s="20">
        <v>155000</v>
      </c>
      <c r="T96" s="21" t="s">
        <v>939</v>
      </c>
      <c r="U96" s="20">
        <v>155000</v>
      </c>
      <c r="V96" s="20">
        <f t="shared" si="8"/>
        <v>155000</v>
      </c>
      <c r="W96" s="20">
        <f t="shared" si="9"/>
        <v>0</v>
      </c>
      <c r="X96" s="21" t="s">
        <v>55</v>
      </c>
      <c r="Y96" s="70">
        <f t="shared" si="7"/>
        <v>0</v>
      </c>
    </row>
    <row r="97" spans="1:25" s="39" customFormat="1" ht="14" customHeight="1" x14ac:dyDescent="0.35">
      <c r="A97" s="20" t="s">
        <v>189</v>
      </c>
      <c r="B97" s="20" t="s">
        <v>58</v>
      </c>
      <c r="C97" s="20" t="s">
        <v>334</v>
      </c>
      <c r="D97" s="20">
        <v>847</v>
      </c>
      <c r="E97" s="20">
        <v>8470320</v>
      </c>
      <c r="F97" s="20" t="s">
        <v>507</v>
      </c>
      <c r="G97" s="20">
        <v>1</v>
      </c>
      <c r="H97" s="20">
        <v>495140</v>
      </c>
      <c r="I97" s="20" t="s">
        <v>541</v>
      </c>
      <c r="J97" s="20" t="s">
        <v>60</v>
      </c>
      <c r="K97" s="20" t="s">
        <v>50</v>
      </c>
      <c r="L97" s="20">
        <v>847001</v>
      </c>
      <c r="M97" s="20" t="s">
        <v>192</v>
      </c>
      <c r="N97" s="20">
        <v>300180</v>
      </c>
      <c r="O97" s="37" t="str">
        <f t="shared" si="6"/>
        <v>847.8470320.1.495140.000000.847001.300180</v>
      </c>
      <c r="P97" s="20" t="s">
        <v>543</v>
      </c>
      <c r="Q97" s="20" t="s">
        <v>157</v>
      </c>
      <c r="R97" s="20">
        <v>1</v>
      </c>
      <c r="S97" s="20">
        <v>18000</v>
      </c>
      <c r="T97" s="21" t="s">
        <v>544</v>
      </c>
      <c r="U97" s="20">
        <v>18000</v>
      </c>
      <c r="V97" s="20">
        <f t="shared" si="8"/>
        <v>18000</v>
      </c>
      <c r="W97" s="20">
        <f t="shared" si="9"/>
        <v>0</v>
      </c>
      <c r="X97" s="21" t="s">
        <v>55</v>
      </c>
      <c r="Y97" s="70">
        <f t="shared" si="7"/>
        <v>0</v>
      </c>
    </row>
    <row r="98" spans="1:25" s="39" customFormat="1" ht="14" customHeight="1" x14ac:dyDescent="0.35">
      <c r="A98" s="20" t="s">
        <v>161</v>
      </c>
      <c r="B98" s="20" t="s">
        <v>220</v>
      </c>
      <c r="C98" s="20" t="s">
        <v>334</v>
      </c>
      <c r="D98" s="20">
        <v>847</v>
      </c>
      <c r="E98" s="20">
        <v>8470320</v>
      </c>
      <c r="F98" s="20" t="s">
        <v>507</v>
      </c>
      <c r="G98" s="20">
        <v>1</v>
      </c>
      <c r="H98" s="20">
        <v>492316</v>
      </c>
      <c r="I98" s="20" t="s">
        <v>221</v>
      </c>
      <c r="J98" s="20" t="s">
        <v>60</v>
      </c>
      <c r="K98" s="20" t="s">
        <v>50</v>
      </c>
      <c r="L98" s="20">
        <v>847001</v>
      </c>
      <c r="M98" s="20" t="s">
        <v>192</v>
      </c>
      <c r="N98" s="20">
        <v>300180</v>
      </c>
      <c r="O98" s="37" t="str">
        <f t="shared" si="6"/>
        <v>847.8470320.1.492316.000000.847001.300180</v>
      </c>
      <c r="P98" s="20" t="s">
        <v>495</v>
      </c>
      <c r="Q98" s="20" t="s">
        <v>157</v>
      </c>
      <c r="R98" s="20">
        <v>1</v>
      </c>
      <c r="S98" s="20">
        <v>55000</v>
      </c>
      <c r="T98" s="21" t="s">
        <v>940</v>
      </c>
      <c r="U98" s="20">
        <v>55000</v>
      </c>
      <c r="V98" s="20">
        <f t="shared" si="8"/>
        <v>55000</v>
      </c>
      <c r="W98" s="20">
        <f t="shared" si="9"/>
        <v>0</v>
      </c>
      <c r="X98" s="21" t="s">
        <v>55</v>
      </c>
      <c r="Y98" s="70">
        <f t="shared" si="7"/>
        <v>0</v>
      </c>
    </row>
    <row r="99" spans="1:25" s="39" customFormat="1" ht="14" customHeight="1" x14ac:dyDescent="0.35">
      <c r="A99" s="20" t="s">
        <v>161</v>
      </c>
      <c r="B99" s="20" t="s">
        <v>220</v>
      </c>
      <c r="C99" s="20" t="s">
        <v>334</v>
      </c>
      <c r="D99" s="20">
        <v>847</v>
      </c>
      <c r="E99" s="20">
        <v>8470320</v>
      </c>
      <c r="F99" s="20" t="s">
        <v>507</v>
      </c>
      <c r="G99" s="20">
        <v>1</v>
      </c>
      <c r="H99" s="20">
        <v>492316</v>
      </c>
      <c r="I99" s="20" t="s">
        <v>221</v>
      </c>
      <c r="J99" s="20" t="s">
        <v>60</v>
      </c>
      <c r="K99" s="20" t="s">
        <v>50</v>
      </c>
      <c r="L99" s="20">
        <v>847001</v>
      </c>
      <c r="M99" s="20" t="s">
        <v>192</v>
      </c>
      <c r="N99" s="20">
        <v>300180</v>
      </c>
      <c r="O99" s="37" t="str">
        <f t="shared" si="6"/>
        <v>847.8470320.1.492316.000000.847001.300180</v>
      </c>
      <c r="P99" s="20" t="s">
        <v>495</v>
      </c>
      <c r="Q99" s="20" t="s">
        <v>157</v>
      </c>
      <c r="R99" s="20">
        <v>1</v>
      </c>
      <c r="S99" s="20">
        <v>295000</v>
      </c>
      <c r="T99" s="21" t="s">
        <v>941</v>
      </c>
      <c r="U99" s="20">
        <v>295000</v>
      </c>
      <c r="V99" s="20">
        <f t="shared" si="8"/>
        <v>295000</v>
      </c>
      <c r="W99" s="20">
        <f t="shared" si="9"/>
        <v>0</v>
      </c>
      <c r="X99" s="21" t="s">
        <v>55</v>
      </c>
      <c r="Y99" s="70">
        <f t="shared" si="7"/>
        <v>0</v>
      </c>
    </row>
    <row r="100" spans="1:25" s="39" customFormat="1" ht="14" customHeight="1" x14ac:dyDescent="0.35">
      <c r="A100" s="20" t="s">
        <v>161</v>
      </c>
      <c r="B100" s="20" t="s">
        <v>220</v>
      </c>
      <c r="C100" s="20" t="s">
        <v>334</v>
      </c>
      <c r="D100" s="20">
        <v>847</v>
      </c>
      <c r="E100" s="20">
        <v>8470320</v>
      </c>
      <c r="F100" s="20" t="s">
        <v>507</v>
      </c>
      <c r="G100" s="20">
        <v>1</v>
      </c>
      <c r="H100" s="20">
        <v>492316</v>
      </c>
      <c r="I100" s="20" t="s">
        <v>221</v>
      </c>
      <c r="J100" s="20" t="s">
        <v>60</v>
      </c>
      <c r="K100" s="20" t="s">
        <v>50</v>
      </c>
      <c r="L100" s="20">
        <v>847001</v>
      </c>
      <c r="M100" s="20" t="s">
        <v>192</v>
      </c>
      <c r="N100" s="20">
        <v>300180</v>
      </c>
      <c r="O100" s="37" t="str">
        <f t="shared" si="6"/>
        <v>847.8470320.1.492316.000000.847001.300180</v>
      </c>
      <c r="P100" s="20" t="s">
        <v>495</v>
      </c>
      <c r="Q100" s="20" t="s">
        <v>157</v>
      </c>
      <c r="R100" s="20">
        <v>1</v>
      </c>
      <c r="S100" s="20">
        <v>25000</v>
      </c>
      <c r="T100" s="21" t="s">
        <v>942</v>
      </c>
      <c r="U100" s="20">
        <v>25000</v>
      </c>
      <c r="V100" s="20">
        <f t="shared" si="8"/>
        <v>25000</v>
      </c>
      <c r="W100" s="20">
        <f t="shared" si="9"/>
        <v>0</v>
      </c>
      <c r="X100" s="21" t="s">
        <v>55</v>
      </c>
      <c r="Y100" s="70">
        <f t="shared" si="7"/>
        <v>0</v>
      </c>
    </row>
    <row r="101" spans="1:25" s="39" customFormat="1" ht="14" customHeight="1" x14ac:dyDescent="0.35">
      <c r="A101" s="20" t="s">
        <v>161</v>
      </c>
      <c r="B101" s="20" t="s">
        <v>220</v>
      </c>
      <c r="C101" s="20" t="s">
        <v>334</v>
      </c>
      <c r="D101" s="20">
        <v>847</v>
      </c>
      <c r="E101" s="20">
        <v>8470320</v>
      </c>
      <c r="F101" s="20" t="s">
        <v>507</v>
      </c>
      <c r="G101" s="20">
        <v>1</v>
      </c>
      <c r="H101" s="20">
        <v>492316</v>
      </c>
      <c r="I101" s="20" t="s">
        <v>221</v>
      </c>
      <c r="J101" s="20" t="s">
        <v>60</v>
      </c>
      <c r="K101" s="20" t="s">
        <v>50</v>
      </c>
      <c r="L101" s="20">
        <v>847001</v>
      </c>
      <c r="M101" s="20" t="s">
        <v>192</v>
      </c>
      <c r="N101" s="20">
        <v>300180</v>
      </c>
      <c r="O101" s="37" t="str">
        <f t="shared" si="6"/>
        <v>847.8470320.1.492316.000000.847001.300180</v>
      </c>
      <c r="P101" s="20" t="s">
        <v>495</v>
      </c>
      <c r="Q101" s="20" t="s">
        <v>157</v>
      </c>
      <c r="R101" s="20">
        <v>1</v>
      </c>
      <c r="S101" s="20">
        <v>14000</v>
      </c>
      <c r="T101" s="21" t="s">
        <v>943</v>
      </c>
      <c r="U101" s="20">
        <v>14000</v>
      </c>
      <c r="V101" s="20">
        <f t="shared" si="8"/>
        <v>14000</v>
      </c>
      <c r="W101" s="20">
        <f t="shared" si="9"/>
        <v>0</v>
      </c>
      <c r="X101" s="21" t="s">
        <v>55</v>
      </c>
      <c r="Y101" s="70">
        <f t="shared" si="7"/>
        <v>0</v>
      </c>
    </row>
    <row r="102" spans="1:25" s="39" customFormat="1" ht="14" customHeight="1" x14ac:dyDescent="0.35">
      <c r="A102" s="20" t="s">
        <v>222</v>
      </c>
      <c r="B102" s="20" t="s">
        <v>58</v>
      </c>
      <c r="C102" s="20" t="s">
        <v>334</v>
      </c>
      <c r="D102" s="20">
        <v>847</v>
      </c>
      <c r="E102" s="20">
        <v>8470325</v>
      </c>
      <c r="F102" s="20" t="s">
        <v>560</v>
      </c>
      <c r="G102" s="20">
        <v>1</v>
      </c>
      <c r="H102" s="20">
        <v>420550</v>
      </c>
      <c r="I102" s="20" t="s">
        <v>225</v>
      </c>
      <c r="J102" s="20" t="s">
        <v>60</v>
      </c>
      <c r="K102" s="20" t="s">
        <v>50</v>
      </c>
      <c r="L102" s="20">
        <v>847001</v>
      </c>
      <c r="M102" s="20" t="s">
        <v>61</v>
      </c>
      <c r="N102" s="20">
        <v>200179</v>
      </c>
      <c r="O102" s="37" t="str">
        <f t="shared" si="6"/>
        <v>847.8470325.1.420550.000000.847001.200179</v>
      </c>
      <c r="P102" s="20" t="s">
        <v>227</v>
      </c>
      <c r="Q102" s="20" t="s">
        <v>62</v>
      </c>
      <c r="R102" s="20">
        <v>2</v>
      </c>
      <c r="S102" s="20">
        <v>2000</v>
      </c>
      <c r="T102" s="21" t="s">
        <v>562</v>
      </c>
      <c r="U102" s="20">
        <v>4000</v>
      </c>
      <c r="V102" s="20">
        <f t="shared" si="8"/>
        <v>4000</v>
      </c>
      <c r="W102" s="20">
        <f t="shared" si="9"/>
        <v>0</v>
      </c>
      <c r="X102" s="21" t="s">
        <v>55</v>
      </c>
      <c r="Y102" s="70">
        <f t="shared" si="7"/>
        <v>0</v>
      </c>
    </row>
    <row r="103" spans="1:25" s="39" customFormat="1" ht="14" customHeight="1" x14ac:dyDescent="0.35">
      <c r="A103" s="20" t="s">
        <v>245</v>
      </c>
      <c r="B103" s="20" t="s">
        <v>246</v>
      </c>
      <c r="C103" s="20" t="s">
        <v>334</v>
      </c>
      <c r="D103" s="20">
        <v>847</v>
      </c>
      <c r="E103" s="20">
        <v>8470325</v>
      </c>
      <c r="F103" s="20" t="s">
        <v>560</v>
      </c>
      <c r="G103" s="20">
        <v>1</v>
      </c>
      <c r="H103" s="20">
        <v>425510</v>
      </c>
      <c r="I103" s="20" t="s">
        <v>247</v>
      </c>
      <c r="J103" s="20" t="s">
        <v>60</v>
      </c>
      <c r="K103" s="20" t="s">
        <v>50</v>
      </c>
      <c r="L103" s="20">
        <v>847001</v>
      </c>
      <c r="M103" s="20" t="s">
        <v>61</v>
      </c>
      <c r="N103" s="20">
        <v>200179</v>
      </c>
      <c r="O103" s="37" t="str">
        <f t="shared" si="6"/>
        <v>847.8470325.1.425510.000000.847001.200179</v>
      </c>
      <c r="P103" s="20" t="s">
        <v>433</v>
      </c>
      <c r="Q103" s="20" t="s">
        <v>62</v>
      </c>
      <c r="R103" s="20">
        <v>6</v>
      </c>
      <c r="S103" s="20">
        <v>1100</v>
      </c>
      <c r="T103" s="21" t="s">
        <v>566</v>
      </c>
      <c r="U103" s="20">
        <v>6600</v>
      </c>
      <c r="V103" s="20">
        <f t="shared" si="8"/>
        <v>6600</v>
      </c>
      <c r="W103" s="20">
        <f t="shared" si="9"/>
        <v>0</v>
      </c>
      <c r="X103" s="21" t="s">
        <v>55</v>
      </c>
      <c r="Y103" s="70">
        <f t="shared" si="7"/>
        <v>0</v>
      </c>
    </row>
    <row r="104" spans="1:25" s="39" customFormat="1" ht="14" customHeight="1" x14ac:dyDescent="0.35">
      <c r="A104" s="20" t="s">
        <v>258</v>
      </c>
      <c r="B104" s="20" t="s">
        <v>350</v>
      </c>
      <c r="C104" s="20" t="s">
        <v>334</v>
      </c>
      <c r="D104" s="20">
        <v>847</v>
      </c>
      <c r="E104" s="20">
        <v>8470325</v>
      </c>
      <c r="F104" s="20" t="s">
        <v>560</v>
      </c>
      <c r="G104" s="20">
        <v>1</v>
      </c>
      <c r="H104" s="20">
        <v>425760</v>
      </c>
      <c r="I104" s="20" t="s">
        <v>352</v>
      </c>
      <c r="J104" s="20" t="s">
        <v>60</v>
      </c>
      <c r="K104" s="20" t="s">
        <v>50</v>
      </c>
      <c r="L104" s="20">
        <v>847001</v>
      </c>
      <c r="M104" s="20" t="s">
        <v>61</v>
      </c>
      <c r="N104" s="20">
        <v>200179</v>
      </c>
      <c r="O104" s="37" t="str">
        <f t="shared" si="6"/>
        <v>847.8470325.1.425760.000000.847001.200179</v>
      </c>
      <c r="P104" s="20" t="s">
        <v>440</v>
      </c>
      <c r="Q104" s="20" t="s">
        <v>62</v>
      </c>
      <c r="R104" s="20">
        <v>2</v>
      </c>
      <c r="S104" s="20">
        <v>2500</v>
      </c>
      <c r="T104" s="21" t="s">
        <v>569</v>
      </c>
      <c r="U104" s="20">
        <v>5000</v>
      </c>
      <c r="V104" s="20">
        <f t="shared" si="8"/>
        <v>5000</v>
      </c>
      <c r="W104" s="20">
        <f t="shared" si="9"/>
        <v>0</v>
      </c>
      <c r="X104" s="21" t="s">
        <v>55</v>
      </c>
      <c r="Y104" s="70">
        <f t="shared" si="7"/>
        <v>0</v>
      </c>
    </row>
    <row r="105" spans="1:25" s="39" customFormat="1" ht="14" customHeight="1" x14ac:dyDescent="0.35">
      <c r="A105" s="20" t="s">
        <v>258</v>
      </c>
      <c r="B105" s="20" t="s">
        <v>58</v>
      </c>
      <c r="C105" s="20" t="s">
        <v>334</v>
      </c>
      <c r="D105" s="20">
        <v>847</v>
      </c>
      <c r="E105" s="20">
        <v>8470325</v>
      </c>
      <c r="F105" s="20" t="s">
        <v>560</v>
      </c>
      <c r="G105" s="20">
        <v>1</v>
      </c>
      <c r="H105" s="20">
        <v>425763</v>
      </c>
      <c r="I105" s="20" t="s">
        <v>359</v>
      </c>
      <c r="J105" s="20" t="s">
        <v>60</v>
      </c>
      <c r="K105" s="20" t="s">
        <v>50</v>
      </c>
      <c r="L105" s="20">
        <v>847001</v>
      </c>
      <c r="M105" s="20" t="s">
        <v>61</v>
      </c>
      <c r="N105" s="20">
        <v>200179</v>
      </c>
      <c r="O105" s="37" t="str">
        <f t="shared" si="6"/>
        <v>847.8470325.1.425763.000000.847001.200179</v>
      </c>
      <c r="P105" s="20" t="s">
        <v>361</v>
      </c>
      <c r="Q105" s="20" t="s">
        <v>62</v>
      </c>
      <c r="R105" s="20">
        <v>20</v>
      </c>
      <c r="S105" s="20">
        <v>3000</v>
      </c>
      <c r="T105" s="21" t="s">
        <v>571</v>
      </c>
      <c r="U105" s="20">
        <v>60000</v>
      </c>
      <c r="V105" s="20">
        <f t="shared" si="8"/>
        <v>60000</v>
      </c>
      <c r="W105" s="20">
        <f t="shared" si="9"/>
        <v>0</v>
      </c>
      <c r="X105" s="21" t="s">
        <v>55</v>
      </c>
      <c r="Y105" s="70">
        <f t="shared" si="7"/>
        <v>0</v>
      </c>
    </row>
    <row r="106" spans="1:25" s="39" customFormat="1" ht="14" customHeight="1" x14ac:dyDescent="0.35">
      <c r="A106" s="20" t="s">
        <v>46</v>
      </c>
      <c r="B106" s="20" t="s">
        <v>46</v>
      </c>
      <c r="C106" s="20" t="s">
        <v>334</v>
      </c>
      <c r="D106" s="20">
        <v>847</v>
      </c>
      <c r="E106" s="20">
        <v>8470325</v>
      </c>
      <c r="F106" s="20" t="s">
        <v>560</v>
      </c>
      <c r="G106" s="20">
        <v>1</v>
      </c>
      <c r="H106" s="20">
        <v>425762</v>
      </c>
      <c r="I106" s="20" t="s">
        <v>573</v>
      </c>
      <c r="J106" s="20" t="s">
        <v>60</v>
      </c>
      <c r="K106" s="20" t="s">
        <v>50</v>
      </c>
      <c r="L106" s="20">
        <v>847001</v>
      </c>
      <c r="M106" s="20" t="s">
        <v>61</v>
      </c>
      <c r="N106" s="20">
        <v>200179</v>
      </c>
      <c r="O106" s="37" t="str">
        <f t="shared" si="6"/>
        <v>847.8470325.1.425762.000000.847001.200179</v>
      </c>
      <c r="P106" s="20" t="s">
        <v>575</v>
      </c>
      <c r="Q106" s="20" t="s">
        <v>62</v>
      </c>
      <c r="R106" s="20">
        <v>4</v>
      </c>
      <c r="S106" s="20">
        <v>10000</v>
      </c>
      <c r="T106" s="21" t="s">
        <v>576</v>
      </c>
      <c r="U106" s="20">
        <v>40000</v>
      </c>
      <c r="V106" s="20">
        <f t="shared" si="8"/>
        <v>40000</v>
      </c>
      <c r="W106" s="20">
        <f t="shared" si="9"/>
        <v>0</v>
      </c>
      <c r="X106" s="21" t="s">
        <v>210</v>
      </c>
      <c r="Y106" s="70">
        <f t="shared" si="7"/>
        <v>0</v>
      </c>
    </row>
    <row r="107" spans="1:25" s="39" customFormat="1" ht="14" customHeight="1" x14ac:dyDescent="0.35">
      <c r="A107" s="20" t="s">
        <v>222</v>
      </c>
      <c r="B107" s="20" t="s">
        <v>58</v>
      </c>
      <c r="C107" s="20" t="s">
        <v>334</v>
      </c>
      <c r="D107" s="20">
        <v>847</v>
      </c>
      <c r="E107" s="20">
        <v>8470325</v>
      </c>
      <c r="F107" s="20" t="s">
        <v>560</v>
      </c>
      <c r="G107" s="20">
        <v>1</v>
      </c>
      <c r="H107" s="20">
        <v>425770</v>
      </c>
      <c r="I107" s="20" t="s">
        <v>367</v>
      </c>
      <c r="J107" s="20" t="s">
        <v>60</v>
      </c>
      <c r="K107" s="20" t="s">
        <v>50</v>
      </c>
      <c r="L107" s="20">
        <v>847001</v>
      </c>
      <c r="M107" s="20" t="s">
        <v>61</v>
      </c>
      <c r="N107" s="20">
        <v>200179</v>
      </c>
      <c r="O107" s="37" t="str">
        <f t="shared" si="6"/>
        <v>847.8470325.1.425770.000000.847001.200179</v>
      </c>
      <c r="P107" s="20" t="s">
        <v>926</v>
      </c>
      <c r="Q107" s="20" t="s">
        <v>62</v>
      </c>
      <c r="R107" s="20">
        <v>11</v>
      </c>
      <c r="S107" s="20">
        <v>20000</v>
      </c>
      <c r="T107" s="21" t="s">
        <v>579</v>
      </c>
      <c r="U107" s="20">
        <v>220000</v>
      </c>
      <c r="V107" s="20">
        <f t="shared" si="8"/>
        <v>220000</v>
      </c>
      <c r="W107" s="20">
        <f t="shared" si="9"/>
        <v>0</v>
      </c>
      <c r="X107" s="21" t="s">
        <v>55</v>
      </c>
      <c r="Y107" s="70">
        <f t="shared" si="7"/>
        <v>0</v>
      </c>
    </row>
    <row r="108" spans="1:25" s="39" customFormat="1" ht="14" customHeight="1" x14ac:dyDescent="0.35">
      <c r="A108" s="20" t="s">
        <v>63</v>
      </c>
      <c r="B108" s="20" t="s">
        <v>64</v>
      </c>
      <c r="C108" s="20" t="s">
        <v>334</v>
      </c>
      <c r="D108" s="20">
        <v>847</v>
      </c>
      <c r="E108" s="20">
        <v>8470325</v>
      </c>
      <c r="F108" s="20" t="s">
        <v>560</v>
      </c>
      <c r="G108" s="20">
        <v>1</v>
      </c>
      <c r="H108" s="20">
        <v>426610</v>
      </c>
      <c r="I108" s="20" t="s">
        <v>74</v>
      </c>
      <c r="J108" s="20" t="s">
        <v>60</v>
      </c>
      <c r="K108" s="20" t="s">
        <v>50</v>
      </c>
      <c r="L108" s="20">
        <v>847001</v>
      </c>
      <c r="M108" s="20" t="s">
        <v>61</v>
      </c>
      <c r="N108" s="20">
        <v>200179</v>
      </c>
      <c r="O108" s="37" t="str">
        <f t="shared" si="6"/>
        <v>847.8470325.1.426610.000000.847001.200179</v>
      </c>
      <c r="P108" s="20" t="s">
        <v>274</v>
      </c>
      <c r="Q108" s="20" t="s">
        <v>62</v>
      </c>
      <c r="R108" s="20">
        <v>1</v>
      </c>
      <c r="S108" s="20">
        <v>45000</v>
      </c>
      <c r="T108" s="21" t="s">
        <v>581</v>
      </c>
      <c r="U108" s="20">
        <v>45000</v>
      </c>
      <c r="V108" s="20">
        <f t="shared" si="8"/>
        <v>45000</v>
      </c>
      <c r="W108" s="20">
        <f t="shared" si="9"/>
        <v>0</v>
      </c>
      <c r="X108" s="21" t="s">
        <v>55</v>
      </c>
      <c r="Y108" s="70">
        <f t="shared" si="7"/>
        <v>0</v>
      </c>
    </row>
    <row r="109" spans="1:25" s="39" customFormat="1" ht="14" customHeight="1" x14ac:dyDescent="0.35">
      <c r="A109" s="20" t="s">
        <v>153</v>
      </c>
      <c r="B109" s="20" t="s">
        <v>58</v>
      </c>
      <c r="C109" s="20" t="s">
        <v>334</v>
      </c>
      <c r="D109" s="20">
        <v>847</v>
      </c>
      <c r="E109" s="20">
        <v>8470325</v>
      </c>
      <c r="F109" s="20" t="s">
        <v>560</v>
      </c>
      <c r="G109" s="20">
        <v>1</v>
      </c>
      <c r="H109" s="20">
        <v>428090</v>
      </c>
      <c r="I109" s="20" t="s">
        <v>154</v>
      </c>
      <c r="J109" s="20" t="s">
        <v>60</v>
      </c>
      <c r="K109" s="20" t="s">
        <v>50</v>
      </c>
      <c r="L109" s="20">
        <v>847001</v>
      </c>
      <c r="M109" s="20" t="s">
        <v>61</v>
      </c>
      <c r="N109" s="20">
        <v>200179</v>
      </c>
      <c r="O109" s="37" t="str">
        <f t="shared" si="6"/>
        <v>847.8470325.1.428090.000000.847001.200179</v>
      </c>
      <c r="P109" s="20" t="s">
        <v>387</v>
      </c>
      <c r="Q109" s="20" t="s">
        <v>62</v>
      </c>
      <c r="R109" s="20">
        <v>1</v>
      </c>
      <c r="S109" s="20">
        <v>20000</v>
      </c>
      <c r="T109" s="21" t="s">
        <v>583</v>
      </c>
      <c r="U109" s="20">
        <v>20000</v>
      </c>
      <c r="V109" s="20">
        <f t="shared" si="8"/>
        <v>20000</v>
      </c>
      <c r="W109" s="20">
        <f t="shared" si="9"/>
        <v>0</v>
      </c>
      <c r="X109" s="21" t="s">
        <v>55</v>
      </c>
      <c r="Y109" s="70">
        <f t="shared" si="7"/>
        <v>0</v>
      </c>
    </row>
    <row r="110" spans="1:25" s="39" customFormat="1" ht="14" customHeight="1" x14ac:dyDescent="0.35">
      <c r="A110" s="20" t="s">
        <v>222</v>
      </c>
      <c r="B110" s="20" t="s">
        <v>58</v>
      </c>
      <c r="C110" s="20" t="s">
        <v>334</v>
      </c>
      <c r="D110" s="20">
        <v>847</v>
      </c>
      <c r="E110" s="20">
        <v>8470325</v>
      </c>
      <c r="F110" s="20" t="s">
        <v>560</v>
      </c>
      <c r="G110" s="20">
        <v>1</v>
      </c>
      <c r="H110" s="20">
        <v>432209</v>
      </c>
      <c r="I110" s="20" t="s">
        <v>393</v>
      </c>
      <c r="J110" s="20" t="s">
        <v>60</v>
      </c>
      <c r="K110" s="20" t="s">
        <v>50</v>
      </c>
      <c r="L110" s="20">
        <v>847001</v>
      </c>
      <c r="M110" s="20" t="s">
        <v>61</v>
      </c>
      <c r="N110" s="20">
        <v>200179</v>
      </c>
      <c r="O110" s="37" t="str">
        <f t="shared" si="6"/>
        <v>847.8470325.1.432209.000000.847001.200179</v>
      </c>
      <c r="P110" s="20" t="s">
        <v>470</v>
      </c>
      <c r="Q110" s="20" t="s">
        <v>62</v>
      </c>
      <c r="R110" s="20">
        <v>1</v>
      </c>
      <c r="S110" s="20">
        <v>200000</v>
      </c>
      <c r="T110" s="21" t="s">
        <v>585</v>
      </c>
      <c r="U110" s="20">
        <v>200000</v>
      </c>
      <c r="V110" s="20">
        <f t="shared" si="8"/>
        <v>200000</v>
      </c>
      <c r="W110" s="20">
        <f t="shared" si="9"/>
        <v>0</v>
      </c>
      <c r="X110" s="21" t="s">
        <v>55</v>
      </c>
      <c r="Y110" s="70">
        <f t="shared" si="7"/>
        <v>0</v>
      </c>
    </row>
    <row r="111" spans="1:25" s="39" customFormat="1" ht="14" customHeight="1" x14ac:dyDescent="0.35">
      <c r="A111" s="20" t="s">
        <v>222</v>
      </c>
      <c r="B111" s="20" t="s">
        <v>58</v>
      </c>
      <c r="C111" s="20" t="s">
        <v>334</v>
      </c>
      <c r="D111" s="20">
        <v>847</v>
      </c>
      <c r="E111" s="20">
        <v>8470325</v>
      </c>
      <c r="F111" s="20" t="s">
        <v>560</v>
      </c>
      <c r="G111" s="20">
        <v>1</v>
      </c>
      <c r="H111" s="20">
        <v>435350</v>
      </c>
      <c r="I111" s="20" t="s">
        <v>399</v>
      </c>
      <c r="J111" s="20" t="s">
        <v>60</v>
      </c>
      <c r="K111" s="20" t="s">
        <v>50</v>
      </c>
      <c r="L111" s="20">
        <v>847001</v>
      </c>
      <c r="M111" s="20" t="s">
        <v>61</v>
      </c>
      <c r="N111" s="20">
        <v>200179</v>
      </c>
      <c r="O111" s="37" t="str">
        <f t="shared" si="6"/>
        <v>847.8470325.1.435350.000000.847001.200179</v>
      </c>
      <c r="P111" s="20" t="s">
        <v>401</v>
      </c>
      <c r="Q111" s="20" t="s">
        <v>62</v>
      </c>
      <c r="R111" s="20">
        <v>8</v>
      </c>
      <c r="S111" s="20">
        <v>10000</v>
      </c>
      <c r="T111" s="21" t="s">
        <v>587</v>
      </c>
      <c r="U111" s="20">
        <v>80000</v>
      </c>
      <c r="V111" s="20">
        <f t="shared" si="8"/>
        <v>80000</v>
      </c>
      <c r="W111" s="20">
        <f t="shared" si="9"/>
        <v>0</v>
      </c>
      <c r="X111" s="21" t="s">
        <v>55</v>
      </c>
      <c r="Y111" s="70">
        <f t="shared" si="7"/>
        <v>0</v>
      </c>
    </row>
    <row r="112" spans="1:25" s="39" customFormat="1" ht="14" customHeight="1" x14ac:dyDescent="0.35">
      <c r="A112" s="20" t="s">
        <v>222</v>
      </c>
      <c r="B112" s="20" t="s">
        <v>220</v>
      </c>
      <c r="C112" s="20" t="s">
        <v>334</v>
      </c>
      <c r="D112" s="20">
        <v>847</v>
      </c>
      <c r="E112" s="20">
        <v>8470325</v>
      </c>
      <c r="F112" s="20" t="s">
        <v>560</v>
      </c>
      <c r="G112" s="20">
        <v>1</v>
      </c>
      <c r="H112" s="20">
        <v>435508</v>
      </c>
      <c r="I112" s="20" t="s">
        <v>405</v>
      </c>
      <c r="J112" s="20" t="s">
        <v>60</v>
      </c>
      <c r="K112" s="20" t="s">
        <v>50</v>
      </c>
      <c r="L112" s="20">
        <v>847001</v>
      </c>
      <c r="M112" s="20" t="s">
        <v>61</v>
      </c>
      <c r="N112" s="20">
        <v>200179</v>
      </c>
      <c r="O112" s="37" t="str">
        <f t="shared" si="6"/>
        <v>847.8470325.1.435508.000000.847001.200179</v>
      </c>
      <c r="P112" s="20" t="s">
        <v>482</v>
      </c>
      <c r="Q112" s="20" t="s">
        <v>62</v>
      </c>
      <c r="R112" s="20">
        <v>1</v>
      </c>
      <c r="S112" s="20">
        <v>110000</v>
      </c>
      <c r="T112" s="21" t="s">
        <v>589</v>
      </c>
      <c r="U112" s="20">
        <v>110000</v>
      </c>
      <c r="V112" s="20">
        <f t="shared" si="8"/>
        <v>110000</v>
      </c>
      <c r="W112" s="20">
        <f t="shared" si="9"/>
        <v>0</v>
      </c>
      <c r="X112" s="21" t="s">
        <v>55</v>
      </c>
      <c r="Y112" s="70">
        <f t="shared" si="7"/>
        <v>0</v>
      </c>
    </row>
    <row r="113" spans="1:25" s="39" customFormat="1" ht="14" customHeight="1" x14ac:dyDescent="0.35">
      <c r="A113" s="20" t="s">
        <v>161</v>
      </c>
      <c r="B113" s="20" t="s">
        <v>220</v>
      </c>
      <c r="C113" s="20" t="s">
        <v>334</v>
      </c>
      <c r="D113" s="20">
        <v>847</v>
      </c>
      <c r="E113" s="20">
        <v>8470325</v>
      </c>
      <c r="F113" s="20" t="s">
        <v>560</v>
      </c>
      <c r="G113" s="20">
        <v>1</v>
      </c>
      <c r="H113" s="20">
        <v>492316</v>
      </c>
      <c r="I113" s="20" t="s">
        <v>221</v>
      </c>
      <c r="J113" s="20" t="s">
        <v>60</v>
      </c>
      <c r="K113" s="20" t="s">
        <v>50</v>
      </c>
      <c r="L113" s="20">
        <v>847001</v>
      </c>
      <c r="M113" s="20" t="s">
        <v>192</v>
      </c>
      <c r="N113" s="20">
        <v>300180</v>
      </c>
      <c r="O113" s="37" t="str">
        <f t="shared" si="6"/>
        <v>847.8470325.1.492316.000000.847001.300180</v>
      </c>
      <c r="P113" s="20" t="s">
        <v>495</v>
      </c>
      <c r="Q113" s="20" t="s">
        <v>62</v>
      </c>
      <c r="R113" s="20">
        <v>1</v>
      </c>
      <c r="S113" s="20">
        <v>775000</v>
      </c>
      <c r="T113" s="21" t="s">
        <v>944</v>
      </c>
      <c r="U113" s="20">
        <v>775000</v>
      </c>
      <c r="V113" s="20">
        <f t="shared" si="8"/>
        <v>775000</v>
      </c>
      <c r="W113" s="20">
        <f t="shared" si="9"/>
        <v>0</v>
      </c>
      <c r="X113" s="21" t="s">
        <v>210</v>
      </c>
      <c r="Y113" s="70">
        <f t="shared" si="7"/>
        <v>0</v>
      </c>
    </row>
    <row r="114" spans="1:25" s="39" customFormat="1" ht="14" customHeight="1" x14ac:dyDescent="0.35">
      <c r="A114" s="20" t="s">
        <v>46</v>
      </c>
      <c r="B114" s="20" t="s">
        <v>46</v>
      </c>
      <c r="C114" s="15" t="s">
        <v>334</v>
      </c>
      <c r="D114" s="20">
        <v>847</v>
      </c>
      <c r="E114" s="20">
        <v>8470325</v>
      </c>
      <c r="F114" s="20" t="s">
        <v>560</v>
      </c>
      <c r="G114" s="20">
        <v>1</v>
      </c>
      <c r="H114" s="20">
        <v>492316</v>
      </c>
      <c r="I114" s="20" t="s">
        <v>221</v>
      </c>
      <c r="J114" s="20" t="s">
        <v>60</v>
      </c>
      <c r="K114" s="20" t="s">
        <v>50</v>
      </c>
      <c r="L114" s="20">
        <v>847001</v>
      </c>
      <c r="M114" s="20" t="s">
        <v>192</v>
      </c>
      <c r="N114" s="20">
        <v>300180</v>
      </c>
      <c r="O114" s="37" t="str">
        <f t="shared" si="6"/>
        <v>847.8470325.1.492316.000000.847001.300180</v>
      </c>
      <c r="P114" s="20" t="s">
        <v>495</v>
      </c>
      <c r="Q114" s="20" t="s">
        <v>62</v>
      </c>
      <c r="R114" s="20">
        <v>1</v>
      </c>
      <c r="S114" s="20">
        <v>45000</v>
      </c>
      <c r="T114" s="21" t="s">
        <v>945</v>
      </c>
      <c r="U114" s="20">
        <v>45000</v>
      </c>
      <c r="V114" s="20">
        <f t="shared" si="8"/>
        <v>45000</v>
      </c>
      <c r="W114" s="20">
        <f t="shared" si="9"/>
        <v>0</v>
      </c>
      <c r="X114" s="21"/>
      <c r="Y114" s="70">
        <f t="shared" si="7"/>
        <v>0</v>
      </c>
    </row>
    <row r="115" spans="1:25" s="39" customFormat="1" ht="14" customHeight="1" x14ac:dyDescent="0.35">
      <c r="A115" s="20" t="s">
        <v>46</v>
      </c>
      <c r="B115" s="20" t="s">
        <v>46</v>
      </c>
      <c r="C115" s="15" t="s">
        <v>334</v>
      </c>
      <c r="D115" s="20">
        <v>847</v>
      </c>
      <c r="E115" s="20">
        <v>8470325</v>
      </c>
      <c r="F115" s="20" t="s">
        <v>560</v>
      </c>
      <c r="G115" s="20">
        <v>1</v>
      </c>
      <c r="H115" s="20">
        <v>492316</v>
      </c>
      <c r="I115" s="20" t="s">
        <v>221</v>
      </c>
      <c r="J115" s="20" t="s">
        <v>60</v>
      </c>
      <c r="K115" s="20" t="s">
        <v>50</v>
      </c>
      <c r="L115" s="20">
        <v>847001</v>
      </c>
      <c r="M115" s="20" t="s">
        <v>192</v>
      </c>
      <c r="N115" s="20">
        <v>300180</v>
      </c>
      <c r="O115" s="37" t="str">
        <f t="shared" si="6"/>
        <v>847.8470325.1.492316.000000.847001.300180</v>
      </c>
      <c r="P115" s="20" t="s">
        <v>495</v>
      </c>
      <c r="Q115" s="20" t="s">
        <v>62</v>
      </c>
      <c r="R115" s="20">
        <v>1</v>
      </c>
      <c r="S115" s="20" t="s">
        <v>946</v>
      </c>
      <c r="T115" s="21" t="s">
        <v>947</v>
      </c>
      <c r="U115" s="20">
        <v>465000</v>
      </c>
      <c r="V115" s="20">
        <f t="shared" si="8"/>
        <v>465000</v>
      </c>
      <c r="W115" s="20">
        <f t="shared" si="9"/>
        <v>0</v>
      </c>
      <c r="X115" s="21"/>
      <c r="Y115" s="70">
        <f t="shared" si="7"/>
        <v>0</v>
      </c>
    </row>
    <row r="116" spans="1:25" s="39" customFormat="1" ht="14" customHeight="1" x14ac:dyDescent="0.35">
      <c r="A116" s="20" t="s">
        <v>222</v>
      </c>
      <c r="B116" s="20" t="s">
        <v>58</v>
      </c>
      <c r="C116" s="20" t="s">
        <v>334</v>
      </c>
      <c r="D116" s="20">
        <v>847</v>
      </c>
      <c r="E116" s="20">
        <v>8470330</v>
      </c>
      <c r="F116" s="20" t="s">
        <v>666</v>
      </c>
      <c r="G116" s="20">
        <v>1</v>
      </c>
      <c r="H116" s="20">
        <v>420550</v>
      </c>
      <c r="I116" s="20" t="s">
        <v>225</v>
      </c>
      <c r="J116" s="20" t="s">
        <v>60</v>
      </c>
      <c r="K116" s="20" t="s">
        <v>50</v>
      </c>
      <c r="L116" s="20">
        <v>847001</v>
      </c>
      <c r="M116" s="20" t="s">
        <v>61</v>
      </c>
      <c r="N116" s="20">
        <v>200179</v>
      </c>
      <c r="O116" s="37" t="str">
        <f t="shared" si="6"/>
        <v>847.8470330.1.420550.000000.847001.200179</v>
      </c>
      <c r="P116" s="20" t="s">
        <v>227</v>
      </c>
      <c r="Q116" s="20" t="s">
        <v>157</v>
      </c>
      <c r="R116" s="20">
        <v>1</v>
      </c>
      <c r="S116" s="20">
        <v>3000</v>
      </c>
      <c r="T116" s="21" t="s">
        <v>668</v>
      </c>
      <c r="U116" s="20">
        <v>3000</v>
      </c>
      <c r="V116" s="20">
        <f t="shared" si="8"/>
        <v>3000</v>
      </c>
      <c r="W116" s="20">
        <f t="shared" si="9"/>
        <v>0</v>
      </c>
      <c r="X116" s="21" t="s">
        <v>55</v>
      </c>
      <c r="Y116" s="70">
        <f t="shared" si="7"/>
        <v>0</v>
      </c>
    </row>
    <row r="117" spans="1:25" s="39" customFormat="1" ht="14" customHeight="1" x14ac:dyDescent="0.35">
      <c r="A117" s="20" t="s">
        <v>245</v>
      </c>
      <c r="B117" s="20" t="s">
        <v>246</v>
      </c>
      <c r="C117" s="20" t="s">
        <v>334</v>
      </c>
      <c r="D117" s="20">
        <v>847</v>
      </c>
      <c r="E117" s="20">
        <v>8470330</v>
      </c>
      <c r="F117" s="20" t="s">
        <v>666</v>
      </c>
      <c r="G117" s="20">
        <v>1</v>
      </c>
      <c r="H117" s="20">
        <v>425510</v>
      </c>
      <c r="I117" s="20" t="s">
        <v>247</v>
      </c>
      <c r="J117" s="20" t="s">
        <v>60</v>
      </c>
      <c r="K117" s="20" t="s">
        <v>50</v>
      </c>
      <c r="L117" s="20">
        <v>847001</v>
      </c>
      <c r="M117" s="20" t="s">
        <v>61</v>
      </c>
      <c r="N117" s="20">
        <v>200179</v>
      </c>
      <c r="O117" s="37" t="str">
        <f t="shared" si="6"/>
        <v>847.8470330.1.425510.000000.847001.200179</v>
      </c>
      <c r="P117" s="20" t="s">
        <v>672</v>
      </c>
      <c r="Q117" s="20" t="s">
        <v>673</v>
      </c>
      <c r="R117" s="20">
        <v>1</v>
      </c>
      <c r="S117" s="20">
        <v>10000</v>
      </c>
      <c r="T117" s="21" t="s">
        <v>674</v>
      </c>
      <c r="U117" s="20">
        <v>10000</v>
      </c>
      <c r="V117" s="20">
        <f t="shared" si="8"/>
        <v>10000</v>
      </c>
      <c r="W117" s="20">
        <f t="shared" si="9"/>
        <v>0</v>
      </c>
      <c r="X117" s="21" t="s">
        <v>55</v>
      </c>
      <c r="Y117" s="70">
        <f t="shared" si="7"/>
        <v>0</v>
      </c>
    </row>
    <row r="118" spans="1:25" s="39" customFormat="1" ht="14" customHeight="1" x14ac:dyDescent="0.35">
      <c r="A118" s="20" t="s">
        <v>258</v>
      </c>
      <c r="B118" s="20" t="s">
        <v>350</v>
      </c>
      <c r="C118" s="20" t="s">
        <v>334</v>
      </c>
      <c r="D118" s="20">
        <v>847</v>
      </c>
      <c r="E118" s="20">
        <v>8470330</v>
      </c>
      <c r="F118" s="20" t="s">
        <v>666</v>
      </c>
      <c r="G118" s="20">
        <v>1</v>
      </c>
      <c r="H118" s="20">
        <v>425760</v>
      </c>
      <c r="I118" s="20" t="s">
        <v>352</v>
      </c>
      <c r="J118" s="20" t="s">
        <v>60</v>
      </c>
      <c r="K118" s="20" t="s">
        <v>50</v>
      </c>
      <c r="L118" s="20">
        <v>847001</v>
      </c>
      <c r="M118" s="20" t="s">
        <v>61</v>
      </c>
      <c r="N118" s="20">
        <v>200179</v>
      </c>
      <c r="O118" s="37" t="str">
        <f t="shared" si="6"/>
        <v>847.8470330.1.425760.000000.847001.200179</v>
      </c>
      <c r="P118" s="20" t="s">
        <v>440</v>
      </c>
      <c r="Q118" s="20" t="s">
        <v>441</v>
      </c>
      <c r="R118" s="20">
        <v>10</v>
      </c>
      <c r="S118" s="20">
        <v>7500</v>
      </c>
      <c r="T118" s="21" t="s">
        <v>678</v>
      </c>
      <c r="U118" s="20">
        <v>75000</v>
      </c>
      <c r="V118" s="20">
        <f t="shared" si="8"/>
        <v>75000</v>
      </c>
      <c r="W118" s="20">
        <f t="shared" si="9"/>
        <v>0</v>
      </c>
      <c r="X118" s="21" t="s">
        <v>55</v>
      </c>
      <c r="Y118" s="70">
        <f t="shared" si="7"/>
        <v>0</v>
      </c>
    </row>
    <row r="119" spans="1:25" s="39" customFormat="1" ht="14" customHeight="1" x14ac:dyDescent="0.35">
      <c r="A119" s="20" t="s">
        <v>258</v>
      </c>
      <c r="B119" s="20" t="s">
        <v>58</v>
      </c>
      <c r="C119" s="20" t="s">
        <v>334</v>
      </c>
      <c r="D119" s="20">
        <v>847</v>
      </c>
      <c r="E119" s="20">
        <v>8470330</v>
      </c>
      <c r="F119" s="20" t="s">
        <v>666</v>
      </c>
      <c r="G119" s="20">
        <v>1</v>
      </c>
      <c r="H119" s="20">
        <v>425763</v>
      </c>
      <c r="I119" s="20" t="s">
        <v>359</v>
      </c>
      <c r="J119" s="20" t="s">
        <v>60</v>
      </c>
      <c r="K119" s="20" t="s">
        <v>50</v>
      </c>
      <c r="L119" s="20">
        <v>847001</v>
      </c>
      <c r="M119" s="20" t="s">
        <v>61</v>
      </c>
      <c r="N119" s="20">
        <v>200179</v>
      </c>
      <c r="O119" s="37" t="str">
        <f t="shared" si="6"/>
        <v>847.8470330.1.425763.000000.847001.200179</v>
      </c>
      <c r="P119" s="20" t="s">
        <v>361</v>
      </c>
      <c r="Q119" s="20" t="s">
        <v>68</v>
      </c>
      <c r="R119" s="20">
        <v>145</v>
      </c>
      <c r="S119" s="20">
        <v>3000</v>
      </c>
      <c r="T119" s="21" t="s">
        <v>681</v>
      </c>
      <c r="U119" s="20">
        <v>435000</v>
      </c>
      <c r="V119" s="20">
        <f t="shared" si="8"/>
        <v>435000</v>
      </c>
      <c r="W119" s="20">
        <f t="shared" si="9"/>
        <v>0</v>
      </c>
      <c r="X119" s="21" t="s">
        <v>55</v>
      </c>
      <c r="Y119" s="70">
        <f t="shared" si="7"/>
        <v>0</v>
      </c>
    </row>
    <row r="120" spans="1:25" s="39" customFormat="1" ht="14" customHeight="1" x14ac:dyDescent="0.35">
      <c r="A120" s="20" t="s">
        <v>222</v>
      </c>
      <c r="B120" s="20" t="s">
        <v>58</v>
      </c>
      <c r="C120" s="20" t="s">
        <v>334</v>
      </c>
      <c r="D120" s="20">
        <v>847</v>
      </c>
      <c r="E120" s="20">
        <v>8470330</v>
      </c>
      <c r="F120" s="20" t="s">
        <v>666</v>
      </c>
      <c r="G120" s="20">
        <v>1</v>
      </c>
      <c r="H120" s="20">
        <v>425770</v>
      </c>
      <c r="I120" s="20" t="s">
        <v>367</v>
      </c>
      <c r="J120" s="20" t="s">
        <v>60</v>
      </c>
      <c r="K120" s="20" t="s">
        <v>50</v>
      </c>
      <c r="L120" s="20">
        <v>847001</v>
      </c>
      <c r="M120" s="20" t="s">
        <v>61</v>
      </c>
      <c r="N120" s="20">
        <v>200179</v>
      </c>
      <c r="O120" s="37" t="str">
        <f t="shared" si="6"/>
        <v>847.8470330.1.425770.000000.847001.200179</v>
      </c>
      <c r="P120" s="20" t="s">
        <v>367</v>
      </c>
      <c r="Q120" s="20" t="s">
        <v>62</v>
      </c>
      <c r="R120" s="20">
        <v>63</v>
      </c>
      <c r="S120" s="20">
        <v>20000</v>
      </c>
      <c r="T120" s="21" t="s">
        <v>685</v>
      </c>
      <c r="U120" s="20">
        <v>1260000</v>
      </c>
      <c r="V120" s="20">
        <f t="shared" si="8"/>
        <v>1260000</v>
      </c>
      <c r="W120" s="20">
        <f t="shared" si="9"/>
        <v>0</v>
      </c>
      <c r="X120" s="21" t="s">
        <v>55</v>
      </c>
      <c r="Y120" s="70">
        <f t="shared" si="7"/>
        <v>0</v>
      </c>
    </row>
    <row r="121" spans="1:25" s="39" customFormat="1" ht="14" customHeight="1" x14ac:dyDescent="0.35">
      <c r="A121" s="20" t="s">
        <v>189</v>
      </c>
      <c r="B121" s="20" t="s">
        <v>265</v>
      </c>
      <c r="C121" s="20" t="s">
        <v>334</v>
      </c>
      <c r="D121" s="20">
        <v>847</v>
      </c>
      <c r="E121" s="20">
        <v>8470330</v>
      </c>
      <c r="F121" s="20" t="s">
        <v>666</v>
      </c>
      <c r="G121" s="20">
        <v>1</v>
      </c>
      <c r="H121" s="20">
        <v>425900</v>
      </c>
      <c r="I121" s="20" t="s">
        <v>266</v>
      </c>
      <c r="J121" s="20" t="s">
        <v>60</v>
      </c>
      <c r="K121" s="20" t="s">
        <v>50</v>
      </c>
      <c r="L121" s="20">
        <v>847001</v>
      </c>
      <c r="M121" s="20" t="s">
        <v>61</v>
      </c>
      <c r="N121" s="20">
        <v>200179</v>
      </c>
      <c r="O121" s="37" t="str">
        <f t="shared" si="6"/>
        <v>847.8470330.1.425900.000000.847001.200179</v>
      </c>
      <c r="P121" s="20" t="s">
        <v>266</v>
      </c>
      <c r="Q121" s="20" t="s">
        <v>62</v>
      </c>
      <c r="R121" s="20">
        <v>6</v>
      </c>
      <c r="S121" s="20">
        <v>5000</v>
      </c>
      <c r="T121" s="21" t="s">
        <v>691</v>
      </c>
      <c r="U121" s="20">
        <v>30000</v>
      </c>
      <c r="V121" s="20">
        <f t="shared" si="8"/>
        <v>30000</v>
      </c>
      <c r="W121" s="20">
        <f t="shared" si="9"/>
        <v>0</v>
      </c>
      <c r="X121" s="21" t="s">
        <v>55</v>
      </c>
      <c r="Y121" s="70">
        <f t="shared" si="7"/>
        <v>0</v>
      </c>
    </row>
    <row r="122" spans="1:25" s="39" customFormat="1" ht="14" customHeight="1" x14ac:dyDescent="0.35">
      <c r="A122" s="20" t="s">
        <v>63</v>
      </c>
      <c r="B122" s="20" t="s">
        <v>64</v>
      </c>
      <c r="C122" s="20" t="s">
        <v>334</v>
      </c>
      <c r="D122" s="20">
        <v>847</v>
      </c>
      <c r="E122" s="20">
        <v>8470330</v>
      </c>
      <c r="F122" s="20" t="s">
        <v>666</v>
      </c>
      <c r="G122" s="20">
        <v>1</v>
      </c>
      <c r="H122" s="20">
        <v>426610</v>
      </c>
      <c r="I122" s="20" t="s">
        <v>74</v>
      </c>
      <c r="J122" s="20" t="s">
        <v>60</v>
      </c>
      <c r="K122" s="20" t="s">
        <v>50</v>
      </c>
      <c r="L122" s="20">
        <v>847001</v>
      </c>
      <c r="M122" s="20" t="s">
        <v>61</v>
      </c>
      <c r="N122" s="20">
        <v>200179</v>
      </c>
      <c r="O122" s="37" t="str">
        <f t="shared" si="6"/>
        <v>847.8470330.1.426610.000000.847001.200179</v>
      </c>
      <c r="P122" s="20" t="s">
        <v>694</v>
      </c>
      <c r="Q122" s="20" t="s">
        <v>62</v>
      </c>
      <c r="R122" s="20">
        <v>9</v>
      </c>
      <c r="S122" s="20">
        <v>78958</v>
      </c>
      <c r="T122" s="21" t="s">
        <v>948</v>
      </c>
      <c r="U122" s="20">
        <v>710622</v>
      </c>
      <c r="V122" s="20">
        <f t="shared" si="8"/>
        <v>710622</v>
      </c>
      <c r="W122" s="20">
        <f t="shared" si="9"/>
        <v>0</v>
      </c>
      <c r="X122" s="21" t="s">
        <v>55</v>
      </c>
      <c r="Y122" s="70">
        <f t="shared" si="7"/>
        <v>0</v>
      </c>
    </row>
    <row r="123" spans="1:25" s="39" customFormat="1" ht="14" customHeight="1" x14ac:dyDescent="0.35">
      <c r="A123" s="20" t="s">
        <v>245</v>
      </c>
      <c r="B123" s="20" t="s">
        <v>246</v>
      </c>
      <c r="C123" s="20" t="s">
        <v>334</v>
      </c>
      <c r="D123" s="20">
        <v>847</v>
      </c>
      <c r="E123" s="20">
        <v>8470330</v>
      </c>
      <c r="F123" s="20" t="s">
        <v>666</v>
      </c>
      <c r="G123" s="20">
        <v>1</v>
      </c>
      <c r="H123" s="20">
        <v>428640</v>
      </c>
      <c r="I123" s="20" t="s">
        <v>279</v>
      </c>
      <c r="J123" s="20" t="s">
        <v>60</v>
      </c>
      <c r="K123" s="20" t="s">
        <v>50</v>
      </c>
      <c r="L123" s="20">
        <v>847001</v>
      </c>
      <c r="M123" s="20" t="s">
        <v>61</v>
      </c>
      <c r="N123" s="20">
        <v>200179</v>
      </c>
      <c r="O123" s="37" t="str">
        <f t="shared" si="6"/>
        <v>847.8470330.1.428640.000000.847001.200179</v>
      </c>
      <c r="P123" s="20" t="s">
        <v>279</v>
      </c>
      <c r="Q123" s="20" t="s">
        <v>62</v>
      </c>
      <c r="R123" s="20">
        <v>2</v>
      </c>
      <c r="S123" s="20">
        <v>151000</v>
      </c>
      <c r="T123" s="21" t="s">
        <v>700</v>
      </c>
      <c r="U123" s="20">
        <v>302000</v>
      </c>
      <c r="V123" s="20">
        <f t="shared" si="8"/>
        <v>302000</v>
      </c>
      <c r="W123" s="20">
        <f t="shared" si="9"/>
        <v>0</v>
      </c>
      <c r="X123" s="21" t="s">
        <v>55</v>
      </c>
      <c r="Y123" s="70">
        <f t="shared" si="7"/>
        <v>0</v>
      </c>
    </row>
    <row r="124" spans="1:25" s="39" customFormat="1" ht="14" customHeight="1" x14ac:dyDescent="0.35">
      <c r="A124" s="20" t="s">
        <v>222</v>
      </c>
      <c r="B124" s="20" t="s">
        <v>58</v>
      </c>
      <c r="C124" s="20" t="s">
        <v>334</v>
      </c>
      <c r="D124" s="20">
        <v>847</v>
      </c>
      <c r="E124" s="20">
        <v>8470330</v>
      </c>
      <c r="F124" s="20" t="s">
        <v>666</v>
      </c>
      <c r="G124" s="20">
        <v>1</v>
      </c>
      <c r="H124" s="20">
        <v>432209</v>
      </c>
      <c r="I124" s="20" t="s">
        <v>393</v>
      </c>
      <c r="J124" s="20" t="s">
        <v>60</v>
      </c>
      <c r="K124" s="20" t="s">
        <v>50</v>
      </c>
      <c r="L124" s="20">
        <v>847001</v>
      </c>
      <c r="M124" s="20" t="s">
        <v>61</v>
      </c>
      <c r="N124" s="20">
        <v>200179</v>
      </c>
      <c r="O124" s="37" t="str">
        <f t="shared" si="6"/>
        <v>847.8470330.1.432209.000000.847001.200179</v>
      </c>
      <c r="P124" s="20" t="s">
        <v>393</v>
      </c>
      <c r="Q124" s="20" t="s">
        <v>62</v>
      </c>
      <c r="R124" s="20">
        <v>10</v>
      </c>
      <c r="S124" s="20">
        <v>5000</v>
      </c>
      <c r="T124" s="21" t="s">
        <v>704</v>
      </c>
      <c r="U124" s="20">
        <v>50000</v>
      </c>
      <c r="V124" s="20">
        <f t="shared" si="8"/>
        <v>50000</v>
      </c>
      <c r="W124" s="20">
        <f t="shared" si="9"/>
        <v>0</v>
      </c>
      <c r="X124" s="21" t="s">
        <v>55</v>
      </c>
      <c r="Y124" s="70">
        <f t="shared" si="7"/>
        <v>0</v>
      </c>
    </row>
    <row r="125" spans="1:25" s="39" customFormat="1" ht="14" customHeight="1" x14ac:dyDescent="0.35">
      <c r="A125" s="20" t="s">
        <v>222</v>
      </c>
      <c r="B125" s="20" t="s">
        <v>58</v>
      </c>
      <c r="C125" s="20" t="s">
        <v>334</v>
      </c>
      <c r="D125" s="20">
        <v>847</v>
      </c>
      <c r="E125" s="20">
        <v>8470330</v>
      </c>
      <c r="F125" s="20" t="s">
        <v>666</v>
      </c>
      <c r="G125" s="20">
        <v>1</v>
      </c>
      <c r="H125" s="20">
        <v>435350</v>
      </c>
      <c r="I125" s="20" t="s">
        <v>399</v>
      </c>
      <c r="J125" s="20" t="s">
        <v>60</v>
      </c>
      <c r="K125" s="20" t="s">
        <v>50</v>
      </c>
      <c r="L125" s="20">
        <v>847001</v>
      </c>
      <c r="M125" s="20" t="s">
        <v>61</v>
      </c>
      <c r="N125" s="20">
        <v>200179</v>
      </c>
      <c r="O125" s="37" t="str">
        <f t="shared" si="6"/>
        <v>847.8470330.1.435350.000000.847001.200179</v>
      </c>
      <c r="P125" s="20" t="s">
        <v>399</v>
      </c>
      <c r="Q125" s="20" t="s">
        <v>62</v>
      </c>
      <c r="R125" s="20">
        <v>63</v>
      </c>
      <c r="S125" s="20">
        <v>7000</v>
      </c>
      <c r="T125" s="21" t="s">
        <v>709</v>
      </c>
      <c r="U125" s="20">
        <v>441000</v>
      </c>
      <c r="V125" s="20">
        <f t="shared" ref="V125:V156" si="10">R125*S125</f>
        <v>441000</v>
      </c>
      <c r="W125" s="20">
        <f t="shared" ref="W125:W156" si="11">U125-V125</f>
        <v>0</v>
      </c>
      <c r="X125" s="21" t="s">
        <v>55</v>
      </c>
      <c r="Y125" s="70">
        <f t="shared" si="7"/>
        <v>0</v>
      </c>
    </row>
    <row r="126" spans="1:25" s="39" customFormat="1" ht="14" customHeight="1" x14ac:dyDescent="0.35">
      <c r="A126" s="20" t="s">
        <v>222</v>
      </c>
      <c r="B126" s="20" t="s">
        <v>220</v>
      </c>
      <c r="C126" s="20" t="s">
        <v>334</v>
      </c>
      <c r="D126" s="20">
        <v>847</v>
      </c>
      <c r="E126" s="20">
        <v>8470330</v>
      </c>
      <c r="F126" s="20" t="s">
        <v>666</v>
      </c>
      <c r="G126" s="20">
        <v>1</v>
      </c>
      <c r="H126" s="20">
        <v>435508</v>
      </c>
      <c r="I126" s="20" t="s">
        <v>405</v>
      </c>
      <c r="J126" s="20" t="s">
        <v>60</v>
      </c>
      <c r="K126" s="20" t="s">
        <v>50</v>
      </c>
      <c r="L126" s="20">
        <v>847001</v>
      </c>
      <c r="M126" s="20" t="s">
        <v>61</v>
      </c>
      <c r="N126" s="20">
        <v>200179</v>
      </c>
      <c r="O126" s="37" t="str">
        <f t="shared" si="6"/>
        <v>847.8470330.1.435508.000000.847001.200179</v>
      </c>
      <c r="P126" s="20" t="s">
        <v>405</v>
      </c>
      <c r="Q126" s="20" t="s">
        <v>62</v>
      </c>
      <c r="R126" s="20">
        <v>8</v>
      </c>
      <c r="S126" s="20">
        <v>10000</v>
      </c>
      <c r="T126" s="21" t="s">
        <v>713</v>
      </c>
      <c r="U126" s="20">
        <v>80000</v>
      </c>
      <c r="V126" s="20">
        <f t="shared" si="10"/>
        <v>80000</v>
      </c>
      <c r="W126" s="20">
        <f t="shared" si="11"/>
        <v>0</v>
      </c>
      <c r="X126" s="21" t="s">
        <v>55</v>
      </c>
      <c r="Y126" s="70">
        <f t="shared" si="7"/>
        <v>0</v>
      </c>
    </row>
    <row r="127" spans="1:25" s="39" customFormat="1" ht="14" customHeight="1" x14ac:dyDescent="0.35">
      <c r="A127" s="20" t="s">
        <v>222</v>
      </c>
      <c r="B127" s="20" t="s">
        <v>58</v>
      </c>
      <c r="C127" s="20" t="s">
        <v>334</v>
      </c>
      <c r="D127" s="20">
        <v>847</v>
      </c>
      <c r="E127" s="20">
        <v>8470330</v>
      </c>
      <c r="F127" s="20" t="s">
        <v>666</v>
      </c>
      <c r="G127" s="20">
        <v>1</v>
      </c>
      <c r="H127" s="20">
        <v>436600</v>
      </c>
      <c r="I127" s="20" t="s">
        <v>416</v>
      </c>
      <c r="J127" s="20" t="s">
        <v>60</v>
      </c>
      <c r="K127" s="20" t="s">
        <v>50</v>
      </c>
      <c r="L127" s="20">
        <v>847001</v>
      </c>
      <c r="M127" s="20" t="s">
        <v>61</v>
      </c>
      <c r="N127" s="20">
        <v>200179</v>
      </c>
      <c r="O127" s="37" t="str">
        <f t="shared" si="6"/>
        <v>847.8470330.1.436600.000000.847001.200179</v>
      </c>
      <c r="P127" s="20" t="s">
        <v>416</v>
      </c>
      <c r="Q127" s="20" t="s">
        <v>62</v>
      </c>
      <c r="R127" s="20">
        <v>2</v>
      </c>
      <c r="S127" s="20">
        <v>8000</v>
      </c>
      <c r="T127" s="21" t="s">
        <v>717</v>
      </c>
      <c r="U127" s="20">
        <v>16000</v>
      </c>
      <c r="V127" s="20">
        <f t="shared" si="10"/>
        <v>16000</v>
      </c>
      <c r="W127" s="20">
        <f t="shared" si="11"/>
        <v>0</v>
      </c>
      <c r="X127" s="21" t="s">
        <v>55</v>
      </c>
      <c r="Y127" s="70">
        <f t="shared" si="7"/>
        <v>0</v>
      </c>
    </row>
    <row r="128" spans="1:25" s="39" customFormat="1" ht="14" customHeight="1" x14ac:dyDescent="0.35">
      <c r="A128" s="20" t="s">
        <v>161</v>
      </c>
      <c r="B128" s="20" t="s">
        <v>220</v>
      </c>
      <c r="C128" s="20" t="s">
        <v>334</v>
      </c>
      <c r="D128" s="20">
        <v>847</v>
      </c>
      <c r="E128" s="20">
        <v>8470330</v>
      </c>
      <c r="F128" s="20" t="s">
        <v>666</v>
      </c>
      <c r="G128" s="20">
        <v>1</v>
      </c>
      <c r="H128" s="20">
        <v>492316</v>
      </c>
      <c r="I128" s="20" t="s">
        <v>221</v>
      </c>
      <c r="J128" s="20" t="s">
        <v>60</v>
      </c>
      <c r="K128" s="20" t="s">
        <v>50</v>
      </c>
      <c r="L128" s="20">
        <v>847001</v>
      </c>
      <c r="M128" s="20" t="s">
        <v>192</v>
      </c>
      <c r="N128" s="20">
        <v>300180</v>
      </c>
      <c r="O128" s="37" t="str">
        <f t="shared" si="6"/>
        <v>847.8470330.1.492316.000000.847001.300180</v>
      </c>
      <c r="P128" s="20" t="s">
        <v>221</v>
      </c>
      <c r="Q128" s="20" t="s">
        <v>62</v>
      </c>
      <c r="R128" s="20">
        <v>1</v>
      </c>
      <c r="S128" s="20">
        <v>500000</v>
      </c>
      <c r="T128" s="21" t="s">
        <v>949</v>
      </c>
      <c r="U128" s="20">
        <v>500000</v>
      </c>
      <c r="V128" s="20">
        <f t="shared" si="10"/>
        <v>500000</v>
      </c>
      <c r="W128" s="20">
        <f t="shared" si="11"/>
        <v>0</v>
      </c>
      <c r="X128" s="21" t="s">
        <v>55</v>
      </c>
      <c r="Y128" s="70">
        <f t="shared" si="7"/>
        <v>0</v>
      </c>
    </row>
    <row r="129" spans="1:25" s="39" customFormat="1" ht="14" customHeight="1" x14ac:dyDescent="0.35">
      <c r="A129" s="20" t="s">
        <v>222</v>
      </c>
      <c r="B129" s="20" t="s">
        <v>58</v>
      </c>
      <c r="C129" s="20" t="s">
        <v>334</v>
      </c>
      <c r="D129" s="20">
        <v>847</v>
      </c>
      <c r="E129" s="20">
        <v>8470335</v>
      </c>
      <c r="F129" s="20" t="s">
        <v>721</v>
      </c>
      <c r="G129" s="20">
        <v>1</v>
      </c>
      <c r="H129" s="20">
        <v>420550</v>
      </c>
      <c r="I129" s="20" t="s">
        <v>225</v>
      </c>
      <c r="J129" s="20" t="s">
        <v>60</v>
      </c>
      <c r="K129" s="20" t="s">
        <v>50</v>
      </c>
      <c r="L129" s="20">
        <v>847001</v>
      </c>
      <c r="M129" s="20" t="s">
        <v>61</v>
      </c>
      <c r="N129" s="20">
        <v>200179</v>
      </c>
      <c r="O129" s="37" t="str">
        <f t="shared" si="6"/>
        <v>847.8470335.1.420550.000000.847001.200179</v>
      </c>
      <c r="P129" s="20" t="s">
        <v>338</v>
      </c>
      <c r="Q129" s="20" t="s">
        <v>157</v>
      </c>
      <c r="R129" s="20">
        <v>2</v>
      </c>
      <c r="S129" s="20">
        <v>6500</v>
      </c>
      <c r="T129" s="21" t="s">
        <v>723</v>
      </c>
      <c r="U129" s="20">
        <v>13000</v>
      </c>
      <c r="V129" s="20">
        <f t="shared" si="10"/>
        <v>13000</v>
      </c>
      <c r="W129" s="20">
        <f t="shared" si="11"/>
        <v>0</v>
      </c>
      <c r="X129" s="21" t="s">
        <v>55</v>
      </c>
      <c r="Y129" s="70">
        <f t="shared" si="7"/>
        <v>0</v>
      </c>
    </row>
    <row r="130" spans="1:25" s="39" customFormat="1" ht="14" customHeight="1" x14ac:dyDescent="0.35">
      <c r="A130" s="20" t="s">
        <v>245</v>
      </c>
      <c r="B130" s="20" t="s">
        <v>246</v>
      </c>
      <c r="C130" s="20" t="s">
        <v>334</v>
      </c>
      <c r="D130" s="20">
        <v>847</v>
      </c>
      <c r="E130" s="20">
        <v>8470335</v>
      </c>
      <c r="F130" s="20" t="s">
        <v>721</v>
      </c>
      <c r="G130" s="20">
        <v>1</v>
      </c>
      <c r="H130" s="20">
        <v>425510</v>
      </c>
      <c r="I130" s="20" t="s">
        <v>247</v>
      </c>
      <c r="J130" s="20" t="s">
        <v>60</v>
      </c>
      <c r="K130" s="20" t="s">
        <v>50</v>
      </c>
      <c r="L130" s="20">
        <v>847001</v>
      </c>
      <c r="M130" s="20" t="s">
        <v>61</v>
      </c>
      <c r="N130" s="20">
        <v>200179</v>
      </c>
      <c r="O130" s="37" t="str">
        <f t="shared" si="6"/>
        <v>847.8470335.1.425510.000000.847001.200179</v>
      </c>
      <c r="P130" s="20" t="s">
        <v>615</v>
      </c>
      <c r="Q130" s="20" t="s">
        <v>616</v>
      </c>
      <c r="R130" s="20">
        <v>10</v>
      </c>
      <c r="S130" s="20">
        <v>2200</v>
      </c>
      <c r="T130" s="21" t="s">
        <v>725</v>
      </c>
      <c r="U130" s="20">
        <v>22000</v>
      </c>
      <c r="V130" s="20">
        <f t="shared" si="10"/>
        <v>22000</v>
      </c>
      <c r="W130" s="20">
        <f t="shared" si="11"/>
        <v>0</v>
      </c>
      <c r="X130" s="21" t="s">
        <v>55</v>
      </c>
      <c r="Y130" s="70">
        <f t="shared" si="7"/>
        <v>0</v>
      </c>
    </row>
    <row r="131" spans="1:25" s="39" customFormat="1" ht="14" customHeight="1" x14ac:dyDescent="0.35">
      <c r="A131" s="20" t="s">
        <v>258</v>
      </c>
      <c r="B131" s="20" t="s">
        <v>350</v>
      </c>
      <c r="C131" s="20" t="s">
        <v>334</v>
      </c>
      <c r="D131" s="20">
        <v>847</v>
      </c>
      <c r="E131" s="20">
        <v>8470335</v>
      </c>
      <c r="F131" s="20" t="s">
        <v>721</v>
      </c>
      <c r="G131" s="20">
        <v>1</v>
      </c>
      <c r="H131" s="20">
        <v>425760</v>
      </c>
      <c r="I131" s="20" t="s">
        <v>352</v>
      </c>
      <c r="J131" s="20" t="s">
        <v>60</v>
      </c>
      <c r="K131" s="20" t="s">
        <v>50</v>
      </c>
      <c r="L131" s="20">
        <v>847001</v>
      </c>
      <c r="M131" s="20" t="s">
        <v>61</v>
      </c>
      <c r="N131" s="20">
        <v>200179</v>
      </c>
      <c r="O131" s="37" t="str">
        <f t="shared" ref="O131:O194" si="12">CONCATENATE(D131,".",E131,".",G131,".",H131,".",J131,".",L131,".",N131)</f>
        <v>847.8470335.1.425760.000000.847001.200179</v>
      </c>
      <c r="P131" s="20" t="s">
        <v>727</v>
      </c>
      <c r="Q131" s="20" t="s">
        <v>68</v>
      </c>
      <c r="R131" s="20">
        <v>4</v>
      </c>
      <c r="S131" s="20">
        <v>2500</v>
      </c>
      <c r="T131" s="21" t="s">
        <v>728</v>
      </c>
      <c r="U131" s="20">
        <v>10000</v>
      </c>
      <c r="V131" s="20">
        <f t="shared" si="10"/>
        <v>10000</v>
      </c>
      <c r="W131" s="20">
        <f t="shared" si="11"/>
        <v>0</v>
      </c>
      <c r="X131" s="21" t="s">
        <v>55</v>
      </c>
      <c r="Y131" s="70">
        <f t="shared" ref="Y131:Y194" si="13">(R131*S131)-U131</f>
        <v>0</v>
      </c>
    </row>
    <row r="132" spans="1:25" s="39" customFormat="1" ht="14" customHeight="1" x14ac:dyDescent="0.35">
      <c r="A132" s="20" t="s">
        <v>258</v>
      </c>
      <c r="B132" s="20" t="s">
        <v>58</v>
      </c>
      <c r="C132" s="20" t="s">
        <v>334</v>
      </c>
      <c r="D132" s="20">
        <v>847</v>
      </c>
      <c r="E132" s="20">
        <v>8470335</v>
      </c>
      <c r="F132" s="20" t="s">
        <v>721</v>
      </c>
      <c r="G132" s="20">
        <v>1</v>
      </c>
      <c r="H132" s="20">
        <v>425763</v>
      </c>
      <c r="I132" s="20" t="s">
        <v>359</v>
      </c>
      <c r="J132" s="20" t="s">
        <v>60</v>
      </c>
      <c r="K132" s="20" t="s">
        <v>50</v>
      </c>
      <c r="L132" s="20">
        <v>847001</v>
      </c>
      <c r="M132" s="20" t="s">
        <v>61</v>
      </c>
      <c r="N132" s="20">
        <v>200179</v>
      </c>
      <c r="O132" s="37" t="str">
        <f t="shared" si="12"/>
        <v>847.8470335.1.425763.000000.847001.200179</v>
      </c>
      <c r="P132" s="20" t="s">
        <v>361</v>
      </c>
      <c r="Q132" s="20" t="s">
        <v>68</v>
      </c>
      <c r="R132" s="20">
        <v>45</v>
      </c>
      <c r="S132" s="20">
        <v>2000</v>
      </c>
      <c r="T132" s="21" t="s">
        <v>731</v>
      </c>
      <c r="U132" s="20">
        <v>90000</v>
      </c>
      <c r="V132" s="20">
        <f t="shared" si="10"/>
        <v>90000</v>
      </c>
      <c r="W132" s="20">
        <f t="shared" si="11"/>
        <v>0</v>
      </c>
      <c r="X132" s="21" t="s">
        <v>55</v>
      </c>
      <c r="Y132" s="70">
        <f t="shared" si="13"/>
        <v>0</v>
      </c>
    </row>
    <row r="133" spans="1:25" s="39" customFormat="1" ht="14" customHeight="1" x14ac:dyDescent="0.35">
      <c r="A133" s="20" t="s">
        <v>222</v>
      </c>
      <c r="B133" s="20" t="s">
        <v>58</v>
      </c>
      <c r="C133" s="20" t="s">
        <v>334</v>
      </c>
      <c r="D133" s="20">
        <v>847</v>
      </c>
      <c r="E133" s="20">
        <v>8470335</v>
      </c>
      <c r="F133" s="20" t="s">
        <v>721</v>
      </c>
      <c r="G133" s="20">
        <v>1</v>
      </c>
      <c r="H133" s="20">
        <v>425770</v>
      </c>
      <c r="I133" s="20" t="s">
        <v>367</v>
      </c>
      <c r="J133" s="20" t="s">
        <v>60</v>
      </c>
      <c r="K133" s="20" t="s">
        <v>50</v>
      </c>
      <c r="L133" s="20">
        <v>847001</v>
      </c>
      <c r="M133" s="20" t="s">
        <v>61</v>
      </c>
      <c r="N133" s="20">
        <v>200179</v>
      </c>
      <c r="O133" s="37" t="str">
        <f t="shared" si="12"/>
        <v>847.8470335.1.425770.000000.847001.200179</v>
      </c>
      <c r="P133" s="20" t="s">
        <v>369</v>
      </c>
      <c r="Q133" s="20" t="s">
        <v>157</v>
      </c>
      <c r="R133" s="20">
        <v>22</v>
      </c>
      <c r="S133" s="20">
        <v>20000</v>
      </c>
      <c r="T133" s="21" t="s">
        <v>733</v>
      </c>
      <c r="U133" s="20">
        <v>440000</v>
      </c>
      <c r="V133" s="20">
        <f t="shared" si="10"/>
        <v>440000</v>
      </c>
      <c r="W133" s="20">
        <f t="shared" si="11"/>
        <v>0</v>
      </c>
      <c r="X133" s="21" t="s">
        <v>55</v>
      </c>
      <c r="Y133" s="70">
        <f t="shared" si="13"/>
        <v>0</v>
      </c>
    </row>
    <row r="134" spans="1:25" s="39" customFormat="1" ht="14" customHeight="1" x14ac:dyDescent="0.35">
      <c r="A134" s="20" t="s">
        <v>189</v>
      </c>
      <c r="B134" s="20" t="s">
        <v>265</v>
      </c>
      <c r="C134" s="20" t="s">
        <v>334</v>
      </c>
      <c r="D134" s="20">
        <v>847</v>
      </c>
      <c r="E134" s="20">
        <v>8470335</v>
      </c>
      <c r="F134" s="20" t="s">
        <v>721</v>
      </c>
      <c r="G134" s="20">
        <v>1</v>
      </c>
      <c r="H134" s="20">
        <v>425900</v>
      </c>
      <c r="I134" s="20" t="s">
        <v>266</v>
      </c>
      <c r="J134" s="20" t="s">
        <v>60</v>
      </c>
      <c r="K134" s="20" t="s">
        <v>50</v>
      </c>
      <c r="L134" s="20">
        <v>847001</v>
      </c>
      <c r="M134" s="20" t="s">
        <v>61</v>
      </c>
      <c r="N134" s="20">
        <v>200179</v>
      </c>
      <c r="O134" s="37" t="str">
        <f t="shared" si="12"/>
        <v>847.8470335.1.425900.000000.847001.200179</v>
      </c>
      <c r="P134" s="20" t="s">
        <v>268</v>
      </c>
      <c r="Q134" s="20" t="s">
        <v>269</v>
      </c>
      <c r="R134" s="20">
        <v>6</v>
      </c>
      <c r="S134" s="20">
        <v>6000</v>
      </c>
      <c r="T134" s="21" t="s">
        <v>736</v>
      </c>
      <c r="U134" s="20">
        <v>36000</v>
      </c>
      <c r="V134" s="20">
        <f t="shared" si="10"/>
        <v>36000</v>
      </c>
      <c r="W134" s="20">
        <f t="shared" si="11"/>
        <v>0</v>
      </c>
      <c r="X134" s="21" t="s">
        <v>55</v>
      </c>
      <c r="Y134" s="70">
        <f t="shared" si="13"/>
        <v>0</v>
      </c>
    </row>
    <row r="135" spans="1:25" s="39" customFormat="1" ht="14" customHeight="1" x14ac:dyDescent="0.35">
      <c r="A135" s="20" t="s">
        <v>63</v>
      </c>
      <c r="B135" s="20" t="s">
        <v>64</v>
      </c>
      <c r="C135" s="20" t="s">
        <v>334</v>
      </c>
      <c r="D135" s="20">
        <v>847</v>
      </c>
      <c r="E135" s="20">
        <v>8470335</v>
      </c>
      <c r="F135" s="20" t="s">
        <v>721</v>
      </c>
      <c r="G135" s="20">
        <v>1</v>
      </c>
      <c r="H135" s="20">
        <v>426610</v>
      </c>
      <c r="I135" s="20" t="s">
        <v>74</v>
      </c>
      <c r="J135" s="20" t="s">
        <v>60</v>
      </c>
      <c r="K135" s="20" t="s">
        <v>50</v>
      </c>
      <c r="L135" s="20">
        <v>847001</v>
      </c>
      <c r="M135" s="20" t="s">
        <v>61</v>
      </c>
      <c r="N135" s="20">
        <v>200179</v>
      </c>
      <c r="O135" s="37" t="str">
        <f t="shared" si="12"/>
        <v>847.8470335.1.426610.000000.847001.200179</v>
      </c>
      <c r="P135" s="20" t="s">
        <v>75</v>
      </c>
      <c r="Q135" s="20" t="s">
        <v>76</v>
      </c>
      <c r="R135" s="20">
        <v>35</v>
      </c>
      <c r="S135" s="20">
        <v>6000</v>
      </c>
      <c r="T135" s="21" t="s">
        <v>738</v>
      </c>
      <c r="U135" s="20">
        <v>210000</v>
      </c>
      <c r="V135" s="20">
        <f t="shared" si="10"/>
        <v>210000</v>
      </c>
      <c r="W135" s="20">
        <f t="shared" si="11"/>
        <v>0</v>
      </c>
      <c r="X135" s="21" t="s">
        <v>55</v>
      </c>
      <c r="Y135" s="70">
        <f t="shared" si="13"/>
        <v>0</v>
      </c>
    </row>
    <row r="136" spans="1:25" s="39" customFormat="1" ht="14" customHeight="1" x14ac:dyDescent="0.35">
      <c r="A136" s="20" t="s">
        <v>153</v>
      </c>
      <c r="B136" s="20" t="s">
        <v>58</v>
      </c>
      <c r="C136" s="20" t="s">
        <v>334</v>
      </c>
      <c r="D136" s="20">
        <v>847</v>
      </c>
      <c r="E136" s="20">
        <v>8470335</v>
      </c>
      <c r="F136" s="20" t="s">
        <v>721</v>
      </c>
      <c r="G136" s="20">
        <v>1</v>
      </c>
      <c r="H136" s="20">
        <v>428090</v>
      </c>
      <c r="I136" s="20" t="s">
        <v>154</v>
      </c>
      <c r="J136" s="20" t="s">
        <v>60</v>
      </c>
      <c r="K136" s="20" t="s">
        <v>50</v>
      </c>
      <c r="L136" s="20">
        <v>847001</v>
      </c>
      <c r="M136" s="20" t="s">
        <v>61</v>
      </c>
      <c r="N136" s="20">
        <v>200179</v>
      </c>
      <c r="O136" s="37" t="str">
        <f t="shared" si="12"/>
        <v>847.8470335.1.428090.000000.847001.200179</v>
      </c>
      <c r="P136" s="20" t="s">
        <v>156</v>
      </c>
      <c r="Q136" s="20" t="s">
        <v>157</v>
      </c>
      <c r="R136" s="20">
        <v>1</v>
      </c>
      <c r="S136" s="20">
        <v>45000</v>
      </c>
      <c r="T136" s="21" t="s">
        <v>740</v>
      </c>
      <c r="U136" s="20">
        <v>45000</v>
      </c>
      <c r="V136" s="20">
        <f t="shared" si="10"/>
        <v>45000</v>
      </c>
      <c r="W136" s="20">
        <f t="shared" si="11"/>
        <v>0</v>
      </c>
      <c r="X136" s="21" t="s">
        <v>55</v>
      </c>
      <c r="Y136" s="70">
        <f t="shared" si="13"/>
        <v>0</v>
      </c>
    </row>
    <row r="137" spans="1:25" s="39" customFormat="1" ht="14" customHeight="1" x14ac:dyDescent="0.35">
      <c r="A137" s="20" t="s">
        <v>222</v>
      </c>
      <c r="B137" s="20" t="s">
        <v>58</v>
      </c>
      <c r="C137" s="20" t="s">
        <v>334</v>
      </c>
      <c r="D137" s="20">
        <v>847</v>
      </c>
      <c r="E137" s="20">
        <v>8470335</v>
      </c>
      <c r="F137" s="20" t="s">
        <v>721</v>
      </c>
      <c r="G137" s="20">
        <v>1</v>
      </c>
      <c r="H137" s="20">
        <v>435350</v>
      </c>
      <c r="I137" s="20" t="s">
        <v>399</v>
      </c>
      <c r="J137" s="20" t="s">
        <v>60</v>
      </c>
      <c r="K137" s="20" t="s">
        <v>50</v>
      </c>
      <c r="L137" s="20">
        <v>847001</v>
      </c>
      <c r="M137" s="20" t="s">
        <v>61</v>
      </c>
      <c r="N137" s="20">
        <v>200179</v>
      </c>
      <c r="O137" s="37" t="str">
        <f t="shared" si="12"/>
        <v>847.8470335.1.435350.000000.847001.200179</v>
      </c>
      <c r="P137" s="20" t="s">
        <v>401</v>
      </c>
      <c r="Q137" s="20" t="s">
        <v>157</v>
      </c>
      <c r="R137" s="20">
        <v>10</v>
      </c>
      <c r="S137" s="20">
        <v>6500</v>
      </c>
      <c r="T137" s="21" t="s">
        <v>743</v>
      </c>
      <c r="U137" s="20">
        <v>65000</v>
      </c>
      <c r="V137" s="20">
        <f t="shared" si="10"/>
        <v>65000</v>
      </c>
      <c r="W137" s="20">
        <f t="shared" si="11"/>
        <v>0</v>
      </c>
      <c r="X137" s="21" t="s">
        <v>55</v>
      </c>
      <c r="Y137" s="70">
        <f t="shared" si="13"/>
        <v>0</v>
      </c>
    </row>
    <row r="138" spans="1:25" s="39" customFormat="1" ht="14" customHeight="1" x14ac:dyDescent="0.35">
      <c r="A138" s="20" t="s">
        <v>222</v>
      </c>
      <c r="B138" s="20" t="s">
        <v>220</v>
      </c>
      <c r="C138" s="20" t="s">
        <v>334</v>
      </c>
      <c r="D138" s="20">
        <v>847</v>
      </c>
      <c r="E138" s="20">
        <v>8470335</v>
      </c>
      <c r="F138" s="20" t="s">
        <v>721</v>
      </c>
      <c r="G138" s="20">
        <v>1</v>
      </c>
      <c r="H138" s="20">
        <v>435508</v>
      </c>
      <c r="I138" s="20" t="s">
        <v>405</v>
      </c>
      <c r="J138" s="20" t="s">
        <v>60</v>
      </c>
      <c r="K138" s="20" t="s">
        <v>50</v>
      </c>
      <c r="L138" s="20">
        <v>847001</v>
      </c>
      <c r="M138" s="20" t="s">
        <v>61</v>
      </c>
      <c r="N138" s="20">
        <v>200179</v>
      </c>
      <c r="O138" s="37" t="str">
        <f t="shared" si="12"/>
        <v>847.8470335.1.435508.000000.847001.200179</v>
      </c>
      <c r="P138" s="20" t="s">
        <v>407</v>
      </c>
      <c r="Q138" s="20" t="s">
        <v>157</v>
      </c>
      <c r="R138" s="20">
        <v>2</v>
      </c>
      <c r="S138" s="20">
        <v>110000</v>
      </c>
      <c r="T138" s="21" t="s">
        <v>950</v>
      </c>
      <c r="U138" s="20">
        <v>220000</v>
      </c>
      <c r="V138" s="20">
        <f t="shared" si="10"/>
        <v>220000</v>
      </c>
      <c r="W138" s="20">
        <f t="shared" si="11"/>
        <v>0</v>
      </c>
      <c r="X138" s="21" t="s">
        <v>210</v>
      </c>
      <c r="Y138" s="70">
        <f t="shared" si="13"/>
        <v>0</v>
      </c>
    </row>
    <row r="139" spans="1:25" s="39" customFormat="1" ht="14" customHeight="1" x14ac:dyDescent="0.35">
      <c r="A139" s="20" t="s">
        <v>189</v>
      </c>
      <c r="B139" s="20" t="s">
        <v>58</v>
      </c>
      <c r="C139" s="20" t="s">
        <v>334</v>
      </c>
      <c r="D139" s="20">
        <v>847</v>
      </c>
      <c r="E139" s="20">
        <v>8470335</v>
      </c>
      <c r="F139" s="20" t="s">
        <v>721</v>
      </c>
      <c r="G139" s="20">
        <v>1</v>
      </c>
      <c r="H139" s="20">
        <v>436110</v>
      </c>
      <c r="I139" s="20" t="s">
        <v>190</v>
      </c>
      <c r="J139" s="20" t="s">
        <v>60</v>
      </c>
      <c r="K139" s="20" t="s">
        <v>50</v>
      </c>
      <c r="L139" s="20">
        <v>847001</v>
      </c>
      <c r="M139" s="20" t="s">
        <v>61</v>
      </c>
      <c r="N139" s="20">
        <v>200179</v>
      </c>
      <c r="O139" s="37" t="str">
        <f t="shared" si="12"/>
        <v>847.8470335.1.436110.000000.847001.200179</v>
      </c>
      <c r="P139" s="20" t="s">
        <v>748</v>
      </c>
      <c r="Q139" s="20" t="s">
        <v>269</v>
      </c>
      <c r="R139" s="20">
        <v>5</v>
      </c>
      <c r="S139" s="20">
        <v>1750</v>
      </c>
      <c r="T139" s="21" t="s">
        <v>749</v>
      </c>
      <c r="U139" s="20">
        <v>8750</v>
      </c>
      <c r="V139" s="20">
        <f t="shared" si="10"/>
        <v>8750</v>
      </c>
      <c r="W139" s="20">
        <f t="shared" si="11"/>
        <v>0</v>
      </c>
      <c r="X139" s="21" t="s">
        <v>55</v>
      </c>
      <c r="Y139" s="70">
        <f t="shared" si="13"/>
        <v>0</v>
      </c>
    </row>
    <row r="140" spans="1:25" s="39" customFormat="1" ht="14" customHeight="1" x14ac:dyDescent="0.35">
      <c r="A140" s="20" t="s">
        <v>222</v>
      </c>
      <c r="B140" s="20" t="s">
        <v>58</v>
      </c>
      <c r="C140" s="20" t="s">
        <v>334</v>
      </c>
      <c r="D140" s="20">
        <v>847</v>
      </c>
      <c r="E140" s="20">
        <v>8470335</v>
      </c>
      <c r="F140" s="20" t="s">
        <v>721</v>
      </c>
      <c r="G140" s="20">
        <v>1</v>
      </c>
      <c r="H140" s="20">
        <v>436600</v>
      </c>
      <c r="I140" s="20" t="s">
        <v>416</v>
      </c>
      <c r="J140" s="20" t="s">
        <v>60</v>
      </c>
      <c r="K140" s="20" t="s">
        <v>50</v>
      </c>
      <c r="L140" s="20">
        <v>847001</v>
      </c>
      <c r="M140" s="20" t="s">
        <v>61</v>
      </c>
      <c r="N140" s="20">
        <v>200179</v>
      </c>
      <c r="O140" s="37" t="str">
        <f t="shared" si="12"/>
        <v>847.8470335.1.436600.000000.847001.200179</v>
      </c>
      <c r="P140" s="20" t="s">
        <v>418</v>
      </c>
      <c r="Q140" s="20" t="s">
        <v>157</v>
      </c>
      <c r="R140" s="20">
        <v>3</v>
      </c>
      <c r="S140" s="20">
        <v>4000</v>
      </c>
      <c r="T140" s="21" t="s">
        <v>752</v>
      </c>
      <c r="U140" s="20">
        <v>12000</v>
      </c>
      <c r="V140" s="20">
        <f t="shared" si="10"/>
        <v>12000</v>
      </c>
      <c r="W140" s="20">
        <f t="shared" si="11"/>
        <v>0</v>
      </c>
      <c r="X140" s="21" t="s">
        <v>55</v>
      </c>
      <c r="Y140" s="70">
        <f t="shared" si="13"/>
        <v>0</v>
      </c>
    </row>
    <row r="141" spans="1:25" s="39" customFormat="1" ht="14" customHeight="1" x14ac:dyDescent="0.35">
      <c r="A141" s="20" t="s">
        <v>161</v>
      </c>
      <c r="B141" s="20" t="s">
        <v>220</v>
      </c>
      <c r="C141" s="20" t="s">
        <v>334</v>
      </c>
      <c r="D141" s="20">
        <v>847</v>
      </c>
      <c r="E141" s="20">
        <v>8470335</v>
      </c>
      <c r="F141" s="20" t="s">
        <v>721</v>
      </c>
      <c r="G141" s="20">
        <v>1</v>
      </c>
      <c r="H141" s="20">
        <v>492316</v>
      </c>
      <c r="I141" s="20" t="s">
        <v>221</v>
      </c>
      <c r="J141" s="20" t="s">
        <v>60</v>
      </c>
      <c r="K141" s="20" t="s">
        <v>50</v>
      </c>
      <c r="L141" s="20">
        <v>847001</v>
      </c>
      <c r="M141" s="20" t="s">
        <v>192</v>
      </c>
      <c r="N141" s="20">
        <v>300180</v>
      </c>
      <c r="O141" s="37" t="str">
        <f t="shared" si="12"/>
        <v>847.8470335.1.492316.000000.847001.300180</v>
      </c>
      <c r="P141" s="20" t="s">
        <v>495</v>
      </c>
      <c r="Q141" s="20"/>
      <c r="R141" s="20">
        <v>1</v>
      </c>
      <c r="S141" s="20">
        <v>520000</v>
      </c>
      <c r="T141" s="21" t="s">
        <v>951</v>
      </c>
      <c r="U141" s="20">
        <v>520000</v>
      </c>
      <c r="V141" s="20">
        <f t="shared" si="10"/>
        <v>520000</v>
      </c>
      <c r="W141" s="20">
        <f t="shared" si="11"/>
        <v>0</v>
      </c>
      <c r="X141" s="21" t="s">
        <v>210</v>
      </c>
      <c r="Y141" s="70">
        <f t="shared" si="13"/>
        <v>0</v>
      </c>
    </row>
    <row r="142" spans="1:25" s="39" customFormat="1" ht="14" customHeight="1" x14ac:dyDescent="0.35">
      <c r="A142" s="20" t="s">
        <v>222</v>
      </c>
      <c r="B142" s="20" t="s">
        <v>58</v>
      </c>
      <c r="C142" s="20" t="s">
        <v>334</v>
      </c>
      <c r="D142" s="20">
        <v>847</v>
      </c>
      <c r="E142" s="20">
        <v>8470340</v>
      </c>
      <c r="F142" s="20" t="s">
        <v>758</v>
      </c>
      <c r="G142" s="20">
        <v>1</v>
      </c>
      <c r="H142" s="20">
        <v>420550</v>
      </c>
      <c r="I142" s="20" t="s">
        <v>225</v>
      </c>
      <c r="J142" s="20" t="s">
        <v>60</v>
      </c>
      <c r="K142" s="20" t="s">
        <v>50</v>
      </c>
      <c r="L142" s="20">
        <v>847001</v>
      </c>
      <c r="M142" s="20" t="s">
        <v>61</v>
      </c>
      <c r="N142" s="20">
        <v>200179</v>
      </c>
      <c r="O142" s="37" t="str">
        <f t="shared" si="12"/>
        <v>847.8470340.1.420550.000000.847001.200179</v>
      </c>
      <c r="P142" s="20" t="s">
        <v>338</v>
      </c>
      <c r="Q142" s="20" t="s">
        <v>62</v>
      </c>
      <c r="R142" s="20">
        <v>1</v>
      </c>
      <c r="S142" s="20">
        <v>3000</v>
      </c>
      <c r="T142" s="21" t="s">
        <v>760</v>
      </c>
      <c r="U142" s="22">
        <v>3000</v>
      </c>
      <c r="V142" s="20">
        <f t="shared" si="10"/>
        <v>3000</v>
      </c>
      <c r="W142" s="20">
        <f t="shared" si="11"/>
        <v>0</v>
      </c>
      <c r="X142" s="21" t="s">
        <v>55</v>
      </c>
      <c r="Y142" s="70">
        <f t="shared" si="13"/>
        <v>0</v>
      </c>
    </row>
    <row r="143" spans="1:25" s="39" customFormat="1" ht="14" customHeight="1" x14ac:dyDescent="0.35">
      <c r="A143" s="20" t="s">
        <v>245</v>
      </c>
      <c r="B143" s="20" t="s">
        <v>246</v>
      </c>
      <c r="C143" s="20" t="s">
        <v>334</v>
      </c>
      <c r="D143" s="20">
        <v>847</v>
      </c>
      <c r="E143" s="20">
        <v>8470340</v>
      </c>
      <c r="F143" s="20" t="s">
        <v>758</v>
      </c>
      <c r="G143" s="20">
        <v>1</v>
      </c>
      <c r="H143" s="20">
        <v>425510</v>
      </c>
      <c r="I143" s="20" t="s">
        <v>247</v>
      </c>
      <c r="J143" s="20" t="s">
        <v>60</v>
      </c>
      <c r="K143" s="20" t="s">
        <v>50</v>
      </c>
      <c r="L143" s="20">
        <v>847001</v>
      </c>
      <c r="M143" s="20" t="s">
        <v>61</v>
      </c>
      <c r="N143" s="20">
        <v>200179</v>
      </c>
      <c r="O143" s="37" t="str">
        <f t="shared" si="12"/>
        <v>847.8470340.1.425510.000000.847001.200179</v>
      </c>
      <c r="P143" s="20" t="s">
        <v>514</v>
      </c>
      <c r="Q143" s="20" t="s">
        <v>62</v>
      </c>
      <c r="R143" s="20">
        <v>1</v>
      </c>
      <c r="S143" s="20">
        <v>10000</v>
      </c>
      <c r="T143" s="21" t="s">
        <v>763</v>
      </c>
      <c r="U143" s="22">
        <v>10000</v>
      </c>
      <c r="V143" s="20">
        <f t="shared" si="10"/>
        <v>10000</v>
      </c>
      <c r="W143" s="20">
        <f t="shared" si="11"/>
        <v>0</v>
      </c>
      <c r="X143" s="21" t="s">
        <v>55</v>
      </c>
      <c r="Y143" s="70">
        <f t="shared" si="13"/>
        <v>0</v>
      </c>
    </row>
    <row r="144" spans="1:25" s="39" customFormat="1" ht="14" customHeight="1" x14ac:dyDescent="0.35">
      <c r="A144" s="20" t="s">
        <v>258</v>
      </c>
      <c r="B144" s="20" t="s">
        <v>58</v>
      </c>
      <c r="C144" s="20" t="s">
        <v>334</v>
      </c>
      <c r="D144" s="20">
        <v>847</v>
      </c>
      <c r="E144" s="20">
        <v>8470340</v>
      </c>
      <c r="F144" s="20" t="s">
        <v>758</v>
      </c>
      <c r="G144" s="20">
        <v>1</v>
      </c>
      <c r="H144" s="20">
        <v>425720</v>
      </c>
      <c r="I144" s="20" t="s">
        <v>620</v>
      </c>
      <c r="J144" s="20" t="s">
        <v>60</v>
      </c>
      <c r="K144" s="20" t="s">
        <v>50</v>
      </c>
      <c r="L144" s="20">
        <v>847001</v>
      </c>
      <c r="M144" s="20" t="s">
        <v>61</v>
      </c>
      <c r="N144" s="20">
        <v>200179</v>
      </c>
      <c r="O144" s="37" t="str">
        <f t="shared" si="12"/>
        <v>847.8470340.1.425720.000000.847001.200179</v>
      </c>
      <c r="P144" s="20" t="s">
        <v>622</v>
      </c>
      <c r="Q144" s="20" t="s">
        <v>62</v>
      </c>
      <c r="R144" s="20">
        <v>2</v>
      </c>
      <c r="S144" s="20">
        <v>5000</v>
      </c>
      <c r="T144" s="21" t="s">
        <v>765</v>
      </c>
      <c r="U144" s="22">
        <v>10000</v>
      </c>
      <c r="V144" s="20">
        <f t="shared" si="10"/>
        <v>10000</v>
      </c>
      <c r="W144" s="20">
        <f t="shared" si="11"/>
        <v>0</v>
      </c>
      <c r="X144" s="21"/>
      <c r="Y144" s="70">
        <f t="shared" si="13"/>
        <v>0</v>
      </c>
    </row>
    <row r="145" spans="1:25" s="39" customFormat="1" ht="14" customHeight="1" x14ac:dyDescent="0.35">
      <c r="A145" s="20" t="s">
        <v>258</v>
      </c>
      <c r="B145" s="20" t="s">
        <v>350</v>
      </c>
      <c r="C145" s="20" t="s">
        <v>334</v>
      </c>
      <c r="D145" s="20">
        <v>847</v>
      </c>
      <c r="E145" s="20">
        <v>8470340</v>
      </c>
      <c r="F145" s="20" t="s">
        <v>758</v>
      </c>
      <c r="G145" s="20">
        <v>1</v>
      </c>
      <c r="H145" s="20">
        <v>425760</v>
      </c>
      <c r="I145" s="20" t="s">
        <v>352</v>
      </c>
      <c r="J145" s="20" t="s">
        <v>60</v>
      </c>
      <c r="K145" s="20" t="s">
        <v>50</v>
      </c>
      <c r="L145" s="20">
        <v>847001</v>
      </c>
      <c r="M145" s="20" t="s">
        <v>61</v>
      </c>
      <c r="N145" s="20">
        <v>200179</v>
      </c>
      <c r="O145" s="37" t="str">
        <f t="shared" si="12"/>
        <v>847.8470340.1.425760.000000.847001.200179</v>
      </c>
      <c r="P145" s="20" t="s">
        <v>354</v>
      </c>
      <c r="Q145" s="20" t="s">
        <v>62</v>
      </c>
      <c r="R145" s="20">
        <v>6</v>
      </c>
      <c r="S145" s="20">
        <v>2000</v>
      </c>
      <c r="T145" s="21" t="s">
        <v>768</v>
      </c>
      <c r="U145" s="22">
        <v>12000</v>
      </c>
      <c r="V145" s="20">
        <f t="shared" si="10"/>
        <v>12000</v>
      </c>
      <c r="W145" s="20">
        <f t="shared" si="11"/>
        <v>0</v>
      </c>
      <c r="X145" s="21" t="s">
        <v>55</v>
      </c>
      <c r="Y145" s="70">
        <f t="shared" si="13"/>
        <v>0</v>
      </c>
    </row>
    <row r="146" spans="1:25" s="39" customFormat="1" ht="14" customHeight="1" x14ac:dyDescent="0.35">
      <c r="A146" s="20" t="s">
        <v>258</v>
      </c>
      <c r="B146" s="20" t="s">
        <v>58</v>
      </c>
      <c r="C146" s="20" t="s">
        <v>334</v>
      </c>
      <c r="D146" s="20">
        <v>847</v>
      </c>
      <c r="E146" s="20">
        <v>8470340</v>
      </c>
      <c r="F146" s="20" t="s">
        <v>758</v>
      </c>
      <c r="G146" s="20">
        <v>1</v>
      </c>
      <c r="H146" s="20">
        <v>425763</v>
      </c>
      <c r="I146" s="20" t="s">
        <v>359</v>
      </c>
      <c r="J146" s="20" t="s">
        <v>60</v>
      </c>
      <c r="K146" s="20" t="s">
        <v>50</v>
      </c>
      <c r="L146" s="20">
        <v>847001</v>
      </c>
      <c r="M146" s="20" t="s">
        <v>61</v>
      </c>
      <c r="N146" s="20">
        <v>200179</v>
      </c>
      <c r="O146" s="37" t="str">
        <f t="shared" si="12"/>
        <v>847.8470340.1.425763.000000.847001.200179</v>
      </c>
      <c r="P146" s="20" t="s">
        <v>361</v>
      </c>
      <c r="Q146" s="20" t="s">
        <v>62</v>
      </c>
      <c r="R146" s="20">
        <v>110</v>
      </c>
      <c r="S146" s="20">
        <v>5000</v>
      </c>
      <c r="T146" s="21" t="s">
        <v>952</v>
      </c>
      <c r="U146" s="22">
        <v>550000</v>
      </c>
      <c r="V146" s="20">
        <f t="shared" si="10"/>
        <v>550000</v>
      </c>
      <c r="W146" s="20">
        <f t="shared" si="11"/>
        <v>0</v>
      </c>
      <c r="X146" s="21" t="s">
        <v>55</v>
      </c>
      <c r="Y146" s="70">
        <f t="shared" si="13"/>
        <v>0</v>
      </c>
    </row>
    <row r="147" spans="1:25" s="39" customFormat="1" ht="14" customHeight="1" x14ac:dyDescent="0.35">
      <c r="A147" s="20" t="s">
        <v>222</v>
      </c>
      <c r="B147" s="20" t="s">
        <v>58</v>
      </c>
      <c r="C147" s="20" t="s">
        <v>334</v>
      </c>
      <c r="D147" s="20">
        <v>847</v>
      </c>
      <c r="E147" s="20">
        <v>8470340</v>
      </c>
      <c r="F147" s="20" t="s">
        <v>758</v>
      </c>
      <c r="G147" s="20">
        <v>1</v>
      </c>
      <c r="H147" s="20">
        <v>425770</v>
      </c>
      <c r="I147" s="20" t="s">
        <v>367</v>
      </c>
      <c r="J147" s="20" t="s">
        <v>60</v>
      </c>
      <c r="K147" s="20" t="s">
        <v>50</v>
      </c>
      <c r="L147" s="20">
        <v>847001</v>
      </c>
      <c r="M147" s="20" t="s">
        <v>61</v>
      </c>
      <c r="N147" s="20">
        <v>200179</v>
      </c>
      <c r="O147" s="37" t="str">
        <f t="shared" si="12"/>
        <v>847.8470340.1.425770.000000.847001.200179</v>
      </c>
      <c r="P147" s="20" t="s">
        <v>369</v>
      </c>
      <c r="Q147" s="20" t="s">
        <v>62</v>
      </c>
      <c r="R147" s="20">
        <v>37</v>
      </c>
      <c r="S147" s="20">
        <v>20000</v>
      </c>
      <c r="T147" s="21" t="s">
        <v>953</v>
      </c>
      <c r="U147" s="22">
        <v>740000</v>
      </c>
      <c r="V147" s="20">
        <f t="shared" si="10"/>
        <v>740000</v>
      </c>
      <c r="W147" s="20">
        <f t="shared" si="11"/>
        <v>0</v>
      </c>
      <c r="X147" s="21" t="s">
        <v>55</v>
      </c>
      <c r="Y147" s="70">
        <f t="shared" si="13"/>
        <v>0</v>
      </c>
    </row>
    <row r="148" spans="1:25" s="39" customFormat="1" ht="14" customHeight="1" x14ac:dyDescent="0.35">
      <c r="A148" s="20" t="s">
        <v>189</v>
      </c>
      <c r="B148" s="20" t="s">
        <v>265</v>
      </c>
      <c r="C148" s="20" t="s">
        <v>334</v>
      </c>
      <c r="D148" s="20">
        <v>847</v>
      </c>
      <c r="E148" s="20">
        <v>8470340</v>
      </c>
      <c r="F148" s="20" t="s">
        <v>758</v>
      </c>
      <c r="G148" s="20">
        <v>1</v>
      </c>
      <c r="H148" s="20">
        <v>425900</v>
      </c>
      <c r="I148" s="20" t="s">
        <v>266</v>
      </c>
      <c r="J148" s="20" t="s">
        <v>60</v>
      </c>
      <c r="K148" s="20" t="s">
        <v>50</v>
      </c>
      <c r="L148" s="20">
        <v>847001</v>
      </c>
      <c r="M148" s="20" t="s">
        <v>61</v>
      </c>
      <c r="N148" s="20">
        <v>200179</v>
      </c>
      <c r="O148" s="37" t="str">
        <f t="shared" si="12"/>
        <v>847.8470340.1.425900.000000.847001.200179</v>
      </c>
      <c r="P148" s="20" t="s">
        <v>268</v>
      </c>
      <c r="Q148" s="20" t="s">
        <v>62</v>
      </c>
      <c r="R148" s="20">
        <v>2</v>
      </c>
      <c r="S148" s="20">
        <v>10000</v>
      </c>
      <c r="T148" s="21" t="s">
        <v>776</v>
      </c>
      <c r="U148" s="22">
        <v>20000</v>
      </c>
      <c r="V148" s="20">
        <f t="shared" si="10"/>
        <v>20000</v>
      </c>
      <c r="W148" s="20">
        <f t="shared" si="11"/>
        <v>0</v>
      </c>
      <c r="X148" s="21" t="s">
        <v>55</v>
      </c>
      <c r="Y148" s="70">
        <f t="shared" si="13"/>
        <v>0</v>
      </c>
    </row>
    <row r="149" spans="1:25" s="39" customFormat="1" ht="14" customHeight="1" x14ac:dyDescent="0.35">
      <c r="A149" s="20" t="s">
        <v>63</v>
      </c>
      <c r="B149" s="20" t="s">
        <v>64</v>
      </c>
      <c r="C149" s="20" t="s">
        <v>334</v>
      </c>
      <c r="D149" s="20">
        <v>847</v>
      </c>
      <c r="E149" s="20">
        <v>8470340</v>
      </c>
      <c r="F149" s="20" t="s">
        <v>758</v>
      </c>
      <c r="G149" s="20">
        <v>1</v>
      </c>
      <c r="H149" s="20">
        <v>426610</v>
      </c>
      <c r="I149" s="20" t="s">
        <v>74</v>
      </c>
      <c r="J149" s="20" t="s">
        <v>60</v>
      </c>
      <c r="K149" s="20" t="s">
        <v>50</v>
      </c>
      <c r="L149" s="20">
        <v>847001</v>
      </c>
      <c r="M149" s="20" t="s">
        <v>61</v>
      </c>
      <c r="N149" s="20">
        <v>200179</v>
      </c>
      <c r="O149" s="37" t="str">
        <f t="shared" si="12"/>
        <v>847.8470340.1.426610.000000.847001.200179</v>
      </c>
      <c r="P149" s="20" t="s">
        <v>274</v>
      </c>
      <c r="Q149" s="20" t="s">
        <v>62</v>
      </c>
      <c r="R149" s="20">
        <v>1</v>
      </c>
      <c r="S149" s="20">
        <v>240000</v>
      </c>
      <c r="T149" s="21" t="s">
        <v>778</v>
      </c>
      <c r="U149" s="22">
        <v>240000</v>
      </c>
      <c r="V149" s="20">
        <f t="shared" si="10"/>
        <v>240000</v>
      </c>
      <c r="W149" s="20">
        <f t="shared" si="11"/>
        <v>0</v>
      </c>
      <c r="X149" s="21" t="s">
        <v>55</v>
      </c>
      <c r="Y149" s="70">
        <f t="shared" si="13"/>
        <v>0</v>
      </c>
    </row>
    <row r="150" spans="1:25" s="39" customFormat="1" ht="14" customHeight="1" x14ac:dyDescent="0.35">
      <c r="A150" s="20" t="s">
        <v>222</v>
      </c>
      <c r="B150" s="20" t="s">
        <v>58</v>
      </c>
      <c r="C150" s="20" t="s">
        <v>334</v>
      </c>
      <c r="D150" s="20">
        <v>847</v>
      </c>
      <c r="E150" s="20">
        <v>8470340</v>
      </c>
      <c r="F150" s="20" t="s">
        <v>758</v>
      </c>
      <c r="G150" s="20">
        <v>1</v>
      </c>
      <c r="H150" s="20">
        <v>432209</v>
      </c>
      <c r="I150" s="20" t="s">
        <v>393</v>
      </c>
      <c r="J150" s="20" t="s">
        <v>60</v>
      </c>
      <c r="K150" s="20" t="s">
        <v>50</v>
      </c>
      <c r="L150" s="20">
        <v>847001</v>
      </c>
      <c r="M150" s="20" t="s">
        <v>61</v>
      </c>
      <c r="N150" s="20">
        <v>200179</v>
      </c>
      <c r="O150" s="37" t="str">
        <f t="shared" si="12"/>
        <v>847.8470340.1.432209.000000.847001.200179</v>
      </c>
      <c r="P150" s="20" t="s">
        <v>470</v>
      </c>
      <c r="Q150" s="20" t="s">
        <v>62</v>
      </c>
      <c r="R150" s="20">
        <v>1</v>
      </c>
      <c r="S150" s="20">
        <v>80000</v>
      </c>
      <c r="T150" s="21" t="s">
        <v>780</v>
      </c>
      <c r="U150" s="22">
        <v>80000</v>
      </c>
      <c r="V150" s="20">
        <f t="shared" si="10"/>
        <v>80000</v>
      </c>
      <c r="W150" s="20">
        <f t="shared" si="11"/>
        <v>0</v>
      </c>
      <c r="X150" s="21" t="s">
        <v>55</v>
      </c>
      <c r="Y150" s="70">
        <f t="shared" si="13"/>
        <v>0</v>
      </c>
    </row>
    <row r="151" spans="1:25" s="39" customFormat="1" ht="14" customHeight="1" x14ac:dyDescent="0.35">
      <c r="A151" s="20" t="s">
        <v>222</v>
      </c>
      <c r="B151" s="20" t="s">
        <v>58</v>
      </c>
      <c r="C151" s="20" t="s">
        <v>334</v>
      </c>
      <c r="D151" s="20">
        <v>847</v>
      </c>
      <c r="E151" s="20">
        <v>8470340</v>
      </c>
      <c r="F151" s="20" t="s">
        <v>758</v>
      </c>
      <c r="G151" s="20">
        <v>1</v>
      </c>
      <c r="H151" s="20">
        <v>435350</v>
      </c>
      <c r="I151" s="20" t="s">
        <v>399</v>
      </c>
      <c r="J151" s="20" t="s">
        <v>60</v>
      </c>
      <c r="K151" s="20" t="s">
        <v>50</v>
      </c>
      <c r="L151" s="20">
        <v>847001</v>
      </c>
      <c r="M151" s="20" t="s">
        <v>61</v>
      </c>
      <c r="N151" s="20">
        <v>200179</v>
      </c>
      <c r="O151" s="37" t="str">
        <f t="shared" si="12"/>
        <v>847.8470340.1.435350.000000.847001.200179</v>
      </c>
      <c r="P151" s="20" t="s">
        <v>748</v>
      </c>
      <c r="Q151" s="20" t="s">
        <v>62</v>
      </c>
      <c r="R151" s="20">
        <v>37</v>
      </c>
      <c r="S151" s="20">
        <v>11000</v>
      </c>
      <c r="T151" s="21" t="s">
        <v>954</v>
      </c>
      <c r="U151" s="22">
        <v>407000</v>
      </c>
      <c r="V151" s="20">
        <f t="shared" si="10"/>
        <v>407000</v>
      </c>
      <c r="W151" s="20">
        <f t="shared" si="11"/>
        <v>0</v>
      </c>
      <c r="X151" s="21" t="s">
        <v>55</v>
      </c>
      <c r="Y151" s="70">
        <f t="shared" si="13"/>
        <v>0</v>
      </c>
    </row>
    <row r="152" spans="1:25" s="39" customFormat="1" ht="14" customHeight="1" x14ac:dyDescent="0.35">
      <c r="A152" s="20" t="s">
        <v>222</v>
      </c>
      <c r="B152" s="20" t="s">
        <v>220</v>
      </c>
      <c r="C152" s="20" t="s">
        <v>334</v>
      </c>
      <c r="D152" s="20">
        <v>847</v>
      </c>
      <c r="E152" s="20">
        <v>8470340</v>
      </c>
      <c r="F152" s="20" t="s">
        <v>758</v>
      </c>
      <c r="G152" s="20">
        <v>1</v>
      </c>
      <c r="H152" s="20">
        <v>435508</v>
      </c>
      <c r="I152" s="20" t="s">
        <v>405</v>
      </c>
      <c r="J152" s="20" t="s">
        <v>60</v>
      </c>
      <c r="K152" s="20" t="s">
        <v>50</v>
      </c>
      <c r="L152" s="20">
        <v>847001</v>
      </c>
      <c r="M152" s="20" t="s">
        <v>61</v>
      </c>
      <c r="N152" s="20">
        <v>200179</v>
      </c>
      <c r="O152" s="37" t="str">
        <f t="shared" si="12"/>
        <v>847.8470340.1.435508.000000.847001.200179</v>
      </c>
      <c r="P152" s="20" t="s">
        <v>470</v>
      </c>
      <c r="Q152" s="20" t="s">
        <v>62</v>
      </c>
      <c r="R152" s="20">
        <v>12</v>
      </c>
      <c r="S152" s="20">
        <v>20000</v>
      </c>
      <c r="T152" s="21" t="s">
        <v>785</v>
      </c>
      <c r="U152" s="22">
        <v>240000</v>
      </c>
      <c r="V152" s="20">
        <f t="shared" si="10"/>
        <v>240000</v>
      </c>
      <c r="W152" s="20">
        <f t="shared" si="11"/>
        <v>0</v>
      </c>
      <c r="X152" s="21" t="s">
        <v>55</v>
      </c>
      <c r="Y152" s="70">
        <f t="shared" si="13"/>
        <v>0</v>
      </c>
    </row>
    <row r="153" spans="1:25" s="39" customFormat="1" ht="14" customHeight="1" x14ac:dyDescent="0.35">
      <c r="A153" s="20" t="s">
        <v>161</v>
      </c>
      <c r="B153" s="20" t="s">
        <v>220</v>
      </c>
      <c r="C153" s="20" t="s">
        <v>334</v>
      </c>
      <c r="D153" s="20">
        <v>847</v>
      </c>
      <c r="E153" s="20">
        <v>8470340</v>
      </c>
      <c r="F153" s="20" t="s">
        <v>758</v>
      </c>
      <c r="G153" s="20">
        <v>1</v>
      </c>
      <c r="H153" s="20">
        <v>492316</v>
      </c>
      <c r="I153" s="20" t="s">
        <v>221</v>
      </c>
      <c r="J153" s="20" t="s">
        <v>60</v>
      </c>
      <c r="K153" s="20" t="s">
        <v>50</v>
      </c>
      <c r="L153" s="20">
        <v>847001</v>
      </c>
      <c r="M153" s="20" t="s">
        <v>192</v>
      </c>
      <c r="N153" s="20">
        <v>300180</v>
      </c>
      <c r="O153" s="37" t="str">
        <f t="shared" si="12"/>
        <v>847.8470340.1.492316.000000.847001.300180</v>
      </c>
      <c r="P153" s="20" t="s">
        <v>470</v>
      </c>
      <c r="Q153" s="20" t="s">
        <v>62</v>
      </c>
      <c r="R153" s="20">
        <v>1</v>
      </c>
      <c r="S153" s="20">
        <v>145000</v>
      </c>
      <c r="T153" s="21" t="s">
        <v>955</v>
      </c>
      <c r="U153" s="22">
        <v>145000</v>
      </c>
      <c r="V153" s="20">
        <f t="shared" si="10"/>
        <v>145000</v>
      </c>
      <c r="W153" s="20">
        <f t="shared" si="11"/>
        <v>0</v>
      </c>
      <c r="X153" s="21" t="s">
        <v>210</v>
      </c>
      <c r="Y153" s="70">
        <f t="shared" si="13"/>
        <v>0</v>
      </c>
    </row>
    <row r="154" spans="1:25" s="39" customFormat="1" ht="14" customHeight="1" x14ac:dyDescent="0.35">
      <c r="A154" s="20" t="s">
        <v>46</v>
      </c>
      <c r="B154" s="20" t="s">
        <v>46</v>
      </c>
      <c r="C154" s="15" t="s">
        <v>334</v>
      </c>
      <c r="D154" s="20">
        <v>847</v>
      </c>
      <c r="E154" s="20">
        <v>8470340</v>
      </c>
      <c r="F154" s="20" t="s">
        <v>758</v>
      </c>
      <c r="G154" s="20">
        <v>1</v>
      </c>
      <c r="H154" s="20">
        <v>492316</v>
      </c>
      <c r="I154" s="20" t="s">
        <v>221</v>
      </c>
      <c r="J154" s="20" t="s">
        <v>60</v>
      </c>
      <c r="K154" s="20" t="s">
        <v>50</v>
      </c>
      <c r="L154" s="20">
        <v>847001</v>
      </c>
      <c r="M154" s="20" t="s">
        <v>192</v>
      </c>
      <c r="N154" s="20">
        <v>300180</v>
      </c>
      <c r="O154" s="37" t="str">
        <f t="shared" si="12"/>
        <v>847.8470340.1.492316.000000.847001.300180</v>
      </c>
      <c r="P154" s="20" t="s">
        <v>470</v>
      </c>
      <c r="Q154" s="20" t="s">
        <v>62</v>
      </c>
      <c r="R154" s="20">
        <v>1</v>
      </c>
      <c r="S154" s="20">
        <v>150000</v>
      </c>
      <c r="T154" s="21" t="s">
        <v>956</v>
      </c>
      <c r="U154" s="22">
        <v>150000</v>
      </c>
      <c r="V154" s="20">
        <f t="shared" si="10"/>
        <v>150000</v>
      </c>
      <c r="W154" s="20">
        <f t="shared" si="11"/>
        <v>0</v>
      </c>
      <c r="X154" s="21" t="s">
        <v>210</v>
      </c>
      <c r="Y154" s="70">
        <f t="shared" si="13"/>
        <v>0</v>
      </c>
    </row>
    <row r="155" spans="1:25" s="39" customFormat="1" ht="14" customHeight="1" x14ac:dyDescent="0.35">
      <c r="A155" s="20" t="s">
        <v>222</v>
      </c>
      <c r="B155" s="20" t="s">
        <v>58</v>
      </c>
      <c r="C155" s="20" t="s">
        <v>334</v>
      </c>
      <c r="D155" s="20">
        <v>847</v>
      </c>
      <c r="E155" s="20">
        <v>8470345</v>
      </c>
      <c r="F155" s="20" t="s">
        <v>791</v>
      </c>
      <c r="G155" s="20">
        <v>1</v>
      </c>
      <c r="H155" s="20">
        <v>420550</v>
      </c>
      <c r="I155" s="20" t="s">
        <v>225</v>
      </c>
      <c r="J155" s="20" t="s">
        <v>60</v>
      </c>
      <c r="K155" s="20" t="s">
        <v>50</v>
      </c>
      <c r="L155" s="20">
        <v>847001</v>
      </c>
      <c r="M155" s="20" t="s">
        <v>61</v>
      </c>
      <c r="N155" s="20">
        <v>200179</v>
      </c>
      <c r="O155" s="37" t="str">
        <f t="shared" si="12"/>
        <v>847.8470345.1.420550.000000.847001.200179</v>
      </c>
      <c r="P155" s="20" t="s">
        <v>957</v>
      </c>
      <c r="Q155" s="20">
        <v>10</v>
      </c>
      <c r="R155" s="20">
        <v>2</v>
      </c>
      <c r="S155" s="20">
        <v>10000</v>
      </c>
      <c r="T155" s="21" t="s">
        <v>793</v>
      </c>
      <c r="U155" s="22">
        <v>20000</v>
      </c>
      <c r="V155" s="20">
        <f t="shared" si="10"/>
        <v>20000</v>
      </c>
      <c r="W155" s="20">
        <f t="shared" si="11"/>
        <v>0</v>
      </c>
      <c r="X155" s="21" t="s">
        <v>55</v>
      </c>
      <c r="Y155" s="70">
        <f t="shared" si="13"/>
        <v>0</v>
      </c>
    </row>
    <row r="156" spans="1:25" s="39" customFormat="1" ht="14" customHeight="1" x14ac:dyDescent="0.35">
      <c r="A156" s="20" t="s">
        <v>245</v>
      </c>
      <c r="B156" s="20" t="s">
        <v>246</v>
      </c>
      <c r="C156" s="20" t="s">
        <v>334</v>
      </c>
      <c r="D156" s="20">
        <v>847</v>
      </c>
      <c r="E156" s="20">
        <v>8470345</v>
      </c>
      <c r="F156" s="20" t="s">
        <v>791</v>
      </c>
      <c r="G156" s="20">
        <v>1</v>
      </c>
      <c r="H156" s="20">
        <v>425510</v>
      </c>
      <c r="I156" s="20" t="s">
        <v>247</v>
      </c>
      <c r="J156" s="20" t="s">
        <v>60</v>
      </c>
      <c r="K156" s="20" t="s">
        <v>50</v>
      </c>
      <c r="L156" s="20">
        <v>847001</v>
      </c>
      <c r="M156" s="20" t="s">
        <v>61</v>
      </c>
      <c r="N156" s="20">
        <v>200179</v>
      </c>
      <c r="O156" s="37" t="str">
        <f t="shared" si="12"/>
        <v>847.8470345.1.425510.000000.847001.200179</v>
      </c>
      <c r="P156" s="20" t="s">
        <v>338</v>
      </c>
      <c r="Q156" s="20">
        <v>2</v>
      </c>
      <c r="R156" s="20">
        <v>2</v>
      </c>
      <c r="S156" s="20">
        <v>17500</v>
      </c>
      <c r="T156" s="21" t="s">
        <v>798</v>
      </c>
      <c r="U156" s="22">
        <v>35000</v>
      </c>
      <c r="V156" s="20">
        <f t="shared" si="10"/>
        <v>35000</v>
      </c>
      <c r="W156" s="20">
        <f t="shared" si="11"/>
        <v>0</v>
      </c>
      <c r="X156" s="21" t="s">
        <v>55</v>
      </c>
      <c r="Y156" s="70">
        <f t="shared" si="13"/>
        <v>0</v>
      </c>
    </row>
    <row r="157" spans="1:25" s="39" customFormat="1" ht="14" customHeight="1" x14ac:dyDescent="0.35">
      <c r="A157" s="20" t="s">
        <v>258</v>
      </c>
      <c r="B157" s="20" t="s">
        <v>350</v>
      </c>
      <c r="C157" s="20" t="s">
        <v>334</v>
      </c>
      <c r="D157" s="20">
        <v>847</v>
      </c>
      <c r="E157" s="20">
        <v>8470345</v>
      </c>
      <c r="F157" s="20" t="s">
        <v>791</v>
      </c>
      <c r="G157" s="20">
        <v>1</v>
      </c>
      <c r="H157" s="20">
        <v>425760</v>
      </c>
      <c r="I157" s="20" t="s">
        <v>352</v>
      </c>
      <c r="J157" s="20" t="s">
        <v>60</v>
      </c>
      <c r="K157" s="20" t="s">
        <v>50</v>
      </c>
      <c r="L157" s="20">
        <v>847001</v>
      </c>
      <c r="M157" s="20" t="s">
        <v>61</v>
      </c>
      <c r="N157" s="20">
        <v>200179</v>
      </c>
      <c r="O157" s="37" t="str">
        <f t="shared" si="12"/>
        <v>847.8470345.1.425760.000000.847001.200179</v>
      </c>
      <c r="P157" s="20" t="s">
        <v>344</v>
      </c>
      <c r="Q157" s="20">
        <v>1</v>
      </c>
      <c r="R157" s="20">
        <v>8</v>
      </c>
      <c r="S157" s="20">
        <v>20000</v>
      </c>
      <c r="T157" s="21" t="s">
        <v>801</v>
      </c>
      <c r="U157" s="22">
        <v>160000</v>
      </c>
      <c r="V157" s="20">
        <f t="shared" ref="V157:V190" si="14">R157*S157</f>
        <v>160000</v>
      </c>
      <c r="W157" s="20">
        <f t="shared" ref="W157:W188" si="15">U157-V157</f>
        <v>0</v>
      </c>
      <c r="X157" s="21" t="s">
        <v>55</v>
      </c>
      <c r="Y157" s="70">
        <f t="shared" si="13"/>
        <v>0</v>
      </c>
    </row>
    <row r="158" spans="1:25" s="39" customFormat="1" ht="14" customHeight="1" x14ac:dyDescent="0.35">
      <c r="A158" s="20" t="s">
        <v>222</v>
      </c>
      <c r="B158" s="20" t="s">
        <v>58</v>
      </c>
      <c r="C158" s="20" t="s">
        <v>334</v>
      </c>
      <c r="D158" s="20">
        <v>847</v>
      </c>
      <c r="E158" s="20">
        <v>8470345</v>
      </c>
      <c r="F158" s="20" t="s">
        <v>791</v>
      </c>
      <c r="G158" s="20">
        <v>1</v>
      </c>
      <c r="H158" s="20">
        <v>425770</v>
      </c>
      <c r="I158" s="20" t="s">
        <v>367</v>
      </c>
      <c r="J158" s="20" t="s">
        <v>60</v>
      </c>
      <c r="K158" s="20" t="s">
        <v>50</v>
      </c>
      <c r="L158" s="20">
        <v>847001</v>
      </c>
      <c r="M158" s="20" t="s">
        <v>61</v>
      </c>
      <c r="N158" s="20">
        <v>200179</v>
      </c>
      <c r="O158" s="37" t="str">
        <f t="shared" si="12"/>
        <v>847.8470345.1.425770.000000.847001.200179</v>
      </c>
      <c r="P158" s="20" t="s">
        <v>440</v>
      </c>
      <c r="Q158" s="20">
        <v>7</v>
      </c>
      <c r="R158" s="20">
        <v>7</v>
      </c>
      <c r="S158" s="20">
        <v>20000</v>
      </c>
      <c r="T158" s="21" t="s">
        <v>806</v>
      </c>
      <c r="U158" s="22">
        <v>140000</v>
      </c>
      <c r="V158" s="20">
        <f t="shared" si="14"/>
        <v>140000</v>
      </c>
      <c r="W158" s="20">
        <f t="shared" si="15"/>
        <v>0</v>
      </c>
      <c r="X158" s="21" t="s">
        <v>55</v>
      </c>
      <c r="Y158" s="70">
        <f t="shared" si="13"/>
        <v>0</v>
      </c>
    </row>
    <row r="159" spans="1:25" s="39" customFormat="1" ht="14" customHeight="1" x14ac:dyDescent="0.35">
      <c r="A159" s="20" t="s">
        <v>189</v>
      </c>
      <c r="B159" s="20" t="s">
        <v>265</v>
      </c>
      <c r="C159" s="20" t="s">
        <v>334</v>
      </c>
      <c r="D159" s="20">
        <v>847</v>
      </c>
      <c r="E159" s="20">
        <v>8470345</v>
      </c>
      <c r="F159" s="20" t="s">
        <v>791</v>
      </c>
      <c r="G159" s="20">
        <v>1</v>
      </c>
      <c r="H159" s="20">
        <v>425900</v>
      </c>
      <c r="I159" s="20" t="s">
        <v>266</v>
      </c>
      <c r="J159" s="20" t="s">
        <v>60</v>
      </c>
      <c r="K159" s="20" t="s">
        <v>50</v>
      </c>
      <c r="L159" s="20">
        <v>847001</v>
      </c>
      <c r="M159" s="20" t="s">
        <v>61</v>
      </c>
      <c r="N159" s="20">
        <v>200179</v>
      </c>
      <c r="O159" s="37" t="str">
        <f t="shared" si="12"/>
        <v>847.8470345.1.425900.000000.847001.200179</v>
      </c>
      <c r="P159" s="20" t="s">
        <v>369</v>
      </c>
      <c r="Q159" s="20">
        <v>6</v>
      </c>
      <c r="R159" s="20">
        <v>6</v>
      </c>
      <c r="S159" s="20">
        <v>500</v>
      </c>
      <c r="T159" s="21" t="s">
        <v>809</v>
      </c>
      <c r="U159" s="22">
        <v>3000</v>
      </c>
      <c r="V159" s="20">
        <f t="shared" si="14"/>
        <v>3000</v>
      </c>
      <c r="W159" s="20">
        <f t="shared" si="15"/>
        <v>0</v>
      </c>
      <c r="X159" s="21" t="s">
        <v>55</v>
      </c>
      <c r="Y159" s="70">
        <f t="shared" si="13"/>
        <v>0</v>
      </c>
    </row>
    <row r="160" spans="1:25" s="39" customFormat="1" ht="14" customHeight="1" x14ac:dyDescent="0.35">
      <c r="A160" s="20" t="s">
        <v>63</v>
      </c>
      <c r="B160" s="20" t="s">
        <v>64</v>
      </c>
      <c r="C160" s="20" t="s">
        <v>334</v>
      </c>
      <c r="D160" s="20">
        <v>847</v>
      </c>
      <c r="E160" s="20">
        <v>8470345</v>
      </c>
      <c r="F160" s="20" t="s">
        <v>791</v>
      </c>
      <c r="G160" s="20">
        <v>1</v>
      </c>
      <c r="H160" s="20">
        <v>426610</v>
      </c>
      <c r="I160" s="20" t="s">
        <v>74</v>
      </c>
      <c r="J160" s="20" t="s">
        <v>60</v>
      </c>
      <c r="K160" s="20" t="s">
        <v>50</v>
      </c>
      <c r="L160" s="20">
        <v>847001</v>
      </c>
      <c r="M160" s="20" t="s">
        <v>61</v>
      </c>
      <c r="N160" s="20">
        <v>200179</v>
      </c>
      <c r="O160" s="37" t="str">
        <f t="shared" si="12"/>
        <v>847.8470345.1.426610.000000.847001.200179</v>
      </c>
      <c r="P160" s="20" t="s">
        <v>268</v>
      </c>
      <c r="Q160" s="20">
        <v>1</v>
      </c>
      <c r="R160" s="20">
        <v>1</v>
      </c>
      <c r="S160" s="20">
        <v>59217</v>
      </c>
      <c r="T160" s="21" t="s">
        <v>814</v>
      </c>
      <c r="U160" s="22">
        <v>59217</v>
      </c>
      <c r="V160" s="20">
        <f t="shared" si="14"/>
        <v>59217</v>
      </c>
      <c r="W160" s="20">
        <f t="shared" si="15"/>
        <v>0</v>
      </c>
      <c r="X160" s="21" t="s">
        <v>55</v>
      </c>
      <c r="Y160" s="70">
        <f t="shared" si="13"/>
        <v>0</v>
      </c>
    </row>
    <row r="161" spans="1:25" s="39" customFormat="1" ht="14" customHeight="1" x14ac:dyDescent="0.35">
      <c r="A161" s="20" t="s">
        <v>153</v>
      </c>
      <c r="B161" s="20" t="s">
        <v>58</v>
      </c>
      <c r="C161" s="20" t="s">
        <v>334</v>
      </c>
      <c r="D161" s="20">
        <v>847</v>
      </c>
      <c r="E161" s="20">
        <v>8470345</v>
      </c>
      <c r="F161" s="20" t="s">
        <v>791</v>
      </c>
      <c r="G161" s="20">
        <v>1</v>
      </c>
      <c r="H161" s="20">
        <v>428090</v>
      </c>
      <c r="I161" s="20" t="s">
        <v>154</v>
      </c>
      <c r="J161" s="20" t="s">
        <v>60</v>
      </c>
      <c r="K161" s="20" t="s">
        <v>50</v>
      </c>
      <c r="L161" s="20">
        <v>847001</v>
      </c>
      <c r="M161" s="20" t="s">
        <v>61</v>
      </c>
      <c r="N161" s="20">
        <v>200179</v>
      </c>
      <c r="O161" s="37" t="str">
        <f t="shared" si="12"/>
        <v>847.8470345.1.428090.000000.847001.200179</v>
      </c>
      <c r="P161" s="20" t="s">
        <v>274</v>
      </c>
      <c r="Q161" s="20">
        <v>2</v>
      </c>
      <c r="R161" s="20">
        <v>2</v>
      </c>
      <c r="S161" s="20">
        <v>25000</v>
      </c>
      <c r="T161" s="21" t="s">
        <v>818</v>
      </c>
      <c r="U161" s="22">
        <v>50000</v>
      </c>
      <c r="V161" s="20">
        <f t="shared" si="14"/>
        <v>50000</v>
      </c>
      <c r="W161" s="20">
        <f t="shared" si="15"/>
        <v>0</v>
      </c>
      <c r="X161" s="21" t="s">
        <v>55</v>
      </c>
      <c r="Y161" s="70">
        <f t="shared" si="13"/>
        <v>0</v>
      </c>
    </row>
    <row r="162" spans="1:25" s="39" customFormat="1" ht="14" customHeight="1" x14ac:dyDescent="0.35">
      <c r="A162" s="20" t="s">
        <v>222</v>
      </c>
      <c r="B162" s="20" t="s">
        <v>58</v>
      </c>
      <c r="C162" s="20" t="s">
        <v>334</v>
      </c>
      <c r="D162" s="20">
        <v>847</v>
      </c>
      <c r="E162" s="20">
        <v>8470345</v>
      </c>
      <c r="F162" s="20" t="s">
        <v>791</v>
      </c>
      <c r="G162" s="20">
        <v>1</v>
      </c>
      <c r="H162" s="20">
        <v>435350</v>
      </c>
      <c r="I162" s="20" t="s">
        <v>399</v>
      </c>
      <c r="J162" s="20" t="s">
        <v>60</v>
      </c>
      <c r="K162" s="20" t="s">
        <v>50</v>
      </c>
      <c r="L162" s="20">
        <v>847001</v>
      </c>
      <c r="M162" s="20" t="s">
        <v>61</v>
      </c>
      <c r="N162" s="20">
        <v>200179</v>
      </c>
      <c r="O162" s="37" t="str">
        <f t="shared" si="12"/>
        <v>847.8470345.1.435350.000000.847001.200179</v>
      </c>
      <c r="P162" s="20" t="s">
        <v>387</v>
      </c>
      <c r="Q162" s="20">
        <v>7</v>
      </c>
      <c r="R162" s="20">
        <v>14</v>
      </c>
      <c r="S162" s="20">
        <v>12000</v>
      </c>
      <c r="T162" s="21" t="s">
        <v>823</v>
      </c>
      <c r="U162" s="22">
        <v>168000</v>
      </c>
      <c r="V162" s="20">
        <f t="shared" si="14"/>
        <v>168000</v>
      </c>
      <c r="W162" s="20">
        <f t="shared" si="15"/>
        <v>0</v>
      </c>
      <c r="X162" s="21" t="s">
        <v>55</v>
      </c>
      <c r="Y162" s="70">
        <f t="shared" si="13"/>
        <v>0</v>
      </c>
    </row>
    <row r="163" spans="1:25" s="39" customFormat="1" ht="14" customHeight="1" x14ac:dyDescent="0.35">
      <c r="A163" s="20" t="s">
        <v>222</v>
      </c>
      <c r="B163" s="20" t="s">
        <v>220</v>
      </c>
      <c r="C163" s="20" t="s">
        <v>334</v>
      </c>
      <c r="D163" s="20">
        <v>847</v>
      </c>
      <c r="E163" s="20">
        <v>8470345</v>
      </c>
      <c r="F163" s="20" t="s">
        <v>791</v>
      </c>
      <c r="G163" s="20">
        <v>1</v>
      </c>
      <c r="H163" s="20">
        <v>435508</v>
      </c>
      <c r="I163" s="20" t="s">
        <v>405</v>
      </c>
      <c r="J163" s="20" t="s">
        <v>60</v>
      </c>
      <c r="K163" s="20" t="s">
        <v>50</v>
      </c>
      <c r="L163" s="20">
        <v>847001</v>
      </c>
      <c r="M163" s="20" t="s">
        <v>61</v>
      </c>
      <c r="N163" s="20">
        <v>200179</v>
      </c>
      <c r="O163" s="37" t="str">
        <f t="shared" si="12"/>
        <v>847.8470345.1.435508.000000.847001.200179</v>
      </c>
      <c r="P163" s="20" t="s">
        <v>401</v>
      </c>
      <c r="Q163" s="20">
        <v>15</v>
      </c>
      <c r="R163" s="20">
        <v>36612.26</v>
      </c>
      <c r="S163" s="20">
        <v>15</v>
      </c>
      <c r="T163" s="21" t="s">
        <v>826</v>
      </c>
      <c r="U163" s="22">
        <f>Q163*R163</f>
        <v>549183.9</v>
      </c>
      <c r="V163" s="20">
        <f t="shared" si="14"/>
        <v>549183.9</v>
      </c>
      <c r="W163" s="20">
        <f t="shared" si="15"/>
        <v>0</v>
      </c>
      <c r="X163" s="21" t="s">
        <v>55</v>
      </c>
      <c r="Y163" s="70">
        <f t="shared" si="13"/>
        <v>0</v>
      </c>
    </row>
    <row r="164" spans="1:25" s="39" customFormat="1" ht="14" customHeight="1" x14ac:dyDescent="0.35">
      <c r="A164" s="20" t="s">
        <v>189</v>
      </c>
      <c r="B164" s="20" t="s">
        <v>58</v>
      </c>
      <c r="C164" s="20" t="s">
        <v>334</v>
      </c>
      <c r="D164" s="20">
        <v>847</v>
      </c>
      <c r="E164" s="20">
        <v>8470345</v>
      </c>
      <c r="F164" s="20" t="s">
        <v>791</v>
      </c>
      <c r="G164" s="20">
        <v>1</v>
      </c>
      <c r="H164" s="20">
        <v>436110</v>
      </c>
      <c r="I164" s="20" t="s">
        <v>190</v>
      </c>
      <c r="J164" s="20" t="s">
        <v>60</v>
      </c>
      <c r="K164" s="20" t="s">
        <v>50</v>
      </c>
      <c r="L164" s="20">
        <v>847001</v>
      </c>
      <c r="M164" s="20" t="s">
        <v>61</v>
      </c>
      <c r="N164" s="20">
        <v>200179</v>
      </c>
      <c r="O164" s="37" t="str">
        <f t="shared" si="12"/>
        <v>847.8470345.1.436110.000000.847001.200179</v>
      </c>
      <c r="P164" s="20" t="s">
        <v>482</v>
      </c>
      <c r="Q164" s="20">
        <v>5</v>
      </c>
      <c r="R164" s="20">
        <v>6</v>
      </c>
      <c r="S164" s="20">
        <v>1000</v>
      </c>
      <c r="T164" s="21" t="s">
        <v>830</v>
      </c>
      <c r="U164" s="22">
        <v>6000</v>
      </c>
      <c r="V164" s="20">
        <f t="shared" si="14"/>
        <v>6000</v>
      </c>
      <c r="W164" s="20">
        <f t="shared" si="15"/>
        <v>0</v>
      </c>
      <c r="X164" s="21" t="s">
        <v>55</v>
      </c>
      <c r="Y164" s="70">
        <f t="shared" si="13"/>
        <v>0</v>
      </c>
    </row>
    <row r="165" spans="1:25" s="39" customFormat="1" ht="14" customHeight="1" x14ac:dyDescent="0.35">
      <c r="A165" s="20" t="s">
        <v>161</v>
      </c>
      <c r="B165" s="20" t="s">
        <v>220</v>
      </c>
      <c r="C165" s="20" t="s">
        <v>334</v>
      </c>
      <c r="D165" s="20">
        <v>847</v>
      </c>
      <c r="E165" s="20">
        <v>8470345</v>
      </c>
      <c r="F165" s="20" t="s">
        <v>791</v>
      </c>
      <c r="G165" s="20">
        <v>1</v>
      </c>
      <c r="H165" s="20">
        <v>492316</v>
      </c>
      <c r="I165" s="20" t="s">
        <v>221</v>
      </c>
      <c r="J165" s="20" t="s">
        <v>60</v>
      </c>
      <c r="K165" s="20" t="s">
        <v>50</v>
      </c>
      <c r="L165" s="20">
        <v>847001</v>
      </c>
      <c r="M165" s="20" t="s">
        <v>192</v>
      </c>
      <c r="N165" s="20">
        <v>300180</v>
      </c>
      <c r="O165" s="37" t="str">
        <f t="shared" si="12"/>
        <v>847.8470345.1.492316.000000.847001.300180</v>
      </c>
      <c r="P165" s="20" t="s">
        <v>829</v>
      </c>
      <c r="Q165" s="20">
        <v>15</v>
      </c>
      <c r="R165" s="20">
        <v>1</v>
      </c>
      <c r="S165" s="22">
        <v>780474</v>
      </c>
      <c r="T165" s="21" t="s">
        <v>840</v>
      </c>
      <c r="U165" s="22">
        <v>780474</v>
      </c>
      <c r="V165" s="20">
        <f t="shared" si="14"/>
        <v>780474</v>
      </c>
      <c r="W165" s="20">
        <f t="shared" si="15"/>
        <v>0</v>
      </c>
      <c r="X165" s="21" t="s">
        <v>210</v>
      </c>
      <c r="Y165" s="70">
        <f t="shared" si="13"/>
        <v>0</v>
      </c>
    </row>
    <row r="166" spans="1:25" s="39" customFormat="1" ht="14" customHeight="1" x14ac:dyDescent="0.35">
      <c r="A166" s="20" t="s">
        <v>245</v>
      </c>
      <c r="B166" s="20" t="s">
        <v>246</v>
      </c>
      <c r="C166" s="20" t="s">
        <v>334</v>
      </c>
      <c r="D166" s="20">
        <v>847</v>
      </c>
      <c r="E166" s="20">
        <v>8470350</v>
      </c>
      <c r="F166" s="20" t="s">
        <v>843</v>
      </c>
      <c r="G166" s="20">
        <v>1</v>
      </c>
      <c r="H166" s="20">
        <v>425510</v>
      </c>
      <c r="I166" s="20" t="s">
        <v>247</v>
      </c>
      <c r="J166" s="20" t="s">
        <v>60</v>
      </c>
      <c r="K166" s="20" t="s">
        <v>50</v>
      </c>
      <c r="L166" s="20">
        <v>847001</v>
      </c>
      <c r="M166" s="20" t="s">
        <v>61</v>
      </c>
      <c r="N166" s="20">
        <v>200179</v>
      </c>
      <c r="O166" s="37" t="str">
        <f t="shared" si="12"/>
        <v>847.8470350.1.425510.000000.847001.200179</v>
      </c>
      <c r="P166" s="20" t="s">
        <v>249</v>
      </c>
      <c r="Q166" s="20" t="s">
        <v>250</v>
      </c>
      <c r="R166" s="20">
        <v>5</v>
      </c>
      <c r="S166" s="20">
        <v>5000</v>
      </c>
      <c r="T166" s="21" t="s">
        <v>845</v>
      </c>
      <c r="U166" s="20">
        <v>25000</v>
      </c>
      <c r="V166" s="20">
        <f t="shared" si="14"/>
        <v>25000</v>
      </c>
      <c r="W166" s="20">
        <f t="shared" si="15"/>
        <v>0</v>
      </c>
      <c r="X166" s="21" t="s">
        <v>55</v>
      </c>
      <c r="Y166" s="70">
        <f t="shared" si="13"/>
        <v>0</v>
      </c>
    </row>
    <row r="167" spans="1:25" s="39" customFormat="1" ht="14" customHeight="1" x14ac:dyDescent="0.35">
      <c r="A167" s="20" t="s">
        <v>258</v>
      </c>
      <c r="B167" s="20" t="s">
        <v>350</v>
      </c>
      <c r="C167" s="20" t="s">
        <v>334</v>
      </c>
      <c r="D167" s="20">
        <v>847</v>
      </c>
      <c r="E167" s="20">
        <v>8470350</v>
      </c>
      <c r="F167" s="20" t="s">
        <v>843</v>
      </c>
      <c r="G167" s="20">
        <v>1</v>
      </c>
      <c r="H167" s="20">
        <v>425760</v>
      </c>
      <c r="I167" s="20" t="s">
        <v>352</v>
      </c>
      <c r="J167" s="20" t="s">
        <v>60</v>
      </c>
      <c r="K167" s="20" t="s">
        <v>50</v>
      </c>
      <c r="L167" s="20">
        <v>847001</v>
      </c>
      <c r="M167" s="20" t="s">
        <v>61</v>
      </c>
      <c r="N167" s="20">
        <v>200179</v>
      </c>
      <c r="O167" s="37" t="str">
        <f t="shared" si="12"/>
        <v>847.8470350.1.425760.000000.847001.200179</v>
      </c>
      <c r="P167" s="20" t="s">
        <v>440</v>
      </c>
      <c r="Q167" s="20" t="s">
        <v>441</v>
      </c>
      <c r="R167" s="20">
        <v>10</v>
      </c>
      <c r="S167" s="20">
        <v>3000</v>
      </c>
      <c r="T167" s="21" t="s">
        <v>850</v>
      </c>
      <c r="U167" s="20">
        <v>30000</v>
      </c>
      <c r="V167" s="20">
        <f t="shared" si="14"/>
        <v>30000</v>
      </c>
      <c r="W167" s="20">
        <f t="shared" si="15"/>
        <v>0</v>
      </c>
      <c r="X167" s="21" t="s">
        <v>55</v>
      </c>
      <c r="Y167" s="70">
        <f t="shared" si="13"/>
        <v>0</v>
      </c>
    </row>
    <row r="168" spans="1:25" s="39" customFormat="1" ht="14" customHeight="1" x14ac:dyDescent="0.35">
      <c r="A168" s="20" t="s">
        <v>258</v>
      </c>
      <c r="B168" s="20" t="s">
        <v>58</v>
      </c>
      <c r="C168" s="20" t="s">
        <v>334</v>
      </c>
      <c r="D168" s="20">
        <v>847</v>
      </c>
      <c r="E168" s="20">
        <v>8470350</v>
      </c>
      <c r="F168" s="20" t="s">
        <v>843</v>
      </c>
      <c r="G168" s="20">
        <v>1</v>
      </c>
      <c r="H168" s="20">
        <v>425763</v>
      </c>
      <c r="I168" s="20" t="s">
        <v>359</v>
      </c>
      <c r="J168" s="20" t="s">
        <v>60</v>
      </c>
      <c r="K168" s="20" t="s">
        <v>50</v>
      </c>
      <c r="L168" s="20">
        <v>847001</v>
      </c>
      <c r="M168" s="20" t="s">
        <v>61</v>
      </c>
      <c r="N168" s="20">
        <v>200179</v>
      </c>
      <c r="O168" s="37" t="str">
        <f t="shared" si="12"/>
        <v>847.8470350.1.425763.000000.847001.200179</v>
      </c>
      <c r="P168" s="20" t="s">
        <v>958</v>
      </c>
      <c r="Q168" s="20" t="s">
        <v>68</v>
      </c>
      <c r="R168" s="20">
        <v>10</v>
      </c>
      <c r="S168" s="20">
        <v>1500</v>
      </c>
      <c r="T168" s="21" t="s">
        <v>852</v>
      </c>
      <c r="U168" s="20">
        <v>15000</v>
      </c>
      <c r="V168" s="20">
        <f t="shared" si="14"/>
        <v>15000</v>
      </c>
      <c r="W168" s="20">
        <f t="shared" si="15"/>
        <v>0</v>
      </c>
      <c r="X168" s="21" t="s">
        <v>55</v>
      </c>
      <c r="Y168" s="70">
        <f t="shared" si="13"/>
        <v>0</v>
      </c>
    </row>
    <row r="169" spans="1:25" s="39" customFormat="1" ht="14" customHeight="1" x14ac:dyDescent="0.35">
      <c r="A169" s="20" t="s">
        <v>222</v>
      </c>
      <c r="B169" s="20" t="s">
        <v>58</v>
      </c>
      <c r="C169" s="20" t="s">
        <v>334</v>
      </c>
      <c r="D169" s="20">
        <v>847</v>
      </c>
      <c r="E169" s="20">
        <v>8470350</v>
      </c>
      <c r="F169" s="20" t="s">
        <v>843</v>
      </c>
      <c r="G169" s="20">
        <v>1</v>
      </c>
      <c r="H169" s="20">
        <v>425770</v>
      </c>
      <c r="I169" s="20" t="s">
        <v>367</v>
      </c>
      <c r="J169" s="20" t="s">
        <v>60</v>
      </c>
      <c r="K169" s="20" t="s">
        <v>50</v>
      </c>
      <c r="L169" s="20">
        <v>847001</v>
      </c>
      <c r="M169" s="20" t="s">
        <v>61</v>
      </c>
      <c r="N169" s="20">
        <v>200179</v>
      </c>
      <c r="O169" s="37" t="str">
        <f t="shared" si="12"/>
        <v>847.8470350.1.425770.000000.847001.200179</v>
      </c>
      <c r="P169" s="20" t="s">
        <v>369</v>
      </c>
      <c r="Q169" s="20" t="s">
        <v>157</v>
      </c>
      <c r="R169" s="20">
        <v>12</v>
      </c>
      <c r="S169" s="20">
        <v>22000</v>
      </c>
      <c r="T169" s="21" t="s">
        <v>959</v>
      </c>
      <c r="U169" s="20">
        <v>264000</v>
      </c>
      <c r="V169" s="20">
        <f t="shared" si="14"/>
        <v>264000</v>
      </c>
      <c r="W169" s="20">
        <f t="shared" si="15"/>
        <v>0</v>
      </c>
      <c r="X169" s="21" t="s">
        <v>55</v>
      </c>
      <c r="Y169" s="70">
        <f t="shared" si="13"/>
        <v>0</v>
      </c>
    </row>
    <row r="170" spans="1:25" s="39" customFormat="1" ht="14" customHeight="1" x14ac:dyDescent="0.35">
      <c r="A170" s="20" t="s">
        <v>189</v>
      </c>
      <c r="B170" s="20" t="s">
        <v>265</v>
      </c>
      <c r="C170" s="20" t="s">
        <v>334</v>
      </c>
      <c r="D170" s="20">
        <v>847</v>
      </c>
      <c r="E170" s="20">
        <v>8470350</v>
      </c>
      <c r="F170" s="20" t="s">
        <v>843</v>
      </c>
      <c r="G170" s="20">
        <v>1</v>
      </c>
      <c r="H170" s="20">
        <v>425900</v>
      </c>
      <c r="I170" s="20" t="s">
        <v>266</v>
      </c>
      <c r="J170" s="20" t="s">
        <v>60</v>
      </c>
      <c r="K170" s="20" t="s">
        <v>50</v>
      </c>
      <c r="L170" s="20">
        <v>847001</v>
      </c>
      <c r="M170" s="20" t="s">
        <v>61</v>
      </c>
      <c r="N170" s="20">
        <v>200179</v>
      </c>
      <c r="O170" s="37" t="str">
        <f t="shared" si="12"/>
        <v>847.8470350.1.425900.000000.847001.200179</v>
      </c>
      <c r="P170" s="20" t="s">
        <v>268</v>
      </c>
      <c r="Q170" s="20" t="s">
        <v>269</v>
      </c>
      <c r="R170" s="20">
        <v>20</v>
      </c>
      <c r="S170" s="20">
        <v>1500</v>
      </c>
      <c r="T170" s="21" t="s">
        <v>859</v>
      </c>
      <c r="U170" s="20">
        <v>30000</v>
      </c>
      <c r="V170" s="20">
        <f t="shared" si="14"/>
        <v>30000</v>
      </c>
      <c r="W170" s="20">
        <f t="shared" si="15"/>
        <v>0</v>
      </c>
      <c r="X170" s="21" t="s">
        <v>55</v>
      </c>
      <c r="Y170" s="70">
        <f t="shared" si="13"/>
        <v>0</v>
      </c>
    </row>
    <row r="171" spans="1:25" s="39" customFormat="1" ht="14" customHeight="1" x14ac:dyDescent="0.35">
      <c r="A171" s="20" t="s">
        <v>63</v>
      </c>
      <c r="B171" s="20" t="s">
        <v>64</v>
      </c>
      <c r="C171" s="20" t="s">
        <v>334</v>
      </c>
      <c r="D171" s="20">
        <v>847</v>
      </c>
      <c r="E171" s="20">
        <v>8470350</v>
      </c>
      <c r="F171" s="20" t="s">
        <v>843</v>
      </c>
      <c r="G171" s="20">
        <v>1</v>
      </c>
      <c r="H171" s="20">
        <v>426610</v>
      </c>
      <c r="I171" s="20" t="s">
        <v>74</v>
      </c>
      <c r="J171" s="20" t="s">
        <v>60</v>
      </c>
      <c r="K171" s="20" t="s">
        <v>50</v>
      </c>
      <c r="L171" s="20">
        <v>847001</v>
      </c>
      <c r="M171" s="20" t="s">
        <v>61</v>
      </c>
      <c r="N171" s="20">
        <v>200179</v>
      </c>
      <c r="O171" s="37" t="str">
        <f t="shared" si="12"/>
        <v>847.8470350.1.426610.000000.847001.200179</v>
      </c>
      <c r="P171" s="20" t="s">
        <v>960</v>
      </c>
      <c r="Q171" s="20" t="s">
        <v>68</v>
      </c>
      <c r="R171" s="20">
        <v>1</v>
      </c>
      <c r="S171" s="20">
        <v>100000</v>
      </c>
      <c r="T171" s="21" t="s">
        <v>961</v>
      </c>
      <c r="U171" s="20">
        <v>100000</v>
      </c>
      <c r="V171" s="20">
        <f t="shared" si="14"/>
        <v>100000</v>
      </c>
      <c r="W171" s="20">
        <f t="shared" si="15"/>
        <v>0</v>
      </c>
      <c r="X171" s="21" t="s">
        <v>55</v>
      </c>
      <c r="Y171" s="70">
        <f t="shared" si="13"/>
        <v>0</v>
      </c>
    </row>
    <row r="172" spans="1:25" s="39" customFormat="1" ht="14" customHeight="1" x14ac:dyDescent="0.35">
      <c r="A172" s="20" t="s">
        <v>63</v>
      </c>
      <c r="B172" s="20" t="s">
        <v>64</v>
      </c>
      <c r="C172" s="20" t="s">
        <v>334</v>
      </c>
      <c r="D172" s="20">
        <v>847</v>
      </c>
      <c r="E172" s="20">
        <v>8470350</v>
      </c>
      <c r="F172" s="20" t="s">
        <v>843</v>
      </c>
      <c r="G172" s="20">
        <v>1</v>
      </c>
      <c r="H172" s="20">
        <v>426610</v>
      </c>
      <c r="I172" s="20" t="s">
        <v>74</v>
      </c>
      <c r="J172" s="20" t="s">
        <v>60</v>
      </c>
      <c r="K172" s="20" t="s">
        <v>50</v>
      </c>
      <c r="L172" s="20">
        <v>847001</v>
      </c>
      <c r="M172" s="20" t="s">
        <v>61</v>
      </c>
      <c r="N172" s="20">
        <v>200179</v>
      </c>
      <c r="O172" s="37" t="str">
        <f t="shared" si="12"/>
        <v>847.8470350.1.426610.000000.847001.200179</v>
      </c>
      <c r="P172" s="20" t="s">
        <v>960</v>
      </c>
      <c r="Q172" s="20" t="s">
        <v>68</v>
      </c>
      <c r="R172" s="20">
        <v>1</v>
      </c>
      <c r="S172" s="20">
        <v>25000</v>
      </c>
      <c r="T172" s="21" t="s">
        <v>962</v>
      </c>
      <c r="U172" s="20">
        <v>25000</v>
      </c>
      <c r="V172" s="20">
        <f t="shared" si="14"/>
        <v>25000</v>
      </c>
      <c r="W172" s="20">
        <f t="shared" si="15"/>
        <v>0</v>
      </c>
      <c r="X172" s="21" t="s">
        <v>55</v>
      </c>
      <c r="Y172" s="70">
        <f t="shared" si="13"/>
        <v>0</v>
      </c>
    </row>
    <row r="173" spans="1:25" s="39" customFormat="1" ht="14" customHeight="1" x14ac:dyDescent="0.35">
      <c r="A173" s="20" t="s">
        <v>63</v>
      </c>
      <c r="B173" s="20" t="s">
        <v>64</v>
      </c>
      <c r="C173" s="20" t="s">
        <v>334</v>
      </c>
      <c r="D173" s="20">
        <v>847</v>
      </c>
      <c r="E173" s="20">
        <v>8470350</v>
      </c>
      <c r="F173" s="20" t="s">
        <v>843</v>
      </c>
      <c r="G173" s="20">
        <v>1</v>
      </c>
      <c r="H173" s="20">
        <v>426610</v>
      </c>
      <c r="I173" s="20" t="s">
        <v>74</v>
      </c>
      <c r="J173" s="20" t="s">
        <v>60</v>
      </c>
      <c r="K173" s="20" t="s">
        <v>50</v>
      </c>
      <c r="L173" s="20">
        <v>847001</v>
      </c>
      <c r="M173" s="20" t="s">
        <v>61</v>
      </c>
      <c r="N173" s="20">
        <v>200179</v>
      </c>
      <c r="O173" s="37" t="str">
        <f t="shared" si="12"/>
        <v>847.8470350.1.426610.000000.847001.200179</v>
      </c>
      <c r="P173" s="20" t="s">
        <v>960</v>
      </c>
      <c r="Q173" s="20" t="s">
        <v>68</v>
      </c>
      <c r="R173" s="20">
        <v>1</v>
      </c>
      <c r="S173" s="20">
        <v>8000</v>
      </c>
      <c r="T173" s="21" t="s">
        <v>864</v>
      </c>
      <c r="U173" s="20">
        <v>8000</v>
      </c>
      <c r="V173" s="20">
        <f t="shared" si="14"/>
        <v>8000</v>
      </c>
      <c r="W173" s="20">
        <f t="shared" si="15"/>
        <v>0</v>
      </c>
      <c r="X173" s="21" t="s">
        <v>55</v>
      </c>
      <c r="Y173" s="70">
        <f t="shared" si="13"/>
        <v>0</v>
      </c>
    </row>
    <row r="174" spans="1:25" s="39" customFormat="1" ht="14" customHeight="1" x14ac:dyDescent="0.35">
      <c r="A174" s="20" t="s">
        <v>63</v>
      </c>
      <c r="B174" s="20" t="s">
        <v>64</v>
      </c>
      <c r="C174" s="20" t="s">
        <v>334</v>
      </c>
      <c r="D174" s="20">
        <v>847</v>
      </c>
      <c r="E174" s="20">
        <v>8470350</v>
      </c>
      <c r="F174" s="20" t="s">
        <v>843</v>
      </c>
      <c r="G174" s="20">
        <v>1</v>
      </c>
      <c r="H174" s="20">
        <v>426610</v>
      </c>
      <c r="I174" s="20" t="s">
        <v>74</v>
      </c>
      <c r="J174" s="20" t="s">
        <v>60</v>
      </c>
      <c r="K174" s="20" t="s">
        <v>50</v>
      </c>
      <c r="L174" s="20">
        <v>847001</v>
      </c>
      <c r="M174" s="20" t="s">
        <v>61</v>
      </c>
      <c r="N174" s="20">
        <v>200179</v>
      </c>
      <c r="O174" s="37" t="str">
        <f t="shared" si="12"/>
        <v>847.8470350.1.426610.000000.847001.200179</v>
      </c>
      <c r="P174" s="20" t="s">
        <v>960</v>
      </c>
      <c r="Q174" s="20" t="s">
        <v>68</v>
      </c>
      <c r="R174" s="20">
        <v>1</v>
      </c>
      <c r="S174" s="20">
        <v>25000</v>
      </c>
      <c r="T174" s="21" t="s">
        <v>867</v>
      </c>
      <c r="U174" s="20">
        <v>25000</v>
      </c>
      <c r="V174" s="20">
        <f t="shared" si="14"/>
        <v>25000</v>
      </c>
      <c r="W174" s="20">
        <f t="shared" si="15"/>
        <v>0</v>
      </c>
      <c r="X174" s="21" t="s">
        <v>55</v>
      </c>
      <c r="Y174" s="70">
        <f t="shared" si="13"/>
        <v>0</v>
      </c>
    </row>
    <row r="175" spans="1:25" s="39" customFormat="1" ht="14" customHeight="1" x14ac:dyDescent="0.35">
      <c r="A175" s="20" t="s">
        <v>63</v>
      </c>
      <c r="B175" s="20" t="s">
        <v>64</v>
      </c>
      <c r="C175" s="20" t="s">
        <v>334</v>
      </c>
      <c r="D175" s="20">
        <v>847</v>
      </c>
      <c r="E175" s="20">
        <v>8470350</v>
      </c>
      <c r="F175" s="20" t="s">
        <v>843</v>
      </c>
      <c r="G175" s="20">
        <v>1</v>
      </c>
      <c r="H175" s="20">
        <v>426610</v>
      </c>
      <c r="I175" s="20" t="s">
        <v>74</v>
      </c>
      <c r="J175" s="20" t="s">
        <v>60</v>
      </c>
      <c r="K175" s="20" t="s">
        <v>50</v>
      </c>
      <c r="L175" s="20">
        <v>847001</v>
      </c>
      <c r="M175" s="20" t="s">
        <v>61</v>
      </c>
      <c r="N175" s="20">
        <v>200179</v>
      </c>
      <c r="O175" s="37" t="str">
        <f t="shared" si="12"/>
        <v>847.8470350.1.426610.000000.847001.200179</v>
      </c>
      <c r="P175" s="20" t="s">
        <v>960</v>
      </c>
      <c r="Q175" s="20" t="s">
        <v>68</v>
      </c>
      <c r="R175" s="20">
        <v>1</v>
      </c>
      <c r="S175" s="20">
        <v>10000</v>
      </c>
      <c r="T175" s="21" t="s">
        <v>866</v>
      </c>
      <c r="U175" s="20">
        <v>10000</v>
      </c>
      <c r="V175" s="20">
        <f t="shared" si="14"/>
        <v>10000</v>
      </c>
      <c r="W175" s="20">
        <f t="shared" si="15"/>
        <v>0</v>
      </c>
      <c r="X175" s="21" t="s">
        <v>55</v>
      </c>
      <c r="Y175" s="70">
        <f t="shared" si="13"/>
        <v>0</v>
      </c>
    </row>
    <row r="176" spans="1:25" s="39" customFormat="1" ht="14" customHeight="1" x14ac:dyDescent="0.35">
      <c r="A176" s="20" t="s">
        <v>63</v>
      </c>
      <c r="B176" s="20" t="s">
        <v>64</v>
      </c>
      <c r="C176" s="20" t="s">
        <v>334</v>
      </c>
      <c r="D176" s="20">
        <v>847</v>
      </c>
      <c r="E176" s="20">
        <v>8470350</v>
      </c>
      <c r="F176" s="20" t="s">
        <v>843</v>
      </c>
      <c r="G176" s="20">
        <v>1</v>
      </c>
      <c r="H176" s="20">
        <v>426610</v>
      </c>
      <c r="I176" s="20" t="s">
        <v>74</v>
      </c>
      <c r="J176" s="20" t="s">
        <v>60</v>
      </c>
      <c r="K176" s="20" t="s">
        <v>50</v>
      </c>
      <c r="L176" s="20">
        <v>847001</v>
      </c>
      <c r="M176" s="20" t="s">
        <v>61</v>
      </c>
      <c r="N176" s="20">
        <v>200179</v>
      </c>
      <c r="O176" s="37" t="str">
        <f t="shared" si="12"/>
        <v>847.8470350.1.426610.000000.847001.200179</v>
      </c>
      <c r="P176" s="20" t="s">
        <v>960</v>
      </c>
      <c r="Q176" s="20" t="s">
        <v>68</v>
      </c>
      <c r="R176" s="20">
        <v>1</v>
      </c>
      <c r="S176" s="20">
        <v>45000</v>
      </c>
      <c r="T176" s="21" t="s">
        <v>963</v>
      </c>
      <c r="U176" s="20">
        <v>45000</v>
      </c>
      <c r="V176" s="20">
        <f t="shared" si="14"/>
        <v>45000</v>
      </c>
      <c r="W176" s="20">
        <f t="shared" si="15"/>
        <v>0</v>
      </c>
      <c r="X176" s="21" t="s">
        <v>55</v>
      </c>
      <c r="Y176" s="70">
        <f t="shared" si="13"/>
        <v>0</v>
      </c>
    </row>
    <row r="177" spans="1:25" s="39" customFormat="1" ht="14" customHeight="1" x14ac:dyDescent="0.35">
      <c r="A177" s="20" t="s">
        <v>63</v>
      </c>
      <c r="B177" s="20" t="s">
        <v>64</v>
      </c>
      <c r="C177" s="20" t="s">
        <v>334</v>
      </c>
      <c r="D177" s="20">
        <v>847</v>
      </c>
      <c r="E177" s="20">
        <v>8470350</v>
      </c>
      <c r="F177" s="20" t="s">
        <v>843</v>
      </c>
      <c r="G177" s="20">
        <v>1</v>
      </c>
      <c r="H177" s="20">
        <v>426610</v>
      </c>
      <c r="I177" s="20" t="s">
        <v>74</v>
      </c>
      <c r="J177" s="20" t="s">
        <v>60</v>
      </c>
      <c r="K177" s="20" t="s">
        <v>50</v>
      </c>
      <c r="L177" s="20">
        <v>847001</v>
      </c>
      <c r="M177" s="20" t="s">
        <v>61</v>
      </c>
      <c r="N177" s="20">
        <v>200179</v>
      </c>
      <c r="O177" s="37" t="str">
        <f t="shared" si="12"/>
        <v>847.8470350.1.426610.000000.847001.200179</v>
      </c>
      <c r="P177" s="20" t="s">
        <v>960</v>
      </c>
      <c r="Q177" s="20" t="s">
        <v>68</v>
      </c>
      <c r="R177" s="20">
        <v>1</v>
      </c>
      <c r="S177" s="20">
        <v>200000</v>
      </c>
      <c r="T177" s="21" t="s">
        <v>868</v>
      </c>
      <c r="U177" s="20">
        <v>200000</v>
      </c>
      <c r="V177" s="20">
        <f t="shared" si="14"/>
        <v>200000</v>
      </c>
      <c r="W177" s="20">
        <f t="shared" si="15"/>
        <v>0</v>
      </c>
      <c r="X177" s="21" t="s">
        <v>55</v>
      </c>
      <c r="Y177" s="70">
        <f t="shared" si="13"/>
        <v>0</v>
      </c>
    </row>
    <row r="178" spans="1:25" s="39" customFormat="1" ht="14" customHeight="1" x14ac:dyDescent="0.35">
      <c r="A178" s="20" t="s">
        <v>222</v>
      </c>
      <c r="B178" s="20" t="s">
        <v>58</v>
      </c>
      <c r="C178" s="20" t="s">
        <v>334</v>
      </c>
      <c r="D178" s="20">
        <v>847</v>
      </c>
      <c r="E178" s="20">
        <v>8470350</v>
      </c>
      <c r="F178" s="20" t="s">
        <v>843</v>
      </c>
      <c r="G178" s="20">
        <v>1</v>
      </c>
      <c r="H178" s="20">
        <v>432209</v>
      </c>
      <c r="I178" s="20" t="s">
        <v>393</v>
      </c>
      <c r="J178" s="20" t="s">
        <v>60</v>
      </c>
      <c r="K178" s="20" t="s">
        <v>50</v>
      </c>
      <c r="L178" s="20">
        <v>847001</v>
      </c>
      <c r="M178" s="20" t="s">
        <v>61</v>
      </c>
      <c r="N178" s="20">
        <v>200179</v>
      </c>
      <c r="O178" s="37" t="str">
        <f t="shared" si="12"/>
        <v>847.8470350.1.432209.000000.847001.200179</v>
      </c>
      <c r="P178" s="20" t="s">
        <v>470</v>
      </c>
      <c r="Q178" s="20" t="s">
        <v>157</v>
      </c>
      <c r="R178" s="20">
        <v>1</v>
      </c>
      <c r="S178" s="20">
        <v>80000</v>
      </c>
      <c r="T178" s="21" t="s">
        <v>964</v>
      </c>
      <c r="U178" s="20">
        <v>80000</v>
      </c>
      <c r="V178" s="20">
        <f t="shared" si="14"/>
        <v>80000</v>
      </c>
      <c r="W178" s="20">
        <f t="shared" si="15"/>
        <v>0</v>
      </c>
      <c r="X178" s="21" t="s">
        <v>55</v>
      </c>
      <c r="Y178" s="70">
        <f t="shared" si="13"/>
        <v>0</v>
      </c>
    </row>
    <row r="179" spans="1:25" s="39" customFormat="1" ht="14" customHeight="1" x14ac:dyDescent="0.35">
      <c r="A179" s="20" t="s">
        <v>222</v>
      </c>
      <c r="B179" s="20" t="s">
        <v>58</v>
      </c>
      <c r="C179" s="20" t="s">
        <v>334</v>
      </c>
      <c r="D179" s="20">
        <v>847</v>
      </c>
      <c r="E179" s="20">
        <v>8470350</v>
      </c>
      <c r="F179" s="20" t="s">
        <v>843</v>
      </c>
      <c r="G179" s="20">
        <v>1</v>
      </c>
      <c r="H179" s="20">
        <v>432209</v>
      </c>
      <c r="I179" s="20" t="s">
        <v>393</v>
      </c>
      <c r="J179" s="20" t="s">
        <v>60</v>
      </c>
      <c r="K179" s="20" t="s">
        <v>50</v>
      </c>
      <c r="L179" s="20">
        <v>847001</v>
      </c>
      <c r="M179" s="20" t="s">
        <v>61</v>
      </c>
      <c r="N179" s="20">
        <v>200179</v>
      </c>
      <c r="O179" s="37" t="str">
        <f t="shared" si="12"/>
        <v>847.8470350.1.432209.000000.847001.200179</v>
      </c>
      <c r="P179" s="20" t="s">
        <v>470</v>
      </c>
      <c r="Q179" s="20" t="s">
        <v>157</v>
      </c>
      <c r="R179" s="20">
        <v>40</v>
      </c>
      <c r="S179" s="20">
        <v>2000</v>
      </c>
      <c r="T179" s="21" t="s">
        <v>965</v>
      </c>
      <c r="U179" s="20">
        <v>80000</v>
      </c>
      <c r="V179" s="20">
        <f t="shared" si="14"/>
        <v>80000</v>
      </c>
      <c r="W179" s="20">
        <f t="shared" si="15"/>
        <v>0</v>
      </c>
      <c r="X179" s="21" t="s">
        <v>55</v>
      </c>
      <c r="Y179" s="70">
        <f t="shared" si="13"/>
        <v>0</v>
      </c>
    </row>
    <row r="180" spans="1:25" s="39" customFormat="1" ht="14" customHeight="1" x14ac:dyDescent="0.35">
      <c r="A180" s="20" t="s">
        <v>222</v>
      </c>
      <c r="B180" s="20" t="s">
        <v>58</v>
      </c>
      <c r="C180" s="20" t="s">
        <v>334</v>
      </c>
      <c r="D180" s="20">
        <v>847</v>
      </c>
      <c r="E180" s="20">
        <v>8470350</v>
      </c>
      <c r="F180" s="20" t="s">
        <v>843</v>
      </c>
      <c r="G180" s="20">
        <v>1</v>
      </c>
      <c r="H180" s="20">
        <v>432209</v>
      </c>
      <c r="I180" s="20" t="s">
        <v>393</v>
      </c>
      <c r="J180" s="20" t="s">
        <v>60</v>
      </c>
      <c r="K180" s="20" t="s">
        <v>50</v>
      </c>
      <c r="L180" s="20">
        <v>847001</v>
      </c>
      <c r="M180" s="20" t="s">
        <v>61</v>
      </c>
      <c r="N180" s="20">
        <v>200179</v>
      </c>
      <c r="O180" s="37" t="str">
        <f t="shared" si="12"/>
        <v>847.8470350.1.432209.000000.847001.200179</v>
      </c>
      <c r="P180" s="20" t="s">
        <v>470</v>
      </c>
      <c r="Q180" s="20" t="s">
        <v>157</v>
      </c>
      <c r="R180" s="20">
        <v>1</v>
      </c>
      <c r="S180" s="20">
        <v>350000</v>
      </c>
      <c r="T180" s="21" t="s">
        <v>878</v>
      </c>
      <c r="U180" s="20">
        <v>350000</v>
      </c>
      <c r="V180" s="20">
        <f t="shared" si="14"/>
        <v>350000</v>
      </c>
      <c r="W180" s="20">
        <f t="shared" si="15"/>
        <v>0</v>
      </c>
      <c r="X180" s="21" t="s">
        <v>55</v>
      </c>
      <c r="Y180" s="70">
        <f t="shared" si="13"/>
        <v>0</v>
      </c>
    </row>
    <row r="181" spans="1:25" s="39" customFormat="1" ht="14" customHeight="1" x14ac:dyDescent="0.35">
      <c r="A181" s="20" t="s">
        <v>222</v>
      </c>
      <c r="B181" s="20" t="s">
        <v>58</v>
      </c>
      <c r="C181" s="20" t="s">
        <v>334</v>
      </c>
      <c r="D181" s="20">
        <v>847</v>
      </c>
      <c r="E181" s="20">
        <v>8470350</v>
      </c>
      <c r="F181" s="20" t="s">
        <v>843</v>
      </c>
      <c r="G181" s="20">
        <v>1</v>
      </c>
      <c r="H181" s="20">
        <v>435340</v>
      </c>
      <c r="I181" s="20" t="s">
        <v>655</v>
      </c>
      <c r="J181" s="20" t="s">
        <v>60</v>
      </c>
      <c r="K181" s="20" t="s">
        <v>50</v>
      </c>
      <c r="L181" s="20">
        <v>847001</v>
      </c>
      <c r="M181" s="20" t="s">
        <v>61</v>
      </c>
      <c r="N181" s="20">
        <v>200179</v>
      </c>
      <c r="O181" s="37" t="str">
        <f t="shared" si="12"/>
        <v>847.8470350.1.435340.000000.847001.200179</v>
      </c>
      <c r="P181" s="20" t="s">
        <v>882</v>
      </c>
      <c r="Q181" s="20" t="s">
        <v>883</v>
      </c>
      <c r="R181" s="20">
        <v>10</v>
      </c>
      <c r="S181" s="20">
        <v>2000</v>
      </c>
      <c r="T181" s="21" t="s">
        <v>884</v>
      </c>
      <c r="U181" s="20">
        <v>20000</v>
      </c>
      <c r="V181" s="20">
        <f t="shared" si="14"/>
        <v>20000</v>
      </c>
      <c r="W181" s="20">
        <f t="shared" si="15"/>
        <v>0</v>
      </c>
      <c r="X181" s="21" t="s">
        <v>55</v>
      </c>
      <c r="Y181" s="70">
        <f t="shared" si="13"/>
        <v>0</v>
      </c>
    </row>
    <row r="182" spans="1:25" s="39" customFormat="1" ht="14" customHeight="1" x14ac:dyDescent="0.35">
      <c r="A182" s="20" t="s">
        <v>222</v>
      </c>
      <c r="B182" s="20" t="s">
        <v>58</v>
      </c>
      <c r="C182" s="20" t="s">
        <v>334</v>
      </c>
      <c r="D182" s="20">
        <v>847</v>
      </c>
      <c r="E182" s="20">
        <v>8470350</v>
      </c>
      <c r="F182" s="20" t="s">
        <v>843</v>
      </c>
      <c r="G182" s="20">
        <v>1</v>
      </c>
      <c r="H182" s="20">
        <v>435350</v>
      </c>
      <c r="I182" s="20" t="s">
        <v>399</v>
      </c>
      <c r="J182" s="20" t="s">
        <v>60</v>
      </c>
      <c r="K182" s="20" t="s">
        <v>50</v>
      </c>
      <c r="L182" s="20">
        <v>847001</v>
      </c>
      <c r="M182" s="20" t="s">
        <v>61</v>
      </c>
      <c r="N182" s="20">
        <v>200179</v>
      </c>
      <c r="O182" s="37" t="str">
        <f t="shared" si="12"/>
        <v>847.8470350.1.435350.000000.847001.200179</v>
      </c>
      <c r="P182" s="20" t="s">
        <v>401</v>
      </c>
      <c r="Q182" s="20" t="s">
        <v>157</v>
      </c>
      <c r="R182" s="20">
        <v>12</v>
      </c>
      <c r="S182" s="20">
        <v>10000</v>
      </c>
      <c r="T182" s="21" t="s">
        <v>889</v>
      </c>
      <c r="U182" s="20">
        <v>120000</v>
      </c>
      <c r="V182" s="20">
        <f t="shared" si="14"/>
        <v>120000</v>
      </c>
      <c r="W182" s="20">
        <f t="shared" si="15"/>
        <v>0</v>
      </c>
      <c r="X182" s="21" t="s">
        <v>55</v>
      </c>
      <c r="Y182" s="70">
        <f t="shared" si="13"/>
        <v>0</v>
      </c>
    </row>
    <row r="183" spans="1:25" s="39" customFormat="1" ht="14" customHeight="1" x14ac:dyDescent="0.35">
      <c r="A183" s="20" t="s">
        <v>222</v>
      </c>
      <c r="B183" s="20" t="s">
        <v>220</v>
      </c>
      <c r="C183" s="20" t="s">
        <v>334</v>
      </c>
      <c r="D183" s="20">
        <v>847</v>
      </c>
      <c r="E183" s="20">
        <v>8470350</v>
      </c>
      <c r="F183" s="20" t="s">
        <v>843</v>
      </c>
      <c r="G183" s="20">
        <v>1</v>
      </c>
      <c r="H183" s="20">
        <v>435508</v>
      </c>
      <c r="I183" s="20" t="s">
        <v>405</v>
      </c>
      <c r="J183" s="20" t="s">
        <v>60</v>
      </c>
      <c r="K183" s="20" t="s">
        <v>50</v>
      </c>
      <c r="L183" s="20">
        <v>847001</v>
      </c>
      <c r="M183" s="20" t="s">
        <v>61</v>
      </c>
      <c r="N183" s="20">
        <v>200179</v>
      </c>
      <c r="O183" s="37" t="str">
        <f t="shared" si="12"/>
        <v>847.8470350.1.435508.000000.847001.200179</v>
      </c>
      <c r="P183" s="20" t="s">
        <v>482</v>
      </c>
      <c r="Q183" s="20" t="s">
        <v>157</v>
      </c>
      <c r="R183" s="20">
        <v>60</v>
      </c>
      <c r="S183" s="20">
        <v>500</v>
      </c>
      <c r="T183" s="21" t="s">
        <v>893</v>
      </c>
      <c r="U183" s="20">
        <v>30000</v>
      </c>
      <c r="V183" s="20">
        <f t="shared" si="14"/>
        <v>30000</v>
      </c>
      <c r="W183" s="20">
        <f t="shared" si="15"/>
        <v>0</v>
      </c>
      <c r="X183" s="21" t="s">
        <v>55</v>
      </c>
      <c r="Y183" s="70">
        <f t="shared" si="13"/>
        <v>0</v>
      </c>
    </row>
    <row r="184" spans="1:25" s="39" customFormat="1" ht="14" customHeight="1" x14ac:dyDescent="0.35">
      <c r="A184" s="20" t="s">
        <v>222</v>
      </c>
      <c r="B184" s="20" t="s">
        <v>220</v>
      </c>
      <c r="C184" s="20" t="s">
        <v>334</v>
      </c>
      <c r="D184" s="20">
        <v>847</v>
      </c>
      <c r="E184" s="20">
        <v>8470350</v>
      </c>
      <c r="F184" s="20" t="s">
        <v>843</v>
      </c>
      <c r="G184" s="20">
        <v>1</v>
      </c>
      <c r="H184" s="20">
        <v>435508</v>
      </c>
      <c r="I184" s="20" t="s">
        <v>405</v>
      </c>
      <c r="J184" s="20" t="s">
        <v>60</v>
      </c>
      <c r="K184" s="20" t="s">
        <v>50</v>
      </c>
      <c r="L184" s="20">
        <v>847001</v>
      </c>
      <c r="M184" s="20" t="s">
        <v>61</v>
      </c>
      <c r="N184" s="20">
        <v>200179</v>
      </c>
      <c r="O184" s="37" t="str">
        <f t="shared" si="12"/>
        <v>847.8470350.1.435508.000000.847001.200179</v>
      </c>
      <c r="P184" s="20" t="s">
        <v>482</v>
      </c>
      <c r="Q184" s="20" t="s">
        <v>157</v>
      </c>
      <c r="R184" s="20">
        <v>60</v>
      </c>
      <c r="S184" s="20">
        <v>500</v>
      </c>
      <c r="T184" s="21" t="s">
        <v>894</v>
      </c>
      <c r="U184" s="20">
        <v>30000</v>
      </c>
      <c r="V184" s="20">
        <f t="shared" si="14"/>
        <v>30000</v>
      </c>
      <c r="W184" s="20">
        <f t="shared" si="15"/>
        <v>0</v>
      </c>
      <c r="X184" s="21" t="s">
        <v>55</v>
      </c>
      <c r="Y184" s="70">
        <f t="shared" si="13"/>
        <v>0</v>
      </c>
    </row>
    <row r="185" spans="1:25" s="39" customFormat="1" ht="14" customHeight="1" x14ac:dyDescent="0.35">
      <c r="A185" s="20" t="s">
        <v>222</v>
      </c>
      <c r="B185" s="20" t="s">
        <v>220</v>
      </c>
      <c r="C185" s="20" t="s">
        <v>334</v>
      </c>
      <c r="D185" s="20">
        <v>847</v>
      </c>
      <c r="E185" s="20">
        <v>8470350</v>
      </c>
      <c r="F185" s="20" t="s">
        <v>843</v>
      </c>
      <c r="G185" s="20">
        <v>1</v>
      </c>
      <c r="H185" s="20">
        <v>435508</v>
      </c>
      <c r="I185" s="20" t="s">
        <v>405</v>
      </c>
      <c r="J185" s="20" t="s">
        <v>60</v>
      </c>
      <c r="K185" s="20" t="s">
        <v>50</v>
      </c>
      <c r="L185" s="20">
        <v>847001</v>
      </c>
      <c r="M185" s="20" t="s">
        <v>61</v>
      </c>
      <c r="N185" s="20">
        <v>200179</v>
      </c>
      <c r="O185" s="37" t="str">
        <f t="shared" si="12"/>
        <v>847.8470350.1.435508.000000.847001.200179</v>
      </c>
      <c r="P185" s="20" t="s">
        <v>482</v>
      </c>
      <c r="Q185" s="20" t="s">
        <v>157</v>
      </c>
      <c r="R185" s="20">
        <v>60</v>
      </c>
      <c r="S185" s="20">
        <v>1200</v>
      </c>
      <c r="T185" s="21" t="s">
        <v>895</v>
      </c>
      <c r="U185" s="20">
        <v>72000</v>
      </c>
      <c r="V185" s="20">
        <f t="shared" si="14"/>
        <v>72000</v>
      </c>
      <c r="W185" s="20">
        <f t="shared" si="15"/>
        <v>0</v>
      </c>
      <c r="X185" s="21" t="s">
        <v>55</v>
      </c>
      <c r="Y185" s="70">
        <f t="shared" si="13"/>
        <v>0</v>
      </c>
    </row>
    <row r="186" spans="1:25" s="39" customFormat="1" ht="14" customHeight="1" x14ac:dyDescent="0.35">
      <c r="A186" s="20" t="s">
        <v>189</v>
      </c>
      <c r="B186" s="20" t="s">
        <v>58</v>
      </c>
      <c r="C186" s="20" t="s">
        <v>334</v>
      </c>
      <c r="D186" s="20">
        <v>847</v>
      </c>
      <c r="E186" s="20">
        <v>8470350</v>
      </c>
      <c r="F186" s="20" t="s">
        <v>843</v>
      </c>
      <c r="G186" s="20">
        <v>1</v>
      </c>
      <c r="H186" s="20">
        <v>436110</v>
      </c>
      <c r="I186" s="20" t="s">
        <v>190</v>
      </c>
      <c r="J186" s="20" t="s">
        <v>60</v>
      </c>
      <c r="K186" s="20" t="s">
        <v>50</v>
      </c>
      <c r="L186" s="20">
        <v>847001</v>
      </c>
      <c r="M186" s="20" t="s">
        <v>61</v>
      </c>
      <c r="N186" s="20">
        <v>200179</v>
      </c>
      <c r="O186" s="37" t="str">
        <f t="shared" si="12"/>
        <v>847.8470350.1.436110.000000.847001.200179</v>
      </c>
      <c r="P186" s="20" t="s">
        <v>488</v>
      </c>
      <c r="Q186" s="20" t="s">
        <v>157</v>
      </c>
      <c r="R186" s="20">
        <v>10</v>
      </c>
      <c r="S186" s="20">
        <v>500</v>
      </c>
      <c r="T186" s="21" t="s">
        <v>966</v>
      </c>
      <c r="U186" s="20">
        <v>5000</v>
      </c>
      <c r="V186" s="20">
        <f t="shared" si="14"/>
        <v>5000</v>
      </c>
      <c r="W186" s="20">
        <f t="shared" si="15"/>
        <v>0</v>
      </c>
      <c r="X186" s="21" t="s">
        <v>55</v>
      </c>
      <c r="Y186" s="70">
        <f t="shared" si="13"/>
        <v>0</v>
      </c>
    </row>
    <row r="187" spans="1:25" s="39" customFormat="1" ht="14" customHeight="1" x14ac:dyDescent="0.35">
      <c r="A187" s="20" t="s">
        <v>222</v>
      </c>
      <c r="B187" s="20" t="s">
        <v>58</v>
      </c>
      <c r="C187" s="20" t="s">
        <v>334</v>
      </c>
      <c r="D187" s="20">
        <v>847</v>
      </c>
      <c r="E187" s="20">
        <v>8470350</v>
      </c>
      <c r="F187" s="20" t="s">
        <v>843</v>
      </c>
      <c r="G187" s="20">
        <v>1</v>
      </c>
      <c r="H187" s="20">
        <v>436600</v>
      </c>
      <c r="I187" s="20" t="s">
        <v>416</v>
      </c>
      <c r="J187" s="20" t="s">
        <v>60</v>
      </c>
      <c r="K187" s="20" t="s">
        <v>50</v>
      </c>
      <c r="L187" s="20">
        <v>847001</v>
      </c>
      <c r="M187" s="20" t="s">
        <v>61</v>
      </c>
      <c r="N187" s="20">
        <v>200179</v>
      </c>
      <c r="O187" s="37" t="str">
        <f t="shared" si="12"/>
        <v>847.8470350.1.436600.000000.847001.200179</v>
      </c>
      <c r="P187" s="20" t="s">
        <v>492</v>
      </c>
      <c r="Q187" s="20" t="s">
        <v>157</v>
      </c>
      <c r="R187" s="20">
        <v>4</v>
      </c>
      <c r="S187" s="20">
        <v>25000</v>
      </c>
      <c r="T187" s="21" t="s">
        <v>967</v>
      </c>
      <c r="U187" s="20">
        <v>100000</v>
      </c>
      <c r="V187" s="20">
        <f t="shared" si="14"/>
        <v>100000</v>
      </c>
      <c r="W187" s="20">
        <f t="shared" si="15"/>
        <v>0</v>
      </c>
      <c r="X187" s="21" t="s">
        <v>55</v>
      </c>
      <c r="Y187" s="70">
        <f t="shared" si="13"/>
        <v>0</v>
      </c>
    </row>
    <row r="188" spans="1:25" s="39" customFormat="1" ht="14" customHeight="1" x14ac:dyDescent="0.35">
      <c r="A188" s="20" t="s">
        <v>161</v>
      </c>
      <c r="B188" s="20" t="s">
        <v>220</v>
      </c>
      <c r="C188" s="20" t="s">
        <v>334</v>
      </c>
      <c r="D188" s="20">
        <v>847</v>
      </c>
      <c r="E188" s="20">
        <v>8470350</v>
      </c>
      <c r="F188" s="20" t="s">
        <v>843</v>
      </c>
      <c r="G188" s="20">
        <v>1</v>
      </c>
      <c r="H188" s="20">
        <v>492316</v>
      </c>
      <c r="I188" s="20" t="s">
        <v>221</v>
      </c>
      <c r="J188" s="20" t="s">
        <v>60</v>
      </c>
      <c r="K188" s="20" t="s">
        <v>50</v>
      </c>
      <c r="L188" s="20">
        <v>847001</v>
      </c>
      <c r="M188" s="20" t="s">
        <v>192</v>
      </c>
      <c r="N188" s="20">
        <v>300180</v>
      </c>
      <c r="O188" s="37" t="str">
        <f t="shared" si="12"/>
        <v>847.8470350.1.492316.000000.847001.300180</v>
      </c>
      <c r="P188" s="20" t="s">
        <v>422</v>
      </c>
      <c r="Q188" s="20" t="s">
        <v>157</v>
      </c>
      <c r="R188" s="20">
        <v>1</v>
      </c>
      <c r="S188" s="20">
        <v>2000000</v>
      </c>
      <c r="T188" s="21" t="s">
        <v>968</v>
      </c>
      <c r="U188" s="20">
        <v>2000000</v>
      </c>
      <c r="V188" s="20">
        <f t="shared" si="14"/>
        <v>2000000</v>
      </c>
      <c r="W188" s="20">
        <f t="shared" si="15"/>
        <v>0</v>
      </c>
      <c r="X188" s="21" t="s">
        <v>55</v>
      </c>
      <c r="Y188" s="70">
        <f t="shared" si="13"/>
        <v>0</v>
      </c>
    </row>
    <row r="189" spans="1:25" s="39" customFormat="1" ht="14" customHeight="1" x14ac:dyDescent="0.35">
      <c r="A189" s="20" t="s">
        <v>161</v>
      </c>
      <c r="B189" s="20" t="s">
        <v>220</v>
      </c>
      <c r="C189" s="20" t="s">
        <v>334</v>
      </c>
      <c r="D189" s="20">
        <v>847</v>
      </c>
      <c r="E189" s="20">
        <v>8470350</v>
      </c>
      <c r="F189" s="20" t="s">
        <v>843</v>
      </c>
      <c r="G189" s="20">
        <v>1</v>
      </c>
      <c r="H189" s="20">
        <v>492316</v>
      </c>
      <c r="I189" s="20" t="s">
        <v>221</v>
      </c>
      <c r="J189" s="20" t="s">
        <v>60</v>
      </c>
      <c r="K189" s="20" t="s">
        <v>50</v>
      </c>
      <c r="L189" s="20">
        <v>847001</v>
      </c>
      <c r="M189" s="20" t="s">
        <v>192</v>
      </c>
      <c r="N189" s="20">
        <v>300180</v>
      </c>
      <c r="O189" s="37" t="str">
        <f t="shared" si="12"/>
        <v>847.8470350.1.492316.000000.847001.300180</v>
      </c>
      <c r="P189" s="20" t="s">
        <v>969</v>
      </c>
      <c r="Q189" s="20" t="s">
        <v>157</v>
      </c>
      <c r="R189" s="20">
        <v>4</v>
      </c>
      <c r="S189" s="20">
        <v>35000</v>
      </c>
      <c r="T189" s="21" t="s">
        <v>970</v>
      </c>
      <c r="U189" s="20">
        <v>140000</v>
      </c>
      <c r="V189" s="20">
        <f t="shared" si="14"/>
        <v>140000</v>
      </c>
      <c r="W189" s="20">
        <f t="shared" ref="W189:W190" si="16">U189-V189</f>
        <v>0</v>
      </c>
      <c r="X189" s="21" t="s">
        <v>55</v>
      </c>
      <c r="Y189" s="70">
        <f t="shared" si="13"/>
        <v>0</v>
      </c>
    </row>
    <row r="190" spans="1:25" s="39" customFormat="1" ht="14" customHeight="1" x14ac:dyDescent="0.35">
      <c r="A190" s="20" t="s">
        <v>161</v>
      </c>
      <c r="B190" s="20" t="s">
        <v>220</v>
      </c>
      <c r="C190" s="20" t="s">
        <v>334</v>
      </c>
      <c r="D190" s="20">
        <v>847</v>
      </c>
      <c r="E190" s="20">
        <v>8470350</v>
      </c>
      <c r="F190" s="20" t="s">
        <v>843</v>
      </c>
      <c r="G190" s="20">
        <v>1</v>
      </c>
      <c r="H190" s="20">
        <v>492316</v>
      </c>
      <c r="I190" s="20" t="s">
        <v>221</v>
      </c>
      <c r="J190" s="20" t="s">
        <v>60</v>
      </c>
      <c r="K190" s="20" t="s">
        <v>50</v>
      </c>
      <c r="L190" s="20">
        <v>847001</v>
      </c>
      <c r="M190" s="20" t="s">
        <v>192</v>
      </c>
      <c r="N190" s="20">
        <v>300180</v>
      </c>
      <c r="O190" s="37" t="str">
        <f t="shared" si="12"/>
        <v>847.8470350.1.492316.000000.847001.300180</v>
      </c>
      <c r="P190" s="20" t="s">
        <v>907</v>
      </c>
      <c r="Q190" s="20" t="s">
        <v>201</v>
      </c>
      <c r="R190" s="20">
        <v>2</v>
      </c>
      <c r="S190" s="20">
        <v>30000</v>
      </c>
      <c r="T190" s="21" t="s">
        <v>971</v>
      </c>
      <c r="U190" s="20">
        <v>60000</v>
      </c>
      <c r="V190" s="20">
        <f t="shared" si="14"/>
        <v>60000</v>
      </c>
      <c r="W190" s="20">
        <f t="shared" si="16"/>
        <v>0</v>
      </c>
      <c r="X190" s="21" t="s">
        <v>55</v>
      </c>
      <c r="Y190" s="70">
        <f t="shared" si="13"/>
        <v>0</v>
      </c>
    </row>
    <row r="191" spans="1:25" s="39" customFormat="1" ht="14" customHeight="1" x14ac:dyDescent="0.35">
      <c r="A191" s="32" t="s">
        <v>189</v>
      </c>
      <c r="B191" s="32" t="s">
        <v>58</v>
      </c>
      <c r="C191" s="32" t="s">
        <v>47</v>
      </c>
      <c r="D191" s="32">
        <v>847</v>
      </c>
      <c r="E191" s="32">
        <v>8470620</v>
      </c>
      <c r="F191" s="32" t="s">
        <v>1150</v>
      </c>
      <c r="G191" s="32">
        <v>1</v>
      </c>
      <c r="H191" s="32">
        <v>420130</v>
      </c>
      <c r="I191" s="30" t="s">
        <v>1151</v>
      </c>
      <c r="J191" s="32" t="s">
        <v>60</v>
      </c>
      <c r="K191" s="32" t="s">
        <v>50</v>
      </c>
      <c r="L191" s="32">
        <v>847001</v>
      </c>
      <c r="M191" s="32" t="s">
        <v>61</v>
      </c>
      <c r="N191" s="32">
        <v>200179</v>
      </c>
      <c r="O191" s="37" t="str">
        <f t="shared" si="12"/>
        <v>847.8470620.1.420130.000000.847001.200179</v>
      </c>
      <c r="P191" s="32" t="s">
        <v>1153</v>
      </c>
      <c r="Q191" s="30" t="s">
        <v>1154</v>
      </c>
      <c r="R191" s="32">
        <v>1</v>
      </c>
      <c r="S191" s="33">
        <v>236850</v>
      </c>
      <c r="T191" s="32" t="s">
        <v>1316</v>
      </c>
      <c r="U191" s="33">
        <v>236850</v>
      </c>
      <c r="V191" s="32" t="s">
        <v>55</v>
      </c>
      <c r="W191" s="32" t="s">
        <v>56</v>
      </c>
      <c r="X191" s="30" t="s">
        <v>272</v>
      </c>
      <c r="Y191" s="70">
        <f t="shared" si="13"/>
        <v>0</v>
      </c>
    </row>
    <row r="192" spans="1:25" s="39" customFormat="1" ht="14" customHeight="1" x14ac:dyDescent="0.35">
      <c r="A192" s="32" t="s">
        <v>1163</v>
      </c>
      <c r="B192" s="32" t="s">
        <v>58</v>
      </c>
      <c r="C192" s="32" t="s">
        <v>47</v>
      </c>
      <c r="D192" s="32">
        <v>847</v>
      </c>
      <c r="E192" s="32">
        <v>8470620</v>
      </c>
      <c r="F192" s="32" t="s">
        <v>1150</v>
      </c>
      <c r="G192" s="32">
        <v>1</v>
      </c>
      <c r="H192" s="32">
        <v>425300</v>
      </c>
      <c r="I192" s="30" t="s">
        <v>1164</v>
      </c>
      <c r="J192" s="32" t="s">
        <v>60</v>
      </c>
      <c r="K192" s="32" t="s">
        <v>50</v>
      </c>
      <c r="L192" s="32">
        <v>847001</v>
      </c>
      <c r="M192" s="32" t="s">
        <v>61</v>
      </c>
      <c r="N192" s="32">
        <v>200179</v>
      </c>
      <c r="O192" s="37" t="str">
        <f t="shared" si="12"/>
        <v>847.8470620.1.425300.000000.847001.200179</v>
      </c>
      <c r="P192" s="32" t="s">
        <v>1166</v>
      </c>
      <c r="Q192" s="30" t="s">
        <v>157</v>
      </c>
      <c r="R192" s="32">
        <v>1</v>
      </c>
      <c r="S192" s="33">
        <v>3000</v>
      </c>
      <c r="T192" s="32" t="s">
        <v>1317</v>
      </c>
      <c r="U192" s="33">
        <v>3000</v>
      </c>
      <c r="V192" s="32" t="s">
        <v>55</v>
      </c>
      <c r="W192" s="32" t="s">
        <v>56</v>
      </c>
      <c r="X192" s="30" t="s">
        <v>295</v>
      </c>
      <c r="Y192" s="70">
        <f t="shared" si="13"/>
        <v>0</v>
      </c>
    </row>
    <row r="193" spans="1:25" s="39" customFormat="1" ht="14" customHeight="1" x14ac:dyDescent="0.35">
      <c r="A193" s="32" t="s">
        <v>1163</v>
      </c>
      <c r="B193" s="32" t="s">
        <v>58</v>
      </c>
      <c r="C193" s="32" t="s">
        <v>47</v>
      </c>
      <c r="D193" s="32">
        <v>847</v>
      </c>
      <c r="E193" s="32">
        <v>8470620</v>
      </c>
      <c r="F193" s="32" t="s">
        <v>1150</v>
      </c>
      <c r="G193" s="32">
        <v>1</v>
      </c>
      <c r="H193" s="32">
        <v>425350</v>
      </c>
      <c r="I193" s="30" t="s">
        <v>1169</v>
      </c>
      <c r="J193" s="32" t="s">
        <v>60</v>
      </c>
      <c r="K193" s="32" t="s">
        <v>50</v>
      </c>
      <c r="L193" s="32">
        <v>847001</v>
      </c>
      <c r="M193" s="32" t="s">
        <v>61</v>
      </c>
      <c r="N193" s="32">
        <v>200179</v>
      </c>
      <c r="O193" s="37" t="str">
        <f t="shared" si="12"/>
        <v>847.8470620.1.425350.000000.847001.200179</v>
      </c>
      <c r="P193" s="32" t="s">
        <v>1171</v>
      </c>
      <c r="Q193" s="30" t="s">
        <v>157</v>
      </c>
      <c r="R193" s="32">
        <v>1</v>
      </c>
      <c r="S193" s="33">
        <v>121000</v>
      </c>
      <c r="T193" s="32" t="s">
        <v>1318</v>
      </c>
      <c r="U193" s="33">
        <v>121000</v>
      </c>
      <c r="V193" s="32" t="s">
        <v>55</v>
      </c>
      <c r="W193" s="32" t="s">
        <v>56</v>
      </c>
      <c r="X193" s="30" t="s">
        <v>295</v>
      </c>
      <c r="Y193" s="70">
        <f t="shared" si="13"/>
        <v>0</v>
      </c>
    </row>
    <row r="194" spans="1:25" s="39" customFormat="1" ht="14" customHeight="1" x14ac:dyDescent="0.35">
      <c r="A194" s="32" t="s">
        <v>63</v>
      </c>
      <c r="B194" s="32" t="s">
        <v>64</v>
      </c>
      <c r="C194" s="32" t="s">
        <v>47</v>
      </c>
      <c r="D194" s="32">
        <v>847</v>
      </c>
      <c r="E194" s="32">
        <v>8470620</v>
      </c>
      <c r="F194" s="32" t="s">
        <v>1150</v>
      </c>
      <c r="G194" s="32">
        <v>1</v>
      </c>
      <c r="H194" s="32">
        <v>426610</v>
      </c>
      <c r="I194" s="30" t="s">
        <v>74</v>
      </c>
      <c r="J194" s="32" t="s">
        <v>60</v>
      </c>
      <c r="K194" s="32" t="s">
        <v>50</v>
      </c>
      <c r="L194" s="32">
        <v>847001</v>
      </c>
      <c r="M194" s="32" t="s">
        <v>61</v>
      </c>
      <c r="N194" s="32">
        <v>200179</v>
      </c>
      <c r="O194" s="37" t="str">
        <f t="shared" si="12"/>
        <v>847.8470620.1.426610.000000.847001.200179</v>
      </c>
      <c r="P194" s="32" t="s">
        <v>274</v>
      </c>
      <c r="Q194" s="30" t="s">
        <v>157</v>
      </c>
      <c r="R194" s="32">
        <v>11</v>
      </c>
      <c r="S194" s="33">
        <v>2880</v>
      </c>
      <c r="T194" s="32" t="s">
        <v>1319</v>
      </c>
      <c r="U194" s="33">
        <v>31680</v>
      </c>
      <c r="V194" s="32" t="s">
        <v>55</v>
      </c>
      <c r="W194" s="32" t="s">
        <v>56</v>
      </c>
      <c r="X194" s="30" t="s">
        <v>272</v>
      </c>
      <c r="Y194" s="70">
        <f t="shared" si="13"/>
        <v>0</v>
      </c>
    </row>
    <row r="195" spans="1:25" s="39" customFormat="1" ht="14" customHeight="1" x14ac:dyDescent="0.35">
      <c r="A195" s="32" t="s">
        <v>189</v>
      </c>
      <c r="B195" s="32" t="s">
        <v>58</v>
      </c>
      <c r="C195" s="32" t="s">
        <v>47</v>
      </c>
      <c r="D195" s="32">
        <v>847</v>
      </c>
      <c r="E195" s="32">
        <v>8470620</v>
      </c>
      <c r="F195" s="32" t="s">
        <v>1150</v>
      </c>
      <c r="G195" s="32">
        <v>1</v>
      </c>
      <c r="H195" s="32">
        <v>436120</v>
      </c>
      <c r="I195" s="30" t="s">
        <v>291</v>
      </c>
      <c r="J195" s="32" t="s">
        <v>60</v>
      </c>
      <c r="K195" s="32" t="s">
        <v>50</v>
      </c>
      <c r="L195" s="32">
        <v>847001</v>
      </c>
      <c r="M195" s="32" t="s">
        <v>61</v>
      </c>
      <c r="N195" s="32">
        <v>200179</v>
      </c>
      <c r="O195" s="37" t="str">
        <f t="shared" ref="O195:O258" si="17">CONCATENATE(D195,".",E195,".",G195,".",H195,".",J195,".",L195,".",N195)</f>
        <v>847.8470620.1.436120.000000.847001.200179</v>
      </c>
      <c r="P195" s="32" t="s">
        <v>292</v>
      </c>
      <c r="Q195" s="30" t="s">
        <v>157</v>
      </c>
      <c r="R195" s="32">
        <v>5000</v>
      </c>
      <c r="S195" s="33">
        <v>1</v>
      </c>
      <c r="T195" s="32" t="s">
        <v>1320</v>
      </c>
      <c r="U195" s="33">
        <v>5000</v>
      </c>
      <c r="V195" s="32" t="s">
        <v>55</v>
      </c>
      <c r="W195" s="32" t="s">
        <v>56</v>
      </c>
      <c r="X195" s="30" t="s">
        <v>295</v>
      </c>
      <c r="Y195" s="70">
        <f t="shared" ref="Y195:Y258" si="18">(R195*S195)-U195</f>
        <v>0</v>
      </c>
    </row>
    <row r="196" spans="1:25" s="39" customFormat="1" ht="14" customHeight="1" x14ac:dyDescent="0.35">
      <c r="A196" s="32" t="s">
        <v>189</v>
      </c>
      <c r="B196" s="32" t="s">
        <v>265</v>
      </c>
      <c r="C196" s="32" t="s">
        <v>47</v>
      </c>
      <c r="D196" s="32">
        <v>847</v>
      </c>
      <c r="E196" s="32">
        <v>8470620</v>
      </c>
      <c r="F196" s="32" t="s">
        <v>1150</v>
      </c>
      <c r="G196" s="32">
        <v>1</v>
      </c>
      <c r="H196" s="32">
        <v>425900</v>
      </c>
      <c r="I196" s="30" t="s">
        <v>266</v>
      </c>
      <c r="J196" s="32" t="s">
        <v>60</v>
      </c>
      <c r="K196" s="32" t="s">
        <v>50</v>
      </c>
      <c r="L196" s="32">
        <v>847001</v>
      </c>
      <c r="M196" s="32" t="s">
        <v>61</v>
      </c>
      <c r="N196" s="32">
        <v>200179</v>
      </c>
      <c r="O196" s="37" t="str">
        <f t="shared" si="17"/>
        <v>847.8470620.1.425900.000000.847001.200179</v>
      </c>
      <c r="P196" s="32" t="s">
        <v>268</v>
      </c>
      <c r="Q196" s="30" t="s">
        <v>269</v>
      </c>
      <c r="R196" s="32">
        <v>1</v>
      </c>
      <c r="S196" s="33">
        <v>8000</v>
      </c>
      <c r="T196" s="32" t="s">
        <v>1321</v>
      </c>
      <c r="U196" s="33">
        <v>8000</v>
      </c>
      <c r="V196" s="32" t="s">
        <v>55</v>
      </c>
      <c r="W196" s="32" t="s">
        <v>56</v>
      </c>
      <c r="X196" s="30" t="s">
        <v>272</v>
      </c>
      <c r="Y196" s="70">
        <f t="shared" si="18"/>
        <v>0</v>
      </c>
    </row>
    <row r="197" spans="1:25" s="39" customFormat="1" ht="14" customHeight="1" x14ac:dyDescent="0.35">
      <c r="A197" s="32" t="s">
        <v>245</v>
      </c>
      <c r="B197" s="32" t="s">
        <v>246</v>
      </c>
      <c r="C197" s="32" t="s">
        <v>47</v>
      </c>
      <c r="D197" s="32">
        <v>847</v>
      </c>
      <c r="E197" s="32">
        <v>8470630</v>
      </c>
      <c r="F197" s="32" t="s">
        <v>1183</v>
      </c>
      <c r="G197" s="32">
        <v>1</v>
      </c>
      <c r="H197" s="32">
        <v>425100</v>
      </c>
      <c r="I197" s="30" t="s">
        <v>1184</v>
      </c>
      <c r="J197" s="32" t="s">
        <v>60</v>
      </c>
      <c r="K197" s="32" t="s">
        <v>50</v>
      </c>
      <c r="L197" s="32">
        <v>847001</v>
      </c>
      <c r="M197" s="32" t="s">
        <v>61</v>
      </c>
      <c r="N197" s="32">
        <v>200179</v>
      </c>
      <c r="O197" s="37" t="str">
        <f t="shared" si="17"/>
        <v>847.8470630.1.425100.000000.847001.200179</v>
      </c>
      <c r="P197" s="32" t="s">
        <v>1185</v>
      </c>
      <c r="Q197" s="30" t="s">
        <v>269</v>
      </c>
      <c r="R197" s="32">
        <v>4</v>
      </c>
      <c r="S197" s="33">
        <v>25000</v>
      </c>
      <c r="T197" s="32" t="s">
        <v>1186</v>
      </c>
      <c r="U197" s="33">
        <v>100000</v>
      </c>
      <c r="V197" s="32" t="s">
        <v>55</v>
      </c>
      <c r="W197" s="32" t="s">
        <v>56</v>
      </c>
      <c r="X197" s="30" t="s">
        <v>816</v>
      </c>
      <c r="Y197" s="70">
        <f t="shared" si="18"/>
        <v>0</v>
      </c>
    </row>
    <row r="198" spans="1:25" s="39" customFormat="1" ht="14" customHeight="1" x14ac:dyDescent="0.35">
      <c r="A198" s="32" t="s">
        <v>245</v>
      </c>
      <c r="B198" s="32" t="s">
        <v>58</v>
      </c>
      <c r="C198" s="32" t="s">
        <v>47</v>
      </c>
      <c r="D198" s="32">
        <v>847</v>
      </c>
      <c r="E198" s="32">
        <v>8470630</v>
      </c>
      <c r="F198" s="32" t="s">
        <v>1183</v>
      </c>
      <c r="G198" s="32">
        <v>1</v>
      </c>
      <c r="H198" s="32">
        <v>425550</v>
      </c>
      <c r="I198" s="30" t="s">
        <v>253</v>
      </c>
      <c r="J198" s="32" t="s">
        <v>60</v>
      </c>
      <c r="K198" s="32" t="s">
        <v>50</v>
      </c>
      <c r="L198" s="32">
        <v>847001</v>
      </c>
      <c r="M198" s="32" t="s">
        <v>61</v>
      </c>
      <c r="N198" s="32">
        <v>200179</v>
      </c>
      <c r="O198" s="37" t="str">
        <f t="shared" si="17"/>
        <v>847.8470630.1.425550.000000.847001.200179</v>
      </c>
      <c r="P198" s="32" t="s">
        <v>615</v>
      </c>
      <c r="Q198" s="30" t="s">
        <v>616</v>
      </c>
      <c r="R198" s="32">
        <v>4</v>
      </c>
      <c r="S198" s="33">
        <v>50000</v>
      </c>
      <c r="T198" s="32" t="s">
        <v>1188</v>
      </c>
      <c r="U198" s="33">
        <v>200000</v>
      </c>
      <c r="V198" s="32" t="s">
        <v>55</v>
      </c>
      <c r="W198" s="32" t="s">
        <v>56</v>
      </c>
      <c r="X198" s="30" t="s">
        <v>816</v>
      </c>
      <c r="Y198" s="70">
        <f t="shared" si="18"/>
        <v>0</v>
      </c>
    </row>
    <row r="199" spans="1:25" s="39" customFormat="1" ht="14" customHeight="1" x14ac:dyDescent="0.35">
      <c r="A199" s="32" t="s">
        <v>245</v>
      </c>
      <c r="B199" s="32" t="s">
        <v>58</v>
      </c>
      <c r="C199" s="32" t="s">
        <v>47</v>
      </c>
      <c r="D199" s="32">
        <v>847</v>
      </c>
      <c r="E199" s="32">
        <v>8470630</v>
      </c>
      <c r="F199" s="32" t="s">
        <v>1183</v>
      </c>
      <c r="G199" s="32">
        <v>1</v>
      </c>
      <c r="H199" s="32">
        <v>427200</v>
      </c>
      <c r="I199" s="30" t="s">
        <v>1085</v>
      </c>
      <c r="J199" s="32" t="s">
        <v>60</v>
      </c>
      <c r="K199" s="32" t="s">
        <v>50</v>
      </c>
      <c r="L199" s="32">
        <v>847001</v>
      </c>
      <c r="M199" s="32" t="s">
        <v>61</v>
      </c>
      <c r="N199" s="32">
        <v>200179</v>
      </c>
      <c r="O199" s="37" t="str">
        <f t="shared" si="17"/>
        <v>847.8470630.1.427200.000000.847001.200179</v>
      </c>
      <c r="P199" s="32" t="s">
        <v>1087</v>
      </c>
      <c r="Q199" s="30" t="s">
        <v>269</v>
      </c>
      <c r="R199" s="32">
        <v>10</v>
      </c>
      <c r="S199" s="33">
        <v>1000</v>
      </c>
      <c r="T199" s="32" t="s">
        <v>1189</v>
      </c>
      <c r="U199" s="33">
        <v>10000</v>
      </c>
      <c r="V199" s="32" t="s">
        <v>55</v>
      </c>
      <c r="W199" s="32" t="s">
        <v>56</v>
      </c>
      <c r="X199" s="30" t="s">
        <v>816</v>
      </c>
      <c r="Y199" s="70">
        <f t="shared" si="18"/>
        <v>0</v>
      </c>
    </row>
    <row r="200" spans="1:25" s="39" customFormat="1" ht="14" customHeight="1" x14ac:dyDescent="0.35">
      <c r="A200" s="32" t="s">
        <v>222</v>
      </c>
      <c r="B200" s="32" t="s">
        <v>58</v>
      </c>
      <c r="C200" s="32" t="s">
        <v>47</v>
      </c>
      <c r="D200" s="20">
        <v>847</v>
      </c>
      <c r="E200" s="32">
        <v>8470630</v>
      </c>
      <c r="F200" s="32" t="s">
        <v>1183</v>
      </c>
      <c r="G200" s="20">
        <v>1</v>
      </c>
      <c r="H200" s="32">
        <v>436600</v>
      </c>
      <c r="I200" s="30" t="s">
        <v>416</v>
      </c>
      <c r="J200" s="32" t="s">
        <v>60</v>
      </c>
      <c r="K200" s="32" t="s">
        <v>50</v>
      </c>
      <c r="L200" s="32" t="s">
        <v>51</v>
      </c>
      <c r="M200" s="32" t="s">
        <v>61</v>
      </c>
      <c r="N200" s="32">
        <v>200179</v>
      </c>
      <c r="O200" s="37" t="str">
        <f t="shared" si="17"/>
        <v>847.8470630.1.436600.000000.847001.200179</v>
      </c>
      <c r="P200" s="32" t="s">
        <v>418</v>
      </c>
      <c r="Q200" s="30" t="s">
        <v>157</v>
      </c>
      <c r="R200" s="32">
        <v>4</v>
      </c>
      <c r="S200" s="33">
        <v>3000</v>
      </c>
      <c r="T200" s="32"/>
      <c r="U200" s="33">
        <v>12000</v>
      </c>
      <c r="V200" s="32" t="s">
        <v>210</v>
      </c>
      <c r="W200" s="32" t="s">
        <v>56</v>
      </c>
      <c r="X200" s="30" t="s">
        <v>816</v>
      </c>
      <c r="Y200" s="70">
        <f t="shared" si="18"/>
        <v>0</v>
      </c>
    </row>
    <row r="201" spans="1:25" s="39" customFormat="1" ht="14" customHeight="1" x14ac:dyDescent="0.35">
      <c r="A201" s="32" t="s">
        <v>189</v>
      </c>
      <c r="B201" s="32" t="s">
        <v>265</v>
      </c>
      <c r="C201" s="32" t="s">
        <v>47</v>
      </c>
      <c r="D201" s="32">
        <v>847</v>
      </c>
      <c r="E201" s="32">
        <v>8470730</v>
      </c>
      <c r="F201" s="32" t="s">
        <v>1190</v>
      </c>
      <c r="G201" s="32">
        <v>1</v>
      </c>
      <c r="H201" s="32">
        <v>425900</v>
      </c>
      <c r="I201" s="30" t="s">
        <v>74</v>
      </c>
      <c r="J201" s="32" t="s">
        <v>60</v>
      </c>
      <c r="K201" s="32" t="s">
        <v>50</v>
      </c>
      <c r="L201" s="32">
        <v>847001</v>
      </c>
      <c r="M201" s="32" t="s">
        <v>61</v>
      </c>
      <c r="N201" s="32">
        <v>200179</v>
      </c>
      <c r="O201" s="37" t="str">
        <f t="shared" si="17"/>
        <v>847.8470730.1.425900.000000.847001.200179</v>
      </c>
      <c r="P201" s="71" t="s">
        <v>274</v>
      </c>
      <c r="Q201" s="30" t="s">
        <v>1109</v>
      </c>
      <c r="R201" s="30">
        <v>1</v>
      </c>
      <c r="S201" s="31">
        <v>175000</v>
      </c>
      <c r="T201" s="30" t="s">
        <v>1196</v>
      </c>
      <c r="U201" s="31">
        <v>175000</v>
      </c>
      <c r="V201" s="32" t="s">
        <v>55</v>
      </c>
      <c r="W201" s="32" t="s">
        <v>56</v>
      </c>
      <c r="X201" s="30" t="s">
        <v>816</v>
      </c>
      <c r="Y201" s="70">
        <f t="shared" si="18"/>
        <v>0</v>
      </c>
    </row>
    <row r="202" spans="1:25" s="39" customFormat="1" ht="14" customHeight="1" x14ac:dyDescent="0.35">
      <c r="A202" s="32" t="s">
        <v>63</v>
      </c>
      <c r="B202" s="32" t="s">
        <v>64</v>
      </c>
      <c r="C202" s="32" t="s">
        <v>47</v>
      </c>
      <c r="D202" s="32">
        <v>847</v>
      </c>
      <c r="E202" s="32">
        <v>8470730</v>
      </c>
      <c r="F202" s="32" t="s">
        <v>1190</v>
      </c>
      <c r="G202" s="32">
        <v>1</v>
      </c>
      <c r="H202" s="32">
        <v>426610</v>
      </c>
      <c r="I202" s="30" t="s">
        <v>74</v>
      </c>
      <c r="J202" s="32" t="s">
        <v>60</v>
      </c>
      <c r="K202" s="32" t="s">
        <v>50</v>
      </c>
      <c r="L202" s="32">
        <v>847001</v>
      </c>
      <c r="M202" s="32" t="s">
        <v>61</v>
      </c>
      <c r="N202" s="32">
        <v>200179</v>
      </c>
      <c r="O202" s="37" t="str">
        <f t="shared" si="17"/>
        <v>847.8470730.1.426610.000000.847001.200179</v>
      </c>
      <c r="P202" s="71" t="s">
        <v>274</v>
      </c>
      <c r="Q202" s="30" t="s">
        <v>1109</v>
      </c>
      <c r="R202" s="30">
        <v>1</v>
      </c>
      <c r="S202" s="31">
        <v>300000</v>
      </c>
      <c r="T202" s="30" t="s">
        <v>1200</v>
      </c>
      <c r="U202" s="31">
        <v>300000</v>
      </c>
      <c r="V202" s="32" t="s">
        <v>55</v>
      </c>
      <c r="W202" s="32" t="s">
        <v>56</v>
      </c>
      <c r="X202" s="30" t="s">
        <v>816</v>
      </c>
      <c r="Y202" s="70">
        <f t="shared" si="18"/>
        <v>0</v>
      </c>
    </row>
    <row r="203" spans="1:25" s="39" customFormat="1" ht="14" customHeight="1" x14ac:dyDescent="0.35">
      <c r="A203" s="32" t="s">
        <v>189</v>
      </c>
      <c r="B203" s="32" t="s">
        <v>58</v>
      </c>
      <c r="C203" s="32" t="s">
        <v>47</v>
      </c>
      <c r="D203" s="32">
        <v>847</v>
      </c>
      <c r="E203" s="32">
        <v>8470730</v>
      </c>
      <c r="F203" s="32" t="s">
        <v>1190</v>
      </c>
      <c r="G203" s="32">
        <v>1</v>
      </c>
      <c r="H203" s="32">
        <v>427900</v>
      </c>
      <c r="I203" s="30" t="s">
        <v>1205</v>
      </c>
      <c r="J203" s="32" t="s">
        <v>60</v>
      </c>
      <c r="K203" s="32" t="s">
        <v>50</v>
      </c>
      <c r="L203" s="32">
        <v>847001</v>
      </c>
      <c r="M203" s="32" t="s">
        <v>61</v>
      </c>
      <c r="N203" s="32">
        <v>200179</v>
      </c>
      <c r="O203" s="37" t="str">
        <f t="shared" si="17"/>
        <v>847.8470730.1.427900.000000.847001.200179</v>
      </c>
      <c r="P203" s="71" t="s">
        <v>1207</v>
      </c>
      <c r="Q203" s="30" t="s">
        <v>1109</v>
      </c>
      <c r="R203" s="32">
        <v>100</v>
      </c>
      <c r="S203" s="33">
        <v>100</v>
      </c>
      <c r="T203" s="72" t="s">
        <v>1208</v>
      </c>
      <c r="U203" s="33">
        <v>10000</v>
      </c>
      <c r="V203" s="32" t="s">
        <v>55</v>
      </c>
      <c r="W203" s="32" t="s">
        <v>56</v>
      </c>
      <c r="X203" s="30" t="s">
        <v>816</v>
      </c>
      <c r="Y203" s="70">
        <f t="shared" si="18"/>
        <v>0</v>
      </c>
    </row>
    <row r="204" spans="1:25" s="39" customFormat="1" ht="14" customHeight="1" x14ac:dyDescent="0.35">
      <c r="A204" s="32" t="s">
        <v>245</v>
      </c>
      <c r="B204" s="32" t="s">
        <v>246</v>
      </c>
      <c r="C204" s="32" t="s">
        <v>47</v>
      </c>
      <c r="D204" s="32">
        <v>847</v>
      </c>
      <c r="E204" s="32">
        <v>8470730</v>
      </c>
      <c r="F204" s="32" t="s">
        <v>1190</v>
      </c>
      <c r="G204" s="32">
        <v>1</v>
      </c>
      <c r="H204" s="32">
        <v>428640</v>
      </c>
      <c r="I204" s="30" t="s">
        <v>279</v>
      </c>
      <c r="J204" s="32" t="s">
        <v>60</v>
      </c>
      <c r="K204" s="32" t="s">
        <v>50</v>
      </c>
      <c r="L204" s="32">
        <v>847001</v>
      </c>
      <c r="M204" s="32" t="s">
        <v>61</v>
      </c>
      <c r="N204" s="32">
        <v>200179</v>
      </c>
      <c r="O204" s="37" t="str">
        <f t="shared" si="17"/>
        <v>847.8470730.1.428640.000000.847001.200179</v>
      </c>
      <c r="P204" s="71" t="s">
        <v>281</v>
      </c>
      <c r="Q204" s="30" t="s">
        <v>1109</v>
      </c>
      <c r="R204" s="30">
        <v>1</v>
      </c>
      <c r="S204" s="31">
        <v>500000</v>
      </c>
      <c r="T204" s="30" t="s">
        <v>1202</v>
      </c>
      <c r="U204" s="31">
        <v>500000</v>
      </c>
      <c r="V204" s="32" t="s">
        <v>55</v>
      </c>
      <c r="W204" s="32" t="s">
        <v>56</v>
      </c>
      <c r="X204" s="30" t="s">
        <v>816</v>
      </c>
      <c r="Y204" s="70">
        <f t="shared" si="18"/>
        <v>0</v>
      </c>
    </row>
    <row r="205" spans="1:25" s="39" customFormat="1" ht="14" customHeight="1" x14ac:dyDescent="0.35">
      <c r="A205" s="32" t="s">
        <v>189</v>
      </c>
      <c r="B205" s="32" t="s">
        <v>58</v>
      </c>
      <c r="C205" s="32" t="s">
        <v>47</v>
      </c>
      <c r="D205" s="32">
        <v>847</v>
      </c>
      <c r="E205" s="32">
        <v>8470730</v>
      </c>
      <c r="F205" s="32" t="s">
        <v>1190</v>
      </c>
      <c r="G205" s="32">
        <v>1</v>
      </c>
      <c r="H205" s="32">
        <v>436110</v>
      </c>
      <c r="I205" s="30" t="s">
        <v>190</v>
      </c>
      <c r="J205" s="32" t="s">
        <v>60</v>
      </c>
      <c r="K205" s="32" t="s">
        <v>50</v>
      </c>
      <c r="L205" s="32">
        <v>847001</v>
      </c>
      <c r="M205" s="32" t="s">
        <v>61</v>
      </c>
      <c r="N205" s="32">
        <v>200179</v>
      </c>
      <c r="O205" s="37" t="str">
        <f t="shared" si="17"/>
        <v>847.8470730.1.436110.000000.847001.200179</v>
      </c>
      <c r="P205" s="71" t="s">
        <v>488</v>
      </c>
      <c r="Q205" s="30" t="s">
        <v>1109</v>
      </c>
      <c r="R205" s="30">
        <v>100</v>
      </c>
      <c r="S205" s="31">
        <v>100</v>
      </c>
      <c r="T205" s="30" t="s">
        <v>1204</v>
      </c>
      <c r="U205" s="31">
        <v>10000</v>
      </c>
      <c r="V205" s="32" t="s">
        <v>55</v>
      </c>
      <c r="W205" s="32" t="s">
        <v>56</v>
      </c>
      <c r="X205" s="30" t="s">
        <v>816</v>
      </c>
      <c r="Y205" s="70">
        <f t="shared" si="18"/>
        <v>0</v>
      </c>
    </row>
    <row r="206" spans="1:25" s="39" customFormat="1" ht="14" customHeight="1" x14ac:dyDescent="0.35">
      <c r="A206" s="32" t="s">
        <v>189</v>
      </c>
      <c r="B206" s="32" t="s">
        <v>265</v>
      </c>
      <c r="C206" s="32" t="s">
        <v>1209</v>
      </c>
      <c r="D206" s="32">
        <v>847</v>
      </c>
      <c r="E206" s="32">
        <v>8471110</v>
      </c>
      <c r="F206" s="32" t="s">
        <v>1210</v>
      </c>
      <c r="G206" s="32">
        <v>1</v>
      </c>
      <c r="H206" s="32">
        <v>425900</v>
      </c>
      <c r="I206" s="30" t="s">
        <v>266</v>
      </c>
      <c r="J206" s="32" t="s">
        <v>60</v>
      </c>
      <c r="K206" s="32" t="s">
        <v>50</v>
      </c>
      <c r="L206" s="32">
        <v>847001</v>
      </c>
      <c r="M206" s="32" t="s">
        <v>61</v>
      </c>
      <c r="N206" s="32">
        <v>200179</v>
      </c>
      <c r="O206" s="37" t="str">
        <f t="shared" si="17"/>
        <v>847.8471110.1.425900.000000.847001.200179</v>
      </c>
      <c r="P206" s="32" t="s">
        <v>268</v>
      </c>
      <c r="Q206" s="30" t="s">
        <v>269</v>
      </c>
      <c r="R206" s="32">
        <v>10</v>
      </c>
      <c r="S206" s="33">
        <v>3000</v>
      </c>
      <c r="T206" s="32" t="s">
        <v>1212</v>
      </c>
      <c r="U206" s="33">
        <v>30000</v>
      </c>
      <c r="V206" s="32" t="s">
        <v>55</v>
      </c>
      <c r="W206" s="32" t="s">
        <v>56</v>
      </c>
      <c r="X206" s="30" t="s">
        <v>618</v>
      </c>
      <c r="Y206" s="70">
        <f t="shared" si="18"/>
        <v>0</v>
      </c>
    </row>
    <row r="207" spans="1:25" s="39" customFormat="1" ht="14" customHeight="1" x14ac:dyDescent="0.35">
      <c r="A207" s="32" t="s">
        <v>222</v>
      </c>
      <c r="B207" s="32" t="s">
        <v>58</v>
      </c>
      <c r="C207" s="32" t="s">
        <v>1209</v>
      </c>
      <c r="D207" s="32">
        <v>847</v>
      </c>
      <c r="E207" s="32">
        <v>8471110</v>
      </c>
      <c r="F207" s="32" t="s">
        <v>1210</v>
      </c>
      <c r="G207" s="32">
        <v>1</v>
      </c>
      <c r="H207" s="32">
        <v>427710</v>
      </c>
      <c r="I207" s="30" t="s">
        <v>1090</v>
      </c>
      <c r="J207" s="32" t="s">
        <v>60</v>
      </c>
      <c r="K207" s="32" t="s">
        <v>50</v>
      </c>
      <c r="L207" s="32">
        <v>847001</v>
      </c>
      <c r="M207" s="32" t="s">
        <v>61</v>
      </c>
      <c r="N207" s="32">
        <v>200179</v>
      </c>
      <c r="O207" s="37" t="str">
        <f t="shared" si="17"/>
        <v>847.8471110.1.427710.000000.847001.200179</v>
      </c>
      <c r="P207" s="32" t="s">
        <v>1092</v>
      </c>
      <c r="Q207" s="30" t="s">
        <v>157</v>
      </c>
      <c r="R207" s="32">
        <v>5</v>
      </c>
      <c r="S207" s="33">
        <v>96368</v>
      </c>
      <c r="T207" s="32" t="s">
        <v>1216</v>
      </c>
      <c r="U207" s="33">
        <v>481840</v>
      </c>
      <c r="V207" s="32" t="s">
        <v>55</v>
      </c>
      <c r="W207" s="32" t="s">
        <v>56</v>
      </c>
      <c r="X207" s="30" t="s">
        <v>391</v>
      </c>
      <c r="Y207" s="70">
        <f t="shared" si="18"/>
        <v>0</v>
      </c>
    </row>
    <row r="208" spans="1:25" s="39" customFormat="1" ht="14" customHeight="1" x14ac:dyDescent="0.35">
      <c r="A208" s="32" t="s">
        <v>153</v>
      </c>
      <c r="B208" s="32" t="s">
        <v>58</v>
      </c>
      <c r="C208" s="32" t="s">
        <v>1209</v>
      </c>
      <c r="D208" s="32">
        <v>847</v>
      </c>
      <c r="E208" s="32">
        <v>8471110</v>
      </c>
      <c r="F208" s="32" t="s">
        <v>1210</v>
      </c>
      <c r="G208" s="32">
        <v>1</v>
      </c>
      <c r="H208" s="32">
        <v>428090</v>
      </c>
      <c r="I208" s="30" t="s">
        <v>154</v>
      </c>
      <c r="J208" s="32" t="s">
        <v>60</v>
      </c>
      <c r="K208" s="32" t="s">
        <v>50</v>
      </c>
      <c r="L208" s="32">
        <v>847001</v>
      </c>
      <c r="M208" s="32" t="s">
        <v>61</v>
      </c>
      <c r="N208" s="32">
        <v>200179</v>
      </c>
      <c r="O208" s="37" t="str">
        <f t="shared" si="17"/>
        <v>847.8471110.1.428090.000000.847001.200179</v>
      </c>
      <c r="P208" s="32" t="s">
        <v>156</v>
      </c>
      <c r="Q208" s="30" t="s">
        <v>157</v>
      </c>
      <c r="R208" s="32">
        <v>5</v>
      </c>
      <c r="S208" s="33">
        <v>30000</v>
      </c>
      <c r="T208" s="32" t="s">
        <v>1221</v>
      </c>
      <c r="U208" s="33">
        <v>150000</v>
      </c>
      <c r="V208" s="32" t="s">
        <v>55</v>
      </c>
      <c r="W208" s="32" t="s">
        <v>56</v>
      </c>
      <c r="X208" s="30" t="s">
        <v>237</v>
      </c>
      <c r="Y208" s="70">
        <f t="shared" si="18"/>
        <v>0</v>
      </c>
    </row>
    <row r="209" spans="1:25" s="39" customFormat="1" ht="14" customHeight="1" x14ac:dyDescent="0.35">
      <c r="A209" s="32" t="s">
        <v>63</v>
      </c>
      <c r="B209" s="32" t="s">
        <v>64</v>
      </c>
      <c r="C209" s="32" t="s">
        <v>1209</v>
      </c>
      <c r="D209" s="32">
        <v>847</v>
      </c>
      <c r="E209" s="32">
        <v>8471130</v>
      </c>
      <c r="F209" s="32" t="s">
        <v>1225</v>
      </c>
      <c r="G209" s="32">
        <v>1</v>
      </c>
      <c r="H209" s="32">
        <v>420811</v>
      </c>
      <c r="I209" s="30" t="s">
        <v>65</v>
      </c>
      <c r="J209" s="32" t="s">
        <v>60</v>
      </c>
      <c r="K209" s="32" t="s">
        <v>50</v>
      </c>
      <c r="L209" s="32">
        <v>847001</v>
      </c>
      <c r="M209" s="32" t="s">
        <v>61</v>
      </c>
      <c r="N209" s="32">
        <v>200179</v>
      </c>
      <c r="O209" s="37" t="str">
        <f t="shared" si="17"/>
        <v>847.8471130.1.420811.000000.847001.200179</v>
      </c>
      <c r="P209" s="32" t="s">
        <v>67</v>
      </c>
      <c r="Q209" s="30" t="s">
        <v>68</v>
      </c>
      <c r="R209" s="32">
        <v>12</v>
      </c>
      <c r="S209" s="33">
        <v>15000</v>
      </c>
      <c r="T209" s="32" t="s">
        <v>1326</v>
      </c>
      <c r="U209" s="33">
        <v>180000</v>
      </c>
      <c r="V209" s="32" t="s">
        <v>55</v>
      </c>
      <c r="W209" s="32" t="s">
        <v>56</v>
      </c>
      <c r="X209" s="30" t="s">
        <v>689</v>
      </c>
      <c r="Y209" s="70">
        <f t="shared" si="18"/>
        <v>0</v>
      </c>
    </row>
    <row r="210" spans="1:25" s="39" customFormat="1" ht="14" customHeight="1" x14ac:dyDescent="0.35">
      <c r="A210" s="32" t="s">
        <v>63</v>
      </c>
      <c r="B210" s="32" t="s">
        <v>64</v>
      </c>
      <c r="C210" s="32" t="s">
        <v>1209</v>
      </c>
      <c r="D210" s="32">
        <v>847</v>
      </c>
      <c r="E210" s="32">
        <v>8471130</v>
      </c>
      <c r="F210" s="32" t="s">
        <v>1225</v>
      </c>
      <c r="G210" s="32">
        <v>1</v>
      </c>
      <c r="H210" s="32">
        <v>426610</v>
      </c>
      <c r="I210" s="30" t="s">
        <v>74</v>
      </c>
      <c r="J210" s="32" t="s">
        <v>60</v>
      </c>
      <c r="K210" s="32" t="s">
        <v>50</v>
      </c>
      <c r="L210" s="32">
        <v>847001</v>
      </c>
      <c r="M210" s="32" t="s">
        <v>61</v>
      </c>
      <c r="N210" s="32">
        <v>200179</v>
      </c>
      <c r="O210" s="37" t="str">
        <f t="shared" si="17"/>
        <v>847.8471130.1.426610.000000.847001.200179</v>
      </c>
      <c r="P210" s="32" t="s">
        <v>615</v>
      </c>
      <c r="Q210" s="30" t="s">
        <v>616</v>
      </c>
      <c r="R210" s="32">
        <v>6</v>
      </c>
      <c r="S210" s="33">
        <v>20000</v>
      </c>
      <c r="T210" s="32" t="s">
        <v>1327</v>
      </c>
      <c r="U210" s="33">
        <v>120000</v>
      </c>
      <c r="V210" s="32" t="s">
        <v>55</v>
      </c>
      <c r="W210" s="32" t="s">
        <v>56</v>
      </c>
      <c r="X210" s="30" t="s">
        <v>391</v>
      </c>
      <c r="Y210" s="70">
        <f t="shared" si="18"/>
        <v>0</v>
      </c>
    </row>
    <row r="211" spans="1:25" s="39" customFormat="1" ht="14" customHeight="1" x14ac:dyDescent="0.35">
      <c r="A211" s="32" t="s">
        <v>189</v>
      </c>
      <c r="B211" s="32" t="s">
        <v>58</v>
      </c>
      <c r="C211" s="32" t="s">
        <v>1209</v>
      </c>
      <c r="D211" s="32">
        <v>847</v>
      </c>
      <c r="E211" s="32">
        <v>8471130</v>
      </c>
      <c r="F211" s="32" t="s">
        <v>1225</v>
      </c>
      <c r="G211" s="32">
        <v>1</v>
      </c>
      <c r="H211" s="32">
        <v>427900</v>
      </c>
      <c r="I211" s="30" t="s">
        <v>1205</v>
      </c>
      <c r="J211" s="32" t="s">
        <v>60</v>
      </c>
      <c r="K211" s="32" t="s">
        <v>50</v>
      </c>
      <c r="L211" s="32">
        <v>847001</v>
      </c>
      <c r="M211" s="32" t="s">
        <v>61</v>
      </c>
      <c r="N211" s="32">
        <v>200179</v>
      </c>
      <c r="O211" s="37" t="str">
        <f t="shared" si="17"/>
        <v>847.8471130.1.427900.000000.847001.200179</v>
      </c>
      <c r="P211" s="32" t="s">
        <v>1235</v>
      </c>
      <c r="Q211" s="30" t="s">
        <v>157</v>
      </c>
      <c r="R211" s="32">
        <v>1</v>
      </c>
      <c r="S211" s="33">
        <v>187500</v>
      </c>
      <c r="T211" s="32" t="s">
        <v>1327</v>
      </c>
      <c r="U211" s="33">
        <v>187500</v>
      </c>
      <c r="V211" s="32" t="s">
        <v>55</v>
      </c>
      <c r="W211" s="32" t="s">
        <v>56</v>
      </c>
      <c r="X211" s="30" t="s">
        <v>391</v>
      </c>
      <c r="Y211" s="70">
        <f t="shared" si="18"/>
        <v>0</v>
      </c>
    </row>
    <row r="212" spans="1:25" s="39" customFormat="1" ht="14" customHeight="1" x14ac:dyDescent="0.35">
      <c r="A212" s="32" t="s">
        <v>153</v>
      </c>
      <c r="B212" s="32" t="s">
        <v>58</v>
      </c>
      <c r="C212" s="32" t="s">
        <v>1209</v>
      </c>
      <c r="D212" s="32">
        <v>847</v>
      </c>
      <c r="E212" s="32">
        <v>8471130</v>
      </c>
      <c r="F212" s="32" t="s">
        <v>1225</v>
      </c>
      <c r="G212" s="32">
        <v>1</v>
      </c>
      <c r="H212" s="32">
        <v>428090</v>
      </c>
      <c r="I212" s="30" t="s">
        <v>154</v>
      </c>
      <c r="J212" s="32" t="s">
        <v>60</v>
      </c>
      <c r="K212" s="32" t="s">
        <v>50</v>
      </c>
      <c r="L212" s="32">
        <v>847001</v>
      </c>
      <c r="M212" s="32" t="s">
        <v>61</v>
      </c>
      <c r="N212" s="32">
        <v>200179</v>
      </c>
      <c r="O212" s="37" t="str">
        <f t="shared" si="17"/>
        <v>847.8471130.1.428090.000000.847001.200179</v>
      </c>
      <c r="P212" s="32" t="s">
        <v>1207</v>
      </c>
      <c r="Q212" s="30" t="s">
        <v>157</v>
      </c>
      <c r="R212" s="32">
        <v>10</v>
      </c>
      <c r="S212" s="33">
        <v>500</v>
      </c>
      <c r="T212" s="32"/>
      <c r="U212" s="33">
        <v>5000</v>
      </c>
      <c r="V212" s="32" t="s">
        <v>55</v>
      </c>
      <c r="W212" s="32" t="s">
        <v>56</v>
      </c>
      <c r="X212" s="30" t="s">
        <v>391</v>
      </c>
      <c r="Y212" s="70">
        <f t="shared" si="18"/>
        <v>0</v>
      </c>
    </row>
    <row r="213" spans="1:25" s="39" customFormat="1" ht="14" customHeight="1" x14ac:dyDescent="0.35">
      <c r="A213" s="32" t="s">
        <v>1242</v>
      </c>
      <c r="B213" s="32" t="s">
        <v>58</v>
      </c>
      <c r="C213" s="32" t="s">
        <v>1209</v>
      </c>
      <c r="D213" s="32">
        <v>847</v>
      </c>
      <c r="E213" s="32">
        <v>8471130</v>
      </c>
      <c r="F213" s="32" t="s">
        <v>1225</v>
      </c>
      <c r="G213" s="32">
        <v>1</v>
      </c>
      <c r="H213" s="32">
        <v>435523</v>
      </c>
      <c r="I213" s="30" t="s">
        <v>1243</v>
      </c>
      <c r="J213" s="32" t="s">
        <v>60</v>
      </c>
      <c r="K213" s="32" t="s">
        <v>50</v>
      </c>
      <c r="L213" s="32">
        <v>847001</v>
      </c>
      <c r="M213" s="32" t="s">
        <v>61</v>
      </c>
      <c r="N213" s="32">
        <v>200179</v>
      </c>
      <c r="O213" s="37" t="str">
        <f t="shared" si="17"/>
        <v>847.8471130.1.435523.000000.847001.200179</v>
      </c>
      <c r="P213" s="32" t="s">
        <v>1245</v>
      </c>
      <c r="Q213" s="30" t="s">
        <v>157</v>
      </c>
      <c r="R213" s="32">
        <v>1</v>
      </c>
      <c r="S213" s="33">
        <v>200000</v>
      </c>
      <c r="T213" s="32"/>
      <c r="U213" s="33">
        <v>200000</v>
      </c>
      <c r="V213" s="32" t="s">
        <v>210</v>
      </c>
      <c r="W213" s="32" t="s">
        <v>56</v>
      </c>
      <c r="X213" s="30" t="s">
        <v>391</v>
      </c>
      <c r="Y213" s="70">
        <f t="shared" si="18"/>
        <v>0</v>
      </c>
    </row>
    <row r="214" spans="1:25" s="39" customFormat="1" ht="14" customHeight="1" x14ac:dyDescent="0.35">
      <c r="A214" s="32" t="s">
        <v>222</v>
      </c>
      <c r="B214" s="32" t="s">
        <v>58</v>
      </c>
      <c r="C214" s="32" t="s">
        <v>1209</v>
      </c>
      <c r="D214" s="32">
        <v>847</v>
      </c>
      <c r="E214" s="32">
        <v>8471140</v>
      </c>
      <c r="F214" s="32" t="s">
        <v>1249</v>
      </c>
      <c r="G214" s="32">
        <v>1</v>
      </c>
      <c r="H214" s="32">
        <v>420570</v>
      </c>
      <c r="I214" s="30" t="s">
        <v>231</v>
      </c>
      <c r="J214" s="32" t="s">
        <v>60</v>
      </c>
      <c r="K214" s="32" t="s">
        <v>50</v>
      </c>
      <c r="L214" s="32">
        <v>847001</v>
      </c>
      <c r="M214" s="32" t="s">
        <v>61</v>
      </c>
      <c r="N214" s="32">
        <v>200179</v>
      </c>
      <c r="O214" s="37" t="str">
        <f t="shared" si="17"/>
        <v>847.8471140.1.420570.000000.847001.200179</v>
      </c>
      <c r="P214" s="32" t="s">
        <v>606</v>
      </c>
      <c r="Q214" s="30" t="s">
        <v>607</v>
      </c>
      <c r="R214" s="32">
        <v>1</v>
      </c>
      <c r="S214" s="33">
        <v>231525</v>
      </c>
      <c r="T214" s="32" t="s">
        <v>1328</v>
      </c>
      <c r="U214" s="33">
        <v>231525</v>
      </c>
      <c r="V214" s="32" t="s">
        <v>55</v>
      </c>
      <c r="W214" s="32" t="s">
        <v>56</v>
      </c>
      <c r="X214" s="30" t="s">
        <v>1255</v>
      </c>
      <c r="Y214" s="70">
        <f t="shared" si="18"/>
        <v>0</v>
      </c>
    </row>
    <row r="215" spans="1:25" s="39" customFormat="1" ht="14" customHeight="1" x14ac:dyDescent="0.35">
      <c r="A215" s="32" t="s">
        <v>153</v>
      </c>
      <c r="B215" s="32" t="s">
        <v>58</v>
      </c>
      <c r="C215" s="32" t="s">
        <v>1209</v>
      </c>
      <c r="D215" s="32">
        <v>847</v>
      </c>
      <c r="E215" s="32">
        <v>8471140</v>
      </c>
      <c r="F215" s="32" t="s">
        <v>1249</v>
      </c>
      <c r="G215" s="32">
        <v>1</v>
      </c>
      <c r="H215" s="32">
        <v>428090</v>
      </c>
      <c r="I215" s="30" t="s">
        <v>154</v>
      </c>
      <c r="J215" s="32" t="s">
        <v>60</v>
      </c>
      <c r="K215" s="32" t="s">
        <v>50</v>
      </c>
      <c r="L215" s="32">
        <v>847001</v>
      </c>
      <c r="M215" s="32" t="s">
        <v>61</v>
      </c>
      <c r="N215" s="32">
        <v>200179</v>
      </c>
      <c r="O215" s="37" t="str">
        <f t="shared" si="17"/>
        <v>847.8471140.1.428090.000000.847001.200179</v>
      </c>
      <c r="P215" s="32" t="s">
        <v>156</v>
      </c>
      <c r="Q215" s="30" t="s">
        <v>62</v>
      </c>
      <c r="R215" s="32">
        <v>6</v>
      </c>
      <c r="S215" s="33">
        <v>20000</v>
      </c>
      <c r="T215" s="32" t="s">
        <v>1256</v>
      </c>
      <c r="U215" s="33">
        <v>120000</v>
      </c>
      <c r="V215" s="32" t="s">
        <v>55</v>
      </c>
      <c r="W215" s="32" t="s">
        <v>56</v>
      </c>
      <c r="X215" s="30" t="s">
        <v>1255</v>
      </c>
      <c r="Y215" s="70">
        <f t="shared" si="18"/>
        <v>0</v>
      </c>
    </row>
    <row r="216" spans="1:25" s="39" customFormat="1" ht="14" customHeight="1" x14ac:dyDescent="0.35">
      <c r="A216" s="32" t="s">
        <v>1242</v>
      </c>
      <c r="B216" s="32" t="s">
        <v>58</v>
      </c>
      <c r="C216" s="32" t="s">
        <v>1209</v>
      </c>
      <c r="D216" s="32">
        <v>847</v>
      </c>
      <c r="E216" s="32">
        <v>8471140</v>
      </c>
      <c r="F216" s="32" t="s">
        <v>1249</v>
      </c>
      <c r="G216" s="32">
        <v>1</v>
      </c>
      <c r="H216" s="32">
        <v>435523</v>
      </c>
      <c r="I216" s="30" t="s">
        <v>1243</v>
      </c>
      <c r="J216" s="32" t="s">
        <v>60</v>
      </c>
      <c r="K216" s="32" t="s">
        <v>50</v>
      </c>
      <c r="L216" s="32">
        <v>847001</v>
      </c>
      <c r="M216" s="32" t="s">
        <v>61</v>
      </c>
      <c r="N216" s="32">
        <v>200179</v>
      </c>
      <c r="O216" s="37" t="str">
        <f t="shared" si="17"/>
        <v>847.8471140.1.435523.000000.847001.200179</v>
      </c>
      <c r="P216" s="32" t="s">
        <v>1245</v>
      </c>
      <c r="Q216" s="30" t="s">
        <v>157</v>
      </c>
      <c r="R216" s="32">
        <v>1</v>
      </c>
      <c r="S216" s="33">
        <v>57684771.469999991</v>
      </c>
      <c r="T216" s="32" t="s">
        <v>1259</v>
      </c>
      <c r="U216" s="33">
        <v>57684771.469999991</v>
      </c>
      <c r="V216" s="32" t="s">
        <v>55</v>
      </c>
      <c r="W216" s="32" t="s">
        <v>56</v>
      </c>
      <c r="X216" s="30" t="s">
        <v>1255</v>
      </c>
      <c r="Y216" s="70">
        <f t="shared" si="18"/>
        <v>0</v>
      </c>
    </row>
    <row r="217" spans="1:25" s="39" customFormat="1" ht="14" customHeight="1" x14ac:dyDescent="0.35">
      <c r="A217" s="32" t="s">
        <v>1242</v>
      </c>
      <c r="B217" s="32" t="s">
        <v>58</v>
      </c>
      <c r="C217" s="32" t="s">
        <v>1209</v>
      </c>
      <c r="D217" s="32">
        <v>847</v>
      </c>
      <c r="E217" s="32">
        <v>8471140</v>
      </c>
      <c r="F217" s="32" t="s">
        <v>1249</v>
      </c>
      <c r="G217" s="32">
        <v>1</v>
      </c>
      <c r="H217" s="32">
        <v>435523</v>
      </c>
      <c r="I217" s="30" t="s">
        <v>1243</v>
      </c>
      <c r="J217" s="32" t="s">
        <v>60</v>
      </c>
      <c r="K217" s="32" t="s">
        <v>50</v>
      </c>
      <c r="L217" s="32">
        <v>847001</v>
      </c>
      <c r="M217" s="32" t="s">
        <v>61</v>
      </c>
      <c r="N217" s="32">
        <v>200179</v>
      </c>
      <c r="O217" s="37" t="str">
        <f t="shared" si="17"/>
        <v>847.8471140.1.435523.000000.847001.200179</v>
      </c>
      <c r="P217" s="32" t="s">
        <v>1245</v>
      </c>
      <c r="Q217" s="30" t="s">
        <v>157</v>
      </c>
      <c r="R217" s="32">
        <v>1</v>
      </c>
      <c r="S217" s="33">
        <v>73445312.5</v>
      </c>
      <c r="T217" s="32" t="s">
        <v>1330</v>
      </c>
      <c r="U217" s="33">
        <v>73445312.5</v>
      </c>
      <c r="V217" s="32" t="s">
        <v>55</v>
      </c>
      <c r="W217" s="32" t="s">
        <v>56</v>
      </c>
      <c r="X217" s="30" t="s">
        <v>1255</v>
      </c>
      <c r="Y217" s="70">
        <f t="shared" si="18"/>
        <v>0</v>
      </c>
    </row>
    <row r="218" spans="1:25" s="39" customFormat="1" ht="14" customHeight="1" x14ac:dyDescent="0.35">
      <c r="A218" s="32" t="s">
        <v>189</v>
      </c>
      <c r="B218" s="32" t="s">
        <v>1264</v>
      </c>
      <c r="C218" s="32" t="s">
        <v>1209</v>
      </c>
      <c r="D218" s="32">
        <v>847</v>
      </c>
      <c r="E218" s="32">
        <v>8471150</v>
      </c>
      <c r="F218" s="32" t="s">
        <v>1265</v>
      </c>
      <c r="G218" s="32">
        <v>1</v>
      </c>
      <c r="H218" s="32">
        <v>420900</v>
      </c>
      <c r="I218" s="30" t="s">
        <v>1266</v>
      </c>
      <c r="J218" s="32" t="s">
        <v>60</v>
      </c>
      <c r="K218" s="32" t="s">
        <v>50</v>
      </c>
      <c r="L218" s="32">
        <v>847001</v>
      </c>
      <c r="M218" s="32" t="s">
        <v>61</v>
      </c>
      <c r="N218" s="32">
        <v>200179</v>
      </c>
      <c r="O218" s="37" t="str">
        <f t="shared" si="17"/>
        <v>847.8471150.1.420900.000000.847001.200179</v>
      </c>
      <c r="P218" s="32" t="s">
        <v>1268</v>
      </c>
      <c r="Q218" s="30" t="s">
        <v>1331</v>
      </c>
      <c r="R218" s="32">
        <v>1</v>
      </c>
      <c r="S218" s="33">
        <v>5725275</v>
      </c>
      <c r="T218" s="32" t="s">
        <v>1332</v>
      </c>
      <c r="U218" s="33">
        <v>5725275</v>
      </c>
      <c r="V218" s="32" t="s">
        <v>55</v>
      </c>
      <c r="W218" s="32" t="s">
        <v>56</v>
      </c>
      <c r="X218" s="30" t="s">
        <v>545</v>
      </c>
      <c r="Y218" s="70">
        <f t="shared" si="18"/>
        <v>0</v>
      </c>
    </row>
    <row r="219" spans="1:25" s="39" customFormat="1" ht="14" customHeight="1" x14ac:dyDescent="0.35">
      <c r="A219" s="32" t="s">
        <v>245</v>
      </c>
      <c r="B219" s="32" t="s">
        <v>246</v>
      </c>
      <c r="C219" s="32" t="s">
        <v>1209</v>
      </c>
      <c r="D219" s="32">
        <v>847</v>
      </c>
      <c r="E219" s="32">
        <v>8471150</v>
      </c>
      <c r="F219" s="32" t="s">
        <v>1265</v>
      </c>
      <c r="G219" s="32">
        <v>1</v>
      </c>
      <c r="H219" s="32">
        <v>425510</v>
      </c>
      <c r="I219" s="30" t="s">
        <v>247</v>
      </c>
      <c r="J219" s="32" t="s">
        <v>60</v>
      </c>
      <c r="K219" s="32" t="s">
        <v>50</v>
      </c>
      <c r="L219" s="32">
        <v>847001</v>
      </c>
      <c r="M219" s="32" t="s">
        <v>61</v>
      </c>
      <c r="N219" s="32">
        <v>200179</v>
      </c>
      <c r="O219" s="37" t="str">
        <f t="shared" si="17"/>
        <v>847.8471150.1.425510.000000.847001.200179</v>
      </c>
      <c r="P219" s="32" t="s">
        <v>514</v>
      </c>
      <c r="Q219" s="30" t="s">
        <v>515</v>
      </c>
      <c r="R219" s="32">
        <v>2</v>
      </c>
      <c r="S219" s="33">
        <v>35000</v>
      </c>
      <c r="T219" s="32" t="s">
        <v>1274</v>
      </c>
      <c r="U219" s="33">
        <v>70000</v>
      </c>
      <c r="V219" s="32" t="s">
        <v>55</v>
      </c>
      <c r="W219" s="32" t="s">
        <v>197</v>
      </c>
      <c r="X219" s="30" t="s">
        <v>1333</v>
      </c>
      <c r="Y219" s="70">
        <f t="shared" si="18"/>
        <v>0</v>
      </c>
    </row>
    <row r="220" spans="1:25" s="39" customFormat="1" ht="14" customHeight="1" x14ac:dyDescent="0.35">
      <c r="A220" s="32" t="s">
        <v>245</v>
      </c>
      <c r="B220" s="32" t="s">
        <v>58</v>
      </c>
      <c r="C220" s="32" t="s">
        <v>1209</v>
      </c>
      <c r="D220" s="32">
        <v>847</v>
      </c>
      <c r="E220" s="32">
        <v>8471150</v>
      </c>
      <c r="F220" s="32" t="s">
        <v>1265</v>
      </c>
      <c r="G220" s="32">
        <v>1</v>
      </c>
      <c r="H220" s="32">
        <v>425550</v>
      </c>
      <c r="I220" s="30" t="s">
        <v>253</v>
      </c>
      <c r="J220" s="32" t="s">
        <v>60</v>
      </c>
      <c r="K220" s="32" t="s">
        <v>50</v>
      </c>
      <c r="L220" s="32">
        <v>847001</v>
      </c>
      <c r="M220" s="32" t="s">
        <v>61</v>
      </c>
      <c r="N220" s="32">
        <v>200179</v>
      </c>
      <c r="O220" s="37" t="str">
        <f t="shared" si="17"/>
        <v>847.8471150.1.425550.000000.847001.200179</v>
      </c>
      <c r="P220" s="32" t="s">
        <v>255</v>
      </c>
      <c r="Q220" s="30" t="s">
        <v>256</v>
      </c>
      <c r="R220" s="32">
        <v>3</v>
      </c>
      <c r="S220" s="33">
        <v>34000</v>
      </c>
      <c r="T220" s="32" t="s">
        <v>1276</v>
      </c>
      <c r="U220" s="33">
        <v>102000</v>
      </c>
      <c r="V220" s="32" t="s">
        <v>55</v>
      </c>
      <c r="W220" s="32" t="s">
        <v>197</v>
      </c>
      <c r="X220" s="30" t="s">
        <v>1333</v>
      </c>
      <c r="Y220" s="70">
        <f t="shared" si="18"/>
        <v>0</v>
      </c>
    </row>
    <row r="221" spans="1:25" s="39" customFormat="1" ht="14" customHeight="1" x14ac:dyDescent="0.35">
      <c r="A221" s="32" t="s">
        <v>63</v>
      </c>
      <c r="B221" s="32" t="s">
        <v>64</v>
      </c>
      <c r="C221" s="32" t="s">
        <v>1209</v>
      </c>
      <c r="D221" s="32">
        <v>847</v>
      </c>
      <c r="E221" s="32">
        <v>8471150</v>
      </c>
      <c r="F221" s="32" t="s">
        <v>1265</v>
      </c>
      <c r="G221" s="32">
        <v>1</v>
      </c>
      <c r="H221" s="32">
        <v>426610</v>
      </c>
      <c r="I221" s="30" t="s">
        <v>74</v>
      </c>
      <c r="J221" s="32" t="s">
        <v>60</v>
      </c>
      <c r="K221" s="32" t="s">
        <v>50</v>
      </c>
      <c r="L221" s="32">
        <v>847001</v>
      </c>
      <c r="M221" s="32" t="s">
        <v>61</v>
      </c>
      <c r="N221" s="32">
        <v>200179</v>
      </c>
      <c r="O221" s="37" t="str">
        <f t="shared" si="17"/>
        <v>847.8471150.1.426610.000000.847001.200179</v>
      </c>
      <c r="P221" s="32" t="s">
        <v>1334</v>
      </c>
      <c r="Q221" s="30" t="s">
        <v>68</v>
      </c>
      <c r="R221" s="32">
        <v>1</v>
      </c>
      <c r="S221" s="33">
        <v>304000</v>
      </c>
      <c r="T221" s="32" t="s">
        <v>1335</v>
      </c>
      <c r="U221" s="33">
        <v>304000</v>
      </c>
      <c r="V221" s="32" t="s">
        <v>55</v>
      </c>
      <c r="W221" s="32" t="s">
        <v>56</v>
      </c>
      <c r="X221" s="30" t="s">
        <v>1333</v>
      </c>
      <c r="Y221" s="70">
        <f t="shared" si="18"/>
        <v>0</v>
      </c>
    </row>
    <row r="222" spans="1:25" s="39" customFormat="1" ht="14" customHeight="1" x14ac:dyDescent="0.35">
      <c r="A222" s="32" t="s">
        <v>153</v>
      </c>
      <c r="B222" s="32" t="s">
        <v>58</v>
      </c>
      <c r="C222" s="32" t="s">
        <v>1209</v>
      </c>
      <c r="D222" s="32">
        <v>847</v>
      </c>
      <c r="E222" s="32">
        <v>8471150</v>
      </c>
      <c r="F222" s="32" t="s">
        <v>1265</v>
      </c>
      <c r="G222" s="32">
        <v>1</v>
      </c>
      <c r="H222" s="32">
        <v>428090</v>
      </c>
      <c r="I222" s="30" t="s">
        <v>154</v>
      </c>
      <c r="J222" s="32" t="s">
        <v>60</v>
      </c>
      <c r="K222" s="32" t="s">
        <v>50</v>
      </c>
      <c r="L222" s="32">
        <v>847001</v>
      </c>
      <c r="M222" s="32" t="s">
        <v>61</v>
      </c>
      <c r="N222" s="32">
        <v>200179</v>
      </c>
      <c r="O222" s="37" t="str">
        <f t="shared" si="17"/>
        <v>847.8471150.1.428090.000000.847001.200179</v>
      </c>
      <c r="P222" s="32" t="s">
        <v>156</v>
      </c>
      <c r="Q222" s="30" t="s">
        <v>157</v>
      </c>
      <c r="R222" s="32">
        <v>3</v>
      </c>
      <c r="S222" s="33">
        <v>50000</v>
      </c>
      <c r="T222" s="32" t="s">
        <v>1276</v>
      </c>
      <c r="U222" s="33">
        <v>150000</v>
      </c>
      <c r="V222" s="32" t="s">
        <v>55</v>
      </c>
      <c r="W222" s="32" t="s">
        <v>197</v>
      </c>
      <c r="X222" s="30" t="s">
        <v>1333</v>
      </c>
      <c r="Y222" s="70">
        <f t="shared" si="18"/>
        <v>0</v>
      </c>
    </row>
    <row r="223" spans="1:25" s="39" customFormat="1" ht="14" customHeight="1" x14ac:dyDescent="0.35">
      <c r="A223" s="32" t="s">
        <v>46</v>
      </c>
      <c r="B223" s="32" t="s">
        <v>46</v>
      </c>
      <c r="C223" s="32" t="s">
        <v>1209</v>
      </c>
      <c r="D223" s="32">
        <v>847</v>
      </c>
      <c r="E223" s="32">
        <v>8471150</v>
      </c>
      <c r="F223" s="32" t="s">
        <v>1265</v>
      </c>
      <c r="G223" s="32">
        <v>1</v>
      </c>
      <c r="H223" s="32">
        <v>435310</v>
      </c>
      <c r="I223" s="30" t="s">
        <v>1336</v>
      </c>
      <c r="J223" s="32" t="s">
        <v>60</v>
      </c>
      <c r="K223" s="32" t="s">
        <v>50</v>
      </c>
      <c r="L223" s="32">
        <v>847001</v>
      </c>
      <c r="M223" s="32" t="s">
        <v>61</v>
      </c>
      <c r="N223" s="32">
        <v>200179</v>
      </c>
      <c r="O223" s="37" t="str">
        <f t="shared" si="17"/>
        <v>847.8471150.1.435310.000000.847001.200179</v>
      </c>
      <c r="P223" s="32" t="s">
        <v>1337</v>
      </c>
      <c r="Q223" s="30" t="s">
        <v>157</v>
      </c>
      <c r="R223" s="32">
        <v>1</v>
      </c>
      <c r="S223" s="33">
        <v>15000</v>
      </c>
      <c r="T223" s="32" t="s">
        <v>1338</v>
      </c>
      <c r="U223" s="33">
        <v>15000</v>
      </c>
      <c r="V223" s="32" t="s">
        <v>55</v>
      </c>
      <c r="W223" s="32" t="s">
        <v>56</v>
      </c>
      <c r="X223" s="30" t="s">
        <v>1333</v>
      </c>
      <c r="Y223" s="70">
        <f t="shared" si="18"/>
        <v>0</v>
      </c>
    </row>
    <row r="224" spans="1:25" s="39" customFormat="1" ht="14" customHeight="1" x14ac:dyDescent="0.35">
      <c r="A224" s="32" t="s">
        <v>63</v>
      </c>
      <c r="B224" s="32" t="s">
        <v>64</v>
      </c>
      <c r="C224" s="32" t="s">
        <v>1209</v>
      </c>
      <c r="D224" s="32">
        <v>847</v>
      </c>
      <c r="E224" s="32">
        <v>8471170</v>
      </c>
      <c r="F224" s="32" t="s">
        <v>1286</v>
      </c>
      <c r="G224" s="32">
        <v>1</v>
      </c>
      <c r="H224" s="32">
        <v>420811</v>
      </c>
      <c r="I224" s="30" t="s">
        <v>65</v>
      </c>
      <c r="J224" s="32" t="s">
        <v>60</v>
      </c>
      <c r="K224" s="32" t="s">
        <v>50</v>
      </c>
      <c r="L224" s="32">
        <v>847001</v>
      </c>
      <c r="M224" s="32" t="s">
        <v>61</v>
      </c>
      <c r="N224" s="32">
        <v>200179</v>
      </c>
      <c r="O224" s="37" t="str">
        <f t="shared" si="17"/>
        <v>847.8471170.1.420811.000000.847001.200179</v>
      </c>
      <c r="P224" s="32" t="s">
        <v>67</v>
      </c>
      <c r="Q224" s="30" t="s">
        <v>68</v>
      </c>
      <c r="R224" s="32">
        <v>12</v>
      </c>
      <c r="S224" s="33">
        <v>440231.45354999998</v>
      </c>
      <c r="T224" s="32" t="s">
        <v>1339</v>
      </c>
      <c r="U224" s="33">
        <v>5282777.4425999997</v>
      </c>
      <c r="V224" s="32" t="s">
        <v>55</v>
      </c>
      <c r="W224" s="32" t="s">
        <v>56</v>
      </c>
      <c r="X224" s="30" t="s">
        <v>70</v>
      </c>
      <c r="Y224" s="70">
        <f t="shared" si="18"/>
        <v>0</v>
      </c>
    </row>
    <row r="225" spans="1:25" s="39" customFormat="1" ht="14" customHeight="1" x14ac:dyDescent="0.35">
      <c r="A225" s="32" t="s">
        <v>46</v>
      </c>
      <c r="B225" s="32" t="s">
        <v>46</v>
      </c>
      <c r="C225" s="32" t="s">
        <v>1209</v>
      </c>
      <c r="D225" s="32">
        <v>847</v>
      </c>
      <c r="E225" s="32">
        <v>8471170</v>
      </c>
      <c r="F225" s="32" t="s">
        <v>1286</v>
      </c>
      <c r="G225" s="32">
        <v>1</v>
      </c>
      <c r="H225" s="32">
        <v>420811</v>
      </c>
      <c r="I225" s="30" t="s">
        <v>65</v>
      </c>
      <c r="J225" s="32" t="s">
        <v>60</v>
      </c>
      <c r="K225" s="32" t="s">
        <v>50</v>
      </c>
      <c r="L225" s="32" t="s">
        <v>51</v>
      </c>
      <c r="M225" s="32" t="s">
        <v>61</v>
      </c>
      <c r="N225" s="32">
        <v>200179</v>
      </c>
      <c r="O225" s="37" t="str">
        <f t="shared" si="17"/>
        <v>847.8471170.1.420811.000000.847001.200179</v>
      </c>
      <c r="P225" s="32" t="s">
        <v>67</v>
      </c>
      <c r="Q225" s="30" t="s">
        <v>68</v>
      </c>
      <c r="R225" s="32">
        <v>12</v>
      </c>
      <c r="S225" s="33">
        <v>43750.35</v>
      </c>
      <c r="T225" s="32" t="s">
        <v>1290</v>
      </c>
      <c r="U225" s="33">
        <v>525004.19999999995</v>
      </c>
      <c r="V225" s="32" t="s">
        <v>55</v>
      </c>
      <c r="W225" s="32" t="s">
        <v>56</v>
      </c>
      <c r="X225" s="30" t="s">
        <v>70</v>
      </c>
      <c r="Y225" s="70">
        <f t="shared" si="18"/>
        <v>0</v>
      </c>
    </row>
    <row r="226" spans="1:25" s="39" customFormat="1" ht="14" customHeight="1" x14ac:dyDescent="0.35">
      <c r="A226" s="32" t="s">
        <v>189</v>
      </c>
      <c r="B226" s="32" t="s">
        <v>265</v>
      </c>
      <c r="C226" s="32" t="s">
        <v>1209</v>
      </c>
      <c r="D226" s="32">
        <v>847</v>
      </c>
      <c r="E226" s="32">
        <v>8471170</v>
      </c>
      <c r="F226" s="32" t="s">
        <v>1286</v>
      </c>
      <c r="G226" s="32">
        <v>1</v>
      </c>
      <c r="H226" s="32">
        <v>425900</v>
      </c>
      <c r="I226" s="30" t="s">
        <v>266</v>
      </c>
      <c r="J226" s="32" t="s">
        <v>60</v>
      </c>
      <c r="K226" s="32" t="s">
        <v>50</v>
      </c>
      <c r="L226" s="32">
        <v>847001</v>
      </c>
      <c r="M226" s="32" t="s">
        <v>61</v>
      </c>
      <c r="N226" s="32">
        <v>200179</v>
      </c>
      <c r="O226" s="37" t="str">
        <f t="shared" si="17"/>
        <v>847.8471170.1.425900.000000.847001.200179</v>
      </c>
      <c r="P226" s="32" t="s">
        <v>268</v>
      </c>
      <c r="Q226" s="30" t="s">
        <v>269</v>
      </c>
      <c r="R226" s="32">
        <v>2</v>
      </c>
      <c r="S226" s="33">
        <v>5000</v>
      </c>
      <c r="T226" s="32" t="s">
        <v>1293</v>
      </c>
      <c r="U226" s="33">
        <v>10000</v>
      </c>
      <c r="V226" s="32" t="s">
        <v>55</v>
      </c>
      <c r="W226" s="32" t="s">
        <v>56</v>
      </c>
      <c r="X226" s="30" t="s">
        <v>70</v>
      </c>
      <c r="Y226" s="70">
        <f t="shared" si="18"/>
        <v>0</v>
      </c>
    </row>
    <row r="227" spans="1:25" s="39" customFormat="1" ht="14" customHeight="1" x14ac:dyDescent="0.35">
      <c r="A227" s="32" t="s">
        <v>63</v>
      </c>
      <c r="B227" s="32" t="s">
        <v>64</v>
      </c>
      <c r="C227" s="32" t="s">
        <v>1209</v>
      </c>
      <c r="D227" s="32">
        <v>847</v>
      </c>
      <c r="E227" s="32">
        <v>8471170</v>
      </c>
      <c r="F227" s="32" t="s">
        <v>1286</v>
      </c>
      <c r="G227" s="32">
        <v>1</v>
      </c>
      <c r="H227" s="32">
        <v>426610</v>
      </c>
      <c r="I227" s="30" t="s">
        <v>74</v>
      </c>
      <c r="J227" s="32" t="s">
        <v>60</v>
      </c>
      <c r="K227" s="32" t="s">
        <v>50</v>
      </c>
      <c r="L227" s="32">
        <v>847001</v>
      </c>
      <c r="M227" s="32" t="s">
        <v>61</v>
      </c>
      <c r="N227" s="32">
        <v>200179</v>
      </c>
      <c r="O227" s="37" t="str">
        <f t="shared" si="17"/>
        <v>847.8471170.1.426610.000000.847001.200179</v>
      </c>
      <c r="P227" s="32" t="s">
        <v>274</v>
      </c>
      <c r="Q227" s="30" t="s">
        <v>157</v>
      </c>
      <c r="R227" s="32">
        <v>124</v>
      </c>
      <c r="S227" s="33">
        <v>43599.40208870967</v>
      </c>
      <c r="T227" s="32" t="s">
        <v>1297</v>
      </c>
      <c r="U227" s="33">
        <v>5406325.8589999992</v>
      </c>
      <c r="V227" s="32" t="s">
        <v>55</v>
      </c>
      <c r="W227" s="32" t="s">
        <v>56</v>
      </c>
      <c r="X227" s="30" t="s">
        <v>70</v>
      </c>
      <c r="Y227" s="70">
        <f t="shared" si="18"/>
        <v>0</v>
      </c>
    </row>
    <row r="228" spans="1:25" s="39" customFormat="1" ht="14" customHeight="1" x14ac:dyDescent="0.35">
      <c r="A228" s="32" t="s">
        <v>153</v>
      </c>
      <c r="B228" s="32" t="s">
        <v>58</v>
      </c>
      <c r="C228" s="32" t="s">
        <v>1209</v>
      </c>
      <c r="D228" s="32">
        <v>847</v>
      </c>
      <c r="E228" s="32">
        <v>8471170</v>
      </c>
      <c r="F228" s="32" t="s">
        <v>1286</v>
      </c>
      <c r="G228" s="32">
        <v>1</v>
      </c>
      <c r="H228" s="32">
        <v>428090</v>
      </c>
      <c r="I228" s="30" t="s">
        <v>154</v>
      </c>
      <c r="J228" s="32" t="s">
        <v>60</v>
      </c>
      <c r="K228" s="32" t="s">
        <v>50</v>
      </c>
      <c r="L228" s="32">
        <v>847001</v>
      </c>
      <c r="M228" s="32" t="s">
        <v>61</v>
      </c>
      <c r="N228" s="32">
        <v>200179</v>
      </c>
      <c r="O228" s="37" t="str">
        <f t="shared" si="17"/>
        <v>847.8471170.1.428090.000000.847001.200179</v>
      </c>
      <c r="P228" s="32" t="s">
        <v>156</v>
      </c>
      <c r="Q228" s="30" t="s">
        <v>157</v>
      </c>
      <c r="R228" s="32">
        <v>3</v>
      </c>
      <c r="S228" s="33">
        <v>15000</v>
      </c>
      <c r="T228" s="32" t="s">
        <v>1300</v>
      </c>
      <c r="U228" s="33">
        <v>45000</v>
      </c>
      <c r="V228" s="32" t="s">
        <v>55</v>
      </c>
      <c r="W228" s="32" t="s">
        <v>56</v>
      </c>
      <c r="X228" s="30" t="s">
        <v>70</v>
      </c>
      <c r="Y228" s="70">
        <f t="shared" si="18"/>
        <v>0</v>
      </c>
    </row>
    <row r="229" spans="1:25" s="39" customFormat="1" ht="14" customHeight="1" x14ac:dyDescent="0.35">
      <c r="A229" s="37" t="s">
        <v>189</v>
      </c>
      <c r="B229" s="37" t="s">
        <v>265</v>
      </c>
      <c r="C229" s="37" t="s">
        <v>1350</v>
      </c>
      <c r="D229" s="37">
        <v>847</v>
      </c>
      <c r="E229" s="37">
        <v>8471210</v>
      </c>
      <c r="F229" s="37" t="s">
        <v>1351</v>
      </c>
      <c r="G229" s="37">
        <v>1</v>
      </c>
      <c r="H229" s="37">
        <v>425900</v>
      </c>
      <c r="I229" s="37" t="s">
        <v>266</v>
      </c>
      <c r="J229" s="37" t="s">
        <v>60</v>
      </c>
      <c r="K229" s="37" t="s">
        <v>50</v>
      </c>
      <c r="L229" s="37">
        <v>847001</v>
      </c>
      <c r="M229" s="37" t="s">
        <v>61</v>
      </c>
      <c r="N229" s="37">
        <v>200179</v>
      </c>
      <c r="O229" s="37" t="str">
        <f t="shared" si="17"/>
        <v>847.8471210.1.425900.000000.847001.200179</v>
      </c>
      <c r="P229" s="21" t="s">
        <v>268</v>
      </c>
      <c r="Q229" s="37" t="s">
        <v>269</v>
      </c>
      <c r="R229" s="37">
        <v>5</v>
      </c>
      <c r="S229" s="37">
        <v>3000</v>
      </c>
      <c r="T229" s="37" t="s">
        <v>1617</v>
      </c>
      <c r="U229" s="38">
        <v>15000</v>
      </c>
      <c r="V229" s="37" t="s">
        <v>55</v>
      </c>
      <c r="W229" s="21" t="s">
        <v>56</v>
      </c>
      <c r="X229" s="24" t="s">
        <v>1618</v>
      </c>
      <c r="Y229" s="70">
        <f t="shared" si="18"/>
        <v>0</v>
      </c>
    </row>
    <row r="230" spans="1:25" s="39" customFormat="1" ht="14" customHeight="1" x14ac:dyDescent="0.35">
      <c r="A230" s="37" t="s">
        <v>153</v>
      </c>
      <c r="B230" s="37" t="s">
        <v>58</v>
      </c>
      <c r="C230" s="37" t="s">
        <v>1350</v>
      </c>
      <c r="D230" s="37">
        <v>847</v>
      </c>
      <c r="E230" s="37">
        <v>8471210</v>
      </c>
      <c r="F230" s="37" t="s">
        <v>1351</v>
      </c>
      <c r="G230" s="37">
        <v>1</v>
      </c>
      <c r="H230" s="37">
        <v>428090</v>
      </c>
      <c r="I230" s="37" t="s">
        <v>154</v>
      </c>
      <c r="J230" s="37" t="s">
        <v>60</v>
      </c>
      <c r="K230" s="37" t="s">
        <v>50</v>
      </c>
      <c r="L230" s="37">
        <v>847001</v>
      </c>
      <c r="M230" s="37" t="s">
        <v>61</v>
      </c>
      <c r="N230" s="37">
        <v>200179</v>
      </c>
      <c r="O230" s="37" t="str">
        <f t="shared" si="17"/>
        <v>847.8471210.1.428090.000000.847001.200179</v>
      </c>
      <c r="P230" s="21" t="s">
        <v>156</v>
      </c>
      <c r="Q230" s="37" t="s">
        <v>269</v>
      </c>
      <c r="R230" s="37">
        <v>4</v>
      </c>
      <c r="S230" s="37">
        <v>40000</v>
      </c>
      <c r="T230" s="37" t="s">
        <v>1619</v>
      </c>
      <c r="U230" s="38">
        <v>160000</v>
      </c>
      <c r="V230" s="37" t="s">
        <v>55</v>
      </c>
      <c r="W230" s="21" t="s">
        <v>56</v>
      </c>
      <c r="X230" s="24" t="s">
        <v>1620</v>
      </c>
      <c r="Y230" s="70">
        <f t="shared" si="18"/>
        <v>0</v>
      </c>
    </row>
    <row r="231" spans="1:25" s="39" customFormat="1" ht="14" customHeight="1" x14ac:dyDescent="0.35">
      <c r="A231" s="37" t="s">
        <v>245</v>
      </c>
      <c r="B231" s="37" t="s">
        <v>246</v>
      </c>
      <c r="C231" s="37" t="s">
        <v>1350</v>
      </c>
      <c r="D231" s="37">
        <v>847</v>
      </c>
      <c r="E231" s="37">
        <v>8471210</v>
      </c>
      <c r="F231" s="37" t="s">
        <v>1351</v>
      </c>
      <c r="G231" s="37">
        <v>1</v>
      </c>
      <c r="H231" s="37">
        <v>428640</v>
      </c>
      <c r="I231" s="37" t="s">
        <v>279</v>
      </c>
      <c r="J231" s="37" t="s">
        <v>60</v>
      </c>
      <c r="K231" s="37" t="s">
        <v>50</v>
      </c>
      <c r="L231" s="37">
        <v>847001</v>
      </c>
      <c r="M231" s="37" t="s">
        <v>61</v>
      </c>
      <c r="N231" s="37">
        <v>200179</v>
      </c>
      <c r="O231" s="37" t="str">
        <f t="shared" si="17"/>
        <v>847.8471210.1.428640.000000.847001.200179</v>
      </c>
      <c r="P231" s="21" t="s">
        <v>281</v>
      </c>
      <c r="Q231" s="37" t="s">
        <v>269</v>
      </c>
      <c r="R231" s="37">
        <v>5</v>
      </c>
      <c r="S231" s="37">
        <v>4000</v>
      </c>
      <c r="T231" s="37" t="s">
        <v>1621</v>
      </c>
      <c r="U231" s="38">
        <v>20000</v>
      </c>
      <c r="V231" s="37" t="s">
        <v>55</v>
      </c>
      <c r="W231" s="21" t="s">
        <v>56</v>
      </c>
      <c r="X231" s="24" t="s">
        <v>1622</v>
      </c>
      <c r="Y231" s="70">
        <f t="shared" si="18"/>
        <v>0</v>
      </c>
    </row>
    <row r="232" spans="1:25" s="39" customFormat="1" ht="14" customHeight="1" x14ac:dyDescent="0.35">
      <c r="A232" s="37" t="s">
        <v>222</v>
      </c>
      <c r="B232" s="37" t="s">
        <v>58</v>
      </c>
      <c r="C232" s="37" t="s">
        <v>1350</v>
      </c>
      <c r="D232" s="37">
        <v>847</v>
      </c>
      <c r="E232" s="37">
        <v>8471210</v>
      </c>
      <c r="F232" s="37" t="s">
        <v>1351</v>
      </c>
      <c r="G232" s="37">
        <v>1</v>
      </c>
      <c r="H232" s="37">
        <v>435530</v>
      </c>
      <c r="I232" s="37" t="s">
        <v>1127</v>
      </c>
      <c r="J232" s="37" t="s">
        <v>60</v>
      </c>
      <c r="K232" s="37" t="s">
        <v>50</v>
      </c>
      <c r="L232" s="37">
        <v>847001</v>
      </c>
      <c r="M232" s="37" t="s">
        <v>61</v>
      </c>
      <c r="N232" s="37">
        <v>200179</v>
      </c>
      <c r="O232" s="37" t="str">
        <f t="shared" si="17"/>
        <v>847.8471210.1.435530.000000.847001.200179</v>
      </c>
      <c r="P232" s="21" t="s">
        <v>1129</v>
      </c>
      <c r="Q232" s="37" t="s">
        <v>269</v>
      </c>
      <c r="R232" s="37">
        <v>4</v>
      </c>
      <c r="S232" s="37">
        <v>5000</v>
      </c>
      <c r="T232" s="37" t="s">
        <v>1402</v>
      </c>
      <c r="U232" s="38">
        <v>20000</v>
      </c>
      <c r="V232" s="37" t="s">
        <v>55</v>
      </c>
      <c r="W232" s="21" t="s">
        <v>56</v>
      </c>
      <c r="X232" s="24" t="s">
        <v>1623</v>
      </c>
      <c r="Y232" s="70">
        <f t="shared" si="18"/>
        <v>0</v>
      </c>
    </row>
    <row r="233" spans="1:25" s="39" customFormat="1" ht="14" customHeight="1" x14ac:dyDescent="0.35">
      <c r="A233" s="37" t="s">
        <v>245</v>
      </c>
      <c r="B233" s="37" t="s">
        <v>246</v>
      </c>
      <c r="C233" s="37" t="s">
        <v>1350</v>
      </c>
      <c r="D233" s="37">
        <v>847</v>
      </c>
      <c r="E233" s="37">
        <v>8471240</v>
      </c>
      <c r="F233" s="37" t="s">
        <v>1364</v>
      </c>
      <c r="G233" s="37">
        <v>1</v>
      </c>
      <c r="H233" s="37">
        <v>425510</v>
      </c>
      <c r="I233" s="37" t="s">
        <v>247</v>
      </c>
      <c r="J233" s="37" t="s">
        <v>60</v>
      </c>
      <c r="K233" s="37" t="s">
        <v>50</v>
      </c>
      <c r="L233" s="37">
        <v>847001</v>
      </c>
      <c r="M233" s="37" t="s">
        <v>61</v>
      </c>
      <c r="N233" s="37">
        <v>200179</v>
      </c>
      <c r="O233" s="37" t="str">
        <f t="shared" si="17"/>
        <v>847.8471240.1.425510.000000.847001.200179</v>
      </c>
      <c r="P233" s="21" t="s">
        <v>433</v>
      </c>
      <c r="Q233" s="37" t="s">
        <v>434</v>
      </c>
      <c r="R233" s="37">
        <v>1</v>
      </c>
      <c r="S233" s="37">
        <v>45000</v>
      </c>
      <c r="T233" s="37" t="s">
        <v>1365</v>
      </c>
      <c r="U233" s="38">
        <v>45000</v>
      </c>
      <c r="V233" s="37" t="s">
        <v>55</v>
      </c>
      <c r="W233" s="21" t="s">
        <v>197</v>
      </c>
      <c r="X233" s="24" t="s">
        <v>1367</v>
      </c>
      <c r="Y233" s="70">
        <f t="shared" si="18"/>
        <v>0</v>
      </c>
    </row>
    <row r="234" spans="1:25" s="39" customFormat="1" ht="14" customHeight="1" x14ac:dyDescent="0.35">
      <c r="A234" s="37" t="s">
        <v>245</v>
      </c>
      <c r="B234" s="37" t="s">
        <v>246</v>
      </c>
      <c r="C234" s="37" t="s">
        <v>1350</v>
      </c>
      <c r="D234" s="37">
        <v>847</v>
      </c>
      <c r="E234" s="37">
        <v>8471240</v>
      </c>
      <c r="F234" s="37" t="s">
        <v>1364</v>
      </c>
      <c r="G234" s="37">
        <v>1</v>
      </c>
      <c r="H234" s="37">
        <v>425510</v>
      </c>
      <c r="I234" s="37" t="s">
        <v>247</v>
      </c>
      <c r="J234" s="37" t="s">
        <v>60</v>
      </c>
      <c r="K234" s="37" t="s">
        <v>50</v>
      </c>
      <c r="L234" s="37">
        <v>847001</v>
      </c>
      <c r="M234" s="37" t="s">
        <v>61</v>
      </c>
      <c r="N234" s="37">
        <v>200179</v>
      </c>
      <c r="O234" s="37" t="str">
        <f t="shared" si="17"/>
        <v>847.8471240.1.425510.000000.847001.200179</v>
      </c>
      <c r="P234" s="21" t="s">
        <v>433</v>
      </c>
      <c r="Q234" s="37" t="s">
        <v>434</v>
      </c>
      <c r="R234" s="37">
        <v>1</v>
      </c>
      <c r="S234" s="37">
        <v>20000</v>
      </c>
      <c r="T234" s="37" t="s">
        <v>1368</v>
      </c>
      <c r="U234" s="38">
        <v>20000</v>
      </c>
      <c r="V234" s="37" t="s">
        <v>55</v>
      </c>
      <c r="W234" s="21" t="s">
        <v>197</v>
      </c>
      <c r="X234" s="24" t="s">
        <v>414</v>
      </c>
      <c r="Y234" s="70">
        <f t="shared" si="18"/>
        <v>0</v>
      </c>
    </row>
    <row r="235" spans="1:25" s="39" customFormat="1" ht="14" customHeight="1" x14ac:dyDescent="0.35">
      <c r="A235" s="37" t="s">
        <v>245</v>
      </c>
      <c r="B235" s="37" t="s">
        <v>246</v>
      </c>
      <c r="C235" s="37" t="s">
        <v>1350</v>
      </c>
      <c r="D235" s="37">
        <v>847</v>
      </c>
      <c r="E235" s="37">
        <v>8471240</v>
      </c>
      <c r="F235" s="37" t="s">
        <v>1364</v>
      </c>
      <c r="G235" s="37">
        <v>1</v>
      </c>
      <c r="H235" s="37">
        <v>425510</v>
      </c>
      <c r="I235" s="37" t="s">
        <v>247</v>
      </c>
      <c r="J235" s="37" t="s">
        <v>60</v>
      </c>
      <c r="K235" s="37" t="s">
        <v>50</v>
      </c>
      <c r="L235" s="37">
        <v>847001</v>
      </c>
      <c r="M235" s="37" t="s">
        <v>61</v>
      </c>
      <c r="N235" s="37">
        <v>200179</v>
      </c>
      <c r="O235" s="37" t="str">
        <f t="shared" si="17"/>
        <v>847.8471240.1.425510.000000.847001.200179</v>
      </c>
      <c r="P235" s="21" t="s">
        <v>433</v>
      </c>
      <c r="Q235" s="37" t="s">
        <v>434</v>
      </c>
      <c r="R235" s="37">
        <v>1</v>
      </c>
      <c r="S235" s="37">
        <v>5000</v>
      </c>
      <c r="T235" s="37" t="s">
        <v>1370</v>
      </c>
      <c r="U235" s="38">
        <v>5000</v>
      </c>
      <c r="V235" s="37" t="s">
        <v>55</v>
      </c>
      <c r="W235" s="21" t="s">
        <v>197</v>
      </c>
      <c r="X235" s="24" t="s">
        <v>244</v>
      </c>
      <c r="Y235" s="70">
        <f t="shared" si="18"/>
        <v>0</v>
      </c>
    </row>
    <row r="236" spans="1:25" s="39" customFormat="1" ht="14" customHeight="1" x14ac:dyDescent="0.35">
      <c r="A236" s="37" t="s">
        <v>245</v>
      </c>
      <c r="B236" s="37" t="s">
        <v>246</v>
      </c>
      <c r="C236" s="37" t="s">
        <v>1350</v>
      </c>
      <c r="D236" s="37">
        <v>847</v>
      </c>
      <c r="E236" s="37">
        <v>8471240</v>
      </c>
      <c r="F236" s="37" t="s">
        <v>1364</v>
      </c>
      <c r="G236" s="37">
        <v>1</v>
      </c>
      <c r="H236" s="37">
        <v>425510</v>
      </c>
      <c r="I236" s="37" t="s">
        <v>247</v>
      </c>
      <c r="J236" s="37" t="s">
        <v>60</v>
      </c>
      <c r="K236" s="37" t="s">
        <v>50</v>
      </c>
      <c r="L236" s="37">
        <v>847001</v>
      </c>
      <c r="M236" s="37" t="s">
        <v>61</v>
      </c>
      <c r="N236" s="37">
        <v>200179</v>
      </c>
      <c r="O236" s="37" t="str">
        <f t="shared" si="17"/>
        <v>847.8471240.1.425510.000000.847001.200179</v>
      </c>
      <c r="P236" s="21" t="s">
        <v>433</v>
      </c>
      <c r="Q236" s="37" t="s">
        <v>434</v>
      </c>
      <c r="R236" s="37">
        <v>1</v>
      </c>
      <c r="S236" s="37">
        <v>80000</v>
      </c>
      <c r="T236" s="37" t="s">
        <v>1371</v>
      </c>
      <c r="U236" s="38">
        <v>80000</v>
      </c>
      <c r="V236" s="37" t="s">
        <v>55</v>
      </c>
      <c r="W236" s="21" t="s">
        <v>197</v>
      </c>
      <c r="X236" s="24" t="s">
        <v>384</v>
      </c>
      <c r="Y236" s="70">
        <f t="shared" si="18"/>
        <v>0</v>
      </c>
    </row>
    <row r="237" spans="1:25" s="39" customFormat="1" ht="14" customHeight="1" x14ac:dyDescent="0.35">
      <c r="A237" s="37" t="s">
        <v>245</v>
      </c>
      <c r="B237" s="37" t="s">
        <v>246</v>
      </c>
      <c r="C237" s="37" t="s">
        <v>1350</v>
      </c>
      <c r="D237" s="37">
        <v>847</v>
      </c>
      <c r="E237" s="37">
        <v>8471240</v>
      </c>
      <c r="F237" s="37" t="s">
        <v>1364</v>
      </c>
      <c r="G237" s="37">
        <v>1</v>
      </c>
      <c r="H237" s="37">
        <v>425510</v>
      </c>
      <c r="I237" s="37" t="s">
        <v>247</v>
      </c>
      <c r="J237" s="37" t="s">
        <v>60</v>
      </c>
      <c r="K237" s="37" t="s">
        <v>50</v>
      </c>
      <c r="L237" s="37">
        <v>847001</v>
      </c>
      <c r="M237" s="37" t="s">
        <v>61</v>
      </c>
      <c r="N237" s="37">
        <v>200179</v>
      </c>
      <c r="O237" s="37" t="str">
        <f t="shared" si="17"/>
        <v>847.8471240.1.425510.000000.847001.200179</v>
      </c>
      <c r="P237" s="21" t="s">
        <v>433</v>
      </c>
      <c r="Q237" s="37" t="s">
        <v>434</v>
      </c>
      <c r="R237" s="37">
        <v>1</v>
      </c>
      <c r="S237" s="37">
        <v>40000</v>
      </c>
      <c r="T237" s="37" t="s">
        <v>1372</v>
      </c>
      <c r="U237" s="38">
        <v>40000</v>
      </c>
      <c r="V237" s="37" t="s">
        <v>55</v>
      </c>
      <c r="W237" s="21" t="s">
        <v>197</v>
      </c>
      <c r="X237" s="24" t="s">
        <v>414</v>
      </c>
      <c r="Y237" s="70">
        <f t="shared" si="18"/>
        <v>0</v>
      </c>
    </row>
    <row r="238" spans="1:25" s="39" customFormat="1" ht="14" customHeight="1" x14ac:dyDescent="0.35">
      <c r="A238" s="37" t="s">
        <v>245</v>
      </c>
      <c r="B238" s="37" t="s">
        <v>246</v>
      </c>
      <c r="C238" s="37" t="s">
        <v>1350</v>
      </c>
      <c r="D238" s="37">
        <v>847</v>
      </c>
      <c r="E238" s="37">
        <v>8471240</v>
      </c>
      <c r="F238" s="37" t="s">
        <v>1364</v>
      </c>
      <c r="G238" s="37">
        <v>1</v>
      </c>
      <c r="H238" s="37">
        <v>425510</v>
      </c>
      <c r="I238" s="37" t="s">
        <v>247</v>
      </c>
      <c r="J238" s="37" t="s">
        <v>60</v>
      </c>
      <c r="K238" s="37" t="s">
        <v>50</v>
      </c>
      <c r="L238" s="37">
        <v>847001</v>
      </c>
      <c r="M238" s="37" t="s">
        <v>61</v>
      </c>
      <c r="N238" s="37">
        <v>200179</v>
      </c>
      <c r="O238" s="37" t="str">
        <f t="shared" si="17"/>
        <v>847.8471240.1.425510.000000.847001.200179</v>
      </c>
      <c r="P238" s="21" t="s">
        <v>433</v>
      </c>
      <c r="Q238" s="37" t="s">
        <v>434</v>
      </c>
      <c r="R238" s="37">
        <v>1</v>
      </c>
      <c r="S238" s="37">
        <v>30000</v>
      </c>
      <c r="T238" s="37" t="s">
        <v>1373</v>
      </c>
      <c r="U238" s="38">
        <v>30000</v>
      </c>
      <c r="V238" s="37" t="s">
        <v>55</v>
      </c>
      <c r="W238" s="21" t="s">
        <v>197</v>
      </c>
      <c r="X238" s="24" t="s">
        <v>244</v>
      </c>
      <c r="Y238" s="70">
        <f t="shared" si="18"/>
        <v>0</v>
      </c>
    </row>
    <row r="239" spans="1:25" s="39" customFormat="1" ht="14" customHeight="1" x14ac:dyDescent="0.35">
      <c r="A239" s="37" t="s">
        <v>258</v>
      </c>
      <c r="B239" s="37" t="s">
        <v>58</v>
      </c>
      <c r="C239" s="37" t="s">
        <v>1350</v>
      </c>
      <c r="D239" s="37">
        <v>847</v>
      </c>
      <c r="E239" s="37">
        <v>8471240</v>
      </c>
      <c r="F239" s="37" t="s">
        <v>1364</v>
      </c>
      <c r="G239" s="37">
        <v>1</v>
      </c>
      <c r="H239" s="37">
        <v>425720</v>
      </c>
      <c r="I239" s="37" t="s">
        <v>620</v>
      </c>
      <c r="J239" s="37" t="s">
        <v>60</v>
      </c>
      <c r="K239" s="37" t="s">
        <v>50</v>
      </c>
      <c r="L239" s="37">
        <v>847001</v>
      </c>
      <c r="M239" s="37" t="s">
        <v>61</v>
      </c>
      <c r="N239" s="37">
        <v>200179</v>
      </c>
      <c r="O239" s="37" t="str">
        <f t="shared" si="17"/>
        <v>847.8471240.1.425720.000000.847001.200179</v>
      </c>
      <c r="P239" s="21" t="s">
        <v>622</v>
      </c>
      <c r="Q239" s="37" t="s">
        <v>623</v>
      </c>
      <c r="R239" s="37">
        <v>1</v>
      </c>
      <c r="S239" s="37">
        <v>75000</v>
      </c>
      <c r="T239" s="37" t="s">
        <v>1374</v>
      </c>
      <c r="U239" s="38">
        <v>75000</v>
      </c>
      <c r="V239" s="37" t="s">
        <v>55</v>
      </c>
      <c r="W239" s="21" t="s">
        <v>197</v>
      </c>
      <c r="X239" s="24" t="s">
        <v>244</v>
      </c>
      <c r="Y239" s="70">
        <f t="shared" si="18"/>
        <v>0</v>
      </c>
    </row>
    <row r="240" spans="1:25" s="39" customFormat="1" ht="14" customHeight="1" x14ac:dyDescent="0.35">
      <c r="A240" s="37" t="s">
        <v>258</v>
      </c>
      <c r="B240" s="37" t="s">
        <v>58</v>
      </c>
      <c r="C240" s="37" t="s">
        <v>1350</v>
      </c>
      <c r="D240" s="37">
        <v>847</v>
      </c>
      <c r="E240" s="37">
        <v>8471240</v>
      </c>
      <c r="F240" s="37" t="s">
        <v>1364</v>
      </c>
      <c r="G240" s="37">
        <v>1</v>
      </c>
      <c r="H240" s="37">
        <v>425720</v>
      </c>
      <c r="I240" s="37" t="s">
        <v>620</v>
      </c>
      <c r="J240" s="37" t="s">
        <v>60</v>
      </c>
      <c r="K240" s="37" t="s">
        <v>50</v>
      </c>
      <c r="L240" s="37">
        <v>847001</v>
      </c>
      <c r="M240" s="37" t="s">
        <v>61</v>
      </c>
      <c r="N240" s="37">
        <v>200179</v>
      </c>
      <c r="O240" s="37" t="str">
        <f t="shared" si="17"/>
        <v>847.8471240.1.425720.000000.847001.200179</v>
      </c>
      <c r="P240" s="21" t="s">
        <v>622</v>
      </c>
      <c r="Q240" s="37" t="s">
        <v>623</v>
      </c>
      <c r="R240" s="37">
        <v>1</v>
      </c>
      <c r="S240" s="37">
        <v>30000</v>
      </c>
      <c r="T240" s="37" t="s">
        <v>1375</v>
      </c>
      <c r="U240" s="38">
        <v>30000</v>
      </c>
      <c r="V240" s="37" t="s">
        <v>55</v>
      </c>
      <c r="W240" s="21" t="s">
        <v>197</v>
      </c>
      <c r="X240" s="24" t="s">
        <v>384</v>
      </c>
      <c r="Y240" s="70">
        <f t="shared" si="18"/>
        <v>0</v>
      </c>
    </row>
    <row r="241" spans="1:25" s="39" customFormat="1" ht="14" customHeight="1" x14ac:dyDescent="0.35">
      <c r="A241" s="37" t="s">
        <v>258</v>
      </c>
      <c r="B241" s="37" t="s">
        <v>58</v>
      </c>
      <c r="C241" s="37" t="s">
        <v>1350</v>
      </c>
      <c r="D241" s="37">
        <v>847</v>
      </c>
      <c r="E241" s="37">
        <v>8471240</v>
      </c>
      <c r="F241" s="37" t="s">
        <v>1364</v>
      </c>
      <c r="G241" s="37">
        <v>1</v>
      </c>
      <c r="H241" s="37">
        <v>425720</v>
      </c>
      <c r="I241" s="37" t="s">
        <v>620</v>
      </c>
      <c r="J241" s="37" t="s">
        <v>60</v>
      </c>
      <c r="K241" s="37" t="s">
        <v>50</v>
      </c>
      <c r="L241" s="37">
        <v>847001</v>
      </c>
      <c r="M241" s="37" t="s">
        <v>61</v>
      </c>
      <c r="N241" s="37">
        <v>200179</v>
      </c>
      <c r="O241" s="37" t="str">
        <f t="shared" si="17"/>
        <v>847.8471240.1.425720.000000.847001.200179</v>
      </c>
      <c r="P241" s="21" t="s">
        <v>622</v>
      </c>
      <c r="Q241" s="37" t="s">
        <v>623</v>
      </c>
      <c r="R241" s="37">
        <v>3</v>
      </c>
      <c r="S241" s="37">
        <v>6000</v>
      </c>
      <c r="T241" s="37" t="s">
        <v>1377</v>
      </c>
      <c r="U241" s="38">
        <v>18000</v>
      </c>
      <c r="V241" s="37" t="s">
        <v>55</v>
      </c>
      <c r="W241" s="21" t="s">
        <v>56</v>
      </c>
      <c r="X241" s="24" t="s">
        <v>384</v>
      </c>
      <c r="Y241" s="70">
        <f t="shared" si="18"/>
        <v>0</v>
      </c>
    </row>
    <row r="242" spans="1:25" s="39" customFormat="1" ht="14" customHeight="1" x14ac:dyDescent="0.35">
      <c r="A242" s="37" t="s">
        <v>258</v>
      </c>
      <c r="B242" s="37" t="s">
        <v>58</v>
      </c>
      <c r="C242" s="37" t="s">
        <v>1350</v>
      </c>
      <c r="D242" s="37">
        <v>847</v>
      </c>
      <c r="E242" s="37">
        <v>8471240</v>
      </c>
      <c r="F242" s="37" t="s">
        <v>1364</v>
      </c>
      <c r="G242" s="37">
        <v>1</v>
      </c>
      <c r="H242" s="37">
        <v>425720</v>
      </c>
      <c r="I242" s="37" t="s">
        <v>620</v>
      </c>
      <c r="J242" s="37" t="s">
        <v>60</v>
      </c>
      <c r="K242" s="37" t="s">
        <v>50</v>
      </c>
      <c r="L242" s="37">
        <v>847001</v>
      </c>
      <c r="M242" s="37" t="s">
        <v>61</v>
      </c>
      <c r="N242" s="37">
        <v>200179</v>
      </c>
      <c r="O242" s="37" t="str">
        <f t="shared" si="17"/>
        <v>847.8471240.1.425720.000000.847001.200179</v>
      </c>
      <c r="P242" s="21" t="s">
        <v>622</v>
      </c>
      <c r="Q242" s="37" t="s">
        <v>623</v>
      </c>
      <c r="R242" s="37">
        <v>10</v>
      </c>
      <c r="S242" s="37">
        <v>500</v>
      </c>
      <c r="T242" s="37" t="s">
        <v>1378</v>
      </c>
      <c r="U242" s="38">
        <v>5000</v>
      </c>
      <c r="V242" s="37" t="s">
        <v>55</v>
      </c>
      <c r="W242" s="21" t="s">
        <v>56</v>
      </c>
      <c r="X242" s="24" t="s">
        <v>244</v>
      </c>
      <c r="Y242" s="70">
        <f t="shared" si="18"/>
        <v>0</v>
      </c>
    </row>
    <row r="243" spans="1:25" s="39" customFormat="1" ht="14" customHeight="1" x14ac:dyDescent="0.35">
      <c r="A243" s="37" t="s">
        <v>258</v>
      </c>
      <c r="B243" s="37" t="s">
        <v>58</v>
      </c>
      <c r="C243" s="37" t="s">
        <v>1350</v>
      </c>
      <c r="D243" s="37">
        <v>847</v>
      </c>
      <c r="E243" s="37">
        <v>8471240</v>
      </c>
      <c r="F243" s="37" t="s">
        <v>1364</v>
      </c>
      <c r="G243" s="37">
        <v>1</v>
      </c>
      <c r="H243" s="37">
        <v>425750</v>
      </c>
      <c r="I243" s="37" t="s">
        <v>1057</v>
      </c>
      <c r="J243" s="37" t="s">
        <v>60</v>
      </c>
      <c r="K243" s="37" t="s">
        <v>50</v>
      </c>
      <c r="L243" s="37">
        <v>847001</v>
      </c>
      <c r="M243" s="37" t="s">
        <v>61</v>
      </c>
      <c r="N243" s="37">
        <v>200179</v>
      </c>
      <c r="O243" s="37" t="str">
        <f t="shared" si="17"/>
        <v>847.8471240.1.425750.000000.847001.200179</v>
      </c>
      <c r="P243" s="21" t="s">
        <v>1379</v>
      </c>
      <c r="Q243" s="37" t="s">
        <v>1380</v>
      </c>
      <c r="R243" s="37">
        <v>6</v>
      </c>
      <c r="S243" s="37">
        <v>1400</v>
      </c>
      <c r="T243" s="37" t="s">
        <v>1381</v>
      </c>
      <c r="U243" s="38">
        <v>8400</v>
      </c>
      <c r="V243" s="37" t="s">
        <v>55</v>
      </c>
      <c r="W243" s="21" t="s">
        <v>56</v>
      </c>
      <c r="X243" s="24" t="s">
        <v>244</v>
      </c>
      <c r="Y243" s="70">
        <f t="shared" si="18"/>
        <v>0</v>
      </c>
    </row>
    <row r="244" spans="1:25" s="39" customFormat="1" ht="14" customHeight="1" x14ac:dyDescent="0.35">
      <c r="A244" s="37" t="s">
        <v>258</v>
      </c>
      <c r="B244" s="37" t="s">
        <v>58</v>
      </c>
      <c r="C244" s="37" t="s">
        <v>1350</v>
      </c>
      <c r="D244" s="37">
        <v>847</v>
      </c>
      <c r="E244" s="37">
        <v>8471240</v>
      </c>
      <c r="F244" s="37" t="s">
        <v>1364</v>
      </c>
      <c r="G244" s="37">
        <v>1</v>
      </c>
      <c r="H244" s="37">
        <v>425750</v>
      </c>
      <c r="I244" s="37" t="s">
        <v>1057</v>
      </c>
      <c r="J244" s="37" t="s">
        <v>60</v>
      </c>
      <c r="K244" s="37" t="s">
        <v>50</v>
      </c>
      <c r="L244" s="37">
        <v>847001</v>
      </c>
      <c r="M244" s="37" t="s">
        <v>61</v>
      </c>
      <c r="N244" s="37">
        <v>200179</v>
      </c>
      <c r="O244" s="37" t="str">
        <f t="shared" si="17"/>
        <v>847.8471240.1.425750.000000.847001.200179</v>
      </c>
      <c r="P244" s="21" t="s">
        <v>1059</v>
      </c>
      <c r="Q244" s="37" t="s">
        <v>441</v>
      </c>
      <c r="R244" s="37">
        <v>1</v>
      </c>
      <c r="S244" s="37">
        <v>14600</v>
      </c>
      <c r="T244" s="37" t="s">
        <v>1382</v>
      </c>
      <c r="U244" s="38">
        <v>14600</v>
      </c>
      <c r="V244" s="37" t="s">
        <v>55</v>
      </c>
      <c r="W244" s="21" t="s">
        <v>197</v>
      </c>
      <c r="X244" s="24" t="s">
        <v>244</v>
      </c>
      <c r="Y244" s="70">
        <f t="shared" si="18"/>
        <v>0</v>
      </c>
    </row>
    <row r="245" spans="1:25" s="39" customFormat="1" ht="14" customHeight="1" x14ac:dyDescent="0.35">
      <c r="A245" s="37" t="s">
        <v>222</v>
      </c>
      <c r="B245" s="37" t="s">
        <v>58</v>
      </c>
      <c r="C245" s="37" t="s">
        <v>1350</v>
      </c>
      <c r="D245" s="37">
        <v>847</v>
      </c>
      <c r="E245" s="37">
        <v>8471240</v>
      </c>
      <c r="F245" s="37" t="s">
        <v>1364</v>
      </c>
      <c r="G245" s="37">
        <v>1</v>
      </c>
      <c r="H245" s="37">
        <v>425761</v>
      </c>
      <c r="I245" s="37" t="s">
        <v>1383</v>
      </c>
      <c r="J245" s="37" t="s">
        <v>60</v>
      </c>
      <c r="K245" s="37" t="s">
        <v>50</v>
      </c>
      <c r="L245" s="37">
        <v>847001</v>
      </c>
      <c r="M245" s="37" t="s">
        <v>61</v>
      </c>
      <c r="N245" s="37">
        <v>200179</v>
      </c>
      <c r="O245" s="37" t="str">
        <f t="shared" si="17"/>
        <v>847.8471240.1.425761.000000.847001.200179</v>
      </c>
      <c r="P245" s="21" t="s">
        <v>727</v>
      </c>
      <c r="Q245" s="37" t="s">
        <v>441</v>
      </c>
      <c r="R245" s="37">
        <v>1</v>
      </c>
      <c r="S245" s="37">
        <v>1200000</v>
      </c>
      <c r="T245" s="37" t="s">
        <v>1384</v>
      </c>
      <c r="U245" s="38">
        <v>1200000</v>
      </c>
      <c r="V245" s="37" t="s">
        <v>55</v>
      </c>
      <c r="W245" s="21" t="s">
        <v>56</v>
      </c>
      <c r="X245" s="24" t="s">
        <v>384</v>
      </c>
      <c r="Y245" s="70">
        <f t="shared" si="18"/>
        <v>0</v>
      </c>
    </row>
    <row r="246" spans="1:25" s="39" customFormat="1" ht="14" customHeight="1" x14ac:dyDescent="0.35">
      <c r="A246" s="37" t="s">
        <v>189</v>
      </c>
      <c r="B246" s="37" t="s">
        <v>265</v>
      </c>
      <c r="C246" s="37" t="s">
        <v>1350</v>
      </c>
      <c r="D246" s="37">
        <v>847</v>
      </c>
      <c r="E246" s="37">
        <v>8471240</v>
      </c>
      <c r="F246" s="37" t="s">
        <v>1364</v>
      </c>
      <c r="G246" s="37">
        <v>1</v>
      </c>
      <c r="H246" s="37">
        <v>425900</v>
      </c>
      <c r="I246" s="37" t="s">
        <v>266</v>
      </c>
      <c r="J246" s="37" t="s">
        <v>60</v>
      </c>
      <c r="K246" s="37" t="s">
        <v>50</v>
      </c>
      <c r="L246" s="37">
        <v>847001</v>
      </c>
      <c r="M246" s="37" t="s">
        <v>61</v>
      </c>
      <c r="N246" s="37">
        <v>200179</v>
      </c>
      <c r="O246" s="37" t="str">
        <f t="shared" si="17"/>
        <v>847.8471240.1.425900.000000.847001.200179</v>
      </c>
      <c r="P246" s="21" t="s">
        <v>268</v>
      </c>
      <c r="Q246" s="37" t="s">
        <v>269</v>
      </c>
      <c r="R246" s="37">
        <v>2</v>
      </c>
      <c r="S246" s="37">
        <v>7250</v>
      </c>
      <c r="T246" s="37" t="s">
        <v>1386</v>
      </c>
      <c r="U246" s="38">
        <v>14500</v>
      </c>
      <c r="V246" s="37" t="s">
        <v>55</v>
      </c>
      <c r="W246" s="21" t="s">
        <v>56</v>
      </c>
      <c r="X246" s="24"/>
      <c r="Y246" s="70">
        <f t="shared" si="18"/>
        <v>0</v>
      </c>
    </row>
    <row r="247" spans="1:25" s="39" customFormat="1" ht="14" customHeight="1" x14ac:dyDescent="0.35">
      <c r="A247" s="37" t="s">
        <v>189</v>
      </c>
      <c r="B247" s="37" t="s">
        <v>265</v>
      </c>
      <c r="C247" s="37" t="s">
        <v>1350</v>
      </c>
      <c r="D247" s="37">
        <v>847</v>
      </c>
      <c r="E247" s="37">
        <v>8471240</v>
      </c>
      <c r="F247" s="37" t="s">
        <v>1364</v>
      </c>
      <c r="G247" s="37">
        <v>1</v>
      </c>
      <c r="H247" s="37">
        <v>425900</v>
      </c>
      <c r="I247" s="37" t="s">
        <v>266</v>
      </c>
      <c r="J247" s="37" t="s">
        <v>60</v>
      </c>
      <c r="K247" s="37" t="s">
        <v>50</v>
      </c>
      <c r="L247" s="37">
        <v>847001</v>
      </c>
      <c r="M247" s="37" t="s">
        <v>61</v>
      </c>
      <c r="N247" s="37">
        <v>200179</v>
      </c>
      <c r="O247" s="37" t="str">
        <f t="shared" si="17"/>
        <v>847.8471240.1.425900.000000.847001.200179</v>
      </c>
      <c r="P247" s="21" t="s">
        <v>268</v>
      </c>
      <c r="Q247" s="37" t="s">
        <v>269</v>
      </c>
      <c r="R247" s="37">
        <v>3</v>
      </c>
      <c r="S247" s="37">
        <v>1500</v>
      </c>
      <c r="T247" s="37" t="s">
        <v>1387</v>
      </c>
      <c r="U247" s="38">
        <v>4500</v>
      </c>
      <c r="V247" s="37" t="s">
        <v>55</v>
      </c>
      <c r="W247" s="21" t="s">
        <v>56</v>
      </c>
      <c r="X247" s="24"/>
      <c r="Y247" s="70">
        <f t="shared" si="18"/>
        <v>0</v>
      </c>
    </row>
    <row r="248" spans="1:25" s="39" customFormat="1" ht="14" customHeight="1" x14ac:dyDescent="0.35">
      <c r="A248" s="37" t="s">
        <v>189</v>
      </c>
      <c r="B248" s="37" t="s">
        <v>265</v>
      </c>
      <c r="C248" s="37" t="s">
        <v>1350</v>
      </c>
      <c r="D248" s="37">
        <v>847</v>
      </c>
      <c r="E248" s="37">
        <v>8471240</v>
      </c>
      <c r="F248" s="37" t="s">
        <v>1364</v>
      </c>
      <c r="G248" s="37">
        <v>1</v>
      </c>
      <c r="H248" s="37">
        <v>425900</v>
      </c>
      <c r="I248" s="37" t="s">
        <v>266</v>
      </c>
      <c r="J248" s="37" t="s">
        <v>60</v>
      </c>
      <c r="K248" s="37" t="s">
        <v>50</v>
      </c>
      <c r="L248" s="37">
        <v>847001</v>
      </c>
      <c r="M248" s="37" t="s">
        <v>61</v>
      </c>
      <c r="N248" s="37">
        <v>200179</v>
      </c>
      <c r="O248" s="37" t="str">
        <f t="shared" si="17"/>
        <v>847.8471240.1.425900.000000.847001.200179</v>
      </c>
      <c r="P248" s="21" t="s">
        <v>268</v>
      </c>
      <c r="Q248" s="37" t="s">
        <v>269</v>
      </c>
      <c r="R248" s="37">
        <v>10</v>
      </c>
      <c r="S248" s="37">
        <v>500</v>
      </c>
      <c r="T248" s="37" t="s">
        <v>1388</v>
      </c>
      <c r="U248" s="38">
        <v>5000</v>
      </c>
      <c r="V248" s="37" t="s">
        <v>55</v>
      </c>
      <c r="W248" s="21" t="s">
        <v>56</v>
      </c>
      <c r="X248" s="24"/>
      <c r="Y248" s="70">
        <f t="shared" si="18"/>
        <v>0</v>
      </c>
    </row>
    <row r="249" spans="1:25" s="39" customFormat="1" ht="14" customHeight="1" x14ac:dyDescent="0.35">
      <c r="A249" s="37" t="s">
        <v>63</v>
      </c>
      <c r="B249" s="37" t="s">
        <v>64</v>
      </c>
      <c r="C249" s="37" t="s">
        <v>1350</v>
      </c>
      <c r="D249" s="37">
        <v>847</v>
      </c>
      <c r="E249" s="37">
        <v>8471240</v>
      </c>
      <c r="F249" s="37" t="s">
        <v>1364</v>
      </c>
      <c r="G249" s="37">
        <v>1</v>
      </c>
      <c r="H249" s="37">
        <v>426610</v>
      </c>
      <c r="I249" s="37" t="s">
        <v>74</v>
      </c>
      <c r="J249" s="37" t="s">
        <v>60</v>
      </c>
      <c r="K249" s="37" t="s">
        <v>50</v>
      </c>
      <c r="L249" s="37">
        <v>847001</v>
      </c>
      <c r="M249" s="37" t="s">
        <v>61</v>
      </c>
      <c r="N249" s="37">
        <v>200179</v>
      </c>
      <c r="O249" s="37" t="str">
        <f t="shared" si="17"/>
        <v>847.8471240.1.426610.000000.847001.200179</v>
      </c>
      <c r="P249" s="21" t="s">
        <v>960</v>
      </c>
      <c r="Q249" s="37" t="s">
        <v>68</v>
      </c>
      <c r="R249" s="37">
        <v>1</v>
      </c>
      <c r="S249" s="37">
        <v>400000</v>
      </c>
      <c r="T249" s="37" t="s">
        <v>1389</v>
      </c>
      <c r="U249" s="38">
        <v>400000</v>
      </c>
      <c r="V249" s="37" t="s">
        <v>55</v>
      </c>
      <c r="W249" s="21" t="s">
        <v>197</v>
      </c>
      <c r="X249" s="24" t="s">
        <v>384</v>
      </c>
      <c r="Y249" s="70">
        <f t="shared" si="18"/>
        <v>0</v>
      </c>
    </row>
    <row r="250" spans="1:25" s="39" customFormat="1" ht="14" customHeight="1" x14ac:dyDescent="0.35">
      <c r="A250" s="37" t="s">
        <v>153</v>
      </c>
      <c r="B250" s="37" t="s">
        <v>58</v>
      </c>
      <c r="C250" s="37" t="s">
        <v>1350</v>
      </c>
      <c r="D250" s="37">
        <v>847</v>
      </c>
      <c r="E250" s="37">
        <v>8471240</v>
      </c>
      <c r="F250" s="37" t="s">
        <v>1364</v>
      </c>
      <c r="G250" s="37">
        <v>1</v>
      </c>
      <c r="H250" s="37">
        <v>428090</v>
      </c>
      <c r="I250" s="37" t="s">
        <v>154</v>
      </c>
      <c r="J250" s="37" t="s">
        <v>60</v>
      </c>
      <c r="K250" s="37" t="s">
        <v>50</v>
      </c>
      <c r="L250" s="37">
        <v>847001</v>
      </c>
      <c r="M250" s="37" t="s">
        <v>61</v>
      </c>
      <c r="N250" s="37">
        <v>200179</v>
      </c>
      <c r="O250" s="37" t="str">
        <f t="shared" si="17"/>
        <v>847.8471240.1.428090.000000.847001.200179</v>
      </c>
      <c r="P250" s="21" t="s">
        <v>156</v>
      </c>
      <c r="Q250" s="37" t="s">
        <v>157</v>
      </c>
      <c r="R250" s="37">
        <v>2</v>
      </c>
      <c r="S250" s="37">
        <v>30000</v>
      </c>
      <c r="T250" s="37" t="s">
        <v>1391</v>
      </c>
      <c r="U250" s="38">
        <v>60000</v>
      </c>
      <c r="V250" s="37" t="s">
        <v>55</v>
      </c>
      <c r="W250" s="21" t="s">
        <v>56</v>
      </c>
      <c r="X250" s="24" t="s">
        <v>348</v>
      </c>
      <c r="Y250" s="70">
        <f t="shared" si="18"/>
        <v>0</v>
      </c>
    </row>
    <row r="251" spans="1:25" s="39" customFormat="1" ht="14" customHeight="1" x14ac:dyDescent="0.35">
      <c r="A251" s="37" t="s">
        <v>245</v>
      </c>
      <c r="B251" s="37" t="s">
        <v>246</v>
      </c>
      <c r="C251" s="37" t="s">
        <v>1350</v>
      </c>
      <c r="D251" s="37">
        <v>847</v>
      </c>
      <c r="E251" s="37">
        <v>8471240</v>
      </c>
      <c r="F251" s="37" t="s">
        <v>1364</v>
      </c>
      <c r="G251" s="37">
        <v>1</v>
      </c>
      <c r="H251" s="37">
        <v>428640</v>
      </c>
      <c r="I251" s="37" t="s">
        <v>279</v>
      </c>
      <c r="J251" s="37" t="s">
        <v>60</v>
      </c>
      <c r="K251" s="37" t="s">
        <v>50</v>
      </c>
      <c r="L251" s="37">
        <v>847001</v>
      </c>
      <c r="M251" s="37" t="s">
        <v>61</v>
      </c>
      <c r="N251" s="37">
        <v>200179</v>
      </c>
      <c r="O251" s="37" t="str">
        <f t="shared" si="17"/>
        <v>847.8471240.1.428640.000000.847001.200179</v>
      </c>
      <c r="P251" s="21" t="s">
        <v>281</v>
      </c>
      <c r="Q251" s="37" t="s">
        <v>269</v>
      </c>
      <c r="R251" s="37">
        <v>2</v>
      </c>
      <c r="S251" s="37">
        <v>5000</v>
      </c>
      <c r="T251" s="37" t="s">
        <v>1393</v>
      </c>
      <c r="U251" s="38">
        <v>10000</v>
      </c>
      <c r="V251" s="37" t="s">
        <v>55</v>
      </c>
      <c r="W251" s="21" t="s">
        <v>56</v>
      </c>
      <c r="X251" s="24"/>
      <c r="Y251" s="70">
        <f t="shared" si="18"/>
        <v>0</v>
      </c>
    </row>
    <row r="252" spans="1:25" s="39" customFormat="1" ht="14" customHeight="1" x14ac:dyDescent="0.35">
      <c r="A252" s="37" t="s">
        <v>245</v>
      </c>
      <c r="B252" s="37" t="s">
        <v>246</v>
      </c>
      <c r="C252" s="37" t="s">
        <v>1350</v>
      </c>
      <c r="D252" s="37">
        <v>847</v>
      </c>
      <c r="E252" s="37">
        <v>8471240</v>
      </c>
      <c r="F252" s="37" t="s">
        <v>1364</v>
      </c>
      <c r="G252" s="37">
        <v>1</v>
      </c>
      <c r="H252" s="37">
        <v>428640</v>
      </c>
      <c r="I252" s="37" t="s">
        <v>279</v>
      </c>
      <c r="J252" s="37" t="s">
        <v>60</v>
      </c>
      <c r="K252" s="37" t="s">
        <v>50</v>
      </c>
      <c r="L252" s="37">
        <v>847001</v>
      </c>
      <c r="M252" s="37" t="s">
        <v>61</v>
      </c>
      <c r="N252" s="37">
        <v>200179</v>
      </c>
      <c r="O252" s="37" t="str">
        <f t="shared" si="17"/>
        <v>847.8471240.1.428640.000000.847001.200179</v>
      </c>
      <c r="P252" s="21" t="s">
        <v>1395</v>
      </c>
      <c r="Q252" s="37" t="s">
        <v>269</v>
      </c>
      <c r="R252" s="37">
        <v>10</v>
      </c>
      <c r="S252" s="37">
        <v>200</v>
      </c>
      <c r="T252" s="37" t="s">
        <v>1396</v>
      </c>
      <c r="U252" s="38">
        <v>2000</v>
      </c>
      <c r="V252" s="37" t="s">
        <v>55</v>
      </c>
      <c r="W252" s="21" t="s">
        <v>197</v>
      </c>
      <c r="X252" s="24"/>
      <c r="Y252" s="70">
        <f t="shared" si="18"/>
        <v>0</v>
      </c>
    </row>
    <row r="253" spans="1:25" s="39" customFormat="1" ht="14" customHeight="1" x14ac:dyDescent="0.35">
      <c r="A253" s="37" t="s">
        <v>245</v>
      </c>
      <c r="B253" s="37" t="s">
        <v>246</v>
      </c>
      <c r="C253" s="37" t="s">
        <v>1350</v>
      </c>
      <c r="D253" s="37">
        <v>847</v>
      </c>
      <c r="E253" s="37">
        <v>8471240</v>
      </c>
      <c r="F253" s="37" t="s">
        <v>1364</v>
      </c>
      <c r="G253" s="37">
        <v>1</v>
      </c>
      <c r="H253" s="37">
        <v>428640</v>
      </c>
      <c r="I253" s="37" t="s">
        <v>279</v>
      </c>
      <c r="J253" s="37" t="s">
        <v>60</v>
      </c>
      <c r="K253" s="37" t="s">
        <v>50</v>
      </c>
      <c r="L253" s="37">
        <v>847001</v>
      </c>
      <c r="M253" s="37" t="s">
        <v>61</v>
      </c>
      <c r="N253" s="37">
        <v>200179</v>
      </c>
      <c r="O253" s="37" t="str">
        <f t="shared" si="17"/>
        <v>847.8471240.1.428640.000000.847001.200179</v>
      </c>
      <c r="P253" s="21" t="s">
        <v>1395</v>
      </c>
      <c r="Q253" s="37" t="s">
        <v>269</v>
      </c>
      <c r="R253" s="37">
        <v>10</v>
      </c>
      <c r="S253" s="37">
        <v>200</v>
      </c>
      <c r="T253" s="37" t="s">
        <v>1397</v>
      </c>
      <c r="U253" s="38">
        <v>2000</v>
      </c>
      <c r="V253" s="37" t="s">
        <v>55</v>
      </c>
      <c r="W253" s="21" t="s">
        <v>197</v>
      </c>
      <c r="X253" s="24"/>
      <c r="Y253" s="70">
        <f t="shared" si="18"/>
        <v>0</v>
      </c>
    </row>
    <row r="254" spans="1:25" s="39" customFormat="1" ht="14" customHeight="1" x14ac:dyDescent="0.35">
      <c r="A254" s="37" t="s">
        <v>222</v>
      </c>
      <c r="B254" s="37" t="s">
        <v>58</v>
      </c>
      <c r="C254" s="37" t="s">
        <v>1350</v>
      </c>
      <c r="D254" s="37">
        <v>847</v>
      </c>
      <c r="E254" s="37">
        <v>8471240</v>
      </c>
      <c r="F254" s="37" t="s">
        <v>1364</v>
      </c>
      <c r="G254" s="37">
        <v>1</v>
      </c>
      <c r="H254" s="37">
        <v>435330</v>
      </c>
      <c r="I254" s="37" t="s">
        <v>1111</v>
      </c>
      <c r="J254" s="37" t="s">
        <v>60</v>
      </c>
      <c r="K254" s="37" t="s">
        <v>50</v>
      </c>
      <c r="L254" s="37">
        <v>847001</v>
      </c>
      <c r="M254" s="37" t="s">
        <v>61</v>
      </c>
      <c r="N254" s="37">
        <v>200179</v>
      </c>
      <c r="O254" s="37" t="str">
        <f t="shared" si="17"/>
        <v>847.8471240.1.435330.000000.847001.200179</v>
      </c>
      <c r="P254" s="21" t="s">
        <v>1113</v>
      </c>
      <c r="Q254" s="37" t="s">
        <v>157</v>
      </c>
      <c r="R254" s="37">
        <v>50</v>
      </c>
      <c r="S254" s="37">
        <v>95</v>
      </c>
      <c r="T254" s="37" t="s">
        <v>1398</v>
      </c>
      <c r="U254" s="38">
        <v>4750</v>
      </c>
      <c r="V254" s="37" t="s">
        <v>55</v>
      </c>
      <c r="W254" s="21" t="s">
        <v>197</v>
      </c>
      <c r="X254" s="24"/>
      <c r="Y254" s="70">
        <f t="shared" si="18"/>
        <v>0</v>
      </c>
    </row>
    <row r="255" spans="1:25" s="39" customFormat="1" ht="14" customHeight="1" x14ac:dyDescent="0.35">
      <c r="A255" s="37" t="s">
        <v>189</v>
      </c>
      <c r="B255" s="37" t="s">
        <v>58</v>
      </c>
      <c r="C255" s="37" t="s">
        <v>1350</v>
      </c>
      <c r="D255" s="37">
        <v>847</v>
      </c>
      <c r="E255" s="37">
        <v>8471240</v>
      </c>
      <c r="F255" s="37" t="s">
        <v>1364</v>
      </c>
      <c r="G255" s="37">
        <v>1</v>
      </c>
      <c r="H255" s="37">
        <v>436110</v>
      </c>
      <c r="I255" s="37" t="s">
        <v>190</v>
      </c>
      <c r="J255" s="37" t="s">
        <v>60</v>
      </c>
      <c r="K255" s="37" t="s">
        <v>50</v>
      </c>
      <c r="L255" s="37">
        <v>847001</v>
      </c>
      <c r="M255" s="37" t="s">
        <v>61</v>
      </c>
      <c r="N255" s="37">
        <v>200179</v>
      </c>
      <c r="O255" s="37" t="str">
        <f t="shared" si="17"/>
        <v>847.8471240.1.436110.000000.847001.200179</v>
      </c>
      <c r="P255" s="21" t="s">
        <v>829</v>
      </c>
      <c r="Q255" s="37" t="s">
        <v>157</v>
      </c>
      <c r="R255" s="37">
        <v>1000</v>
      </c>
      <c r="S255" s="37">
        <v>35</v>
      </c>
      <c r="T255" s="37" t="s">
        <v>1399</v>
      </c>
      <c r="U255" s="38">
        <v>35000</v>
      </c>
      <c r="V255" s="37" t="s">
        <v>55</v>
      </c>
      <c r="W255" s="21" t="s">
        <v>197</v>
      </c>
      <c r="X255" s="24"/>
      <c r="Y255" s="70">
        <f t="shared" si="18"/>
        <v>0</v>
      </c>
    </row>
    <row r="256" spans="1:25" s="39" customFormat="1" ht="14" customHeight="1" x14ac:dyDescent="0.35">
      <c r="A256" s="37" t="s">
        <v>189</v>
      </c>
      <c r="B256" s="37" t="s">
        <v>58</v>
      </c>
      <c r="C256" s="37" t="s">
        <v>1350</v>
      </c>
      <c r="D256" s="37">
        <v>847</v>
      </c>
      <c r="E256" s="37">
        <v>8471240</v>
      </c>
      <c r="F256" s="37" t="s">
        <v>1364</v>
      </c>
      <c r="G256" s="37">
        <v>1</v>
      </c>
      <c r="H256" s="37">
        <v>436110</v>
      </c>
      <c r="I256" s="37" t="s">
        <v>190</v>
      </c>
      <c r="J256" s="37" t="s">
        <v>60</v>
      </c>
      <c r="K256" s="37" t="s">
        <v>50</v>
      </c>
      <c r="L256" s="37">
        <v>847001</v>
      </c>
      <c r="M256" s="37" t="s">
        <v>61</v>
      </c>
      <c r="N256" s="37">
        <v>200179</v>
      </c>
      <c r="O256" s="37" t="str">
        <f t="shared" si="17"/>
        <v>847.8471240.1.436110.000000.847001.200179</v>
      </c>
      <c r="P256" s="21" t="s">
        <v>829</v>
      </c>
      <c r="Q256" s="37" t="s">
        <v>157</v>
      </c>
      <c r="R256" s="37">
        <v>10</v>
      </c>
      <c r="S256" s="37">
        <v>500</v>
      </c>
      <c r="T256" s="37" t="s">
        <v>1400</v>
      </c>
      <c r="U256" s="38">
        <v>5000</v>
      </c>
      <c r="V256" s="37" t="s">
        <v>55</v>
      </c>
      <c r="W256" s="21" t="s">
        <v>56</v>
      </c>
      <c r="X256" s="24"/>
      <c r="Y256" s="70">
        <f t="shared" si="18"/>
        <v>0</v>
      </c>
    </row>
    <row r="257" spans="1:25" s="39" customFormat="1" ht="14" customHeight="1" x14ac:dyDescent="0.35">
      <c r="A257" s="37" t="s">
        <v>189</v>
      </c>
      <c r="B257" s="37" t="s">
        <v>58</v>
      </c>
      <c r="C257" s="37" t="s">
        <v>1350</v>
      </c>
      <c r="D257" s="37">
        <v>847</v>
      </c>
      <c r="E257" s="37">
        <v>8471240</v>
      </c>
      <c r="F257" s="37" t="s">
        <v>1364</v>
      </c>
      <c r="G257" s="37">
        <v>1</v>
      </c>
      <c r="H257" s="37">
        <v>436110</v>
      </c>
      <c r="I257" s="37" t="s">
        <v>190</v>
      </c>
      <c r="J257" s="37" t="s">
        <v>60</v>
      </c>
      <c r="K257" s="37" t="s">
        <v>50</v>
      </c>
      <c r="L257" s="37">
        <v>847001</v>
      </c>
      <c r="M257" s="37" t="s">
        <v>61</v>
      </c>
      <c r="N257" s="37">
        <v>200179</v>
      </c>
      <c r="O257" s="37" t="str">
        <f t="shared" si="17"/>
        <v>847.8471240.1.436110.000000.847001.200179</v>
      </c>
      <c r="P257" s="21" t="s">
        <v>829</v>
      </c>
      <c r="Q257" s="37" t="s">
        <v>157</v>
      </c>
      <c r="R257" s="37">
        <v>80</v>
      </c>
      <c r="S257" s="37">
        <v>25</v>
      </c>
      <c r="T257" s="37" t="s">
        <v>1401</v>
      </c>
      <c r="U257" s="38">
        <v>2000</v>
      </c>
      <c r="V257" s="37" t="s">
        <v>55</v>
      </c>
      <c r="W257" s="21" t="s">
        <v>197</v>
      </c>
      <c r="X257" s="24"/>
      <c r="Y257" s="70">
        <f t="shared" si="18"/>
        <v>0</v>
      </c>
    </row>
    <row r="258" spans="1:25" s="39" customFormat="1" ht="14" customHeight="1" x14ac:dyDescent="0.35">
      <c r="A258" s="37" t="s">
        <v>189</v>
      </c>
      <c r="B258" s="37" t="s">
        <v>58</v>
      </c>
      <c r="C258" s="37" t="s">
        <v>1350</v>
      </c>
      <c r="D258" s="37">
        <v>847</v>
      </c>
      <c r="E258" s="37">
        <v>8471240</v>
      </c>
      <c r="F258" s="37" t="s">
        <v>1364</v>
      </c>
      <c r="G258" s="37">
        <v>1</v>
      </c>
      <c r="H258" s="37">
        <v>436120</v>
      </c>
      <c r="I258" s="37" t="s">
        <v>291</v>
      </c>
      <c r="J258" s="37" t="s">
        <v>60</v>
      </c>
      <c r="K258" s="37" t="s">
        <v>50</v>
      </c>
      <c r="L258" s="37">
        <v>847001</v>
      </c>
      <c r="M258" s="37" t="s">
        <v>61</v>
      </c>
      <c r="N258" s="37">
        <v>200179</v>
      </c>
      <c r="O258" s="37" t="str">
        <f t="shared" si="17"/>
        <v>847.8471240.1.436120.000000.847001.200179</v>
      </c>
      <c r="P258" s="21" t="s">
        <v>292</v>
      </c>
      <c r="Q258" s="37" t="s">
        <v>157</v>
      </c>
      <c r="R258" s="37">
        <v>10</v>
      </c>
      <c r="S258" s="37">
        <v>3400</v>
      </c>
      <c r="T258" s="37" t="s">
        <v>1402</v>
      </c>
      <c r="U258" s="38">
        <v>34000</v>
      </c>
      <c r="V258" s="37" t="s">
        <v>55</v>
      </c>
      <c r="W258" s="21" t="s">
        <v>56</v>
      </c>
      <c r="X258" s="24"/>
      <c r="Y258" s="70">
        <f t="shared" si="18"/>
        <v>0</v>
      </c>
    </row>
    <row r="259" spans="1:25" s="39" customFormat="1" ht="14" customHeight="1" x14ac:dyDescent="0.35">
      <c r="A259" s="37" t="s">
        <v>189</v>
      </c>
      <c r="B259" s="37" t="s">
        <v>58</v>
      </c>
      <c r="C259" s="37" t="s">
        <v>1350</v>
      </c>
      <c r="D259" s="37">
        <v>847</v>
      </c>
      <c r="E259" s="37">
        <v>8471240</v>
      </c>
      <c r="F259" s="37" t="s">
        <v>1364</v>
      </c>
      <c r="G259" s="37">
        <v>1</v>
      </c>
      <c r="H259" s="37">
        <v>436120</v>
      </c>
      <c r="I259" s="37" t="s">
        <v>291</v>
      </c>
      <c r="J259" s="37" t="s">
        <v>60</v>
      </c>
      <c r="K259" s="37" t="s">
        <v>50</v>
      </c>
      <c r="L259" s="37">
        <v>847001</v>
      </c>
      <c r="M259" s="37" t="s">
        <v>61</v>
      </c>
      <c r="N259" s="37">
        <v>200179</v>
      </c>
      <c r="O259" s="37" t="str">
        <f t="shared" ref="O259:O322" si="19">CONCATENATE(D259,".",E259,".",G259,".",H259,".",J259,".",L259,".",N259)</f>
        <v>847.8471240.1.436120.000000.847001.200179</v>
      </c>
      <c r="P259" s="21" t="s">
        <v>292</v>
      </c>
      <c r="Q259" s="37" t="s">
        <v>157</v>
      </c>
      <c r="R259" s="37">
        <v>10</v>
      </c>
      <c r="S259" s="37">
        <v>100</v>
      </c>
      <c r="T259" s="37" t="s">
        <v>1403</v>
      </c>
      <c r="U259" s="38">
        <v>1000</v>
      </c>
      <c r="V259" s="37" t="s">
        <v>55</v>
      </c>
      <c r="W259" s="21" t="s">
        <v>197</v>
      </c>
      <c r="X259" s="24"/>
      <c r="Y259" s="70">
        <f t="shared" ref="Y259:Y322" si="20">(R259*S259)-U259</f>
        <v>0</v>
      </c>
    </row>
    <row r="260" spans="1:25" s="39" customFormat="1" ht="14" customHeight="1" x14ac:dyDescent="0.35">
      <c r="A260" s="37" t="s">
        <v>46</v>
      </c>
      <c r="B260" s="37" t="s">
        <v>46</v>
      </c>
      <c r="C260" s="37" t="s">
        <v>1350</v>
      </c>
      <c r="D260" s="20">
        <v>847</v>
      </c>
      <c r="E260" s="37">
        <v>8471260</v>
      </c>
      <c r="F260" s="37" t="s">
        <v>1404</v>
      </c>
      <c r="G260" s="20">
        <v>1</v>
      </c>
      <c r="H260" s="37">
        <v>421100</v>
      </c>
      <c r="I260" s="37" t="s">
        <v>72</v>
      </c>
      <c r="J260" s="37" t="s">
        <v>60</v>
      </c>
      <c r="K260" s="37" t="s">
        <v>50</v>
      </c>
      <c r="L260" s="37" t="s">
        <v>51</v>
      </c>
      <c r="M260" s="37" t="s">
        <v>61</v>
      </c>
      <c r="N260" s="37">
        <v>200179</v>
      </c>
      <c r="O260" s="37" t="str">
        <f t="shared" si="19"/>
        <v>847.8471260.1.421100.000000.847001.200179</v>
      </c>
      <c r="P260" s="21" t="s">
        <v>1624</v>
      </c>
      <c r="Q260" s="37" t="s">
        <v>62</v>
      </c>
      <c r="R260" s="37">
        <v>12</v>
      </c>
      <c r="S260" s="37">
        <v>118000</v>
      </c>
      <c r="T260" s="37" t="s">
        <v>1625</v>
      </c>
      <c r="U260" s="38">
        <v>1416000</v>
      </c>
      <c r="V260" s="37" t="s">
        <v>55</v>
      </c>
      <c r="W260" s="21" t="s">
        <v>56</v>
      </c>
      <c r="X260" s="24" t="s">
        <v>70</v>
      </c>
      <c r="Y260" s="70">
        <f t="shared" si="20"/>
        <v>0</v>
      </c>
    </row>
    <row r="261" spans="1:25" s="39" customFormat="1" ht="14" customHeight="1" x14ac:dyDescent="0.35">
      <c r="A261" s="37" t="s">
        <v>71</v>
      </c>
      <c r="B261" s="37" t="s">
        <v>58</v>
      </c>
      <c r="C261" s="37" t="s">
        <v>1350</v>
      </c>
      <c r="D261" s="37">
        <v>847</v>
      </c>
      <c r="E261" s="37">
        <v>8471260</v>
      </c>
      <c r="F261" s="37" t="s">
        <v>1404</v>
      </c>
      <c r="G261" s="37">
        <v>1</v>
      </c>
      <c r="H261" s="37">
        <v>421100</v>
      </c>
      <c r="I261" s="37" t="s">
        <v>72</v>
      </c>
      <c r="J261" s="37" t="s">
        <v>60</v>
      </c>
      <c r="K261" s="37" t="s">
        <v>50</v>
      </c>
      <c r="L261" s="37">
        <v>847001</v>
      </c>
      <c r="M261" s="37" t="s">
        <v>61</v>
      </c>
      <c r="N261" s="37">
        <v>200179</v>
      </c>
      <c r="O261" s="37" t="str">
        <f t="shared" si="19"/>
        <v>847.8471260.1.421100.000000.847001.200179</v>
      </c>
      <c r="P261" s="21" t="s">
        <v>1624</v>
      </c>
      <c r="Q261" s="37" t="s">
        <v>62</v>
      </c>
      <c r="R261" s="37">
        <v>6</v>
      </c>
      <c r="S261" s="37">
        <v>99000</v>
      </c>
      <c r="T261" s="37" t="s">
        <v>1626</v>
      </c>
      <c r="U261" s="38">
        <v>594000</v>
      </c>
      <c r="V261" s="37" t="s">
        <v>55</v>
      </c>
      <c r="W261" s="21" t="s">
        <v>56</v>
      </c>
      <c r="X261" s="24" t="s">
        <v>70</v>
      </c>
      <c r="Y261" s="70">
        <f t="shared" si="20"/>
        <v>0</v>
      </c>
    </row>
    <row r="262" spans="1:25" s="39" customFormat="1" ht="14" customHeight="1" x14ac:dyDescent="0.35">
      <c r="A262" s="37" t="s">
        <v>46</v>
      </c>
      <c r="B262" s="37" t="s">
        <v>46</v>
      </c>
      <c r="C262" s="37" t="s">
        <v>1350</v>
      </c>
      <c r="D262" s="20">
        <v>847</v>
      </c>
      <c r="E262" s="37">
        <v>8471260</v>
      </c>
      <c r="F262" s="37" t="s">
        <v>1404</v>
      </c>
      <c r="G262" s="20">
        <v>1</v>
      </c>
      <c r="H262" s="37">
        <v>425510</v>
      </c>
      <c r="I262" s="37" t="s">
        <v>247</v>
      </c>
      <c r="J262" s="37" t="s">
        <v>60</v>
      </c>
      <c r="K262" s="37" t="s">
        <v>50</v>
      </c>
      <c r="L262" s="37" t="s">
        <v>51</v>
      </c>
      <c r="M262" s="37" t="s">
        <v>61</v>
      </c>
      <c r="N262" s="37">
        <v>200179</v>
      </c>
      <c r="O262" s="37" t="str">
        <f t="shared" si="19"/>
        <v>847.8471260.1.425510.000000.847001.200179</v>
      </c>
      <c r="P262" s="21" t="s">
        <v>1405</v>
      </c>
      <c r="Q262" s="37" t="s">
        <v>62</v>
      </c>
      <c r="R262" s="37">
        <v>1300</v>
      </c>
      <c r="S262" s="37">
        <v>100</v>
      </c>
      <c r="T262" s="37" t="s">
        <v>1406</v>
      </c>
      <c r="U262" s="38">
        <v>130000</v>
      </c>
      <c r="V262" s="37" t="s">
        <v>55</v>
      </c>
      <c r="W262" s="21" t="s">
        <v>56</v>
      </c>
      <c r="X262" s="24" t="s">
        <v>244</v>
      </c>
      <c r="Y262" s="70">
        <f t="shared" si="20"/>
        <v>0</v>
      </c>
    </row>
    <row r="263" spans="1:25" s="39" customFormat="1" ht="14" customHeight="1" x14ac:dyDescent="0.35">
      <c r="A263" s="37" t="s">
        <v>46</v>
      </c>
      <c r="B263" s="37" t="s">
        <v>46</v>
      </c>
      <c r="C263" s="37" t="s">
        <v>1350</v>
      </c>
      <c r="D263" s="20">
        <v>847</v>
      </c>
      <c r="E263" s="37">
        <v>8471260</v>
      </c>
      <c r="F263" s="37" t="s">
        <v>1404</v>
      </c>
      <c r="G263" s="20">
        <v>1</v>
      </c>
      <c r="H263" s="37">
        <v>425510</v>
      </c>
      <c r="I263" s="37" t="s">
        <v>247</v>
      </c>
      <c r="J263" s="37" t="s">
        <v>60</v>
      </c>
      <c r="K263" s="37" t="s">
        <v>50</v>
      </c>
      <c r="L263" s="37" t="s">
        <v>51</v>
      </c>
      <c r="M263" s="37" t="s">
        <v>61</v>
      </c>
      <c r="N263" s="37">
        <v>200179</v>
      </c>
      <c r="O263" s="37" t="str">
        <f t="shared" si="19"/>
        <v>847.8471260.1.425510.000000.847001.200179</v>
      </c>
      <c r="P263" s="21" t="s">
        <v>1405</v>
      </c>
      <c r="Q263" s="37" t="s">
        <v>62</v>
      </c>
      <c r="R263" s="37">
        <v>1700</v>
      </c>
      <c r="S263" s="37">
        <v>50</v>
      </c>
      <c r="T263" s="37" t="s">
        <v>1409</v>
      </c>
      <c r="U263" s="38">
        <v>85000</v>
      </c>
      <c r="V263" s="37" t="s">
        <v>55</v>
      </c>
      <c r="W263" s="21" t="s">
        <v>56</v>
      </c>
      <c r="X263" s="24" t="s">
        <v>244</v>
      </c>
      <c r="Y263" s="70">
        <f t="shared" si="20"/>
        <v>0</v>
      </c>
    </row>
    <row r="264" spans="1:25" s="39" customFormat="1" ht="14" customHeight="1" x14ac:dyDescent="0.35">
      <c r="A264" s="37" t="s">
        <v>46</v>
      </c>
      <c r="B264" s="37" t="s">
        <v>46</v>
      </c>
      <c r="C264" s="37" t="s">
        <v>1350</v>
      </c>
      <c r="D264" s="20">
        <v>847</v>
      </c>
      <c r="E264" s="37">
        <v>8471260</v>
      </c>
      <c r="F264" s="37" t="s">
        <v>1404</v>
      </c>
      <c r="G264" s="20">
        <v>1</v>
      </c>
      <c r="H264" s="37">
        <v>425510</v>
      </c>
      <c r="I264" s="37" t="s">
        <v>247</v>
      </c>
      <c r="J264" s="37" t="s">
        <v>60</v>
      </c>
      <c r="K264" s="37" t="s">
        <v>50</v>
      </c>
      <c r="L264" s="37" t="s">
        <v>51</v>
      </c>
      <c r="M264" s="37" t="s">
        <v>61</v>
      </c>
      <c r="N264" s="37">
        <v>200179</v>
      </c>
      <c r="O264" s="37" t="str">
        <f t="shared" si="19"/>
        <v>847.8471260.1.425510.000000.847001.200179</v>
      </c>
      <c r="P264" s="21" t="s">
        <v>1405</v>
      </c>
      <c r="Q264" s="37" t="s">
        <v>62</v>
      </c>
      <c r="R264" s="37">
        <v>700</v>
      </c>
      <c r="S264" s="37">
        <v>20</v>
      </c>
      <c r="T264" s="37" t="s">
        <v>1411</v>
      </c>
      <c r="U264" s="38">
        <v>14000</v>
      </c>
      <c r="V264" s="37" t="s">
        <v>55</v>
      </c>
      <c r="W264" s="21" t="s">
        <v>56</v>
      </c>
      <c r="X264" s="24" t="s">
        <v>244</v>
      </c>
      <c r="Y264" s="70">
        <f t="shared" si="20"/>
        <v>0</v>
      </c>
    </row>
    <row r="265" spans="1:25" s="39" customFormat="1" ht="14" customHeight="1" x14ac:dyDescent="0.35">
      <c r="A265" s="37" t="s">
        <v>46</v>
      </c>
      <c r="B265" s="37" t="s">
        <v>46</v>
      </c>
      <c r="C265" s="37" t="s">
        <v>1350</v>
      </c>
      <c r="D265" s="20">
        <v>847</v>
      </c>
      <c r="E265" s="37">
        <v>8471260</v>
      </c>
      <c r="F265" s="37" t="s">
        <v>1404</v>
      </c>
      <c r="G265" s="20">
        <v>1</v>
      </c>
      <c r="H265" s="37">
        <v>425510</v>
      </c>
      <c r="I265" s="37" t="s">
        <v>247</v>
      </c>
      <c r="J265" s="37" t="s">
        <v>60</v>
      </c>
      <c r="K265" s="37" t="s">
        <v>50</v>
      </c>
      <c r="L265" s="37" t="s">
        <v>51</v>
      </c>
      <c r="M265" s="37" t="s">
        <v>61</v>
      </c>
      <c r="N265" s="37">
        <v>200179</v>
      </c>
      <c r="O265" s="37" t="str">
        <f t="shared" si="19"/>
        <v>847.8471260.1.425510.000000.847001.200179</v>
      </c>
      <c r="P265" s="21" t="s">
        <v>1405</v>
      </c>
      <c r="Q265" s="37" t="s">
        <v>62</v>
      </c>
      <c r="R265" s="37">
        <v>1200</v>
      </c>
      <c r="S265" s="37">
        <v>20</v>
      </c>
      <c r="T265" s="37" t="s">
        <v>1413</v>
      </c>
      <c r="U265" s="38">
        <v>24000</v>
      </c>
      <c r="V265" s="37" t="s">
        <v>55</v>
      </c>
      <c r="W265" s="21" t="s">
        <v>56</v>
      </c>
      <c r="X265" s="24" t="s">
        <v>244</v>
      </c>
      <c r="Y265" s="70">
        <f t="shared" si="20"/>
        <v>0</v>
      </c>
    </row>
    <row r="266" spans="1:25" s="39" customFormat="1" ht="14" customHeight="1" x14ac:dyDescent="0.35">
      <c r="A266" s="37" t="s">
        <v>245</v>
      </c>
      <c r="B266" s="37" t="s">
        <v>246</v>
      </c>
      <c r="C266" s="37" t="s">
        <v>1350</v>
      </c>
      <c r="D266" s="37">
        <v>847</v>
      </c>
      <c r="E266" s="37">
        <v>8471260</v>
      </c>
      <c r="F266" s="37" t="s">
        <v>1404</v>
      </c>
      <c r="G266" s="37">
        <v>1</v>
      </c>
      <c r="H266" s="37">
        <v>425510</v>
      </c>
      <c r="I266" s="37" t="s">
        <v>247</v>
      </c>
      <c r="J266" s="37" t="s">
        <v>60</v>
      </c>
      <c r="K266" s="37" t="s">
        <v>50</v>
      </c>
      <c r="L266" s="37">
        <v>847001</v>
      </c>
      <c r="M266" s="37" t="s">
        <v>61</v>
      </c>
      <c r="N266" s="37">
        <v>200179</v>
      </c>
      <c r="O266" s="37" t="str">
        <f t="shared" si="19"/>
        <v>847.8471260.1.425510.000000.847001.200179</v>
      </c>
      <c r="P266" s="21" t="s">
        <v>1405</v>
      </c>
      <c r="Q266" s="37" t="s">
        <v>62</v>
      </c>
      <c r="R266" s="37">
        <v>1200</v>
      </c>
      <c r="S266" s="37">
        <v>40</v>
      </c>
      <c r="T266" s="37" t="s">
        <v>1415</v>
      </c>
      <c r="U266" s="38">
        <v>48000</v>
      </c>
      <c r="V266" s="37" t="s">
        <v>55</v>
      </c>
      <c r="W266" s="21" t="s">
        <v>56</v>
      </c>
      <c r="X266" s="24" t="s">
        <v>244</v>
      </c>
      <c r="Y266" s="70">
        <f t="shared" si="20"/>
        <v>0</v>
      </c>
    </row>
    <row r="267" spans="1:25" s="39" customFormat="1" ht="14" customHeight="1" x14ac:dyDescent="0.35">
      <c r="A267" s="37" t="s">
        <v>46</v>
      </c>
      <c r="B267" s="37" t="s">
        <v>46</v>
      </c>
      <c r="C267" s="37" t="s">
        <v>1350</v>
      </c>
      <c r="D267" s="20">
        <v>847</v>
      </c>
      <c r="E267" s="37">
        <v>8471260</v>
      </c>
      <c r="F267" s="37" t="s">
        <v>1404</v>
      </c>
      <c r="G267" s="20">
        <v>1</v>
      </c>
      <c r="H267" s="37">
        <v>425746</v>
      </c>
      <c r="I267" s="37" t="s">
        <v>1047</v>
      </c>
      <c r="J267" s="37" t="s">
        <v>60</v>
      </c>
      <c r="K267" s="37" t="s">
        <v>50</v>
      </c>
      <c r="L267" s="37">
        <v>847001</v>
      </c>
      <c r="M267" s="37" t="s">
        <v>61</v>
      </c>
      <c r="N267" s="37">
        <v>200179</v>
      </c>
      <c r="O267" s="37" t="str">
        <f t="shared" si="19"/>
        <v>847.8471260.1.425746.000000.847001.200179</v>
      </c>
      <c r="P267" s="21" t="s">
        <v>1049</v>
      </c>
      <c r="Q267" s="37" t="s">
        <v>62</v>
      </c>
      <c r="R267" s="37">
        <v>390</v>
      </c>
      <c r="S267" s="37">
        <v>8195</v>
      </c>
      <c r="T267" s="37" t="s">
        <v>1419</v>
      </c>
      <c r="U267" s="38">
        <v>3196050</v>
      </c>
      <c r="V267" s="37" t="s">
        <v>55</v>
      </c>
      <c r="W267" s="21" t="s">
        <v>56</v>
      </c>
      <c r="X267" s="24" t="s">
        <v>70</v>
      </c>
      <c r="Y267" s="70">
        <f t="shared" si="20"/>
        <v>0</v>
      </c>
    </row>
    <row r="268" spans="1:25" s="39" customFormat="1" ht="14" customHeight="1" x14ac:dyDescent="0.35">
      <c r="A268" s="37" t="s">
        <v>46</v>
      </c>
      <c r="B268" s="37" t="s">
        <v>46</v>
      </c>
      <c r="C268" s="37" t="s">
        <v>1350</v>
      </c>
      <c r="D268" s="20">
        <v>847</v>
      </c>
      <c r="E268" s="37">
        <v>8471260</v>
      </c>
      <c r="F268" s="37" t="s">
        <v>1404</v>
      </c>
      <c r="G268" s="20">
        <v>1</v>
      </c>
      <c r="H268" s="37">
        <v>425746</v>
      </c>
      <c r="I268" s="37" t="s">
        <v>1047</v>
      </c>
      <c r="J268" s="37" t="s">
        <v>60</v>
      </c>
      <c r="K268" s="37" t="s">
        <v>50</v>
      </c>
      <c r="L268" s="37">
        <v>847001</v>
      </c>
      <c r="M268" s="37" t="s">
        <v>61</v>
      </c>
      <c r="N268" s="37">
        <v>200179</v>
      </c>
      <c r="O268" s="37" t="str">
        <f t="shared" si="19"/>
        <v>847.8471260.1.425746.000000.847001.200179</v>
      </c>
      <c r="P268" s="21" t="s">
        <v>1049</v>
      </c>
      <c r="Q268" s="37" t="s">
        <v>62</v>
      </c>
      <c r="R268" s="37">
        <v>50</v>
      </c>
      <c r="S268" s="37">
        <v>11435</v>
      </c>
      <c r="T268" s="37" t="s">
        <v>1421</v>
      </c>
      <c r="U268" s="38">
        <v>571750</v>
      </c>
      <c r="V268" s="37" t="s">
        <v>55</v>
      </c>
      <c r="W268" s="21" t="s">
        <v>56</v>
      </c>
      <c r="X268" s="24" t="s">
        <v>70</v>
      </c>
      <c r="Y268" s="70">
        <f t="shared" si="20"/>
        <v>0</v>
      </c>
    </row>
    <row r="269" spans="1:25" s="39" customFormat="1" ht="14" customHeight="1" x14ac:dyDescent="0.35">
      <c r="A269" s="37" t="s">
        <v>46</v>
      </c>
      <c r="B269" s="37" t="s">
        <v>46</v>
      </c>
      <c r="C269" s="37" t="s">
        <v>1350</v>
      </c>
      <c r="D269" s="20">
        <v>847</v>
      </c>
      <c r="E269" s="37">
        <v>8471260</v>
      </c>
      <c r="F269" s="37" t="s">
        <v>1404</v>
      </c>
      <c r="G269" s="20">
        <v>1</v>
      </c>
      <c r="H269" s="37">
        <v>425746</v>
      </c>
      <c r="I269" s="37" t="s">
        <v>1047</v>
      </c>
      <c r="J269" s="37" t="s">
        <v>60</v>
      </c>
      <c r="K269" s="37" t="s">
        <v>50</v>
      </c>
      <c r="L269" s="37">
        <v>847001</v>
      </c>
      <c r="M269" s="37" t="s">
        <v>61</v>
      </c>
      <c r="N269" s="37">
        <v>200179</v>
      </c>
      <c r="O269" s="37" t="str">
        <f t="shared" si="19"/>
        <v>847.8471260.1.425746.000000.847001.200179</v>
      </c>
      <c r="P269" s="21" t="s">
        <v>1049</v>
      </c>
      <c r="Q269" s="37" t="s">
        <v>62</v>
      </c>
      <c r="R269" s="37">
        <v>130</v>
      </c>
      <c r="S269" s="37">
        <v>15455</v>
      </c>
      <c r="T269" s="37" t="s">
        <v>1422</v>
      </c>
      <c r="U269" s="38">
        <v>2009150</v>
      </c>
      <c r="V269" s="37" t="s">
        <v>55</v>
      </c>
      <c r="W269" s="21" t="s">
        <v>56</v>
      </c>
      <c r="X269" s="24" t="s">
        <v>70</v>
      </c>
      <c r="Y269" s="70">
        <f t="shared" si="20"/>
        <v>0</v>
      </c>
    </row>
    <row r="270" spans="1:25" s="39" customFormat="1" ht="14" customHeight="1" x14ac:dyDescent="0.35">
      <c r="A270" s="37" t="s">
        <v>46</v>
      </c>
      <c r="B270" s="37" t="s">
        <v>46</v>
      </c>
      <c r="C270" s="37" t="s">
        <v>1350</v>
      </c>
      <c r="D270" s="20">
        <v>847</v>
      </c>
      <c r="E270" s="37">
        <v>8471260</v>
      </c>
      <c r="F270" s="37" t="s">
        <v>1404</v>
      </c>
      <c r="G270" s="20">
        <v>1</v>
      </c>
      <c r="H270" s="37">
        <v>425746</v>
      </c>
      <c r="I270" s="37" t="s">
        <v>1047</v>
      </c>
      <c r="J270" s="37" t="s">
        <v>60</v>
      </c>
      <c r="K270" s="37" t="s">
        <v>50</v>
      </c>
      <c r="L270" s="37">
        <v>847001</v>
      </c>
      <c r="M270" s="37" t="s">
        <v>61</v>
      </c>
      <c r="N270" s="37">
        <v>200179</v>
      </c>
      <c r="O270" s="37" t="str">
        <f t="shared" si="19"/>
        <v>847.8471260.1.425746.000000.847001.200179</v>
      </c>
      <c r="P270" s="21" t="s">
        <v>1049</v>
      </c>
      <c r="Q270" s="37" t="s">
        <v>62</v>
      </c>
      <c r="R270" s="37">
        <v>73</v>
      </c>
      <c r="S270" s="37">
        <v>65716</v>
      </c>
      <c r="T270" s="37" t="s">
        <v>1424</v>
      </c>
      <c r="U270" s="38">
        <v>4797268</v>
      </c>
      <c r="V270" s="37" t="s">
        <v>55</v>
      </c>
      <c r="W270" s="21" t="s">
        <v>56</v>
      </c>
      <c r="X270" s="24" t="s">
        <v>70</v>
      </c>
      <c r="Y270" s="70">
        <f t="shared" si="20"/>
        <v>0</v>
      </c>
    </row>
    <row r="271" spans="1:25" s="39" customFormat="1" ht="14" customHeight="1" x14ac:dyDescent="0.35">
      <c r="A271" s="37" t="s">
        <v>46</v>
      </c>
      <c r="B271" s="37" t="s">
        <v>46</v>
      </c>
      <c r="C271" s="37" t="s">
        <v>1350</v>
      </c>
      <c r="D271" s="20">
        <v>847</v>
      </c>
      <c r="E271" s="37">
        <v>8471260</v>
      </c>
      <c r="F271" s="37" t="s">
        <v>1404</v>
      </c>
      <c r="G271" s="20">
        <v>1</v>
      </c>
      <c r="H271" s="37">
        <v>425746</v>
      </c>
      <c r="I271" s="37" t="s">
        <v>1047</v>
      </c>
      <c r="J271" s="37" t="s">
        <v>60</v>
      </c>
      <c r="K271" s="37" t="s">
        <v>50</v>
      </c>
      <c r="L271" s="37">
        <v>847001</v>
      </c>
      <c r="M271" s="37" t="s">
        <v>61</v>
      </c>
      <c r="N271" s="37">
        <v>200179</v>
      </c>
      <c r="O271" s="37" t="str">
        <f t="shared" si="19"/>
        <v>847.8471260.1.425746.000000.847001.200179</v>
      </c>
      <c r="P271" s="21" t="s">
        <v>1049</v>
      </c>
      <c r="Q271" s="37" t="s">
        <v>62</v>
      </c>
      <c r="R271" s="37">
        <v>1</v>
      </c>
      <c r="S271" s="37">
        <v>142085</v>
      </c>
      <c r="T271" s="37" t="s">
        <v>1425</v>
      </c>
      <c r="U271" s="38">
        <v>142085</v>
      </c>
      <c r="V271" s="37" t="s">
        <v>55</v>
      </c>
      <c r="W271" s="21" t="s">
        <v>56</v>
      </c>
      <c r="X271" s="24" t="s">
        <v>70</v>
      </c>
      <c r="Y271" s="70">
        <f t="shared" si="20"/>
        <v>0</v>
      </c>
    </row>
    <row r="272" spans="1:25" s="39" customFormat="1" ht="14" customHeight="1" x14ac:dyDescent="0.35">
      <c r="A272" s="37" t="s">
        <v>46</v>
      </c>
      <c r="B272" s="37" t="s">
        <v>46</v>
      </c>
      <c r="C272" s="37" t="s">
        <v>1350</v>
      </c>
      <c r="D272" s="20">
        <v>847</v>
      </c>
      <c r="E272" s="37">
        <v>8471260</v>
      </c>
      <c r="F272" s="37" t="s">
        <v>1404</v>
      </c>
      <c r="G272" s="20">
        <v>1</v>
      </c>
      <c r="H272" s="37">
        <v>425746</v>
      </c>
      <c r="I272" s="37" t="s">
        <v>1047</v>
      </c>
      <c r="J272" s="37" t="s">
        <v>60</v>
      </c>
      <c r="K272" s="37" t="s">
        <v>50</v>
      </c>
      <c r="L272" s="37">
        <v>847001</v>
      </c>
      <c r="M272" s="37" t="s">
        <v>61</v>
      </c>
      <c r="N272" s="37">
        <v>200179</v>
      </c>
      <c r="O272" s="37" t="str">
        <f t="shared" si="19"/>
        <v>847.8471260.1.425746.000000.847001.200179</v>
      </c>
      <c r="P272" s="21" t="s">
        <v>1049</v>
      </c>
      <c r="Q272" s="37" t="s">
        <v>62</v>
      </c>
      <c r="R272" s="37">
        <v>1</v>
      </c>
      <c r="S272" s="37">
        <v>525</v>
      </c>
      <c r="T272" s="37" t="s">
        <v>1426</v>
      </c>
      <c r="U272" s="38">
        <v>525</v>
      </c>
      <c r="V272" s="37" t="s">
        <v>55</v>
      </c>
      <c r="W272" s="21" t="s">
        <v>56</v>
      </c>
      <c r="X272" s="24" t="s">
        <v>70</v>
      </c>
      <c r="Y272" s="70">
        <f t="shared" si="20"/>
        <v>0</v>
      </c>
    </row>
    <row r="273" spans="1:25" s="39" customFormat="1" ht="14" customHeight="1" x14ac:dyDescent="0.35">
      <c r="A273" s="37" t="s">
        <v>46</v>
      </c>
      <c r="B273" s="37" t="s">
        <v>46</v>
      </c>
      <c r="C273" s="37" t="s">
        <v>1350</v>
      </c>
      <c r="D273" s="20">
        <v>847</v>
      </c>
      <c r="E273" s="37">
        <v>8471260</v>
      </c>
      <c r="F273" s="37" t="s">
        <v>1404</v>
      </c>
      <c r="G273" s="20">
        <v>1</v>
      </c>
      <c r="H273" s="37">
        <v>425746</v>
      </c>
      <c r="I273" s="37" t="s">
        <v>1047</v>
      </c>
      <c r="J273" s="37" t="s">
        <v>60</v>
      </c>
      <c r="K273" s="37" t="s">
        <v>50</v>
      </c>
      <c r="L273" s="37">
        <v>847001</v>
      </c>
      <c r="M273" s="37" t="s">
        <v>61</v>
      </c>
      <c r="N273" s="37">
        <v>200179</v>
      </c>
      <c r="O273" s="37" t="str">
        <f t="shared" si="19"/>
        <v>847.8471260.1.425746.000000.847001.200179</v>
      </c>
      <c r="P273" s="21" t="s">
        <v>1049</v>
      </c>
      <c r="Q273" s="37" t="s">
        <v>62</v>
      </c>
      <c r="R273" s="37">
        <v>10</v>
      </c>
      <c r="S273" s="37">
        <v>60000</v>
      </c>
      <c r="T273" s="37" t="s">
        <v>1427</v>
      </c>
      <c r="U273" s="38">
        <v>600000</v>
      </c>
      <c r="V273" s="37" t="s">
        <v>55</v>
      </c>
      <c r="W273" s="21" t="s">
        <v>56</v>
      </c>
      <c r="X273" s="24" t="s">
        <v>70</v>
      </c>
      <c r="Y273" s="70">
        <f t="shared" si="20"/>
        <v>0</v>
      </c>
    </row>
    <row r="274" spans="1:25" s="39" customFormat="1" ht="14" customHeight="1" x14ac:dyDescent="0.35">
      <c r="A274" s="37" t="s">
        <v>258</v>
      </c>
      <c r="B274" s="37" t="s">
        <v>58</v>
      </c>
      <c r="C274" s="37" t="s">
        <v>1350</v>
      </c>
      <c r="D274" s="37">
        <v>847</v>
      </c>
      <c r="E274" s="37">
        <v>8471260</v>
      </c>
      <c r="F274" s="37" t="s">
        <v>1404</v>
      </c>
      <c r="G274" s="37">
        <v>1</v>
      </c>
      <c r="H274" s="37">
        <v>425746</v>
      </c>
      <c r="I274" s="37" t="s">
        <v>1047</v>
      </c>
      <c r="J274" s="37" t="s">
        <v>60</v>
      </c>
      <c r="K274" s="37" t="s">
        <v>50</v>
      </c>
      <c r="L274" s="37">
        <v>847001</v>
      </c>
      <c r="M274" s="37" t="s">
        <v>61</v>
      </c>
      <c r="N274" s="37">
        <v>200179</v>
      </c>
      <c r="O274" s="37" t="str">
        <f t="shared" si="19"/>
        <v>847.8471260.1.425746.000000.847001.200179</v>
      </c>
      <c r="P274" s="21" t="s">
        <v>1049</v>
      </c>
      <c r="Q274" s="37" t="s">
        <v>62</v>
      </c>
      <c r="R274" s="37">
        <v>10</v>
      </c>
      <c r="S274" s="37">
        <v>30000</v>
      </c>
      <c r="T274" s="37" t="s">
        <v>1428</v>
      </c>
      <c r="U274" s="38">
        <v>300000</v>
      </c>
      <c r="V274" s="37" t="s">
        <v>55</v>
      </c>
      <c r="W274" s="21" t="s">
        <v>56</v>
      </c>
      <c r="X274" s="24" t="s">
        <v>70</v>
      </c>
      <c r="Y274" s="70">
        <f t="shared" si="20"/>
        <v>0</v>
      </c>
    </row>
    <row r="275" spans="1:25" s="39" customFormat="1" ht="14" customHeight="1" x14ac:dyDescent="0.35">
      <c r="A275" s="37" t="s">
        <v>46</v>
      </c>
      <c r="B275" s="37" t="s">
        <v>46</v>
      </c>
      <c r="C275" s="37" t="s">
        <v>1350</v>
      </c>
      <c r="D275" s="20">
        <v>847</v>
      </c>
      <c r="E275" s="37">
        <v>8471260</v>
      </c>
      <c r="F275" s="37" t="s">
        <v>1404</v>
      </c>
      <c r="G275" s="20">
        <v>1</v>
      </c>
      <c r="H275" s="37">
        <v>425760</v>
      </c>
      <c r="I275" s="37" t="s">
        <v>352</v>
      </c>
      <c r="J275" s="37" t="s">
        <v>60</v>
      </c>
      <c r="K275" s="37" t="s">
        <v>50</v>
      </c>
      <c r="L275" s="37">
        <v>847001</v>
      </c>
      <c r="M275" s="37" t="s">
        <v>61</v>
      </c>
      <c r="N275" s="37">
        <v>200179</v>
      </c>
      <c r="O275" s="37" t="str">
        <f t="shared" si="19"/>
        <v>847.8471260.1.425760.000000.847001.200179</v>
      </c>
      <c r="P275" s="21" t="s">
        <v>354</v>
      </c>
      <c r="Q275" s="37" t="s">
        <v>62</v>
      </c>
      <c r="R275" s="37">
        <v>26</v>
      </c>
      <c r="S275" s="37">
        <v>1600</v>
      </c>
      <c r="T275" s="37" t="s">
        <v>1429</v>
      </c>
      <c r="U275" s="38">
        <v>41600</v>
      </c>
      <c r="V275" s="37" t="s">
        <v>55</v>
      </c>
      <c r="W275" s="21" t="s">
        <v>56</v>
      </c>
      <c r="X275" s="24" t="s">
        <v>244</v>
      </c>
      <c r="Y275" s="70">
        <f t="shared" si="20"/>
        <v>0</v>
      </c>
    </row>
    <row r="276" spans="1:25" s="39" customFormat="1" ht="14" customHeight="1" x14ac:dyDescent="0.35">
      <c r="A276" s="37" t="s">
        <v>46</v>
      </c>
      <c r="B276" s="37" t="s">
        <v>46</v>
      </c>
      <c r="C276" s="37" t="s">
        <v>1350</v>
      </c>
      <c r="D276" s="20">
        <v>847</v>
      </c>
      <c r="E276" s="37">
        <v>8471260</v>
      </c>
      <c r="F276" s="37" t="s">
        <v>1404</v>
      </c>
      <c r="G276" s="20">
        <v>1</v>
      </c>
      <c r="H276" s="37">
        <v>425760</v>
      </c>
      <c r="I276" s="37" t="s">
        <v>352</v>
      </c>
      <c r="J276" s="37" t="s">
        <v>60</v>
      </c>
      <c r="K276" s="37" t="s">
        <v>50</v>
      </c>
      <c r="L276" s="37">
        <v>847001</v>
      </c>
      <c r="M276" s="37" t="s">
        <v>61</v>
      </c>
      <c r="N276" s="37">
        <v>200179</v>
      </c>
      <c r="O276" s="37" t="str">
        <f t="shared" si="19"/>
        <v>847.8471260.1.425760.000000.847001.200179</v>
      </c>
      <c r="P276" s="21" t="s">
        <v>354</v>
      </c>
      <c r="Q276" s="37" t="s">
        <v>62</v>
      </c>
      <c r="R276" s="37">
        <v>33</v>
      </c>
      <c r="S276" s="37">
        <v>2334</v>
      </c>
      <c r="T276" s="37" t="s">
        <v>1433</v>
      </c>
      <c r="U276" s="38">
        <v>77022</v>
      </c>
      <c r="V276" s="37" t="s">
        <v>55</v>
      </c>
      <c r="W276" s="21" t="s">
        <v>56</v>
      </c>
      <c r="X276" s="24" t="s">
        <v>244</v>
      </c>
      <c r="Y276" s="70">
        <f t="shared" si="20"/>
        <v>0</v>
      </c>
    </row>
    <row r="277" spans="1:25" s="39" customFormat="1" ht="14" customHeight="1" x14ac:dyDescent="0.35">
      <c r="A277" s="37" t="s">
        <v>46</v>
      </c>
      <c r="B277" s="37" t="s">
        <v>46</v>
      </c>
      <c r="C277" s="37" t="s">
        <v>1350</v>
      </c>
      <c r="D277" s="20">
        <v>847</v>
      </c>
      <c r="E277" s="37">
        <v>8471260</v>
      </c>
      <c r="F277" s="37" t="s">
        <v>1404</v>
      </c>
      <c r="G277" s="20">
        <v>1</v>
      </c>
      <c r="H277" s="37">
        <v>425760</v>
      </c>
      <c r="I277" s="37" t="s">
        <v>352</v>
      </c>
      <c r="J277" s="37" t="s">
        <v>60</v>
      </c>
      <c r="K277" s="37" t="s">
        <v>50</v>
      </c>
      <c r="L277" s="37">
        <v>847001</v>
      </c>
      <c r="M277" s="37" t="s">
        <v>61</v>
      </c>
      <c r="N277" s="37">
        <v>200179</v>
      </c>
      <c r="O277" s="37" t="str">
        <f t="shared" si="19"/>
        <v>847.8471260.1.425760.000000.847001.200179</v>
      </c>
      <c r="P277" s="21" t="s">
        <v>354</v>
      </c>
      <c r="Q277" s="37" t="s">
        <v>62</v>
      </c>
      <c r="R277" s="37">
        <v>15</v>
      </c>
      <c r="S277" s="37">
        <v>4000</v>
      </c>
      <c r="T277" s="37" t="s">
        <v>1435</v>
      </c>
      <c r="U277" s="38">
        <v>60000</v>
      </c>
      <c r="V277" s="37" t="s">
        <v>55</v>
      </c>
      <c r="W277" s="21" t="s">
        <v>56</v>
      </c>
      <c r="X277" s="24" t="s">
        <v>244</v>
      </c>
      <c r="Y277" s="70">
        <f t="shared" si="20"/>
        <v>0</v>
      </c>
    </row>
    <row r="278" spans="1:25" s="39" customFormat="1" ht="14" customHeight="1" x14ac:dyDescent="0.35">
      <c r="A278" s="37" t="s">
        <v>46</v>
      </c>
      <c r="B278" s="37" t="s">
        <v>46</v>
      </c>
      <c r="C278" s="37" t="s">
        <v>1350</v>
      </c>
      <c r="D278" s="20">
        <v>847</v>
      </c>
      <c r="E278" s="37">
        <v>8471260</v>
      </c>
      <c r="F278" s="37" t="s">
        <v>1404</v>
      </c>
      <c r="G278" s="20">
        <v>1</v>
      </c>
      <c r="H278" s="37">
        <v>425760</v>
      </c>
      <c r="I278" s="37" t="s">
        <v>352</v>
      </c>
      <c r="J278" s="37" t="s">
        <v>60</v>
      </c>
      <c r="K278" s="37" t="s">
        <v>50</v>
      </c>
      <c r="L278" s="37">
        <v>847001</v>
      </c>
      <c r="M278" s="37" t="s">
        <v>61</v>
      </c>
      <c r="N278" s="37">
        <v>200179</v>
      </c>
      <c r="O278" s="37" t="str">
        <f t="shared" si="19"/>
        <v>847.8471260.1.425760.000000.847001.200179</v>
      </c>
      <c r="P278" s="21" t="s">
        <v>354</v>
      </c>
      <c r="Q278" s="37" t="s">
        <v>62</v>
      </c>
      <c r="R278" s="37">
        <v>30</v>
      </c>
      <c r="S278" s="37">
        <v>2000</v>
      </c>
      <c r="T278" s="37" t="s">
        <v>1436</v>
      </c>
      <c r="U278" s="38">
        <v>60000</v>
      </c>
      <c r="V278" s="37" t="s">
        <v>55</v>
      </c>
      <c r="W278" s="21" t="s">
        <v>56</v>
      </c>
      <c r="X278" s="24" t="s">
        <v>244</v>
      </c>
      <c r="Y278" s="70">
        <f t="shared" si="20"/>
        <v>0</v>
      </c>
    </row>
    <row r="279" spans="1:25" s="39" customFormat="1" ht="14" customHeight="1" x14ac:dyDescent="0.35">
      <c r="A279" s="37" t="s">
        <v>46</v>
      </c>
      <c r="B279" s="37" t="s">
        <v>46</v>
      </c>
      <c r="C279" s="37" t="s">
        <v>1350</v>
      </c>
      <c r="D279" s="20">
        <v>847</v>
      </c>
      <c r="E279" s="37">
        <v>8471260</v>
      </c>
      <c r="F279" s="37" t="s">
        <v>1404</v>
      </c>
      <c r="G279" s="20">
        <v>1</v>
      </c>
      <c r="H279" s="37">
        <v>425760</v>
      </c>
      <c r="I279" s="37" t="s">
        <v>352</v>
      </c>
      <c r="J279" s="37" t="s">
        <v>60</v>
      </c>
      <c r="K279" s="37" t="s">
        <v>50</v>
      </c>
      <c r="L279" s="37">
        <v>847001</v>
      </c>
      <c r="M279" s="37" t="s">
        <v>61</v>
      </c>
      <c r="N279" s="37">
        <v>200179</v>
      </c>
      <c r="O279" s="37" t="str">
        <f t="shared" si="19"/>
        <v>847.8471260.1.425760.000000.847001.200179</v>
      </c>
      <c r="P279" s="21" t="s">
        <v>440</v>
      </c>
      <c r="Q279" s="37" t="s">
        <v>62</v>
      </c>
      <c r="R279" s="37">
        <v>40</v>
      </c>
      <c r="S279" s="37">
        <v>2500</v>
      </c>
      <c r="T279" s="37" t="s">
        <v>1437</v>
      </c>
      <c r="U279" s="38">
        <v>100000</v>
      </c>
      <c r="V279" s="37" t="s">
        <v>55</v>
      </c>
      <c r="W279" s="21" t="s">
        <v>56</v>
      </c>
      <c r="X279" s="24" t="s">
        <v>244</v>
      </c>
      <c r="Y279" s="70">
        <f t="shared" si="20"/>
        <v>0</v>
      </c>
    </row>
    <row r="280" spans="1:25" s="39" customFormat="1" ht="14" customHeight="1" x14ac:dyDescent="0.35">
      <c r="A280" s="37" t="s">
        <v>46</v>
      </c>
      <c r="B280" s="37" t="s">
        <v>46</v>
      </c>
      <c r="C280" s="37" t="s">
        <v>1350</v>
      </c>
      <c r="D280" s="20">
        <v>847</v>
      </c>
      <c r="E280" s="37">
        <v>8471260</v>
      </c>
      <c r="F280" s="37" t="s">
        <v>1404</v>
      </c>
      <c r="G280" s="20">
        <v>1</v>
      </c>
      <c r="H280" s="37">
        <v>425760</v>
      </c>
      <c r="I280" s="37" t="s">
        <v>352</v>
      </c>
      <c r="J280" s="37" t="s">
        <v>60</v>
      </c>
      <c r="K280" s="37" t="s">
        <v>50</v>
      </c>
      <c r="L280" s="37">
        <v>847001</v>
      </c>
      <c r="M280" s="37" t="s">
        <v>61</v>
      </c>
      <c r="N280" s="37">
        <v>200179</v>
      </c>
      <c r="O280" s="37" t="str">
        <f t="shared" si="19"/>
        <v>847.8471260.1.425760.000000.847001.200179</v>
      </c>
      <c r="P280" s="21" t="s">
        <v>440</v>
      </c>
      <c r="Q280" s="37" t="s">
        <v>62</v>
      </c>
      <c r="R280" s="37">
        <v>25</v>
      </c>
      <c r="S280" s="37">
        <v>1500</v>
      </c>
      <c r="T280" s="37" t="s">
        <v>1441</v>
      </c>
      <c r="U280" s="38">
        <v>37500</v>
      </c>
      <c r="V280" s="37" t="s">
        <v>55</v>
      </c>
      <c r="W280" s="21" t="s">
        <v>56</v>
      </c>
      <c r="X280" s="24" t="s">
        <v>244</v>
      </c>
      <c r="Y280" s="70">
        <f t="shared" si="20"/>
        <v>0</v>
      </c>
    </row>
    <row r="281" spans="1:25" s="39" customFormat="1" ht="14" customHeight="1" x14ac:dyDescent="0.35">
      <c r="A281" s="37" t="s">
        <v>258</v>
      </c>
      <c r="B281" s="37" t="s">
        <v>350</v>
      </c>
      <c r="C281" s="37" t="s">
        <v>1350</v>
      </c>
      <c r="D281" s="37">
        <v>847</v>
      </c>
      <c r="E281" s="37">
        <v>8471260</v>
      </c>
      <c r="F281" s="37" t="s">
        <v>1404</v>
      </c>
      <c r="G281" s="37">
        <v>1</v>
      </c>
      <c r="H281" s="37">
        <v>425760</v>
      </c>
      <c r="I281" s="37" t="s">
        <v>352</v>
      </c>
      <c r="J281" s="37" t="s">
        <v>60</v>
      </c>
      <c r="K281" s="37" t="s">
        <v>50</v>
      </c>
      <c r="L281" s="37">
        <v>847001</v>
      </c>
      <c r="M281" s="37" t="s">
        <v>61</v>
      </c>
      <c r="N281" s="37">
        <v>200179</v>
      </c>
      <c r="O281" s="37" t="str">
        <f t="shared" si="19"/>
        <v>847.8471260.1.425760.000000.847001.200179</v>
      </c>
      <c r="P281" s="21" t="s">
        <v>440</v>
      </c>
      <c r="Q281" s="37" t="s">
        <v>62</v>
      </c>
      <c r="R281" s="37">
        <v>25</v>
      </c>
      <c r="S281" s="37">
        <v>25000</v>
      </c>
      <c r="T281" s="37" t="s">
        <v>1442</v>
      </c>
      <c r="U281" s="38">
        <v>625000</v>
      </c>
      <c r="V281" s="37" t="s">
        <v>55</v>
      </c>
      <c r="W281" s="21" t="s">
        <v>56</v>
      </c>
      <c r="X281" s="24" t="s">
        <v>244</v>
      </c>
      <c r="Y281" s="70">
        <f t="shared" si="20"/>
        <v>0</v>
      </c>
    </row>
    <row r="282" spans="1:25" s="39" customFormat="1" ht="14" customHeight="1" x14ac:dyDescent="0.35">
      <c r="A282" s="37" t="s">
        <v>46</v>
      </c>
      <c r="B282" s="37" t="s">
        <v>46</v>
      </c>
      <c r="C282" s="37" t="s">
        <v>1350</v>
      </c>
      <c r="D282" s="20">
        <v>847</v>
      </c>
      <c r="E282" s="37">
        <v>8471260</v>
      </c>
      <c r="F282" s="37" t="s">
        <v>1404</v>
      </c>
      <c r="G282" s="20">
        <v>1</v>
      </c>
      <c r="H282" s="37">
        <v>425900</v>
      </c>
      <c r="I282" s="37" t="s">
        <v>266</v>
      </c>
      <c r="J282" s="37" t="s">
        <v>60</v>
      </c>
      <c r="K282" s="37" t="s">
        <v>50</v>
      </c>
      <c r="L282" s="37">
        <v>847001</v>
      </c>
      <c r="M282" s="37" t="s">
        <v>61</v>
      </c>
      <c r="N282" s="37">
        <v>200179</v>
      </c>
      <c r="O282" s="37" t="str">
        <f t="shared" si="19"/>
        <v>847.8471260.1.425900.000000.847001.200179</v>
      </c>
      <c r="P282" s="21" t="s">
        <v>268</v>
      </c>
      <c r="Q282" s="37" t="s">
        <v>62</v>
      </c>
      <c r="R282" s="37">
        <v>1700</v>
      </c>
      <c r="S282" s="37">
        <v>30</v>
      </c>
      <c r="T282" s="37" t="s">
        <v>1444</v>
      </c>
      <c r="U282" s="38">
        <v>51000</v>
      </c>
      <c r="V282" s="37" t="s">
        <v>55</v>
      </c>
      <c r="W282" s="21" t="s">
        <v>56</v>
      </c>
      <c r="X282" s="24" t="s">
        <v>244</v>
      </c>
      <c r="Y282" s="70">
        <f t="shared" si="20"/>
        <v>0</v>
      </c>
    </row>
    <row r="283" spans="1:25" s="39" customFormat="1" ht="14" customHeight="1" x14ac:dyDescent="0.35">
      <c r="A283" s="37" t="s">
        <v>46</v>
      </c>
      <c r="B283" s="37" t="s">
        <v>46</v>
      </c>
      <c r="C283" s="37" t="s">
        <v>1350</v>
      </c>
      <c r="D283" s="20">
        <v>847</v>
      </c>
      <c r="E283" s="37">
        <v>8471260</v>
      </c>
      <c r="F283" s="37" t="s">
        <v>1404</v>
      </c>
      <c r="G283" s="20">
        <v>1</v>
      </c>
      <c r="H283" s="37">
        <v>425900</v>
      </c>
      <c r="I283" s="37" t="s">
        <v>266</v>
      </c>
      <c r="J283" s="37" t="s">
        <v>60</v>
      </c>
      <c r="K283" s="37" t="s">
        <v>50</v>
      </c>
      <c r="L283" s="37">
        <v>847001</v>
      </c>
      <c r="M283" s="37" t="s">
        <v>61</v>
      </c>
      <c r="N283" s="37">
        <v>200179</v>
      </c>
      <c r="O283" s="37" t="str">
        <f t="shared" si="19"/>
        <v>847.8471260.1.425900.000000.847001.200179</v>
      </c>
      <c r="P283" s="21" t="s">
        <v>268</v>
      </c>
      <c r="Q283" s="37" t="s">
        <v>62</v>
      </c>
      <c r="R283" s="37">
        <v>1000</v>
      </c>
      <c r="S283" s="37">
        <v>20</v>
      </c>
      <c r="T283" s="37" t="s">
        <v>1448</v>
      </c>
      <c r="U283" s="38">
        <v>20000</v>
      </c>
      <c r="V283" s="37" t="s">
        <v>55</v>
      </c>
      <c r="W283" s="21" t="s">
        <v>56</v>
      </c>
      <c r="X283" s="24" t="s">
        <v>244</v>
      </c>
      <c r="Y283" s="70">
        <f t="shared" si="20"/>
        <v>0</v>
      </c>
    </row>
    <row r="284" spans="1:25" s="39" customFormat="1" ht="14" customHeight="1" x14ac:dyDescent="0.35">
      <c r="A284" s="37" t="s">
        <v>46</v>
      </c>
      <c r="B284" s="37" t="s">
        <v>46</v>
      </c>
      <c r="C284" s="37" t="s">
        <v>1350</v>
      </c>
      <c r="D284" s="20">
        <v>847</v>
      </c>
      <c r="E284" s="37">
        <v>8471260</v>
      </c>
      <c r="F284" s="37" t="s">
        <v>1404</v>
      </c>
      <c r="G284" s="20">
        <v>1</v>
      </c>
      <c r="H284" s="37">
        <v>425900</v>
      </c>
      <c r="I284" s="37" t="s">
        <v>266</v>
      </c>
      <c r="J284" s="37" t="s">
        <v>60</v>
      </c>
      <c r="K284" s="37" t="s">
        <v>50</v>
      </c>
      <c r="L284" s="37">
        <v>847001</v>
      </c>
      <c r="M284" s="37" t="s">
        <v>61</v>
      </c>
      <c r="N284" s="37">
        <v>200179</v>
      </c>
      <c r="O284" s="37" t="str">
        <f t="shared" si="19"/>
        <v>847.8471260.1.425900.000000.847001.200179</v>
      </c>
      <c r="P284" s="21" t="s">
        <v>268</v>
      </c>
      <c r="Q284" s="37" t="s">
        <v>62</v>
      </c>
      <c r="R284" s="37">
        <v>1000</v>
      </c>
      <c r="S284" s="37">
        <v>15</v>
      </c>
      <c r="T284" s="37" t="s">
        <v>1449</v>
      </c>
      <c r="U284" s="38">
        <v>15000</v>
      </c>
      <c r="V284" s="37" t="s">
        <v>55</v>
      </c>
      <c r="W284" s="21" t="s">
        <v>56</v>
      </c>
      <c r="X284" s="24" t="s">
        <v>244</v>
      </c>
      <c r="Y284" s="70">
        <f t="shared" si="20"/>
        <v>0</v>
      </c>
    </row>
    <row r="285" spans="1:25" s="39" customFormat="1" ht="14" customHeight="1" x14ac:dyDescent="0.35">
      <c r="A285" s="37" t="s">
        <v>46</v>
      </c>
      <c r="B285" s="37" t="s">
        <v>46</v>
      </c>
      <c r="C285" s="37" t="s">
        <v>1350</v>
      </c>
      <c r="D285" s="20">
        <v>847</v>
      </c>
      <c r="E285" s="37">
        <v>8471260</v>
      </c>
      <c r="F285" s="37" t="s">
        <v>1404</v>
      </c>
      <c r="G285" s="20">
        <v>1</v>
      </c>
      <c r="H285" s="37">
        <v>425900</v>
      </c>
      <c r="I285" s="37" t="s">
        <v>266</v>
      </c>
      <c r="J285" s="37" t="s">
        <v>60</v>
      </c>
      <c r="K285" s="37" t="s">
        <v>50</v>
      </c>
      <c r="L285" s="37">
        <v>847001</v>
      </c>
      <c r="M285" s="37" t="s">
        <v>61</v>
      </c>
      <c r="N285" s="37">
        <v>200179</v>
      </c>
      <c r="O285" s="37" t="str">
        <f t="shared" si="19"/>
        <v>847.8471260.1.425900.000000.847001.200179</v>
      </c>
      <c r="P285" s="21" t="s">
        <v>268</v>
      </c>
      <c r="Q285" s="37" t="s">
        <v>62</v>
      </c>
      <c r="R285" s="37">
        <v>1600</v>
      </c>
      <c r="S285" s="37">
        <v>20</v>
      </c>
      <c r="T285" s="37" t="s">
        <v>1450</v>
      </c>
      <c r="U285" s="38">
        <v>32000</v>
      </c>
      <c r="V285" s="37" t="s">
        <v>55</v>
      </c>
      <c r="W285" s="21" t="s">
        <v>56</v>
      </c>
      <c r="X285" s="24" t="s">
        <v>244</v>
      </c>
      <c r="Y285" s="70">
        <f t="shared" si="20"/>
        <v>0</v>
      </c>
    </row>
    <row r="286" spans="1:25" s="39" customFormat="1" ht="14" customHeight="1" x14ac:dyDescent="0.35">
      <c r="A286" s="37" t="s">
        <v>46</v>
      </c>
      <c r="B286" s="37" t="s">
        <v>46</v>
      </c>
      <c r="C286" s="37" t="s">
        <v>1350</v>
      </c>
      <c r="D286" s="20">
        <v>847</v>
      </c>
      <c r="E286" s="37">
        <v>8471260</v>
      </c>
      <c r="F286" s="37" t="s">
        <v>1404</v>
      </c>
      <c r="G286" s="20">
        <v>1</v>
      </c>
      <c r="H286" s="37">
        <v>425900</v>
      </c>
      <c r="I286" s="37" t="s">
        <v>266</v>
      </c>
      <c r="J286" s="37" t="s">
        <v>60</v>
      </c>
      <c r="K286" s="37" t="s">
        <v>50</v>
      </c>
      <c r="L286" s="37">
        <v>847001</v>
      </c>
      <c r="M286" s="37" t="s">
        <v>61</v>
      </c>
      <c r="N286" s="37">
        <v>200179</v>
      </c>
      <c r="O286" s="37" t="str">
        <f t="shared" si="19"/>
        <v>847.8471260.1.425900.000000.847001.200179</v>
      </c>
      <c r="P286" s="21" t="s">
        <v>268</v>
      </c>
      <c r="Q286" s="37" t="s">
        <v>62</v>
      </c>
      <c r="R286" s="37">
        <v>800</v>
      </c>
      <c r="S286" s="37">
        <v>15</v>
      </c>
      <c r="T286" s="37" t="s">
        <v>1451</v>
      </c>
      <c r="U286" s="38">
        <v>12000</v>
      </c>
      <c r="V286" s="37" t="s">
        <v>55</v>
      </c>
      <c r="W286" s="21" t="s">
        <v>56</v>
      </c>
      <c r="X286" s="24" t="s">
        <v>244</v>
      </c>
      <c r="Y286" s="70">
        <f t="shared" si="20"/>
        <v>0</v>
      </c>
    </row>
    <row r="287" spans="1:25" s="39" customFormat="1" ht="14" customHeight="1" x14ac:dyDescent="0.35">
      <c r="A287" s="37" t="s">
        <v>189</v>
      </c>
      <c r="B287" s="37" t="s">
        <v>265</v>
      </c>
      <c r="C287" s="37" t="s">
        <v>1350</v>
      </c>
      <c r="D287" s="37">
        <v>847</v>
      </c>
      <c r="E287" s="37">
        <v>8471260</v>
      </c>
      <c r="F287" s="37" t="s">
        <v>1404</v>
      </c>
      <c r="G287" s="37">
        <v>1</v>
      </c>
      <c r="H287" s="37">
        <v>425900</v>
      </c>
      <c r="I287" s="37" t="s">
        <v>266</v>
      </c>
      <c r="J287" s="37" t="s">
        <v>60</v>
      </c>
      <c r="K287" s="37" t="s">
        <v>50</v>
      </c>
      <c r="L287" s="37">
        <v>847001</v>
      </c>
      <c r="M287" s="37" t="s">
        <v>61</v>
      </c>
      <c r="N287" s="37">
        <v>200179</v>
      </c>
      <c r="O287" s="37" t="str">
        <f t="shared" si="19"/>
        <v>847.8471260.1.425900.000000.847001.200179</v>
      </c>
      <c r="P287" s="21" t="s">
        <v>268</v>
      </c>
      <c r="Q287" s="37" t="s">
        <v>62</v>
      </c>
      <c r="R287" s="37">
        <v>2000</v>
      </c>
      <c r="S287" s="37">
        <v>20</v>
      </c>
      <c r="T287" s="37" t="s">
        <v>1413</v>
      </c>
      <c r="U287" s="38">
        <v>40000</v>
      </c>
      <c r="V287" s="37" t="s">
        <v>55</v>
      </c>
      <c r="W287" s="21" t="s">
        <v>56</v>
      </c>
      <c r="X287" s="24" t="s">
        <v>244</v>
      </c>
      <c r="Y287" s="70">
        <f t="shared" si="20"/>
        <v>0</v>
      </c>
    </row>
    <row r="288" spans="1:25" s="39" customFormat="1" ht="14" customHeight="1" x14ac:dyDescent="0.35">
      <c r="A288" s="37" t="s">
        <v>46</v>
      </c>
      <c r="B288" s="37" t="s">
        <v>46</v>
      </c>
      <c r="C288" s="37" t="s">
        <v>1350</v>
      </c>
      <c r="D288" s="20">
        <v>847</v>
      </c>
      <c r="E288" s="37">
        <v>8471260</v>
      </c>
      <c r="F288" s="37" t="s">
        <v>1404</v>
      </c>
      <c r="G288" s="20">
        <v>1</v>
      </c>
      <c r="H288" s="37">
        <v>428640</v>
      </c>
      <c r="I288" s="37" t="s">
        <v>279</v>
      </c>
      <c r="J288" s="37" t="s">
        <v>60</v>
      </c>
      <c r="K288" s="37" t="s">
        <v>50</v>
      </c>
      <c r="L288" s="37">
        <v>847001</v>
      </c>
      <c r="M288" s="37" t="s">
        <v>61</v>
      </c>
      <c r="N288" s="37">
        <v>200179</v>
      </c>
      <c r="O288" s="37" t="str">
        <f t="shared" si="19"/>
        <v>847.8471260.1.428640.000000.847001.200179</v>
      </c>
      <c r="P288" s="21" t="s">
        <v>1452</v>
      </c>
      <c r="Q288" s="37" t="s">
        <v>62</v>
      </c>
      <c r="R288" s="37">
        <v>40</v>
      </c>
      <c r="S288" s="37">
        <v>250</v>
      </c>
      <c r="T288" s="37" t="s">
        <v>1453</v>
      </c>
      <c r="U288" s="38">
        <v>10000</v>
      </c>
      <c r="V288" s="37" t="s">
        <v>55</v>
      </c>
      <c r="W288" s="21" t="s">
        <v>56</v>
      </c>
      <c r="X288" s="24" t="s">
        <v>244</v>
      </c>
      <c r="Y288" s="70">
        <f t="shared" si="20"/>
        <v>0</v>
      </c>
    </row>
    <row r="289" spans="1:25" s="39" customFormat="1" ht="14" customHeight="1" x14ac:dyDescent="0.35">
      <c r="A289" s="37" t="s">
        <v>46</v>
      </c>
      <c r="B289" s="37" t="s">
        <v>46</v>
      </c>
      <c r="C289" s="37" t="s">
        <v>1350</v>
      </c>
      <c r="D289" s="20">
        <v>847</v>
      </c>
      <c r="E289" s="37">
        <v>8471260</v>
      </c>
      <c r="F289" s="37" t="s">
        <v>1404</v>
      </c>
      <c r="G289" s="20">
        <v>1</v>
      </c>
      <c r="H289" s="37">
        <v>428640</v>
      </c>
      <c r="I289" s="37" t="s">
        <v>279</v>
      </c>
      <c r="J289" s="37" t="s">
        <v>60</v>
      </c>
      <c r="K289" s="37" t="s">
        <v>50</v>
      </c>
      <c r="L289" s="37">
        <v>847001</v>
      </c>
      <c r="M289" s="37" t="s">
        <v>61</v>
      </c>
      <c r="N289" s="37">
        <v>200179</v>
      </c>
      <c r="O289" s="37" t="str">
        <f t="shared" si="19"/>
        <v>847.8471260.1.428640.000000.847001.200179</v>
      </c>
      <c r="P289" s="21" t="s">
        <v>1452</v>
      </c>
      <c r="Q289" s="37" t="s">
        <v>62</v>
      </c>
      <c r="R289" s="37">
        <v>30</v>
      </c>
      <c r="S289" s="37">
        <v>400</v>
      </c>
      <c r="T289" s="37" t="s">
        <v>1457</v>
      </c>
      <c r="U289" s="38">
        <v>12000</v>
      </c>
      <c r="V289" s="37" t="s">
        <v>55</v>
      </c>
      <c r="W289" s="21" t="s">
        <v>56</v>
      </c>
      <c r="X289" s="24" t="s">
        <v>244</v>
      </c>
      <c r="Y289" s="70">
        <f t="shared" si="20"/>
        <v>0</v>
      </c>
    </row>
    <row r="290" spans="1:25" s="39" customFormat="1" ht="14" customHeight="1" x14ac:dyDescent="0.35">
      <c r="A290" s="37" t="s">
        <v>245</v>
      </c>
      <c r="B290" s="37" t="s">
        <v>246</v>
      </c>
      <c r="C290" s="37" t="s">
        <v>1350</v>
      </c>
      <c r="D290" s="37">
        <v>847</v>
      </c>
      <c r="E290" s="37">
        <v>8471260</v>
      </c>
      <c r="F290" s="37" t="s">
        <v>1404</v>
      </c>
      <c r="G290" s="37">
        <v>1</v>
      </c>
      <c r="H290" s="37">
        <v>428640</v>
      </c>
      <c r="I290" s="37" t="s">
        <v>279</v>
      </c>
      <c r="J290" s="37" t="s">
        <v>60</v>
      </c>
      <c r="K290" s="37" t="s">
        <v>50</v>
      </c>
      <c r="L290" s="37">
        <v>847001</v>
      </c>
      <c r="M290" s="37" t="s">
        <v>61</v>
      </c>
      <c r="N290" s="37">
        <v>200179</v>
      </c>
      <c r="O290" s="37" t="str">
        <f t="shared" si="19"/>
        <v>847.8471260.1.428640.000000.847001.200179</v>
      </c>
      <c r="P290" s="21" t="s">
        <v>1452</v>
      </c>
      <c r="Q290" s="37" t="s">
        <v>62</v>
      </c>
      <c r="R290" s="37">
        <v>40</v>
      </c>
      <c r="S290" s="37">
        <v>250</v>
      </c>
      <c r="T290" s="37" t="s">
        <v>1458</v>
      </c>
      <c r="U290" s="38">
        <v>10000</v>
      </c>
      <c r="V290" s="37" t="s">
        <v>55</v>
      </c>
      <c r="W290" s="21" t="s">
        <v>56</v>
      </c>
      <c r="X290" s="24" t="s">
        <v>244</v>
      </c>
      <c r="Y290" s="70">
        <f t="shared" si="20"/>
        <v>0</v>
      </c>
    </row>
    <row r="291" spans="1:25" s="39" customFormat="1" ht="14" customHeight="1" x14ac:dyDescent="0.35">
      <c r="A291" s="37" t="s">
        <v>46</v>
      </c>
      <c r="B291" s="37" t="s">
        <v>46</v>
      </c>
      <c r="C291" s="37" t="s">
        <v>1350</v>
      </c>
      <c r="D291" s="20">
        <v>847</v>
      </c>
      <c r="E291" s="37">
        <v>8471260</v>
      </c>
      <c r="F291" s="37" t="s">
        <v>1404</v>
      </c>
      <c r="G291" s="20">
        <v>1</v>
      </c>
      <c r="H291" s="37">
        <v>435530</v>
      </c>
      <c r="I291" s="37" t="s">
        <v>1127</v>
      </c>
      <c r="J291" s="37" t="s">
        <v>60</v>
      </c>
      <c r="K291" s="37" t="s">
        <v>50</v>
      </c>
      <c r="L291" s="37">
        <v>847001</v>
      </c>
      <c r="M291" s="37" t="s">
        <v>61</v>
      </c>
      <c r="N291" s="37">
        <v>200179</v>
      </c>
      <c r="O291" s="37" t="str">
        <f t="shared" si="19"/>
        <v>847.8471260.1.435530.000000.847001.200179</v>
      </c>
      <c r="P291" s="21" t="s">
        <v>1129</v>
      </c>
      <c r="Q291" s="37" t="s">
        <v>62</v>
      </c>
      <c r="R291" s="37">
        <v>370</v>
      </c>
      <c r="S291" s="37">
        <v>40</v>
      </c>
      <c r="T291" s="37" t="s">
        <v>1459</v>
      </c>
      <c r="U291" s="38">
        <v>14800</v>
      </c>
      <c r="V291" s="37" t="s">
        <v>55</v>
      </c>
      <c r="W291" s="21" t="s">
        <v>56</v>
      </c>
      <c r="X291" s="24" t="s">
        <v>244</v>
      </c>
      <c r="Y291" s="70">
        <f t="shared" si="20"/>
        <v>0</v>
      </c>
    </row>
    <row r="292" spans="1:25" s="39" customFormat="1" ht="14" customHeight="1" x14ac:dyDescent="0.35">
      <c r="A292" s="37" t="s">
        <v>46</v>
      </c>
      <c r="B292" s="37" t="s">
        <v>46</v>
      </c>
      <c r="C292" s="37" t="s">
        <v>1350</v>
      </c>
      <c r="D292" s="20">
        <v>847</v>
      </c>
      <c r="E292" s="37">
        <v>8471260</v>
      </c>
      <c r="F292" s="37" t="s">
        <v>1404</v>
      </c>
      <c r="G292" s="20">
        <v>1</v>
      </c>
      <c r="H292" s="37">
        <v>435530</v>
      </c>
      <c r="I292" s="37" t="s">
        <v>1127</v>
      </c>
      <c r="J292" s="37" t="s">
        <v>60</v>
      </c>
      <c r="K292" s="37" t="s">
        <v>50</v>
      </c>
      <c r="L292" s="37">
        <v>847001</v>
      </c>
      <c r="M292" s="37" t="s">
        <v>61</v>
      </c>
      <c r="N292" s="37">
        <v>200179</v>
      </c>
      <c r="O292" s="37" t="str">
        <f t="shared" si="19"/>
        <v>847.8471260.1.435530.000000.847001.200179</v>
      </c>
      <c r="P292" s="21" t="s">
        <v>1129</v>
      </c>
      <c r="Q292" s="37" t="s">
        <v>62</v>
      </c>
      <c r="R292" s="37">
        <v>370</v>
      </c>
      <c r="S292" s="37">
        <v>40</v>
      </c>
      <c r="T292" s="37" t="s">
        <v>1463</v>
      </c>
      <c r="U292" s="38">
        <v>14800</v>
      </c>
      <c r="V292" s="37" t="s">
        <v>55</v>
      </c>
      <c r="W292" s="21" t="s">
        <v>56</v>
      </c>
      <c r="X292" s="24" t="s">
        <v>244</v>
      </c>
      <c r="Y292" s="70">
        <f t="shared" si="20"/>
        <v>0</v>
      </c>
    </row>
    <row r="293" spans="1:25" s="39" customFormat="1" ht="14" customHeight="1" x14ac:dyDescent="0.35">
      <c r="A293" s="37" t="s">
        <v>222</v>
      </c>
      <c r="B293" s="37" t="s">
        <v>58</v>
      </c>
      <c r="C293" s="37" t="s">
        <v>1350</v>
      </c>
      <c r="D293" s="37">
        <v>847</v>
      </c>
      <c r="E293" s="37">
        <v>8471260</v>
      </c>
      <c r="F293" s="37" t="s">
        <v>1404</v>
      </c>
      <c r="G293" s="37">
        <v>1</v>
      </c>
      <c r="H293" s="37">
        <v>435530</v>
      </c>
      <c r="I293" s="37" t="s">
        <v>1127</v>
      </c>
      <c r="J293" s="37" t="s">
        <v>60</v>
      </c>
      <c r="K293" s="37" t="s">
        <v>50</v>
      </c>
      <c r="L293" s="37">
        <v>847001</v>
      </c>
      <c r="M293" s="37" t="s">
        <v>61</v>
      </c>
      <c r="N293" s="37">
        <v>200179</v>
      </c>
      <c r="O293" s="37" t="str">
        <f t="shared" si="19"/>
        <v>847.8471260.1.435530.000000.847001.200179</v>
      </c>
      <c r="P293" s="21" t="s">
        <v>1129</v>
      </c>
      <c r="Q293" s="37" t="s">
        <v>62</v>
      </c>
      <c r="R293" s="37">
        <v>370</v>
      </c>
      <c r="S293" s="37">
        <v>150</v>
      </c>
      <c r="T293" s="37" t="s">
        <v>1465</v>
      </c>
      <c r="U293" s="38">
        <v>55500</v>
      </c>
      <c r="V293" s="37" t="s">
        <v>55</v>
      </c>
      <c r="W293" s="21" t="s">
        <v>56</v>
      </c>
      <c r="X293" s="24" t="s">
        <v>244</v>
      </c>
      <c r="Y293" s="70">
        <f t="shared" si="20"/>
        <v>0</v>
      </c>
    </row>
    <row r="294" spans="1:25" s="39" customFormat="1" ht="14" customHeight="1" x14ac:dyDescent="0.35">
      <c r="A294" s="37" t="s">
        <v>46</v>
      </c>
      <c r="B294" s="37" t="s">
        <v>46</v>
      </c>
      <c r="C294" s="37" t="s">
        <v>1350</v>
      </c>
      <c r="D294" s="20">
        <v>847</v>
      </c>
      <c r="E294" s="37">
        <v>8471260</v>
      </c>
      <c r="F294" s="37" t="s">
        <v>1404</v>
      </c>
      <c r="G294" s="20">
        <v>1</v>
      </c>
      <c r="H294" s="37">
        <v>436110</v>
      </c>
      <c r="I294" s="37" t="s">
        <v>190</v>
      </c>
      <c r="J294" s="37" t="s">
        <v>60</v>
      </c>
      <c r="K294" s="37" t="s">
        <v>50</v>
      </c>
      <c r="L294" s="37">
        <v>847001</v>
      </c>
      <c r="M294" s="37" t="s">
        <v>61</v>
      </c>
      <c r="N294" s="37">
        <v>200179</v>
      </c>
      <c r="O294" s="37" t="str">
        <f t="shared" si="19"/>
        <v>847.8471260.1.436110.000000.847001.200179</v>
      </c>
      <c r="P294" s="21" t="s">
        <v>829</v>
      </c>
      <c r="Q294" s="37" t="s">
        <v>62</v>
      </c>
      <c r="R294" s="37">
        <v>100</v>
      </c>
      <c r="S294" s="37">
        <v>60</v>
      </c>
      <c r="T294" s="37" t="s">
        <v>1469</v>
      </c>
      <c r="U294" s="38">
        <v>6000</v>
      </c>
      <c r="V294" s="37" t="s">
        <v>55</v>
      </c>
      <c r="W294" s="21" t="s">
        <v>56</v>
      </c>
      <c r="X294" s="24" t="s">
        <v>244</v>
      </c>
      <c r="Y294" s="70">
        <f t="shared" si="20"/>
        <v>0</v>
      </c>
    </row>
    <row r="295" spans="1:25" s="39" customFormat="1" ht="14" customHeight="1" x14ac:dyDescent="0.35">
      <c r="A295" s="37" t="s">
        <v>189</v>
      </c>
      <c r="B295" s="37" t="s">
        <v>58</v>
      </c>
      <c r="C295" s="37" t="s">
        <v>1350</v>
      </c>
      <c r="D295" s="37">
        <v>847</v>
      </c>
      <c r="E295" s="37">
        <v>8471260</v>
      </c>
      <c r="F295" s="37" t="s">
        <v>1404</v>
      </c>
      <c r="G295" s="37">
        <v>1</v>
      </c>
      <c r="H295" s="37">
        <v>436110</v>
      </c>
      <c r="I295" s="37" t="s">
        <v>190</v>
      </c>
      <c r="J295" s="37" t="s">
        <v>60</v>
      </c>
      <c r="K295" s="37" t="s">
        <v>50</v>
      </c>
      <c r="L295" s="37">
        <v>847001</v>
      </c>
      <c r="M295" s="37" t="s">
        <v>61</v>
      </c>
      <c r="N295" s="37">
        <v>200179</v>
      </c>
      <c r="O295" s="37" t="str">
        <f t="shared" si="19"/>
        <v>847.8471260.1.436110.000000.847001.200179</v>
      </c>
      <c r="P295" s="21" t="s">
        <v>829</v>
      </c>
      <c r="Q295" s="37" t="s">
        <v>62</v>
      </c>
      <c r="R295" s="37">
        <v>40</v>
      </c>
      <c r="S295" s="37">
        <v>160</v>
      </c>
      <c r="T295" s="37" t="s">
        <v>1473</v>
      </c>
      <c r="U295" s="38">
        <v>6400</v>
      </c>
      <c r="V295" s="37" t="s">
        <v>55</v>
      </c>
      <c r="W295" s="21" t="s">
        <v>56</v>
      </c>
      <c r="X295" s="24" t="s">
        <v>244</v>
      </c>
      <c r="Y295" s="70">
        <f t="shared" si="20"/>
        <v>0</v>
      </c>
    </row>
    <row r="296" spans="1:25" s="39" customFormat="1" ht="14" customHeight="1" x14ac:dyDescent="0.35">
      <c r="A296" s="37" t="s">
        <v>245</v>
      </c>
      <c r="B296" s="37" t="s">
        <v>246</v>
      </c>
      <c r="C296" s="37" t="s">
        <v>1350</v>
      </c>
      <c r="D296" s="37">
        <v>847</v>
      </c>
      <c r="E296" s="37">
        <v>8471220</v>
      </c>
      <c r="F296" s="37" t="s">
        <v>1481</v>
      </c>
      <c r="G296" s="37">
        <v>1</v>
      </c>
      <c r="H296" s="37">
        <v>425510</v>
      </c>
      <c r="I296" s="37" t="s">
        <v>247</v>
      </c>
      <c r="J296" s="37" t="s">
        <v>60</v>
      </c>
      <c r="K296" s="37" t="s">
        <v>50</v>
      </c>
      <c r="L296" s="37">
        <v>847001</v>
      </c>
      <c r="M296" s="37" t="s">
        <v>61</v>
      </c>
      <c r="N296" s="37">
        <v>200179</v>
      </c>
      <c r="O296" s="37" t="str">
        <f t="shared" si="19"/>
        <v>847.8471220.1.425510.000000.847001.200179</v>
      </c>
      <c r="P296" s="21" t="s">
        <v>433</v>
      </c>
      <c r="Q296" s="37"/>
      <c r="R296" s="37">
        <v>3</v>
      </c>
      <c r="S296" s="38">
        <v>1600</v>
      </c>
      <c r="T296" s="37" t="s">
        <v>1627</v>
      </c>
      <c r="U296" s="38">
        <v>4800</v>
      </c>
      <c r="V296" s="37" t="s">
        <v>55</v>
      </c>
      <c r="W296" s="21" t="s">
        <v>56</v>
      </c>
      <c r="X296" s="24" t="s">
        <v>384</v>
      </c>
      <c r="Y296" s="70">
        <f t="shared" si="20"/>
        <v>0</v>
      </c>
    </row>
    <row r="297" spans="1:25" s="39" customFormat="1" ht="14" customHeight="1" x14ac:dyDescent="0.35">
      <c r="A297" s="37" t="s">
        <v>258</v>
      </c>
      <c r="B297" s="37" t="s">
        <v>58</v>
      </c>
      <c r="C297" s="37" t="s">
        <v>1350</v>
      </c>
      <c r="D297" s="37">
        <v>847</v>
      </c>
      <c r="E297" s="37">
        <v>8471220</v>
      </c>
      <c r="F297" s="37" t="s">
        <v>1481</v>
      </c>
      <c r="G297" s="37">
        <v>1</v>
      </c>
      <c r="H297" s="37">
        <v>425741</v>
      </c>
      <c r="I297" s="37" t="s">
        <v>1485</v>
      </c>
      <c r="J297" s="37" t="s">
        <v>60</v>
      </c>
      <c r="K297" s="37" t="s">
        <v>50</v>
      </c>
      <c r="L297" s="37">
        <v>847001</v>
      </c>
      <c r="M297" s="37" t="s">
        <v>61</v>
      </c>
      <c r="N297" s="37">
        <v>200179</v>
      </c>
      <c r="O297" s="37" t="str">
        <f t="shared" si="19"/>
        <v>847.8471220.1.425741.000000.847001.200179</v>
      </c>
      <c r="P297" s="21" t="s">
        <v>1486</v>
      </c>
      <c r="Q297" s="37" t="s">
        <v>62</v>
      </c>
      <c r="R297" s="37">
        <v>3091</v>
      </c>
      <c r="S297" s="38">
        <v>38299.296348153286</v>
      </c>
      <c r="T297" s="37" t="s">
        <v>1627</v>
      </c>
      <c r="U297" s="38">
        <v>118383125.01214181</v>
      </c>
      <c r="V297" s="37" t="s">
        <v>55</v>
      </c>
      <c r="W297" s="21" t="s">
        <v>56</v>
      </c>
      <c r="X297" s="24" t="s">
        <v>384</v>
      </c>
      <c r="Y297" s="70">
        <f t="shared" si="20"/>
        <v>0</v>
      </c>
    </row>
    <row r="298" spans="1:25" s="39" customFormat="1" ht="14" customHeight="1" x14ac:dyDescent="0.35">
      <c r="A298" s="37" t="s">
        <v>71</v>
      </c>
      <c r="B298" s="37" t="s">
        <v>58</v>
      </c>
      <c r="C298" s="37" t="s">
        <v>1350</v>
      </c>
      <c r="D298" s="37">
        <v>847</v>
      </c>
      <c r="E298" s="37">
        <v>8471220</v>
      </c>
      <c r="F298" s="37" t="s">
        <v>1481</v>
      </c>
      <c r="G298" s="37">
        <v>1</v>
      </c>
      <c r="H298" s="37">
        <v>426900</v>
      </c>
      <c r="I298" s="37" t="s">
        <v>1080</v>
      </c>
      <c r="J298" s="37" t="s">
        <v>60</v>
      </c>
      <c r="K298" s="37" t="s">
        <v>50</v>
      </c>
      <c r="L298" s="37">
        <v>847001</v>
      </c>
      <c r="M298" s="37" t="s">
        <v>61</v>
      </c>
      <c r="N298" s="37">
        <v>200179</v>
      </c>
      <c r="O298" s="37" t="str">
        <f t="shared" si="19"/>
        <v>847.8471220.1.426900.000000.847001.200179</v>
      </c>
      <c r="P298" s="21" t="s">
        <v>1489</v>
      </c>
      <c r="Q298" s="37" t="s">
        <v>62</v>
      </c>
      <c r="R298" s="37">
        <v>5390</v>
      </c>
      <c r="S298" s="38">
        <v>1.1554730983302413</v>
      </c>
      <c r="T298" s="37" t="s">
        <v>1627</v>
      </c>
      <c r="U298" s="38">
        <v>6228</v>
      </c>
      <c r="V298" s="37" t="s">
        <v>55</v>
      </c>
      <c r="W298" s="21" t="s">
        <v>56</v>
      </c>
      <c r="X298" s="24" t="s">
        <v>384</v>
      </c>
      <c r="Y298" s="70">
        <f t="shared" si="20"/>
        <v>0</v>
      </c>
    </row>
    <row r="299" spans="1:25" s="39" customFormat="1" ht="14" customHeight="1" x14ac:dyDescent="0.35">
      <c r="A299" s="37" t="s">
        <v>222</v>
      </c>
      <c r="B299" s="37" t="s">
        <v>58</v>
      </c>
      <c r="C299" s="37" t="s">
        <v>1350</v>
      </c>
      <c r="D299" s="37">
        <v>847</v>
      </c>
      <c r="E299" s="37">
        <v>8471220</v>
      </c>
      <c r="F299" s="37" t="s">
        <v>1481</v>
      </c>
      <c r="G299" s="37">
        <v>1</v>
      </c>
      <c r="H299" s="37">
        <v>435340</v>
      </c>
      <c r="I299" s="37" t="s">
        <v>655</v>
      </c>
      <c r="J299" s="37" t="s">
        <v>60</v>
      </c>
      <c r="K299" s="37" t="s">
        <v>50</v>
      </c>
      <c r="L299" s="37">
        <v>847001</v>
      </c>
      <c r="M299" s="37" t="s">
        <v>61</v>
      </c>
      <c r="N299" s="37">
        <v>200179</v>
      </c>
      <c r="O299" s="37" t="str">
        <f t="shared" si="19"/>
        <v>847.8471220.1.435340.000000.847001.200179</v>
      </c>
      <c r="P299" s="21" t="s">
        <v>1491</v>
      </c>
      <c r="Q299" s="37" t="s">
        <v>62</v>
      </c>
      <c r="R299" s="37">
        <v>5390</v>
      </c>
      <c r="S299" s="38">
        <v>2538.0333951762523</v>
      </c>
      <c r="T299" s="37" t="s">
        <v>1628</v>
      </c>
      <c r="U299" s="38">
        <v>13680000</v>
      </c>
      <c r="V299" s="37" t="s">
        <v>55</v>
      </c>
      <c r="W299" s="21" t="s">
        <v>56</v>
      </c>
      <c r="X299" s="24" t="s">
        <v>384</v>
      </c>
      <c r="Y299" s="70">
        <f t="shared" si="20"/>
        <v>0</v>
      </c>
    </row>
    <row r="300" spans="1:25" s="39" customFormat="1" ht="14" customHeight="1" x14ac:dyDescent="0.35">
      <c r="A300" s="37" t="s">
        <v>189</v>
      </c>
      <c r="B300" s="37" t="s">
        <v>58</v>
      </c>
      <c r="C300" s="37" t="s">
        <v>1350</v>
      </c>
      <c r="D300" s="37">
        <v>847</v>
      </c>
      <c r="E300" s="37">
        <v>8471220</v>
      </c>
      <c r="F300" s="37" t="s">
        <v>1481</v>
      </c>
      <c r="G300" s="37">
        <v>1</v>
      </c>
      <c r="H300" s="37">
        <v>436110</v>
      </c>
      <c r="I300" s="37" t="s">
        <v>190</v>
      </c>
      <c r="J300" s="37" t="s">
        <v>60</v>
      </c>
      <c r="K300" s="37" t="s">
        <v>50</v>
      </c>
      <c r="L300" s="37">
        <v>847001</v>
      </c>
      <c r="M300" s="37" t="s">
        <v>61</v>
      </c>
      <c r="N300" s="37">
        <v>200179</v>
      </c>
      <c r="O300" s="37" t="str">
        <f t="shared" si="19"/>
        <v>847.8471220.1.436110.000000.847001.200179</v>
      </c>
      <c r="P300" s="21" t="s">
        <v>829</v>
      </c>
      <c r="Q300" s="37" t="s">
        <v>62</v>
      </c>
      <c r="R300" s="37">
        <v>5390</v>
      </c>
      <c r="S300" s="73">
        <v>80.37105751391465</v>
      </c>
      <c r="T300" s="37" t="s">
        <v>1627</v>
      </c>
      <c r="U300" s="38">
        <v>433200</v>
      </c>
      <c r="V300" s="37" t="s">
        <v>55</v>
      </c>
      <c r="W300" s="21" t="s">
        <v>56</v>
      </c>
      <c r="X300" s="24" t="s">
        <v>384</v>
      </c>
      <c r="Y300" s="70">
        <f t="shared" si="20"/>
        <v>0</v>
      </c>
    </row>
    <row r="301" spans="1:25" s="39" customFormat="1" ht="14" customHeight="1" x14ac:dyDescent="0.35">
      <c r="A301" s="37" t="s">
        <v>189</v>
      </c>
      <c r="B301" s="37" t="s">
        <v>58</v>
      </c>
      <c r="C301" s="37" t="s">
        <v>1350</v>
      </c>
      <c r="D301" s="37">
        <v>847</v>
      </c>
      <c r="E301" s="37">
        <v>8471220</v>
      </c>
      <c r="F301" s="37" t="s">
        <v>1481</v>
      </c>
      <c r="G301" s="37">
        <v>1</v>
      </c>
      <c r="H301" s="37">
        <v>436120</v>
      </c>
      <c r="I301" s="37" t="s">
        <v>291</v>
      </c>
      <c r="J301" s="37" t="s">
        <v>60</v>
      </c>
      <c r="K301" s="37" t="s">
        <v>50</v>
      </c>
      <c r="L301" s="37">
        <v>847001</v>
      </c>
      <c r="M301" s="37" t="s">
        <v>61</v>
      </c>
      <c r="N301" s="37">
        <v>200179</v>
      </c>
      <c r="O301" s="37" t="str">
        <f t="shared" si="19"/>
        <v>847.8471220.1.436120.000000.847001.200179</v>
      </c>
      <c r="P301" s="21" t="s">
        <v>292</v>
      </c>
      <c r="Q301" s="37" t="s">
        <v>62</v>
      </c>
      <c r="R301" s="37">
        <v>1</v>
      </c>
      <c r="S301" s="37">
        <v>2880</v>
      </c>
      <c r="T301" s="37" t="s">
        <v>1627</v>
      </c>
      <c r="U301" s="31">
        <f>R301*S301</f>
        <v>2880</v>
      </c>
      <c r="V301" s="37" t="s">
        <v>55</v>
      </c>
      <c r="W301" s="21" t="s">
        <v>56</v>
      </c>
      <c r="X301" s="24" t="s">
        <v>384</v>
      </c>
      <c r="Y301" s="70">
        <f t="shared" si="20"/>
        <v>0</v>
      </c>
    </row>
    <row r="302" spans="1:25" s="39" customFormat="1" ht="14" customHeight="1" x14ac:dyDescent="0.35">
      <c r="A302" s="37" t="s">
        <v>189</v>
      </c>
      <c r="B302" s="37" t="s">
        <v>265</v>
      </c>
      <c r="C302" s="37" t="s">
        <v>1350</v>
      </c>
      <c r="D302" s="37">
        <v>847</v>
      </c>
      <c r="E302" s="37">
        <v>8471270</v>
      </c>
      <c r="F302" s="37" t="s">
        <v>1497</v>
      </c>
      <c r="G302" s="37">
        <v>1</v>
      </c>
      <c r="H302" s="37">
        <v>425900</v>
      </c>
      <c r="I302" s="37" t="s">
        <v>266</v>
      </c>
      <c r="J302" s="37" t="s">
        <v>60</v>
      </c>
      <c r="K302" s="37" t="s">
        <v>50</v>
      </c>
      <c r="L302" s="37">
        <v>847001</v>
      </c>
      <c r="M302" s="37" t="s">
        <v>61</v>
      </c>
      <c r="N302" s="37">
        <v>200179</v>
      </c>
      <c r="O302" s="37" t="str">
        <f t="shared" si="19"/>
        <v>847.8471270.1.425900.000000.847001.200179</v>
      </c>
      <c r="P302" s="21" t="s">
        <v>268</v>
      </c>
      <c r="Q302" s="37" t="s">
        <v>269</v>
      </c>
      <c r="R302" s="37">
        <v>1</v>
      </c>
      <c r="S302" s="37">
        <v>50000</v>
      </c>
      <c r="T302" s="37" t="s">
        <v>1498</v>
      </c>
      <c r="U302" s="38">
        <v>50000</v>
      </c>
      <c r="V302" s="37" t="s">
        <v>55</v>
      </c>
      <c r="W302" s="21" t="s">
        <v>56</v>
      </c>
      <c r="X302" s="24" t="s">
        <v>264</v>
      </c>
      <c r="Y302" s="70">
        <f t="shared" si="20"/>
        <v>0</v>
      </c>
    </row>
    <row r="303" spans="1:25" s="39" customFormat="1" ht="14" customHeight="1" x14ac:dyDescent="0.35">
      <c r="A303" s="37" t="s">
        <v>153</v>
      </c>
      <c r="B303" s="37" t="s">
        <v>58</v>
      </c>
      <c r="C303" s="37" t="s">
        <v>1350</v>
      </c>
      <c r="D303" s="37">
        <v>847</v>
      </c>
      <c r="E303" s="37">
        <v>8471270</v>
      </c>
      <c r="F303" s="37" t="s">
        <v>1497</v>
      </c>
      <c r="G303" s="37">
        <v>1</v>
      </c>
      <c r="H303" s="37">
        <v>428090</v>
      </c>
      <c r="I303" s="37" t="s">
        <v>154</v>
      </c>
      <c r="J303" s="37" t="s">
        <v>60</v>
      </c>
      <c r="K303" s="37" t="s">
        <v>50</v>
      </c>
      <c r="L303" s="37">
        <v>847001</v>
      </c>
      <c r="M303" s="37" t="s">
        <v>61</v>
      </c>
      <c r="N303" s="37">
        <v>200179</v>
      </c>
      <c r="O303" s="37" t="str">
        <f t="shared" si="19"/>
        <v>847.8471270.1.428090.000000.847001.200179</v>
      </c>
      <c r="P303" s="21" t="s">
        <v>156</v>
      </c>
      <c r="Q303" s="37" t="s">
        <v>157</v>
      </c>
      <c r="R303" s="37">
        <v>16</v>
      </c>
      <c r="S303" s="37">
        <v>18750</v>
      </c>
      <c r="T303" s="37" t="s">
        <v>1501</v>
      </c>
      <c r="U303" s="38">
        <v>300000</v>
      </c>
      <c r="V303" s="37" t="s">
        <v>55</v>
      </c>
      <c r="W303" s="21" t="s">
        <v>56</v>
      </c>
      <c r="X303" s="24" t="s">
        <v>264</v>
      </c>
      <c r="Y303" s="70">
        <f t="shared" si="20"/>
        <v>0</v>
      </c>
    </row>
    <row r="304" spans="1:25" s="39" customFormat="1" ht="14" customHeight="1" x14ac:dyDescent="0.35">
      <c r="A304" s="37" t="s">
        <v>222</v>
      </c>
      <c r="B304" s="37" t="s">
        <v>58</v>
      </c>
      <c r="C304" s="37" t="s">
        <v>1350</v>
      </c>
      <c r="D304" s="37">
        <v>847</v>
      </c>
      <c r="E304" s="37">
        <v>8471270</v>
      </c>
      <c r="F304" s="37" t="s">
        <v>1497</v>
      </c>
      <c r="G304" s="37">
        <v>1</v>
      </c>
      <c r="H304" s="37">
        <v>435330</v>
      </c>
      <c r="I304" s="37" t="s">
        <v>1111</v>
      </c>
      <c r="J304" s="37" t="s">
        <v>60</v>
      </c>
      <c r="K304" s="37" t="s">
        <v>50</v>
      </c>
      <c r="L304" s="37">
        <v>847001</v>
      </c>
      <c r="M304" s="37" t="s">
        <v>61</v>
      </c>
      <c r="N304" s="37">
        <v>200179</v>
      </c>
      <c r="O304" s="37" t="str">
        <f t="shared" si="19"/>
        <v>847.8471270.1.435330.000000.847001.200179</v>
      </c>
      <c r="P304" s="21" t="s">
        <v>1113</v>
      </c>
      <c r="Q304" s="37" t="s">
        <v>157</v>
      </c>
      <c r="R304" s="37">
        <v>4000</v>
      </c>
      <c r="S304" s="37">
        <v>4086</v>
      </c>
      <c r="T304" s="37"/>
      <c r="U304" s="38">
        <v>16344000</v>
      </c>
      <c r="V304" s="37" t="s">
        <v>55</v>
      </c>
      <c r="W304" s="21" t="s">
        <v>56</v>
      </c>
      <c r="X304" s="24" t="s">
        <v>384</v>
      </c>
      <c r="Y304" s="70">
        <f t="shared" si="20"/>
        <v>0</v>
      </c>
    </row>
    <row r="305" spans="1:25" s="39" customFormat="1" ht="14" customHeight="1" x14ac:dyDescent="0.35">
      <c r="A305" s="37" t="s">
        <v>189</v>
      </c>
      <c r="B305" s="37" t="s">
        <v>58</v>
      </c>
      <c r="C305" s="37" t="s">
        <v>1350</v>
      </c>
      <c r="D305" s="37">
        <v>847</v>
      </c>
      <c r="E305" s="37">
        <v>8471270</v>
      </c>
      <c r="F305" s="37" t="s">
        <v>1497</v>
      </c>
      <c r="G305" s="37">
        <v>1</v>
      </c>
      <c r="H305" s="37">
        <v>436110</v>
      </c>
      <c r="I305" s="37" t="s">
        <v>190</v>
      </c>
      <c r="J305" s="37" t="s">
        <v>60</v>
      </c>
      <c r="K305" s="37" t="s">
        <v>50</v>
      </c>
      <c r="L305" s="37">
        <v>847001</v>
      </c>
      <c r="M305" s="37" t="s">
        <v>61</v>
      </c>
      <c r="N305" s="37">
        <v>200179</v>
      </c>
      <c r="O305" s="37" t="str">
        <f t="shared" si="19"/>
        <v>847.8471270.1.436110.000000.847001.200179</v>
      </c>
      <c r="P305" s="21" t="s">
        <v>829</v>
      </c>
      <c r="Q305" s="37" t="s">
        <v>157</v>
      </c>
      <c r="R305" s="37">
        <v>4000</v>
      </c>
      <c r="S305" s="37">
        <v>11</v>
      </c>
      <c r="T305" s="37"/>
      <c r="U305" s="38">
        <v>44000</v>
      </c>
      <c r="V305" s="37" t="s">
        <v>55</v>
      </c>
      <c r="W305" s="21" t="s">
        <v>56</v>
      </c>
      <c r="X305" s="24" t="s">
        <v>1025</v>
      </c>
      <c r="Y305" s="70">
        <f t="shared" si="20"/>
        <v>0</v>
      </c>
    </row>
    <row r="306" spans="1:25" s="39" customFormat="1" ht="14" customHeight="1" x14ac:dyDescent="0.35">
      <c r="A306" s="37" t="s">
        <v>46</v>
      </c>
      <c r="B306" s="37" t="s">
        <v>46</v>
      </c>
      <c r="C306" s="37" t="s">
        <v>1350</v>
      </c>
      <c r="D306" s="20">
        <v>847</v>
      </c>
      <c r="E306" s="37">
        <v>8471230</v>
      </c>
      <c r="F306" s="37" t="s">
        <v>1507</v>
      </c>
      <c r="G306" s="20">
        <v>1</v>
      </c>
      <c r="H306" s="37">
        <v>425742</v>
      </c>
      <c r="I306" s="37" t="s">
        <v>1036</v>
      </c>
      <c r="J306" s="37" t="s">
        <v>60</v>
      </c>
      <c r="K306" s="37" t="s">
        <v>50</v>
      </c>
      <c r="L306" s="37">
        <v>847001</v>
      </c>
      <c r="M306" s="37" t="s">
        <v>61</v>
      </c>
      <c r="N306" s="37">
        <v>200179</v>
      </c>
      <c r="O306" s="37" t="str">
        <f t="shared" si="19"/>
        <v>847.8471230.1.425742.000000.847001.200179</v>
      </c>
      <c r="P306" s="21" t="s">
        <v>344</v>
      </c>
      <c r="Q306" s="37" t="s">
        <v>256</v>
      </c>
      <c r="R306" s="37">
        <v>12</v>
      </c>
      <c r="S306" s="37">
        <v>50000</v>
      </c>
      <c r="T306" s="37" t="s">
        <v>1508</v>
      </c>
      <c r="U306" s="38">
        <v>600000</v>
      </c>
      <c r="V306" s="37" t="s">
        <v>55</v>
      </c>
      <c r="W306" s="21" t="s">
        <v>56</v>
      </c>
      <c r="X306" s="24" t="s">
        <v>244</v>
      </c>
      <c r="Y306" s="70">
        <f t="shared" si="20"/>
        <v>0</v>
      </c>
    </row>
    <row r="307" spans="1:25" s="39" customFormat="1" ht="14" customHeight="1" x14ac:dyDescent="0.35">
      <c r="A307" s="37" t="s">
        <v>46</v>
      </c>
      <c r="B307" s="37" t="s">
        <v>46</v>
      </c>
      <c r="C307" s="37" t="s">
        <v>1350</v>
      </c>
      <c r="D307" s="20">
        <v>847</v>
      </c>
      <c r="E307" s="37">
        <v>8471230</v>
      </c>
      <c r="F307" s="37" t="s">
        <v>1507</v>
      </c>
      <c r="G307" s="20">
        <v>1</v>
      </c>
      <c r="H307" s="37">
        <v>425742</v>
      </c>
      <c r="I307" s="37" t="s">
        <v>1036</v>
      </c>
      <c r="J307" s="37" t="s">
        <v>60</v>
      </c>
      <c r="K307" s="37" t="s">
        <v>50</v>
      </c>
      <c r="L307" s="37">
        <v>847001</v>
      </c>
      <c r="M307" s="37" t="s">
        <v>61</v>
      </c>
      <c r="N307" s="37">
        <v>200179</v>
      </c>
      <c r="O307" s="37" t="str">
        <f t="shared" si="19"/>
        <v>847.8471230.1.425742.000000.847001.200179</v>
      </c>
      <c r="P307" s="21" t="s">
        <v>255</v>
      </c>
      <c r="Q307" s="37" t="s">
        <v>256</v>
      </c>
      <c r="R307" s="37">
        <v>12</v>
      </c>
      <c r="S307" s="37">
        <v>50000</v>
      </c>
      <c r="T307" s="37" t="s">
        <v>1510</v>
      </c>
      <c r="U307" s="38">
        <v>600000</v>
      </c>
      <c r="V307" s="37" t="s">
        <v>55</v>
      </c>
      <c r="W307" s="21" t="s">
        <v>56</v>
      </c>
      <c r="X307" s="24" t="s">
        <v>244</v>
      </c>
      <c r="Y307" s="70">
        <f t="shared" si="20"/>
        <v>0</v>
      </c>
    </row>
    <row r="308" spans="1:25" s="39" customFormat="1" ht="14" customHeight="1" x14ac:dyDescent="0.35">
      <c r="A308" s="37" t="s">
        <v>46</v>
      </c>
      <c r="B308" s="37" t="s">
        <v>46</v>
      </c>
      <c r="C308" s="37" t="s">
        <v>1350</v>
      </c>
      <c r="D308" s="20">
        <v>847</v>
      </c>
      <c r="E308" s="37">
        <v>8471230</v>
      </c>
      <c r="F308" s="37" t="s">
        <v>1507</v>
      </c>
      <c r="G308" s="20">
        <v>1</v>
      </c>
      <c r="H308" s="37">
        <v>425742</v>
      </c>
      <c r="I308" s="37" t="s">
        <v>1036</v>
      </c>
      <c r="J308" s="37" t="s">
        <v>60</v>
      </c>
      <c r="K308" s="37" t="s">
        <v>50</v>
      </c>
      <c r="L308" s="37">
        <v>847001</v>
      </c>
      <c r="M308" s="37" t="s">
        <v>61</v>
      </c>
      <c r="N308" s="37">
        <v>200179</v>
      </c>
      <c r="O308" s="37" t="str">
        <f t="shared" si="19"/>
        <v>847.8471230.1.425742.000000.847001.200179</v>
      </c>
      <c r="P308" s="21" t="s">
        <v>1452</v>
      </c>
      <c r="Q308" s="37" t="s">
        <v>269</v>
      </c>
      <c r="R308" s="37">
        <v>30000</v>
      </c>
      <c r="S308" s="37">
        <v>10</v>
      </c>
      <c r="T308" s="37" t="s">
        <v>1512</v>
      </c>
      <c r="U308" s="38">
        <v>300000</v>
      </c>
      <c r="V308" s="37" t="s">
        <v>55</v>
      </c>
      <c r="W308" s="21" t="s">
        <v>56</v>
      </c>
      <c r="X308" s="24" t="s">
        <v>244</v>
      </c>
      <c r="Y308" s="70">
        <f t="shared" si="20"/>
        <v>0</v>
      </c>
    </row>
    <row r="309" spans="1:25" s="39" customFormat="1" ht="14" customHeight="1" x14ac:dyDescent="0.35">
      <c r="A309" s="37" t="s">
        <v>222</v>
      </c>
      <c r="B309" s="37" t="s">
        <v>58</v>
      </c>
      <c r="C309" s="37" t="s">
        <v>1350</v>
      </c>
      <c r="D309" s="37">
        <v>847</v>
      </c>
      <c r="E309" s="37">
        <v>8471230</v>
      </c>
      <c r="F309" s="37" t="s">
        <v>1507</v>
      </c>
      <c r="G309" s="37">
        <v>1</v>
      </c>
      <c r="H309" s="37">
        <v>425742</v>
      </c>
      <c r="I309" s="37" t="s">
        <v>1036</v>
      </c>
      <c r="J309" s="37" t="s">
        <v>60</v>
      </c>
      <c r="K309" s="37" t="s">
        <v>50</v>
      </c>
      <c r="L309" s="37">
        <v>847001</v>
      </c>
      <c r="M309" s="37" t="s">
        <v>61</v>
      </c>
      <c r="N309" s="37">
        <v>200179</v>
      </c>
      <c r="O309" s="37" t="str">
        <f t="shared" si="19"/>
        <v>847.8471230.1.425742.000000.847001.200179</v>
      </c>
      <c r="P309" s="21" t="s">
        <v>1038</v>
      </c>
      <c r="Q309" s="37" t="s">
        <v>157</v>
      </c>
      <c r="R309" s="37">
        <v>10</v>
      </c>
      <c r="S309" s="37">
        <v>70000</v>
      </c>
      <c r="T309" s="37" t="s">
        <v>1515</v>
      </c>
      <c r="U309" s="38">
        <v>700000</v>
      </c>
      <c r="V309" s="37" t="s">
        <v>55</v>
      </c>
      <c r="W309" s="21" t="s">
        <v>56</v>
      </c>
      <c r="X309" s="24" t="s">
        <v>244</v>
      </c>
      <c r="Y309" s="70">
        <f t="shared" si="20"/>
        <v>0</v>
      </c>
    </row>
    <row r="310" spans="1:25" s="39" customFormat="1" ht="14" customHeight="1" x14ac:dyDescent="0.35">
      <c r="A310" s="37" t="s">
        <v>63</v>
      </c>
      <c r="B310" s="37" t="s">
        <v>64</v>
      </c>
      <c r="C310" s="37" t="s">
        <v>1350</v>
      </c>
      <c r="D310" s="37">
        <v>847</v>
      </c>
      <c r="E310" s="37">
        <v>8471230</v>
      </c>
      <c r="F310" s="37" t="s">
        <v>1507</v>
      </c>
      <c r="G310" s="37">
        <v>1</v>
      </c>
      <c r="H310" s="37">
        <v>426610</v>
      </c>
      <c r="I310" s="37" t="s">
        <v>74</v>
      </c>
      <c r="J310" s="37" t="s">
        <v>60</v>
      </c>
      <c r="K310" s="37" t="s">
        <v>50</v>
      </c>
      <c r="L310" s="37">
        <v>847001</v>
      </c>
      <c r="M310" s="37" t="s">
        <v>61</v>
      </c>
      <c r="N310" s="37">
        <v>200179</v>
      </c>
      <c r="O310" s="37" t="str">
        <f t="shared" si="19"/>
        <v>847.8471230.1.426610.000000.847001.200179</v>
      </c>
      <c r="P310" s="21" t="s">
        <v>274</v>
      </c>
      <c r="Q310" s="37" t="s">
        <v>157</v>
      </c>
      <c r="R310" s="37">
        <v>1000</v>
      </c>
      <c r="S310" s="37">
        <v>100</v>
      </c>
      <c r="T310" s="37" t="s">
        <v>1517</v>
      </c>
      <c r="U310" s="38">
        <v>100000</v>
      </c>
      <c r="V310" s="37" t="s">
        <v>55</v>
      </c>
      <c r="W310" s="21" t="s">
        <v>56</v>
      </c>
      <c r="X310" s="24" t="s">
        <v>244</v>
      </c>
      <c r="Y310" s="70">
        <f t="shared" si="20"/>
        <v>0</v>
      </c>
    </row>
    <row r="311" spans="1:25" s="39" customFormat="1" ht="14" customHeight="1" x14ac:dyDescent="0.35">
      <c r="A311" s="37" t="s">
        <v>245</v>
      </c>
      <c r="B311" s="37" t="s">
        <v>246</v>
      </c>
      <c r="C311" s="37" t="s">
        <v>1350</v>
      </c>
      <c r="D311" s="37">
        <v>847</v>
      </c>
      <c r="E311" s="37">
        <v>8471280</v>
      </c>
      <c r="F311" s="37" t="s">
        <v>1520</v>
      </c>
      <c r="G311" s="37">
        <v>1</v>
      </c>
      <c r="H311" s="37">
        <v>425100</v>
      </c>
      <c r="I311" s="37" t="s">
        <v>1521</v>
      </c>
      <c r="J311" s="37" t="s">
        <v>60</v>
      </c>
      <c r="K311" s="37" t="s">
        <v>50</v>
      </c>
      <c r="L311" s="37">
        <v>847001</v>
      </c>
      <c r="M311" s="37" t="s">
        <v>61</v>
      </c>
      <c r="N311" s="37">
        <v>200179</v>
      </c>
      <c r="O311" s="37" t="str">
        <f t="shared" si="19"/>
        <v>847.8471280.1.425100.000000.847001.200179</v>
      </c>
      <c r="P311" s="21" t="s">
        <v>1581</v>
      </c>
      <c r="Q311" s="37" t="s">
        <v>269</v>
      </c>
      <c r="R311" s="37">
        <v>2</v>
      </c>
      <c r="S311" s="37">
        <v>1875</v>
      </c>
      <c r="T311" s="37" t="s">
        <v>1629</v>
      </c>
      <c r="U311" s="38">
        <v>3750</v>
      </c>
      <c r="V311" s="37" t="s">
        <v>55</v>
      </c>
      <c r="W311" s="21" t="s">
        <v>56</v>
      </c>
      <c r="X311" s="24" t="s">
        <v>384</v>
      </c>
      <c r="Y311" s="70">
        <f t="shared" si="20"/>
        <v>0</v>
      </c>
    </row>
    <row r="312" spans="1:25" s="39" customFormat="1" ht="14" customHeight="1" x14ac:dyDescent="0.35">
      <c r="A312" s="37" t="s">
        <v>245</v>
      </c>
      <c r="B312" s="37" t="s">
        <v>246</v>
      </c>
      <c r="C312" s="37" t="s">
        <v>1350</v>
      </c>
      <c r="D312" s="37">
        <v>847</v>
      </c>
      <c r="E312" s="37">
        <v>8471280</v>
      </c>
      <c r="F312" s="37" t="s">
        <v>1520</v>
      </c>
      <c r="G312" s="37">
        <v>1</v>
      </c>
      <c r="H312" s="37">
        <v>425510</v>
      </c>
      <c r="I312" s="37" t="s">
        <v>247</v>
      </c>
      <c r="J312" s="37" t="s">
        <v>60</v>
      </c>
      <c r="K312" s="37" t="s">
        <v>50</v>
      </c>
      <c r="L312" s="37">
        <v>847001</v>
      </c>
      <c r="M312" s="37" t="s">
        <v>61</v>
      </c>
      <c r="N312" s="37">
        <v>200179</v>
      </c>
      <c r="O312" s="37" t="str">
        <f t="shared" si="19"/>
        <v>847.8471280.1.425510.000000.847001.200179</v>
      </c>
      <c r="P312" s="21" t="s">
        <v>344</v>
      </c>
      <c r="Q312" s="37" t="s">
        <v>256</v>
      </c>
      <c r="R312" s="37">
        <v>30</v>
      </c>
      <c r="S312" s="37">
        <v>1500</v>
      </c>
      <c r="T312" s="37" t="s">
        <v>1630</v>
      </c>
      <c r="U312" s="38">
        <v>45000</v>
      </c>
      <c r="V312" s="37" t="s">
        <v>55</v>
      </c>
      <c r="W312" s="21" t="s">
        <v>56</v>
      </c>
      <c r="X312" s="24" t="s">
        <v>264</v>
      </c>
      <c r="Y312" s="70">
        <f t="shared" si="20"/>
        <v>0</v>
      </c>
    </row>
    <row r="313" spans="1:25" s="39" customFormat="1" ht="14" customHeight="1" x14ac:dyDescent="0.35">
      <c r="A313" s="37" t="s">
        <v>245</v>
      </c>
      <c r="B313" s="37" t="s">
        <v>58</v>
      </c>
      <c r="C313" s="37" t="s">
        <v>1350</v>
      </c>
      <c r="D313" s="37">
        <v>847</v>
      </c>
      <c r="E313" s="37">
        <v>8471280</v>
      </c>
      <c r="F313" s="37" t="s">
        <v>1520</v>
      </c>
      <c r="G313" s="37">
        <v>1</v>
      </c>
      <c r="H313" s="37">
        <v>425550</v>
      </c>
      <c r="I313" s="37" t="s">
        <v>253</v>
      </c>
      <c r="J313" s="37" t="s">
        <v>60</v>
      </c>
      <c r="K313" s="37" t="s">
        <v>50</v>
      </c>
      <c r="L313" s="37">
        <v>847001</v>
      </c>
      <c r="M313" s="37" t="s">
        <v>61</v>
      </c>
      <c r="N313" s="37">
        <v>200179</v>
      </c>
      <c r="O313" s="37" t="str">
        <f t="shared" si="19"/>
        <v>847.8471280.1.425550.000000.847001.200179</v>
      </c>
      <c r="P313" s="21" t="s">
        <v>255</v>
      </c>
      <c r="Q313" s="37" t="s">
        <v>256</v>
      </c>
      <c r="R313" s="37">
        <v>4</v>
      </c>
      <c r="S313" s="37">
        <v>22500</v>
      </c>
      <c r="T313" s="37" t="s">
        <v>1525</v>
      </c>
      <c r="U313" s="38">
        <v>90000</v>
      </c>
      <c r="V313" s="37" t="s">
        <v>55</v>
      </c>
      <c r="W313" s="21" t="s">
        <v>56</v>
      </c>
      <c r="X313" s="24" t="s">
        <v>237</v>
      </c>
      <c r="Y313" s="70">
        <f t="shared" si="20"/>
        <v>0</v>
      </c>
    </row>
    <row r="314" spans="1:25" s="39" customFormat="1" ht="14" customHeight="1" x14ac:dyDescent="0.35">
      <c r="A314" s="37">
        <v>0</v>
      </c>
      <c r="B314" s="37" t="s">
        <v>58</v>
      </c>
      <c r="C314" s="37" t="s">
        <v>1350</v>
      </c>
      <c r="D314" s="37">
        <v>847</v>
      </c>
      <c r="E314" s="37">
        <v>8471280</v>
      </c>
      <c r="F314" s="37" t="s">
        <v>1520</v>
      </c>
      <c r="G314" s="37">
        <v>1</v>
      </c>
      <c r="H314" s="37">
        <v>425710</v>
      </c>
      <c r="I314" s="37" t="s">
        <v>1526</v>
      </c>
      <c r="J314" s="37" t="s">
        <v>60</v>
      </c>
      <c r="K314" s="37" t="s">
        <v>50</v>
      </c>
      <c r="L314" s="37">
        <v>847001</v>
      </c>
      <c r="M314" s="37" t="s">
        <v>61</v>
      </c>
      <c r="N314" s="37">
        <v>200179</v>
      </c>
      <c r="O314" s="37" t="str">
        <f t="shared" si="19"/>
        <v>847.8471280.1.425710.000000.847001.200179</v>
      </c>
      <c r="P314" s="21" t="s">
        <v>1527</v>
      </c>
      <c r="Q314" s="37" t="s">
        <v>1109</v>
      </c>
      <c r="R314" s="37">
        <v>2</v>
      </c>
      <c r="S314" s="37">
        <v>225000</v>
      </c>
      <c r="T314" s="37" t="s">
        <v>1528</v>
      </c>
      <c r="U314" s="38">
        <v>450000</v>
      </c>
      <c r="V314" s="37" t="s">
        <v>55</v>
      </c>
      <c r="W314" s="21" t="s">
        <v>56</v>
      </c>
      <c r="X314" s="24" t="s">
        <v>636</v>
      </c>
      <c r="Y314" s="70">
        <f t="shared" si="20"/>
        <v>0</v>
      </c>
    </row>
    <row r="315" spans="1:25" s="39" customFormat="1" ht="14" customHeight="1" x14ac:dyDescent="0.35">
      <c r="A315" s="37" t="s">
        <v>258</v>
      </c>
      <c r="B315" s="37" t="s">
        <v>350</v>
      </c>
      <c r="C315" s="37" t="s">
        <v>1350</v>
      </c>
      <c r="D315" s="37">
        <v>847</v>
      </c>
      <c r="E315" s="37">
        <v>8471280</v>
      </c>
      <c r="F315" s="37" t="s">
        <v>1520</v>
      </c>
      <c r="G315" s="37">
        <v>1</v>
      </c>
      <c r="H315" s="37">
        <v>425760</v>
      </c>
      <c r="I315" s="37" t="s">
        <v>352</v>
      </c>
      <c r="J315" s="37" t="s">
        <v>60</v>
      </c>
      <c r="K315" s="37" t="s">
        <v>50</v>
      </c>
      <c r="L315" s="37">
        <v>847001</v>
      </c>
      <c r="M315" s="37" t="s">
        <v>61</v>
      </c>
      <c r="N315" s="37">
        <v>200179</v>
      </c>
      <c r="O315" s="37" t="str">
        <f t="shared" si="19"/>
        <v>847.8471280.1.425760.000000.847001.200179</v>
      </c>
      <c r="P315" s="21" t="s">
        <v>440</v>
      </c>
      <c r="Q315" s="37" t="s">
        <v>441</v>
      </c>
      <c r="R315" s="37">
        <v>2</v>
      </c>
      <c r="S315" s="37">
        <v>22500</v>
      </c>
      <c r="T315" s="37" t="s">
        <v>1529</v>
      </c>
      <c r="U315" s="38">
        <v>45000</v>
      </c>
      <c r="V315" s="37" t="s">
        <v>55</v>
      </c>
      <c r="W315" s="21" t="s">
        <v>56</v>
      </c>
      <c r="X315" s="24" t="s">
        <v>414</v>
      </c>
      <c r="Y315" s="70">
        <f t="shared" si="20"/>
        <v>0</v>
      </c>
    </row>
    <row r="316" spans="1:25" s="39" customFormat="1" ht="14" customHeight="1" x14ac:dyDescent="0.35">
      <c r="A316" s="37" t="s">
        <v>222</v>
      </c>
      <c r="B316" s="37" t="s">
        <v>58</v>
      </c>
      <c r="C316" s="37" t="s">
        <v>1350</v>
      </c>
      <c r="D316" s="37">
        <v>847</v>
      </c>
      <c r="E316" s="37">
        <v>8471280</v>
      </c>
      <c r="F316" s="37" t="s">
        <v>1520</v>
      </c>
      <c r="G316" s="37">
        <v>1</v>
      </c>
      <c r="H316" s="37">
        <v>425770</v>
      </c>
      <c r="I316" s="37" t="s">
        <v>367</v>
      </c>
      <c r="J316" s="37" t="s">
        <v>60</v>
      </c>
      <c r="K316" s="37" t="s">
        <v>50</v>
      </c>
      <c r="L316" s="37">
        <v>847001</v>
      </c>
      <c r="M316" s="37" t="s">
        <v>61</v>
      </c>
      <c r="N316" s="37">
        <v>200179</v>
      </c>
      <c r="O316" s="37" t="str">
        <f t="shared" si="19"/>
        <v>847.8471280.1.425770.000000.847001.200179</v>
      </c>
      <c r="P316" s="21" t="s">
        <v>369</v>
      </c>
      <c r="Q316" s="37" t="s">
        <v>157</v>
      </c>
      <c r="R316" s="37">
        <v>4</v>
      </c>
      <c r="S316" s="37">
        <v>75000</v>
      </c>
      <c r="T316" s="37" t="s">
        <v>1530</v>
      </c>
      <c r="U316" s="38">
        <v>300000</v>
      </c>
      <c r="V316" s="37" t="s">
        <v>55</v>
      </c>
      <c r="W316" s="21" t="s">
        <v>56</v>
      </c>
      <c r="X316" s="24" t="s">
        <v>618</v>
      </c>
      <c r="Y316" s="70">
        <f t="shared" si="20"/>
        <v>0</v>
      </c>
    </row>
    <row r="317" spans="1:25" s="39" customFormat="1" ht="14" customHeight="1" x14ac:dyDescent="0.35">
      <c r="A317" s="37" t="s">
        <v>63</v>
      </c>
      <c r="B317" s="37" t="s">
        <v>64</v>
      </c>
      <c r="C317" s="37" t="s">
        <v>1350</v>
      </c>
      <c r="D317" s="37">
        <v>847</v>
      </c>
      <c r="E317" s="37">
        <v>8471280</v>
      </c>
      <c r="F317" s="37" t="s">
        <v>1520</v>
      </c>
      <c r="G317" s="37">
        <v>1</v>
      </c>
      <c r="H317" s="37">
        <v>426610</v>
      </c>
      <c r="I317" s="37" t="s">
        <v>74</v>
      </c>
      <c r="J317" s="37" t="s">
        <v>60</v>
      </c>
      <c r="K317" s="37" t="s">
        <v>50</v>
      </c>
      <c r="L317" s="37">
        <v>847001</v>
      </c>
      <c r="M317" s="37" t="s">
        <v>61</v>
      </c>
      <c r="N317" s="37">
        <v>200179</v>
      </c>
      <c r="O317" s="37" t="str">
        <f t="shared" si="19"/>
        <v>847.8471280.1.426610.000000.847001.200179</v>
      </c>
      <c r="P317" s="21" t="s">
        <v>274</v>
      </c>
      <c r="Q317" s="37" t="s">
        <v>157</v>
      </c>
      <c r="R317" s="37">
        <v>20</v>
      </c>
      <c r="S317" s="37">
        <v>95102</v>
      </c>
      <c r="T317" s="37" t="s">
        <v>1531</v>
      </c>
      <c r="U317" s="38">
        <v>1902040</v>
      </c>
      <c r="V317" s="37" t="s">
        <v>55</v>
      </c>
      <c r="W317" s="21" t="s">
        <v>56</v>
      </c>
      <c r="X317" s="24" t="s">
        <v>70</v>
      </c>
      <c r="Y317" s="70">
        <f t="shared" si="20"/>
        <v>0</v>
      </c>
    </row>
    <row r="318" spans="1:25" s="39" customFormat="1" ht="14" customHeight="1" x14ac:dyDescent="0.35">
      <c r="A318" s="37" t="s">
        <v>245</v>
      </c>
      <c r="B318" s="37" t="s">
        <v>246</v>
      </c>
      <c r="C318" s="37" t="s">
        <v>1350</v>
      </c>
      <c r="D318" s="37">
        <v>847</v>
      </c>
      <c r="E318" s="37">
        <v>8471280</v>
      </c>
      <c r="F318" s="37" t="s">
        <v>1520</v>
      </c>
      <c r="G318" s="37">
        <v>1</v>
      </c>
      <c r="H318" s="37">
        <v>428640</v>
      </c>
      <c r="I318" s="37" t="s">
        <v>279</v>
      </c>
      <c r="J318" s="37" t="s">
        <v>60</v>
      </c>
      <c r="K318" s="37" t="s">
        <v>50</v>
      </c>
      <c r="L318" s="37">
        <v>847001</v>
      </c>
      <c r="M318" s="37" t="s">
        <v>61</v>
      </c>
      <c r="N318" s="37">
        <v>200179</v>
      </c>
      <c r="O318" s="37" t="str">
        <f t="shared" si="19"/>
        <v>847.8471280.1.428640.000000.847001.200179</v>
      </c>
      <c r="P318" s="21" t="s">
        <v>645</v>
      </c>
      <c r="Q318" s="37" t="s">
        <v>269</v>
      </c>
      <c r="R318" s="37">
        <v>5</v>
      </c>
      <c r="S318" s="37">
        <v>4500</v>
      </c>
      <c r="T318" s="37" t="s">
        <v>1534</v>
      </c>
      <c r="U318" s="38">
        <v>22500</v>
      </c>
      <c r="V318" s="37" t="s">
        <v>55</v>
      </c>
      <c r="W318" s="21" t="s">
        <v>56</v>
      </c>
      <c r="X318" s="24" t="s">
        <v>379</v>
      </c>
      <c r="Y318" s="70">
        <f t="shared" si="20"/>
        <v>0</v>
      </c>
    </row>
    <row r="319" spans="1:25" s="39" customFormat="1" ht="14" customHeight="1" x14ac:dyDescent="0.35">
      <c r="A319" s="37" t="s">
        <v>1535</v>
      </c>
      <c r="B319" s="37" t="s">
        <v>58</v>
      </c>
      <c r="C319" s="37" t="s">
        <v>1350</v>
      </c>
      <c r="D319" s="37">
        <v>847</v>
      </c>
      <c r="E319" s="37">
        <v>8471280</v>
      </c>
      <c r="F319" s="37" t="s">
        <v>1520</v>
      </c>
      <c r="G319" s="37">
        <v>1</v>
      </c>
      <c r="H319" s="37">
        <v>432170</v>
      </c>
      <c r="I319" s="37" t="s">
        <v>1536</v>
      </c>
      <c r="J319" s="37" t="s">
        <v>60</v>
      </c>
      <c r="K319" s="37" t="s">
        <v>50</v>
      </c>
      <c r="L319" s="37">
        <v>847001</v>
      </c>
      <c r="M319" s="37" t="s">
        <v>61</v>
      </c>
      <c r="N319" s="37">
        <v>200179</v>
      </c>
      <c r="O319" s="37" t="str">
        <f t="shared" si="19"/>
        <v>847.8471280.1.432170.000000.847001.200179</v>
      </c>
      <c r="P319" s="21" t="s">
        <v>1537</v>
      </c>
      <c r="Q319" s="37" t="s">
        <v>157</v>
      </c>
      <c r="R319" s="37">
        <v>3</v>
      </c>
      <c r="S319" s="37">
        <v>100000</v>
      </c>
      <c r="T319" s="37" t="s">
        <v>1631</v>
      </c>
      <c r="U319" s="38">
        <v>300000</v>
      </c>
      <c r="V319" s="37" t="s">
        <v>55</v>
      </c>
      <c r="W319" s="21" t="s">
        <v>56</v>
      </c>
      <c r="X319" s="24" t="s">
        <v>70</v>
      </c>
      <c r="Y319" s="70">
        <f t="shared" si="20"/>
        <v>0</v>
      </c>
    </row>
    <row r="320" spans="1:25" s="39" customFormat="1" ht="14" customHeight="1" x14ac:dyDescent="0.35">
      <c r="A320" s="37" t="s">
        <v>222</v>
      </c>
      <c r="B320" s="37" t="s">
        <v>58</v>
      </c>
      <c r="C320" s="37" t="s">
        <v>1350</v>
      </c>
      <c r="D320" s="37">
        <v>847</v>
      </c>
      <c r="E320" s="37">
        <v>8471280</v>
      </c>
      <c r="F320" s="37" t="s">
        <v>1520</v>
      </c>
      <c r="G320" s="37">
        <v>1</v>
      </c>
      <c r="H320" s="37">
        <v>435340</v>
      </c>
      <c r="I320" s="37" t="s">
        <v>655</v>
      </c>
      <c r="J320" s="37" t="s">
        <v>60</v>
      </c>
      <c r="K320" s="37" t="s">
        <v>50</v>
      </c>
      <c r="L320" s="37">
        <v>847001</v>
      </c>
      <c r="M320" s="37" t="s">
        <v>61</v>
      </c>
      <c r="N320" s="37">
        <v>200179</v>
      </c>
      <c r="O320" s="37" t="str">
        <f t="shared" si="19"/>
        <v>847.8471280.1.435340.000000.847001.200179</v>
      </c>
      <c r="P320" s="21" t="s">
        <v>1539</v>
      </c>
      <c r="Q320" s="37" t="s">
        <v>1117</v>
      </c>
      <c r="R320" s="37">
        <v>40</v>
      </c>
      <c r="S320" s="37">
        <v>375</v>
      </c>
      <c r="T320" s="37" t="s">
        <v>1540</v>
      </c>
      <c r="U320" s="38">
        <v>15000</v>
      </c>
      <c r="V320" s="37" t="s">
        <v>55</v>
      </c>
      <c r="W320" s="21" t="s">
        <v>56</v>
      </c>
      <c r="X320" s="24" t="s">
        <v>348</v>
      </c>
      <c r="Y320" s="70">
        <f t="shared" si="20"/>
        <v>0</v>
      </c>
    </row>
    <row r="321" spans="1:25" s="39" customFormat="1" ht="14" customHeight="1" x14ac:dyDescent="0.35">
      <c r="A321" s="37" t="s">
        <v>222</v>
      </c>
      <c r="B321" s="37" t="s">
        <v>58</v>
      </c>
      <c r="C321" s="37" t="s">
        <v>1350</v>
      </c>
      <c r="D321" s="37">
        <v>847</v>
      </c>
      <c r="E321" s="37">
        <v>8471280</v>
      </c>
      <c r="F321" s="37" t="s">
        <v>1520</v>
      </c>
      <c r="G321" s="37">
        <v>1</v>
      </c>
      <c r="H321" s="37">
        <v>435530</v>
      </c>
      <c r="I321" s="37" t="s">
        <v>1127</v>
      </c>
      <c r="J321" s="37" t="s">
        <v>60</v>
      </c>
      <c r="K321" s="37" t="s">
        <v>50</v>
      </c>
      <c r="L321" s="37">
        <v>847001</v>
      </c>
      <c r="M321" s="37" t="s">
        <v>61</v>
      </c>
      <c r="N321" s="37">
        <v>200179</v>
      </c>
      <c r="O321" s="37" t="str">
        <f t="shared" si="19"/>
        <v>847.8471280.1.435530.000000.847001.200179</v>
      </c>
      <c r="P321" s="21" t="s">
        <v>1541</v>
      </c>
      <c r="Q321" s="37" t="s">
        <v>157</v>
      </c>
      <c r="R321" s="37">
        <v>50</v>
      </c>
      <c r="S321" s="37">
        <v>150</v>
      </c>
      <c r="T321" s="37" t="s">
        <v>1542</v>
      </c>
      <c r="U321" s="38">
        <v>7500</v>
      </c>
      <c r="V321" s="37" t="s">
        <v>55</v>
      </c>
      <c r="W321" s="21" t="s">
        <v>56</v>
      </c>
      <c r="X321" s="24" t="s">
        <v>816</v>
      </c>
      <c r="Y321" s="70">
        <f t="shared" si="20"/>
        <v>0</v>
      </c>
    </row>
    <row r="322" spans="1:25" s="39" customFormat="1" ht="14" customHeight="1" x14ac:dyDescent="0.35">
      <c r="A322" s="37" t="s">
        <v>161</v>
      </c>
      <c r="B322" s="37" t="s">
        <v>220</v>
      </c>
      <c r="C322" s="37" t="s">
        <v>1350</v>
      </c>
      <c r="D322" s="37">
        <v>847</v>
      </c>
      <c r="E322" s="37">
        <v>8471280</v>
      </c>
      <c r="F322" s="37" t="s">
        <v>1520</v>
      </c>
      <c r="G322" s="37">
        <v>1</v>
      </c>
      <c r="H322" s="37">
        <v>492316</v>
      </c>
      <c r="I322" s="37" t="s">
        <v>221</v>
      </c>
      <c r="J322" s="37" t="s">
        <v>60</v>
      </c>
      <c r="K322" s="37" t="s">
        <v>50</v>
      </c>
      <c r="L322" s="37">
        <v>847001</v>
      </c>
      <c r="M322" s="37" t="s">
        <v>192</v>
      </c>
      <c r="N322" s="37">
        <v>300180</v>
      </c>
      <c r="O322" s="37" t="str">
        <f t="shared" si="19"/>
        <v>847.8471280.1.492316.000000.847001.300180</v>
      </c>
      <c r="P322" s="21" t="s">
        <v>969</v>
      </c>
      <c r="Q322" s="37" t="s">
        <v>157</v>
      </c>
      <c r="R322" s="37">
        <v>5</v>
      </c>
      <c r="S322" s="37">
        <v>2000</v>
      </c>
      <c r="T322" s="37" t="s">
        <v>1543</v>
      </c>
      <c r="U322" s="38">
        <v>10000</v>
      </c>
      <c r="V322" s="37" t="s">
        <v>55</v>
      </c>
      <c r="W322" s="21" t="s">
        <v>56</v>
      </c>
      <c r="X322" s="24" t="s">
        <v>70</v>
      </c>
      <c r="Y322" s="70">
        <f t="shared" si="20"/>
        <v>0</v>
      </c>
    </row>
    <row r="323" spans="1:25" s="39" customFormat="1" ht="14" customHeight="1" x14ac:dyDescent="0.35">
      <c r="A323" s="37" t="s">
        <v>153</v>
      </c>
      <c r="B323" s="37" t="s">
        <v>58</v>
      </c>
      <c r="C323" s="37" t="s">
        <v>1350</v>
      </c>
      <c r="D323" s="37">
        <v>847</v>
      </c>
      <c r="E323" s="37">
        <v>8471280</v>
      </c>
      <c r="F323" s="37" t="s">
        <v>1520</v>
      </c>
      <c r="G323" s="37">
        <v>1</v>
      </c>
      <c r="H323" s="37">
        <v>428090</v>
      </c>
      <c r="I323" s="37" t="s">
        <v>154</v>
      </c>
      <c r="J323" s="37" t="s">
        <v>60</v>
      </c>
      <c r="K323" s="37" t="s">
        <v>50</v>
      </c>
      <c r="L323" s="37">
        <v>847001</v>
      </c>
      <c r="M323" s="37" t="s">
        <v>61</v>
      </c>
      <c r="N323" s="37">
        <v>200179</v>
      </c>
      <c r="O323" s="37" t="str">
        <f t="shared" ref="O323:O386" si="21">CONCATENATE(D323,".",E323,".",G323,".",H323,".",J323,".",L323,".",N323)</f>
        <v>847.8471280.1.428090.000000.847001.200179</v>
      </c>
      <c r="P323" s="21" t="s">
        <v>156</v>
      </c>
      <c r="Q323" s="37" t="s">
        <v>157</v>
      </c>
      <c r="R323" s="37">
        <v>3</v>
      </c>
      <c r="S323" s="37">
        <v>1100</v>
      </c>
      <c r="T323" s="37" t="s">
        <v>1544</v>
      </c>
      <c r="U323" s="38">
        <v>3300</v>
      </c>
      <c r="V323" s="37" t="s">
        <v>55</v>
      </c>
      <c r="W323" s="21" t="s">
        <v>56</v>
      </c>
      <c r="X323" s="24" t="s">
        <v>230</v>
      </c>
      <c r="Y323" s="70">
        <f t="shared" ref="Y323:Y386" si="22">(R323*S323)-U323</f>
        <v>0</v>
      </c>
    </row>
    <row r="324" spans="1:25" s="39" customFormat="1" ht="14" customHeight="1" x14ac:dyDescent="0.35">
      <c r="A324" s="37" t="s">
        <v>245</v>
      </c>
      <c r="B324" s="37" t="s">
        <v>246</v>
      </c>
      <c r="C324" s="37" t="s">
        <v>1350</v>
      </c>
      <c r="D324" s="37">
        <v>847</v>
      </c>
      <c r="E324" s="37">
        <v>8471250</v>
      </c>
      <c r="F324" s="37" t="s">
        <v>1545</v>
      </c>
      <c r="G324" s="37">
        <v>1</v>
      </c>
      <c r="H324" s="37">
        <v>425510</v>
      </c>
      <c r="I324" s="37" t="s">
        <v>247</v>
      </c>
      <c r="J324" s="37" t="s">
        <v>60</v>
      </c>
      <c r="K324" s="37" t="s">
        <v>50</v>
      </c>
      <c r="L324" s="37">
        <v>847001</v>
      </c>
      <c r="M324" s="37" t="s">
        <v>61</v>
      </c>
      <c r="N324" s="37">
        <v>200179</v>
      </c>
      <c r="O324" s="37" t="str">
        <f t="shared" si="21"/>
        <v>847.8471250.1.425510.000000.847001.200179</v>
      </c>
      <c r="P324" s="21" t="s">
        <v>565</v>
      </c>
      <c r="Q324" s="37" t="s">
        <v>157</v>
      </c>
      <c r="R324" s="37">
        <v>5</v>
      </c>
      <c r="S324" s="37">
        <v>200000</v>
      </c>
      <c r="T324" s="37" t="s">
        <v>1546</v>
      </c>
      <c r="U324" s="38">
        <v>1000000</v>
      </c>
      <c r="V324" s="37" t="s">
        <v>210</v>
      </c>
      <c r="W324" s="21" t="s">
        <v>56</v>
      </c>
      <c r="X324" s="24" t="s">
        <v>1367</v>
      </c>
      <c r="Y324" s="70">
        <f t="shared" si="22"/>
        <v>0</v>
      </c>
    </row>
    <row r="325" spans="1:25" s="39" customFormat="1" ht="14" customHeight="1" x14ac:dyDescent="0.35">
      <c r="A325" s="37" t="s">
        <v>258</v>
      </c>
      <c r="B325" s="37" t="s">
        <v>58</v>
      </c>
      <c r="C325" s="37" t="s">
        <v>1350</v>
      </c>
      <c r="D325" s="37">
        <v>847</v>
      </c>
      <c r="E325" s="37">
        <v>8471250</v>
      </c>
      <c r="F325" s="37" t="s">
        <v>1545</v>
      </c>
      <c r="G325" s="37">
        <v>1</v>
      </c>
      <c r="H325" s="37">
        <v>425720</v>
      </c>
      <c r="I325" s="37" t="s">
        <v>620</v>
      </c>
      <c r="J325" s="37" t="s">
        <v>60</v>
      </c>
      <c r="K325" s="37" t="s">
        <v>50</v>
      </c>
      <c r="L325" s="37">
        <v>847001</v>
      </c>
      <c r="M325" s="37" t="s">
        <v>61</v>
      </c>
      <c r="N325" s="37">
        <v>200179</v>
      </c>
      <c r="O325" s="37" t="str">
        <f t="shared" si="21"/>
        <v>847.8471250.1.425720.000000.847001.200179</v>
      </c>
      <c r="P325" s="21" t="s">
        <v>622</v>
      </c>
      <c r="Q325" s="37" t="s">
        <v>157</v>
      </c>
      <c r="R325" s="37">
        <v>2</v>
      </c>
      <c r="S325" s="37">
        <v>280000</v>
      </c>
      <c r="T325" s="37" t="s">
        <v>1550</v>
      </c>
      <c r="U325" s="38">
        <v>560000</v>
      </c>
      <c r="V325" s="37" t="s">
        <v>210</v>
      </c>
      <c r="W325" s="21" t="s">
        <v>56</v>
      </c>
      <c r="X325" s="24" t="s">
        <v>1367</v>
      </c>
      <c r="Y325" s="70">
        <f t="shared" si="22"/>
        <v>0</v>
      </c>
    </row>
    <row r="326" spans="1:25" s="39" customFormat="1" ht="14" customHeight="1" x14ac:dyDescent="0.35">
      <c r="A326" s="37" t="s">
        <v>258</v>
      </c>
      <c r="B326" s="37" t="s">
        <v>58</v>
      </c>
      <c r="C326" s="37" t="s">
        <v>1350</v>
      </c>
      <c r="D326" s="37">
        <v>847</v>
      </c>
      <c r="E326" s="37">
        <v>8471250</v>
      </c>
      <c r="F326" s="37" t="s">
        <v>1545</v>
      </c>
      <c r="G326" s="37">
        <v>1</v>
      </c>
      <c r="H326" s="37">
        <v>425762</v>
      </c>
      <c r="I326" s="37" t="s">
        <v>573</v>
      </c>
      <c r="J326" s="37" t="s">
        <v>60</v>
      </c>
      <c r="K326" s="37" t="s">
        <v>50</v>
      </c>
      <c r="L326" s="37">
        <v>847001</v>
      </c>
      <c r="M326" s="37" t="s">
        <v>61</v>
      </c>
      <c r="N326" s="37">
        <v>200179</v>
      </c>
      <c r="O326" s="37" t="str">
        <f t="shared" si="21"/>
        <v>847.8471250.1.425762.000000.847001.200179</v>
      </c>
      <c r="P326" s="21" t="s">
        <v>1062</v>
      </c>
      <c r="Q326" s="37" t="s">
        <v>157</v>
      </c>
      <c r="R326" s="37">
        <v>80</v>
      </c>
      <c r="S326" s="37">
        <v>26800</v>
      </c>
      <c r="T326" s="37" t="s">
        <v>1553</v>
      </c>
      <c r="U326" s="38">
        <v>2144000</v>
      </c>
      <c r="V326" s="37" t="s">
        <v>210</v>
      </c>
      <c r="W326" s="21" t="s">
        <v>56</v>
      </c>
      <c r="X326" s="24" t="s">
        <v>577</v>
      </c>
      <c r="Y326" s="70">
        <f t="shared" si="22"/>
        <v>0</v>
      </c>
    </row>
    <row r="327" spans="1:25" s="39" customFormat="1" ht="14" customHeight="1" x14ac:dyDescent="0.35">
      <c r="A327" s="37" t="s">
        <v>189</v>
      </c>
      <c r="B327" s="37" t="s">
        <v>265</v>
      </c>
      <c r="C327" s="37" t="s">
        <v>1350</v>
      </c>
      <c r="D327" s="37">
        <v>847</v>
      </c>
      <c r="E327" s="37">
        <v>8471250</v>
      </c>
      <c r="F327" s="37" t="s">
        <v>1545</v>
      </c>
      <c r="G327" s="37">
        <v>1</v>
      </c>
      <c r="H327" s="37">
        <v>425900</v>
      </c>
      <c r="I327" s="37" t="s">
        <v>266</v>
      </c>
      <c r="J327" s="37" t="s">
        <v>60</v>
      </c>
      <c r="K327" s="37" t="s">
        <v>50</v>
      </c>
      <c r="L327" s="37">
        <v>847001</v>
      </c>
      <c r="M327" s="37" t="s">
        <v>61</v>
      </c>
      <c r="N327" s="37">
        <v>200179</v>
      </c>
      <c r="O327" s="37" t="str">
        <f t="shared" si="21"/>
        <v>847.8471250.1.425900.000000.847001.200179</v>
      </c>
      <c r="P327" s="21" t="s">
        <v>268</v>
      </c>
      <c r="Q327" s="37" t="s">
        <v>269</v>
      </c>
      <c r="R327" s="37">
        <v>5</v>
      </c>
      <c r="S327" s="37">
        <v>15000</v>
      </c>
      <c r="T327" s="37" t="s">
        <v>1556</v>
      </c>
      <c r="U327" s="38">
        <v>75000</v>
      </c>
      <c r="V327" s="37" t="s">
        <v>55</v>
      </c>
      <c r="W327" s="21" t="s">
        <v>56</v>
      </c>
      <c r="X327" s="24"/>
      <c r="Y327" s="70">
        <f t="shared" si="22"/>
        <v>0</v>
      </c>
    </row>
    <row r="328" spans="1:25" s="39" customFormat="1" ht="14" customHeight="1" x14ac:dyDescent="0.35">
      <c r="A328" s="37" t="s">
        <v>63</v>
      </c>
      <c r="B328" s="37" t="s">
        <v>64</v>
      </c>
      <c r="C328" s="37" t="s">
        <v>1350</v>
      </c>
      <c r="D328" s="37">
        <v>847</v>
      </c>
      <c r="E328" s="37">
        <v>8471250</v>
      </c>
      <c r="F328" s="37" t="s">
        <v>1545</v>
      </c>
      <c r="G328" s="37">
        <v>1</v>
      </c>
      <c r="H328" s="37">
        <v>426610</v>
      </c>
      <c r="I328" s="37" t="s">
        <v>74</v>
      </c>
      <c r="J328" s="37" t="s">
        <v>60</v>
      </c>
      <c r="K328" s="37" t="s">
        <v>50</v>
      </c>
      <c r="L328" s="37">
        <v>847001</v>
      </c>
      <c r="M328" s="37" t="s">
        <v>61</v>
      </c>
      <c r="N328" s="37">
        <v>200179</v>
      </c>
      <c r="O328" s="37" t="str">
        <f t="shared" si="21"/>
        <v>847.8471250.1.426610.000000.847001.200179</v>
      </c>
      <c r="P328" s="21" t="s">
        <v>274</v>
      </c>
      <c r="Q328" s="37" t="s">
        <v>1109</v>
      </c>
      <c r="R328" s="37">
        <v>3</v>
      </c>
      <c r="S328" s="37">
        <v>373152</v>
      </c>
      <c r="T328" s="37" t="s">
        <v>1559</v>
      </c>
      <c r="U328" s="38">
        <v>1119456</v>
      </c>
      <c r="V328" s="37" t="s">
        <v>55</v>
      </c>
      <c r="W328" s="21" t="s">
        <v>56</v>
      </c>
      <c r="X328" s="24"/>
      <c r="Y328" s="70">
        <f t="shared" si="22"/>
        <v>0</v>
      </c>
    </row>
    <row r="329" spans="1:25" s="39" customFormat="1" ht="14" customHeight="1" x14ac:dyDescent="0.35">
      <c r="A329" s="37" t="s">
        <v>153</v>
      </c>
      <c r="B329" s="37" t="s">
        <v>58</v>
      </c>
      <c r="C329" s="37" t="s">
        <v>1350</v>
      </c>
      <c r="D329" s="37">
        <v>847</v>
      </c>
      <c r="E329" s="37">
        <v>8471250</v>
      </c>
      <c r="F329" s="37" t="s">
        <v>1545</v>
      </c>
      <c r="G329" s="37">
        <v>1</v>
      </c>
      <c r="H329" s="37">
        <v>428090</v>
      </c>
      <c r="I329" s="37" t="s">
        <v>154</v>
      </c>
      <c r="J329" s="37" t="s">
        <v>60</v>
      </c>
      <c r="K329" s="37" t="s">
        <v>50</v>
      </c>
      <c r="L329" s="37">
        <v>847001</v>
      </c>
      <c r="M329" s="37" t="s">
        <v>61</v>
      </c>
      <c r="N329" s="37">
        <v>200179</v>
      </c>
      <c r="O329" s="37" t="str">
        <f t="shared" si="21"/>
        <v>847.8471250.1.428090.000000.847001.200179</v>
      </c>
      <c r="P329" s="21" t="s">
        <v>156</v>
      </c>
      <c r="Q329" s="37" t="s">
        <v>1109</v>
      </c>
      <c r="R329" s="37"/>
      <c r="S329" s="37"/>
      <c r="T329" s="37"/>
      <c r="U329" s="38">
        <v>0</v>
      </c>
      <c r="V329" s="37" t="s">
        <v>55</v>
      </c>
      <c r="W329" s="21" t="s">
        <v>56</v>
      </c>
      <c r="X329" s="24"/>
      <c r="Y329" s="70">
        <f t="shared" si="22"/>
        <v>0</v>
      </c>
    </row>
    <row r="330" spans="1:25" s="39" customFormat="1" ht="14" customHeight="1" x14ac:dyDescent="0.35">
      <c r="A330" s="37" t="s">
        <v>245</v>
      </c>
      <c r="B330" s="37" t="s">
        <v>246</v>
      </c>
      <c r="C330" s="37" t="s">
        <v>1350</v>
      </c>
      <c r="D330" s="37">
        <v>847</v>
      </c>
      <c r="E330" s="37">
        <v>8471250</v>
      </c>
      <c r="F330" s="37" t="s">
        <v>1545</v>
      </c>
      <c r="G330" s="37">
        <v>1</v>
      </c>
      <c r="H330" s="37">
        <v>428640</v>
      </c>
      <c r="I330" s="37" t="s">
        <v>279</v>
      </c>
      <c r="J330" s="37" t="s">
        <v>60</v>
      </c>
      <c r="K330" s="37" t="s">
        <v>50</v>
      </c>
      <c r="L330" s="37">
        <v>847001</v>
      </c>
      <c r="M330" s="37" t="s">
        <v>61</v>
      </c>
      <c r="N330" s="37">
        <v>200179</v>
      </c>
      <c r="O330" s="37" t="str">
        <f t="shared" si="21"/>
        <v>847.8471250.1.428640.000000.847001.200179</v>
      </c>
      <c r="P330" s="21" t="s">
        <v>1452</v>
      </c>
      <c r="Q330" s="37" t="s">
        <v>269</v>
      </c>
      <c r="R330" s="37">
        <v>200</v>
      </c>
      <c r="S330" s="37">
        <v>400</v>
      </c>
      <c r="T330" s="37" t="s">
        <v>1562</v>
      </c>
      <c r="U330" s="38">
        <v>80000</v>
      </c>
      <c r="V330" s="37" t="s">
        <v>55</v>
      </c>
      <c r="W330" s="21" t="s">
        <v>56</v>
      </c>
      <c r="X330" s="24"/>
      <c r="Y330" s="70">
        <f t="shared" si="22"/>
        <v>0</v>
      </c>
    </row>
    <row r="331" spans="1:25" s="39" customFormat="1" ht="14" customHeight="1" x14ac:dyDescent="0.35">
      <c r="A331" s="37" t="s">
        <v>189</v>
      </c>
      <c r="B331" s="37" t="s">
        <v>58</v>
      </c>
      <c r="C331" s="37" t="s">
        <v>1350</v>
      </c>
      <c r="D331" s="37">
        <v>847</v>
      </c>
      <c r="E331" s="37">
        <v>8471250</v>
      </c>
      <c r="F331" s="37" t="s">
        <v>1545</v>
      </c>
      <c r="G331" s="37">
        <v>1</v>
      </c>
      <c r="H331" s="37">
        <v>436110</v>
      </c>
      <c r="I331" s="37" t="s">
        <v>190</v>
      </c>
      <c r="J331" s="37" t="s">
        <v>60</v>
      </c>
      <c r="K331" s="37" t="s">
        <v>50</v>
      </c>
      <c r="L331" s="37">
        <v>847001</v>
      </c>
      <c r="M331" s="37" t="s">
        <v>61</v>
      </c>
      <c r="N331" s="37">
        <v>200179</v>
      </c>
      <c r="O331" s="37" t="str">
        <f t="shared" si="21"/>
        <v>847.8471250.1.436110.000000.847001.200179</v>
      </c>
      <c r="P331" s="21" t="s">
        <v>488</v>
      </c>
      <c r="Q331" s="37" t="s">
        <v>1109</v>
      </c>
      <c r="R331" s="37">
        <v>5</v>
      </c>
      <c r="S331" s="37">
        <v>2000</v>
      </c>
      <c r="T331" s="37" t="s">
        <v>1567</v>
      </c>
      <c r="U331" s="38">
        <v>10000</v>
      </c>
      <c r="V331" s="37" t="s">
        <v>55</v>
      </c>
      <c r="W331" s="21" t="s">
        <v>56</v>
      </c>
      <c r="X331" s="24"/>
      <c r="Y331" s="70">
        <f t="shared" si="22"/>
        <v>0</v>
      </c>
    </row>
    <row r="332" spans="1:25" s="39" customFormat="1" ht="14" customHeight="1" x14ac:dyDescent="0.35">
      <c r="A332" s="37" t="s">
        <v>245</v>
      </c>
      <c r="B332" s="37" t="s">
        <v>246</v>
      </c>
      <c r="C332" s="37" t="s">
        <v>1569</v>
      </c>
      <c r="D332" s="37">
        <v>847</v>
      </c>
      <c r="E332" s="37">
        <v>8471010</v>
      </c>
      <c r="F332" s="37" t="s">
        <v>1570</v>
      </c>
      <c r="G332" s="37">
        <v>1</v>
      </c>
      <c r="H332" s="37">
        <v>425100</v>
      </c>
      <c r="I332" s="37" t="s">
        <v>1521</v>
      </c>
      <c r="J332" s="37" t="s">
        <v>60</v>
      </c>
      <c r="K332" s="37" t="s">
        <v>50</v>
      </c>
      <c r="L332" s="37">
        <v>847001</v>
      </c>
      <c r="M332" s="37" t="s">
        <v>61</v>
      </c>
      <c r="N332" s="37">
        <v>200179</v>
      </c>
      <c r="O332" s="37" t="str">
        <f t="shared" si="21"/>
        <v>847.8471010.1.425100.000000.847001.200179</v>
      </c>
      <c r="P332" s="21" t="s">
        <v>1581</v>
      </c>
      <c r="Q332" s="37" t="s">
        <v>269</v>
      </c>
      <c r="R332" s="37">
        <v>2</v>
      </c>
      <c r="S332" s="37">
        <v>65000</v>
      </c>
      <c r="T332" s="37" t="s">
        <v>1632</v>
      </c>
      <c r="U332" s="38">
        <v>130000</v>
      </c>
      <c r="V332" s="37" t="s">
        <v>55</v>
      </c>
      <c r="W332" s="21" t="s">
        <v>56</v>
      </c>
      <c r="X332" s="24" t="s">
        <v>379</v>
      </c>
      <c r="Y332" s="70">
        <f t="shared" si="22"/>
        <v>0</v>
      </c>
    </row>
    <row r="333" spans="1:25" s="39" customFormat="1" ht="14" customHeight="1" x14ac:dyDescent="0.35">
      <c r="A333" s="37" t="s">
        <v>245</v>
      </c>
      <c r="B333" s="37" t="s">
        <v>246</v>
      </c>
      <c r="C333" s="37" t="s">
        <v>1569</v>
      </c>
      <c r="D333" s="37">
        <v>847</v>
      </c>
      <c r="E333" s="37">
        <v>8471010</v>
      </c>
      <c r="F333" s="37" t="s">
        <v>1570</v>
      </c>
      <c r="G333" s="37">
        <v>1</v>
      </c>
      <c r="H333" s="37">
        <v>425510</v>
      </c>
      <c r="I333" s="37" t="s">
        <v>247</v>
      </c>
      <c r="J333" s="37" t="s">
        <v>60</v>
      </c>
      <c r="K333" s="37" t="s">
        <v>50</v>
      </c>
      <c r="L333" s="37">
        <v>847001</v>
      </c>
      <c r="M333" s="37" t="s">
        <v>61</v>
      </c>
      <c r="N333" s="37">
        <v>200179</v>
      </c>
      <c r="O333" s="37" t="str">
        <f t="shared" si="21"/>
        <v>847.8471010.1.425510.000000.847001.200179</v>
      </c>
      <c r="P333" s="21" t="s">
        <v>249</v>
      </c>
      <c r="Q333" s="37" t="s">
        <v>250</v>
      </c>
      <c r="R333" s="37">
        <v>2</v>
      </c>
      <c r="S333" s="37">
        <v>50000</v>
      </c>
      <c r="T333" s="37" t="s">
        <v>1633</v>
      </c>
      <c r="U333" s="38">
        <v>100000</v>
      </c>
      <c r="V333" s="37" t="s">
        <v>55</v>
      </c>
      <c r="W333" s="21" t="s">
        <v>56</v>
      </c>
      <c r="X333" s="24" t="s">
        <v>618</v>
      </c>
      <c r="Y333" s="70">
        <f t="shared" si="22"/>
        <v>0</v>
      </c>
    </row>
    <row r="334" spans="1:25" s="39" customFormat="1" ht="14" customHeight="1" x14ac:dyDescent="0.35">
      <c r="A334" s="37" t="s">
        <v>258</v>
      </c>
      <c r="B334" s="37" t="s">
        <v>58</v>
      </c>
      <c r="C334" s="37" t="s">
        <v>1569</v>
      </c>
      <c r="D334" s="37">
        <v>847</v>
      </c>
      <c r="E334" s="37">
        <v>8471010</v>
      </c>
      <c r="F334" s="37" t="s">
        <v>1570</v>
      </c>
      <c r="G334" s="37">
        <v>1</v>
      </c>
      <c r="H334" s="37">
        <v>425720</v>
      </c>
      <c r="I334" s="37" t="s">
        <v>620</v>
      </c>
      <c r="J334" s="37" t="s">
        <v>60</v>
      </c>
      <c r="K334" s="37" t="s">
        <v>50</v>
      </c>
      <c r="L334" s="37">
        <v>847001</v>
      </c>
      <c r="M334" s="37" t="s">
        <v>61</v>
      </c>
      <c r="N334" s="37">
        <v>200179</v>
      </c>
      <c r="O334" s="37" t="str">
        <f t="shared" si="21"/>
        <v>847.8471010.1.425720.000000.847001.200179</v>
      </c>
      <c r="P334" s="21" t="s">
        <v>622</v>
      </c>
      <c r="Q334" s="37" t="s">
        <v>623</v>
      </c>
      <c r="R334" s="37">
        <v>21</v>
      </c>
      <c r="S334" s="37">
        <v>6920</v>
      </c>
      <c r="T334" s="37" t="s">
        <v>1634</v>
      </c>
      <c r="U334" s="38">
        <v>145320</v>
      </c>
      <c r="V334" s="37" t="s">
        <v>55</v>
      </c>
      <c r="W334" s="21" t="s">
        <v>56</v>
      </c>
      <c r="X334" s="24" t="s">
        <v>237</v>
      </c>
      <c r="Y334" s="70">
        <f t="shared" si="22"/>
        <v>0</v>
      </c>
    </row>
    <row r="335" spans="1:25" s="39" customFormat="1" ht="14" customHeight="1" x14ac:dyDescent="0.35">
      <c r="A335" s="37" t="s">
        <v>189</v>
      </c>
      <c r="B335" s="37" t="s">
        <v>265</v>
      </c>
      <c r="C335" s="37" t="s">
        <v>1569</v>
      </c>
      <c r="D335" s="37">
        <v>847</v>
      </c>
      <c r="E335" s="37">
        <v>8471010</v>
      </c>
      <c r="F335" s="37" t="s">
        <v>1570</v>
      </c>
      <c r="G335" s="37">
        <v>1</v>
      </c>
      <c r="H335" s="37">
        <v>425900</v>
      </c>
      <c r="I335" s="37" t="s">
        <v>266</v>
      </c>
      <c r="J335" s="37" t="s">
        <v>60</v>
      </c>
      <c r="K335" s="37" t="s">
        <v>50</v>
      </c>
      <c r="L335" s="37">
        <v>847001</v>
      </c>
      <c r="M335" s="37" t="s">
        <v>61</v>
      </c>
      <c r="N335" s="37">
        <v>200179</v>
      </c>
      <c r="O335" s="37" t="str">
        <f t="shared" si="21"/>
        <v>847.8471010.1.425900.000000.847001.200179</v>
      </c>
      <c r="P335" s="21" t="s">
        <v>268</v>
      </c>
      <c r="Q335" s="37" t="s">
        <v>269</v>
      </c>
      <c r="R335" s="37">
        <v>15</v>
      </c>
      <c r="S335" s="37">
        <v>6500</v>
      </c>
      <c r="T335" s="37" t="s">
        <v>1635</v>
      </c>
      <c r="U335" s="38">
        <v>97500</v>
      </c>
      <c r="V335" s="37" t="s">
        <v>55</v>
      </c>
      <c r="W335" s="21" t="s">
        <v>56</v>
      </c>
      <c r="X335" s="24" t="s">
        <v>816</v>
      </c>
      <c r="Y335" s="70">
        <f t="shared" si="22"/>
        <v>0</v>
      </c>
    </row>
    <row r="336" spans="1:25" s="39" customFormat="1" ht="14" customHeight="1" x14ac:dyDescent="0.35">
      <c r="A336" s="37" t="s">
        <v>189</v>
      </c>
      <c r="B336" s="37" t="s">
        <v>58</v>
      </c>
      <c r="C336" s="37" t="s">
        <v>1569</v>
      </c>
      <c r="D336" s="37">
        <v>847</v>
      </c>
      <c r="E336" s="37">
        <v>8471010</v>
      </c>
      <c r="F336" s="37" t="s">
        <v>1570</v>
      </c>
      <c r="G336" s="37">
        <v>1</v>
      </c>
      <c r="H336" s="37">
        <v>436110</v>
      </c>
      <c r="I336" s="37" t="s">
        <v>190</v>
      </c>
      <c r="J336" s="37" t="s">
        <v>60</v>
      </c>
      <c r="K336" s="37" t="s">
        <v>50</v>
      </c>
      <c r="L336" s="37">
        <v>847001</v>
      </c>
      <c r="M336" s="37" t="s">
        <v>61</v>
      </c>
      <c r="N336" s="37">
        <v>200179</v>
      </c>
      <c r="O336" s="37" t="str">
        <f t="shared" si="21"/>
        <v>847.8471010.1.436110.000000.847001.200179</v>
      </c>
      <c r="P336" s="21" t="s">
        <v>829</v>
      </c>
      <c r="Q336" s="37" t="s">
        <v>157</v>
      </c>
      <c r="R336" s="37">
        <v>8</v>
      </c>
      <c r="S336" s="37">
        <v>4000</v>
      </c>
      <c r="T336" s="37" t="s">
        <v>1636</v>
      </c>
      <c r="U336" s="38">
        <v>32000</v>
      </c>
      <c r="V336" s="37" t="s">
        <v>55</v>
      </c>
      <c r="W336" s="21" t="s">
        <v>56</v>
      </c>
      <c r="X336" s="24" t="s">
        <v>816</v>
      </c>
      <c r="Y336" s="70">
        <f t="shared" si="22"/>
        <v>0</v>
      </c>
    </row>
    <row r="337" spans="1:25" s="39" customFormat="1" ht="14" customHeight="1" x14ac:dyDescent="0.35">
      <c r="A337" s="37" t="s">
        <v>189</v>
      </c>
      <c r="B337" s="37" t="s">
        <v>58</v>
      </c>
      <c r="C337" s="37" t="s">
        <v>1569</v>
      </c>
      <c r="D337" s="37">
        <v>847</v>
      </c>
      <c r="E337" s="37">
        <v>8471010</v>
      </c>
      <c r="F337" s="37" t="s">
        <v>1570</v>
      </c>
      <c r="G337" s="37">
        <v>1</v>
      </c>
      <c r="H337" s="37">
        <v>436120</v>
      </c>
      <c r="I337" s="37" t="s">
        <v>291</v>
      </c>
      <c r="J337" s="37" t="s">
        <v>60</v>
      </c>
      <c r="K337" s="37" t="s">
        <v>50</v>
      </c>
      <c r="L337" s="37">
        <v>847001</v>
      </c>
      <c r="M337" s="37" t="s">
        <v>61</v>
      </c>
      <c r="N337" s="37">
        <v>200179</v>
      </c>
      <c r="O337" s="37" t="str">
        <f t="shared" si="21"/>
        <v>847.8471010.1.436120.000000.847001.200179</v>
      </c>
      <c r="P337" s="21" t="s">
        <v>1579</v>
      </c>
      <c r="Q337" s="37" t="s">
        <v>157</v>
      </c>
      <c r="R337" s="37">
        <v>12</v>
      </c>
      <c r="S337" s="37">
        <v>500</v>
      </c>
      <c r="T337" s="37" t="s">
        <v>1637</v>
      </c>
      <c r="U337" s="38">
        <v>6000</v>
      </c>
      <c r="V337" s="37" t="s">
        <v>55</v>
      </c>
      <c r="W337" s="21" t="s">
        <v>56</v>
      </c>
      <c r="X337" s="24" t="s">
        <v>816</v>
      </c>
      <c r="Y337" s="70">
        <f t="shared" si="22"/>
        <v>0</v>
      </c>
    </row>
    <row r="338" spans="1:25" s="39" customFormat="1" ht="14" customHeight="1" x14ac:dyDescent="0.35">
      <c r="A338" s="37" t="s">
        <v>222</v>
      </c>
      <c r="B338" s="37" t="s">
        <v>58</v>
      </c>
      <c r="C338" s="37" t="s">
        <v>1350</v>
      </c>
      <c r="D338" s="37">
        <v>847</v>
      </c>
      <c r="E338" s="37">
        <v>8470230</v>
      </c>
      <c r="F338" s="37" t="s">
        <v>1583</v>
      </c>
      <c r="G338" s="37">
        <v>1</v>
      </c>
      <c r="H338" s="37">
        <v>420550</v>
      </c>
      <c r="I338" s="37" t="s">
        <v>225</v>
      </c>
      <c r="J338" s="37" t="s">
        <v>60</v>
      </c>
      <c r="K338" s="37" t="s">
        <v>50</v>
      </c>
      <c r="L338" s="37">
        <v>847001</v>
      </c>
      <c r="M338" s="37" t="s">
        <v>61</v>
      </c>
      <c r="N338" s="37">
        <v>200179</v>
      </c>
      <c r="O338" s="37" t="str">
        <f t="shared" si="21"/>
        <v>847.8470230.1.420550.000000.847001.200179</v>
      </c>
      <c r="P338" s="21" t="s">
        <v>338</v>
      </c>
      <c r="Q338" s="37" t="s">
        <v>157</v>
      </c>
      <c r="R338" s="37">
        <v>88</v>
      </c>
      <c r="S338" s="37">
        <v>31420</v>
      </c>
      <c r="T338" s="37" t="s">
        <v>1584</v>
      </c>
      <c r="U338" s="38">
        <v>2764960</v>
      </c>
      <c r="V338" s="37" t="s">
        <v>55</v>
      </c>
      <c r="W338" s="21" t="s">
        <v>56</v>
      </c>
      <c r="X338" s="24" t="s">
        <v>880</v>
      </c>
      <c r="Y338" s="70">
        <f t="shared" si="22"/>
        <v>0</v>
      </c>
    </row>
    <row r="339" spans="1:25" s="39" customFormat="1" ht="14" customHeight="1" x14ac:dyDescent="0.35">
      <c r="A339" s="37" t="s">
        <v>245</v>
      </c>
      <c r="B339" s="37" t="s">
        <v>246</v>
      </c>
      <c r="C339" s="37" t="s">
        <v>1350</v>
      </c>
      <c r="D339" s="37">
        <v>847</v>
      </c>
      <c r="E339" s="37">
        <v>8470230</v>
      </c>
      <c r="F339" s="37" t="s">
        <v>1583</v>
      </c>
      <c r="G339" s="37">
        <v>1</v>
      </c>
      <c r="H339" s="37">
        <v>425100</v>
      </c>
      <c r="I339" s="37" t="s">
        <v>1521</v>
      </c>
      <c r="J339" s="37" t="s">
        <v>60</v>
      </c>
      <c r="K339" s="37" t="s">
        <v>50</v>
      </c>
      <c r="L339" s="37">
        <v>847001</v>
      </c>
      <c r="M339" s="37" t="s">
        <v>61</v>
      </c>
      <c r="N339" s="37">
        <v>200179</v>
      </c>
      <c r="O339" s="37" t="str">
        <f t="shared" si="21"/>
        <v>847.8470230.1.425100.000000.847001.200179</v>
      </c>
      <c r="P339" s="21" t="s">
        <v>1581</v>
      </c>
      <c r="Q339" s="37" t="s">
        <v>269</v>
      </c>
      <c r="R339" s="37">
        <v>8</v>
      </c>
      <c r="S339" s="37">
        <v>37500</v>
      </c>
      <c r="T339" s="37" t="s">
        <v>1586</v>
      </c>
      <c r="U339" s="38">
        <v>300000</v>
      </c>
      <c r="V339" s="37" t="s">
        <v>55</v>
      </c>
      <c r="W339" s="21" t="s">
        <v>56</v>
      </c>
      <c r="X339" s="24" t="s">
        <v>834</v>
      </c>
      <c r="Y339" s="70">
        <f t="shared" si="22"/>
        <v>0</v>
      </c>
    </row>
    <row r="340" spans="1:25" s="39" customFormat="1" ht="14" customHeight="1" x14ac:dyDescent="0.35">
      <c r="A340" s="37" t="s">
        <v>245</v>
      </c>
      <c r="B340" s="37" t="s">
        <v>246</v>
      </c>
      <c r="C340" s="37" t="s">
        <v>1350</v>
      </c>
      <c r="D340" s="37">
        <v>847</v>
      </c>
      <c r="E340" s="37">
        <v>8470230</v>
      </c>
      <c r="F340" s="37" t="s">
        <v>1583</v>
      </c>
      <c r="G340" s="37">
        <v>1</v>
      </c>
      <c r="H340" s="37">
        <v>425510</v>
      </c>
      <c r="I340" s="37" t="s">
        <v>247</v>
      </c>
      <c r="J340" s="37" t="s">
        <v>60</v>
      </c>
      <c r="K340" s="37" t="s">
        <v>50</v>
      </c>
      <c r="L340" s="37">
        <v>847001</v>
      </c>
      <c r="M340" s="37" t="s">
        <v>61</v>
      </c>
      <c r="N340" s="37">
        <v>200179</v>
      </c>
      <c r="O340" s="37" t="str">
        <f t="shared" si="21"/>
        <v>847.8470230.1.425510.000000.847001.200179</v>
      </c>
      <c r="P340" s="21" t="s">
        <v>1405</v>
      </c>
      <c r="Q340" s="37" t="s">
        <v>269</v>
      </c>
      <c r="R340" s="37">
        <v>15</v>
      </c>
      <c r="S340" s="37">
        <v>3200</v>
      </c>
      <c r="T340" s="37" t="s">
        <v>1588</v>
      </c>
      <c r="U340" s="38">
        <v>48000</v>
      </c>
      <c r="V340" s="37" t="s">
        <v>55</v>
      </c>
      <c r="W340" s="21" t="s">
        <v>56</v>
      </c>
      <c r="X340" s="24" t="s">
        <v>480</v>
      </c>
      <c r="Y340" s="70">
        <f t="shared" si="22"/>
        <v>0</v>
      </c>
    </row>
    <row r="341" spans="1:25" s="39" customFormat="1" ht="14" customHeight="1" x14ac:dyDescent="0.35">
      <c r="A341" s="37" t="s">
        <v>245</v>
      </c>
      <c r="B341" s="37" t="s">
        <v>58</v>
      </c>
      <c r="C341" s="37" t="s">
        <v>1350</v>
      </c>
      <c r="D341" s="37">
        <v>847</v>
      </c>
      <c r="E341" s="37">
        <v>8470230</v>
      </c>
      <c r="F341" s="37" t="s">
        <v>1583</v>
      </c>
      <c r="G341" s="37">
        <v>1</v>
      </c>
      <c r="H341" s="37">
        <v>425550</v>
      </c>
      <c r="I341" s="37" t="s">
        <v>253</v>
      </c>
      <c r="J341" s="37" t="s">
        <v>60</v>
      </c>
      <c r="K341" s="37" t="s">
        <v>50</v>
      </c>
      <c r="L341" s="37">
        <v>847001</v>
      </c>
      <c r="M341" s="37" t="s">
        <v>61</v>
      </c>
      <c r="N341" s="37">
        <v>200179</v>
      </c>
      <c r="O341" s="37" t="str">
        <f t="shared" si="21"/>
        <v>847.8470230.1.425550.000000.847001.200179</v>
      </c>
      <c r="P341" s="21" t="s">
        <v>255</v>
      </c>
      <c r="Q341" s="37" t="s">
        <v>256</v>
      </c>
      <c r="R341" s="37">
        <v>30</v>
      </c>
      <c r="S341" s="37">
        <v>14800</v>
      </c>
      <c r="T341" s="37" t="s">
        <v>1588</v>
      </c>
      <c r="U341" s="38">
        <v>444000</v>
      </c>
      <c r="V341" s="37" t="s">
        <v>55</v>
      </c>
      <c r="W341" s="21" t="s">
        <v>56</v>
      </c>
      <c r="X341" s="24" t="s">
        <v>480</v>
      </c>
      <c r="Y341" s="70">
        <f t="shared" si="22"/>
        <v>0</v>
      </c>
    </row>
    <row r="342" spans="1:25" s="39" customFormat="1" ht="14" customHeight="1" x14ac:dyDescent="0.35">
      <c r="A342" s="37" t="s">
        <v>258</v>
      </c>
      <c r="B342" s="37" t="s">
        <v>58</v>
      </c>
      <c r="C342" s="37" t="s">
        <v>1350</v>
      </c>
      <c r="D342" s="37">
        <v>847</v>
      </c>
      <c r="E342" s="37">
        <v>8470230</v>
      </c>
      <c r="F342" s="37" t="s">
        <v>1583</v>
      </c>
      <c r="G342" s="37">
        <v>1</v>
      </c>
      <c r="H342" s="37">
        <v>425743</v>
      </c>
      <c r="I342" s="37" t="s">
        <v>1590</v>
      </c>
      <c r="J342" s="37" t="s">
        <v>60</v>
      </c>
      <c r="K342" s="37" t="s">
        <v>50</v>
      </c>
      <c r="L342" s="37">
        <v>847001</v>
      </c>
      <c r="M342" s="37" t="s">
        <v>61</v>
      </c>
      <c r="N342" s="37">
        <v>200179</v>
      </c>
      <c r="O342" s="37" t="str">
        <f t="shared" si="21"/>
        <v>847.8470230.1.425743.000000.847001.200179</v>
      </c>
      <c r="P342" s="21"/>
      <c r="Q342" s="37" t="s">
        <v>62</v>
      </c>
      <c r="R342" s="37"/>
      <c r="S342" s="37"/>
      <c r="T342" s="37" t="s">
        <v>1591</v>
      </c>
      <c r="U342" s="38">
        <v>0</v>
      </c>
      <c r="V342" s="37"/>
      <c r="W342" s="21"/>
      <c r="X342" s="24"/>
      <c r="Y342" s="70">
        <f t="shared" si="22"/>
        <v>0</v>
      </c>
    </row>
    <row r="343" spans="1:25" s="39" customFormat="1" ht="14" customHeight="1" x14ac:dyDescent="0.35">
      <c r="A343" s="37" t="s">
        <v>258</v>
      </c>
      <c r="B343" s="37" t="s">
        <v>58</v>
      </c>
      <c r="C343" s="37" t="s">
        <v>1350</v>
      </c>
      <c r="D343" s="37">
        <v>847</v>
      </c>
      <c r="E343" s="37">
        <v>8470230</v>
      </c>
      <c r="F343" s="37" t="s">
        <v>1583</v>
      </c>
      <c r="G343" s="37">
        <v>1</v>
      </c>
      <c r="H343" s="37">
        <v>425744</v>
      </c>
      <c r="I343" s="37" t="s">
        <v>1592</v>
      </c>
      <c r="J343" s="37" t="s">
        <v>60</v>
      </c>
      <c r="K343" s="37" t="s">
        <v>50</v>
      </c>
      <c r="L343" s="37">
        <v>847001</v>
      </c>
      <c r="M343" s="37" t="s">
        <v>61</v>
      </c>
      <c r="N343" s="37">
        <v>200179</v>
      </c>
      <c r="O343" s="37" t="str">
        <f t="shared" si="21"/>
        <v>847.8470230.1.425744.000000.847001.200179</v>
      </c>
      <c r="P343" s="21" t="s">
        <v>1593</v>
      </c>
      <c r="Q343" s="37" t="s">
        <v>157</v>
      </c>
      <c r="R343" s="37">
        <v>1095</v>
      </c>
      <c r="S343" s="37">
        <v>4000</v>
      </c>
      <c r="T343" s="37" t="s">
        <v>1594</v>
      </c>
      <c r="U343" s="38">
        <v>4380000</v>
      </c>
      <c r="V343" s="37" t="s">
        <v>55</v>
      </c>
      <c r="W343" s="21" t="s">
        <v>56</v>
      </c>
      <c r="X343" s="24" t="s">
        <v>834</v>
      </c>
      <c r="Y343" s="70">
        <f t="shared" si="22"/>
        <v>0</v>
      </c>
    </row>
    <row r="344" spans="1:25" s="39" customFormat="1" ht="14" customHeight="1" x14ac:dyDescent="0.35">
      <c r="A344" s="37" t="s">
        <v>258</v>
      </c>
      <c r="B344" s="37" t="s">
        <v>58</v>
      </c>
      <c r="C344" s="37" t="s">
        <v>1350</v>
      </c>
      <c r="D344" s="37">
        <v>847</v>
      </c>
      <c r="E344" s="37">
        <v>8470230</v>
      </c>
      <c r="F344" s="37" t="s">
        <v>1583</v>
      </c>
      <c r="G344" s="37">
        <v>1</v>
      </c>
      <c r="H344" s="37">
        <v>425745</v>
      </c>
      <c r="I344" s="37" t="s">
        <v>1041</v>
      </c>
      <c r="J344" s="37" t="s">
        <v>60</v>
      </c>
      <c r="K344" s="37" t="s">
        <v>50</v>
      </c>
      <c r="L344" s="37">
        <v>847001</v>
      </c>
      <c r="M344" s="37" t="s">
        <v>61</v>
      </c>
      <c r="N344" s="37">
        <v>200179</v>
      </c>
      <c r="O344" s="37" t="str">
        <f t="shared" si="21"/>
        <v>847.8470230.1.425745.000000.847001.200179</v>
      </c>
      <c r="P344" s="21" t="s">
        <v>1596</v>
      </c>
      <c r="Q344" s="37" t="s">
        <v>68</v>
      </c>
      <c r="R344" s="37">
        <v>1165</v>
      </c>
      <c r="S344" s="37">
        <v>3145</v>
      </c>
      <c r="T344" s="37" t="s">
        <v>1594</v>
      </c>
      <c r="U344" s="38">
        <v>3663925</v>
      </c>
      <c r="V344" s="37" t="s">
        <v>55</v>
      </c>
      <c r="W344" s="21" t="s">
        <v>56</v>
      </c>
      <c r="X344" s="24" t="s">
        <v>834</v>
      </c>
      <c r="Y344" s="70">
        <f t="shared" si="22"/>
        <v>0</v>
      </c>
    </row>
    <row r="345" spans="1:25" s="39" customFormat="1" ht="14" customHeight="1" x14ac:dyDescent="0.35">
      <c r="A345" s="37" t="s">
        <v>258</v>
      </c>
      <c r="B345" s="37" t="s">
        <v>58</v>
      </c>
      <c r="C345" s="37" t="s">
        <v>1350</v>
      </c>
      <c r="D345" s="37">
        <v>847</v>
      </c>
      <c r="E345" s="37">
        <v>8470230</v>
      </c>
      <c r="F345" s="37" t="s">
        <v>1583</v>
      </c>
      <c r="G345" s="37">
        <v>1</v>
      </c>
      <c r="H345" s="37">
        <v>425749</v>
      </c>
      <c r="I345" s="37" t="s">
        <v>1052</v>
      </c>
      <c r="J345" s="37" t="s">
        <v>60</v>
      </c>
      <c r="K345" s="37" t="s">
        <v>50</v>
      </c>
      <c r="L345" s="37">
        <v>847001</v>
      </c>
      <c r="M345" s="37" t="s">
        <v>61</v>
      </c>
      <c r="N345" s="37">
        <v>200179</v>
      </c>
      <c r="O345" s="37" t="str">
        <f t="shared" si="21"/>
        <v>847.8470230.1.425749.000000.847001.200179</v>
      </c>
      <c r="P345" s="21" t="s">
        <v>1054</v>
      </c>
      <c r="Q345" s="37" t="s">
        <v>1055</v>
      </c>
      <c r="R345" s="37">
        <v>1400</v>
      </c>
      <c r="S345" s="37">
        <v>178000</v>
      </c>
      <c r="T345" s="37" t="s">
        <v>1586</v>
      </c>
      <c r="U345" s="38">
        <v>249200000</v>
      </c>
      <c r="V345" s="37" t="s">
        <v>55</v>
      </c>
      <c r="W345" s="21" t="s">
        <v>56</v>
      </c>
      <c r="X345" s="24" t="s">
        <v>834</v>
      </c>
      <c r="Y345" s="70">
        <f t="shared" si="22"/>
        <v>0</v>
      </c>
    </row>
    <row r="346" spans="1:25" s="39" customFormat="1" ht="14" customHeight="1" x14ac:dyDescent="0.35">
      <c r="A346" s="37" t="s">
        <v>222</v>
      </c>
      <c r="B346" s="37" t="s">
        <v>58</v>
      </c>
      <c r="C346" s="37" t="s">
        <v>1350</v>
      </c>
      <c r="D346" s="37">
        <v>847</v>
      </c>
      <c r="E346" s="37">
        <v>8470230</v>
      </c>
      <c r="F346" s="37" t="s">
        <v>1583</v>
      </c>
      <c r="G346" s="37">
        <v>1</v>
      </c>
      <c r="H346" s="37">
        <v>425761</v>
      </c>
      <c r="I346" s="37" t="s">
        <v>1383</v>
      </c>
      <c r="J346" s="37" t="s">
        <v>60</v>
      </c>
      <c r="K346" s="37" t="s">
        <v>50</v>
      </c>
      <c r="L346" s="37">
        <v>847001</v>
      </c>
      <c r="M346" s="37" t="s">
        <v>61</v>
      </c>
      <c r="N346" s="37">
        <v>200179</v>
      </c>
      <c r="O346" s="37" t="str">
        <f t="shared" si="21"/>
        <v>847.8470230.1.425761.000000.847001.200179</v>
      </c>
      <c r="P346" s="21" t="s">
        <v>1600</v>
      </c>
      <c r="Q346" s="37" t="s">
        <v>157</v>
      </c>
      <c r="R346" s="37">
        <v>15</v>
      </c>
      <c r="S346" s="37">
        <v>15000</v>
      </c>
      <c r="T346" s="37" t="s">
        <v>1601</v>
      </c>
      <c r="U346" s="38">
        <v>225000</v>
      </c>
      <c r="V346" s="37" t="s">
        <v>55</v>
      </c>
      <c r="W346" s="21" t="s">
        <v>56</v>
      </c>
      <c r="X346" s="24" t="s">
        <v>348</v>
      </c>
      <c r="Y346" s="70">
        <f t="shared" si="22"/>
        <v>0</v>
      </c>
    </row>
    <row r="347" spans="1:25" s="39" customFormat="1" ht="14" customHeight="1" x14ac:dyDescent="0.35">
      <c r="A347" s="37" t="s">
        <v>258</v>
      </c>
      <c r="B347" s="37" t="s">
        <v>58</v>
      </c>
      <c r="C347" s="37" t="s">
        <v>1350</v>
      </c>
      <c r="D347" s="37">
        <v>847</v>
      </c>
      <c r="E347" s="37">
        <v>8470230</v>
      </c>
      <c r="F347" s="37" t="s">
        <v>1583</v>
      </c>
      <c r="G347" s="37">
        <v>1</v>
      </c>
      <c r="H347" s="37">
        <v>425762</v>
      </c>
      <c r="I347" s="37" t="s">
        <v>573</v>
      </c>
      <c r="J347" s="37" t="s">
        <v>60</v>
      </c>
      <c r="K347" s="37" t="s">
        <v>50</v>
      </c>
      <c r="L347" s="37">
        <v>847001</v>
      </c>
      <c r="M347" s="37" t="s">
        <v>61</v>
      </c>
      <c r="N347" s="37">
        <v>200179</v>
      </c>
      <c r="O347" s="37" t="str">
        <f t="shared" si="21"/>
        <v>847.8470230.1.425762.000000.847001.200179</v>
      </c>
      <c r="P347" s="21" t="s">
        <v>575</v>
      </c>
      <c r="Q347" s="37" t="s">
        <v>157</v>
      </c>
      <c r="R347" s="37">
        <v>15</v>
      </c>
      <c r="S347" s="37">
        <v>15000</v>
      </c>
      <c r="T347" s="37" t="s">
        <v>1603</v>
      </c>
      <c r="U347" s="38">
        <v>225000</v>
      </c>
      <c r="V347" s="37" t="s">
        <v>55</v>
      </c>
      <c r="W347" s="21" t="s">
        <v>56</v>
      </c>
      <c r="X347" s="24" t="s">
        <v>348</v>
      </c>
      <c r="Y347" s="70">
        <f t="shared" si="22"/>
        <v>0</v>
      </c>
    </row>
    <row r="348" spans="1:25" s="39" customFormat="1" ht="14" customHeight="1" x14ac:dyDescent="0.35">
      <c r="A348" s="37" t="s">
        <v>189</v>
      </c>
      <c r="B348" s="37" t="s">
        <v>265</v>
      </c>
      <c r="C348" s="37" t="s">
        <v>1350</v>
      </c>
      <c r="D348" s="37">
        <v>847</v>
      </c>
      <c r="E348" s="37">
        <v>8470230</v>
      </c>
      <c r="F348" s="37" t="s">
        <v>1583</v>
      </c>
      <c r="G348" s="37">
        <v>1</v>
      </c>
      <c r="H348" s="37">
        <v>425900</v>
      </c>
      <c r="I348" s="37" t="s">
        <v>266</v>
      </c>
      <c r="J348" s="37" t="s">
        <v>60</v>
      </c>
      <c r="K348" s="37" t="s">
        <v>50</v>
      </c>
      <c r="L348" s="37">
        <v>847001</v>
      </c>
      <c r="M348" s="37" t="s">
        <v>61</v>
      </c>
      <c r="N348" s="37">
        <v>200179</v>
      </c>
      <c r="O348" s="37" t="str">
        <f t="shared" si="21"/>
        <v>847.8470230.1.425900.000000.847001.200179</v>
      </c>
      <c r="P348" s="21" t="s">
        <v>268</v>
      </c>
      <c r="Q348" s="37" t="s">
        <v>269</v>
      </c>
      <c r="R348" s="37">
        <v>240</v>
      </c>
      <c r="S348" s="37">
        <v>268</v>
      </c>
      <c r="T348" s="37" t="s">
        <v>1586</v>
      </c>
      <c r="U348" s="38">
        <v>64320</v>
      </c>
      <c r="V348" s="37" t="s">
        <v>55</v>
      </c>
      <c r="W348" s="21" t="s">
        <v>56</v>
      </c>
      <c r="X348" s="24"/>
      <c r="Y348" s="70">
        <f t="shared" si="22"/>
        <v>0</v>
      </c>
    </row>
    <row r="349" spans="1:25" s="39" customFormat="1" ht="14" customHeight="1" x14ac:dyDescent="0.35">
      <c r="A349" s="37" t="s">
        <v>63</v>
      </c>
      <c r="B349" s="37" t="s">
        <v>64</v>
      </c>
      <c r="C349" s="37" t="s">
        <v>1350</v>
      </c>
      <c r="D349" s="37">
        <v>847</v>
      </c>
      <c r="E349" s="37">
        <v>8470230</v>
      </c>
      <c r="F349" s="37" t="s">
        <v>1583</v>
      </c>
      <c r="G349" s="37">
        <v>1</v>
      </c>
      <c r="H349" s="37">
        <v>426610</v>
      </c>
      <c r="I349" s="37" t="s">
        <v>74</v>
      </c>
      <c r="J349" s="37" t="s">
        <v>60</v>
      </c>
      <c r="K349" s="37" t="s">
        <v>50</v>
      </c>
      <c r="L349" s="37">
        <v>847001</v>
      </c>
      <c r="M349" s="37" t="s">
        <v>61</v>
      </c>
      <c r="N349" s="37">
        <v>200179</v>
      </c>
      <c r="O349" s="37" t="str">
        <f t="shared" si="21"/>
        <v>847.8470230.1.426610.000000.847001.200179</v>
      </c>
      <c r="P349" s="21" t="s">
        <v>274</v>
      </c>
      <c r="Q349" s="37" t="s">
        <v>157</v>
      </c>
      <c r="R349" s="37">
        <v>1</v>
      </c>
      <c r="S349" s="37">
        <v>10000</v>
      </c>
      <c r="T349" s="37" t="s">
        <v>1586</v>
      </c>
      <c r="U349" s="38">
        <v>10000</v>
      </c>
      <c r="V349" s="37" t="s">
        <v>55</v>
      </c>
      <c r="W349" s="21" t="s">
        <v>56</v>
      </c>
      <c r="X349" s="24"/>
      <c r="Y349" s="70">
        <f t="shared" si="22"/>
        <v>0</v>
      </c>
    </row>
    <row r="350" spans="1:25" s="39" customFormat="1" ht="14" customHeight="1" x14ac:dyDescent="0.35">
      <c r="A350" s="37" t="s">
        <v>153</v>
      </c>
      <c r="B350" s="37" t="s">
        <v>58</v>
      </c>
      <c r="C350" s="37" t="s">
        <v>1350</v>
      </c>
      <c r="D350" s="37">
        <v>847</v>
      </c>
      <c r="E350" s="37">
        <v>8470230</v>
      </c>
      <c r="F350" s="37" t="s">
        <v>1583</v>
      </c>
      <c r="G350" s="37">
        <v>1</v>
      </c>
      <c r="H350" s="37">
        <v>428090</v>
      </c>
      <c r="I350" s="37" t="s">
        <v>154</v>
      </c>
      <c r="J350" s="37" t="s">
        <v>60</v>
      </c>
      <c r="K350" s="37" t="s">
        <v>50</v>
      </c>
      <c r="L350" s="37">
        <v>847001</v>
      </c>
      <c r="M350" s="37" t="s">
        <v>61</v>
      </c>
      <c r="N350" s="37">
        <v>200179</v>
      </c>
      <c r="O350" s="37" t="str">
        <f t="shared" si="21"/>
        <v>847.8470230.1.428090.000000.847001.200179</v>
      </c>
      <c r="P350" s="21" t="s">
        <v>156</v>
      </c>
      <c r="Q350" s="37" t="s">
        <v>157</v>
      </c>
      <c r="R350" s="37">
        <v>5</v>
      </c>
      <c r="S350" s="37">
        <v>19160</v>
      </c>
      <c r="T350" s="37" t="s">
        <v>1607</v>
      </c>
      <c r="U350" s="38">
        <v>95800</v>
      </c>
      <c r="V350" s="37" t="s">
        <v>55</v>
      </c>
      <c r="W350" s="21" t="s">
        <v>56</v>
      </c>
      <c r="X350" s="24" t="s">
        <v>834</v>
      </c>
      <c r="Y350" s="70">
        <f t="shared" si="22"/>
        <v>0</v>
      </c>
    </row>
    <row r="351" spans="1:25" s="39" customFormat="1" ht="14" customHeight="1" x14ac:dyDescent="0.35">
      <c r="A351" s="37" t="s">
        <v>245</v>
      </c>
      <c r="B351" s="37" t="s">
        <v>246</v>
      </c>
      <c r="C351" s="37" t="s">
        <v>1350</v>
      </c>
      <c r="D351" s="37">
        <v>847</v>
      </c>
      <c r="E351" s="37">
        <v>8470230</v>
      </c>
      <c r="F351" s="37" t="s">
        <v>1583</v>
      </c>
      <c r="G351" s="37">
        <v>1</v>
      </c>
      <c r="H351" s="37">
        <v>428640</v>
      </c>
      <c r="I351" s="37" t="s">
        <v>279</v>
      </c>
      <c r="J351" s="37" t="s">
        <v>60</v>
      </c>
      <c r="K351" s="37" t="s">
        <v>50</v>
      </c>
      <c r="L351" s="37">
        <v>847001</v>
      </c>
      <c r="M351" s="37" t="s">
        <v>61</v>
      </c>
      <c r="N351" s="37">
        <v>200179</v>
      </c>
      <c r="O351" s="37" t="str">
        <f t="shared" si="21"/>
        <v>847.8470230.1.428640.000000.847001.200179</v>
      </c>
      <c r="P351" s="21" t="s">
        <v>1533</v>
      </c>
      <c r="Q351" s="37" t="s">
        <v>269</v>
      </c>
      <c r="R351" s="37">
        <v>1088</v>
      </c>
      <c r="S351" s="37">
        <v>78</v>
      </c>
      <c r="T351" s="37" t="s">
        <v>1586</v>
      </c>
      <c r="U351" s="38">
        <v>84864</v>
      </c>
      <c r="V351" s="37" t="s">
        <v>55</v>
      </c>
      <c r="W351" s="21" t="s">
        <v>56</v>
      </c>
      <c r="X351" s="24"/>
      <c r="Y351" s="70">
        <f t="shared" si="22"/>
        <v>0</v>
      </c>
    </row>
    <row r="352" spans="1:25" s="39" customFormat="1" ht="14" customHeight="1" x14ac:dyDescent="0.35">
      <c r="A352" s="37" t="s">
        <v>189</v>
      </c>
      <c r="B352" s="37" t="s">
        <v>58</v>
      </c>
      <c r="C352" s="37" t="s">
        <v>1350</v>
      </c>
      <c r="D352" s="37">
        <v>847</v>
      </c>
      <c r="E352" s="37">
        <v>8470230</v>
      </c>
      <c r="F352" s="37" t="s">
        <v>1583</v>
      </c>
      <c r="G352" s="37">
        <v>1</v>
      </c>
      <c r="H352" s="37">
        <v>436110</v>
      </c>
      <c r="I352" s="37" t="s">
        <v>190</v>
      </c>
      <c r="J352" s="37" t="s">
        <v>60</v>
      </c>
      <c r="K352" s="37" t="s">
        <v>50</v>
      </c>
      <c r="L352" s="37">
        <v>847001</v>
      </c>
      <c r="M352" s="37" t="s">
        <v>61</v>
      </c>
      <c r="N352" s="37">
        <v>200179</v>
      </c>
      <c r="O352" s="37" t="str">
        <f t="shared" si="21"/>
        <v>847.8470230.1.436110.000000.847001.200179</v>
      </c>
      <c r="P352" s="21" t="s">
        <v>488</v>
      </c>
      <c r="Q352" s="37" t="s">
        <v>157</v>
      </c>
      <c r="R352" s="37">
        <v>1</v>
      </c>
      <c r="S352" s="37">
        <v>5000</v>
      </c>
      <c r="T352" s="37" t="s">
        <v>1612</v>
      </c>
      <c r="U352" s="38">
        <v>5000</v>
      </c>
      <c r="V352" s="37" t="s">
        <v>55</v>
      </c>
      <c r="W352" s="21" t="s">
        <v>56</v>
      </c>
      <c r="X352" s="24"/>
      <c r="Y352" s="70">
        <f t="shared" si="22"/>
        <v>0</v>
      </c>
    </row>
    <row r="353" spans="1:25" s="39" customFormat="1" ht="14" customHeight="1" x14ac:dyDescent="0.35">
      <c r="A353" s="37" t="s">
        <v>63</v>
      </c>
      <c r="B353" s="37" t="s">
        <v>64</v>
      </c>
      <c r="C353" s="37" t="s">
        <v>1350</v>
      </c>
      <c r="D353" s="37">
        <v>847</v>
      </c>
      <c r="E353" s="37">
        <v>8470230</v>
      </c>
      <c r="F353" s="37" t="s">
        <v>1583</v>
      </c>
      <c r="G353" s="37">
        <v>1</v>
      </c>
      <c r="H353" s="37">
        <v>492310</v>
      </c>
      <c r="I353" s="37" t="s">
        <v>191</v>
      </c>
      <c r="J353" s="37" t="s">
        <v>60</v>
      </c>
      <c r="K353" s="37" t="s">
        <v>50</v>
      </c>
      <c r="L353" s="37">
        <v>847001</v>
      </c>
      <c r="M353" s="37" t="s">
        <v>192</v>
      </c>
      <c r="N353" s="37">
        <v>300180</v>
      </c>
      <c r="O353" s="37" t="str">
        <f t="shared" si="21"/>
        <v>847.8470230.1.492310.000000.847001.300180</v>
      </c>
      <c r="P353" s="21" t="s">
        <v>1614</v>
      </c>
      <c r="Q353" s="37" t="s">
        <v>68</v>
      </c>
      <c r="R353" s="37">
        <v>207</v>
      </c>
      <c r="S353" s="37">
        <v>4500</v>
      </c>
      <c r="T353" s="37" t="s">
        <v>1615</v>
      </c>
      <c r="U353" s="38">
        <v>931500</v>
      </c>
      <c r="V353" s="37" t="s">
        <v>55</v>
      </c>
      <c r="W353" s="21" t="s">
        <v>56</v>
      </c>
      <c r="X353" s="24" t="s">
        <v>1638</v>
      </c>
      <c r="Y353" s="70">
        <f t="shared" si="22"/>
        <v>0</v>
      </c>
    </row>
    <row r="354" spans="1:25" s="39" customFormat="1" ht="14" customHeight="1" x14ac:dyDescent="0.35">
      <c r="A354" s="74" t="s">
        <v>222</v>
      </c>
      <c r="B354" s="74" t="s">
        <v>58</v>
      </c>
      <c r="C354" s="74" t="s">
        <v>1000</v>
      </c>
      <c r="D354" s="74">
        <v>847</v>
      </c>
      <c r="E354" s="74">
        <v>8471305</v>
      </c>
      <c r="F354" s="74" t="s">
        <v>1001</v>
      </c>
      <c r="G354" s="74">
        <v>1</v>
      </c>
      <c r="H354" s="74">
        <v>420570</v>
      </c>
      <c r="I354" s="74" t="s">
        <v>231</v>
      </c>
      <c r="J354" s="74" t="s">
        <v>60</v>
      </c>
      <c r="K354" s="74" t="s">
        <v>50</v>
      </c>
      <c r="L354" s="74">
        <v>847001</v>
      </c>
      <c r="M354" s="74" t="s">
        <v>61</v>
      </c>
      <c r="N354" s="74">
        <v>200179</v>
      </c>
      <c r="O354" s="37" t="str">
        <f t="shared" si="21"/>
        <v>847.8471305.1.420570.000000.847001.200179</v>
      </c>
      <c r="P354" s="75" t="s">
        <v>338</v>
      </c>
      <c r="Q354" s="74" t="s">
        <v>157</v>
      </c>
      <c r="R354" s="74">
        <v>1</v>
      </c>
      <c r="S354" s="74">
        <v>34786785.600000001</v>
      </c>
      <c r="T354" s="74" t="s">
        <v>1003</v>
      </c>
      <c r="U354" s="76">
        <v>34786785.600000001</v>
      </c>
      <c r="V354" s="74" t="s">
        <v>56</v>
      </c>
      <c r="W354" s="75" t="s">
        <v>384</v>
      </c>
      <c r="X354" s="77"/>
      <c r="Y354" s="70">
        <f t="shared" si="22"/>
        <v>0</v>
      </c>
    </row>
    <row r="355" spans="1:25" s="39" customFormat="1" ht="14" customHeight="1" x14ac:dyDescent="0.35">
      <c r="A355" s="74" t="s">
        <v>63</v>
      </c>
      <c r="B355" s="74" t="s">
        <v>64</v>
      </c>
      <c r="C355" s="74" t="s">
        <v>1000</v>
      </c>
      <c r="D355" s="74">
        <v>847</v>
      </c>
      <c r="E355" s="74">
        <v>8471305</v>
      </c>
      <c r="F355" s="74" t="s">
        <v>1001</v>
      </c>
      <c r="G355" s="74">
        <v>1</v>
      </c>
      <c r="H355" s="74">
        <v>420811</v>
      </c>
      <c r="I355" s="74" t="s">
        <v>65</v>
      </c>
      <c r="J355" s="74" t="s">
        <v>60</v>
      </c>
      <c r="K355" s="74" t="s">
        <v>50</v>
      </c>
      <c r="L355" s="74">
        <v>847001</v>
      </c>
      <c r="M355" s="74" t="s">
        <v>61</v>
      </c>
      <c r="N355" s="74">
        <v>200179</v>
      </c>
      <c r="O355" s="37" t="str">
        <f t="shared" si="21"/>
        <v>847.8471305.1.420811.000000.847001.200179</v>
      </c>
      <c r="P355" s="75" t="s">
        <v>1007</v>
      </c>
      <c r="Q355" s="74" t="s">
        <v>157</v>
      </c>
      <c r="R355" s="74">
        <v>145</v>
      </c>
      <c r="S355" s="74">
        <v>2961</v>
      </c>
      <c r="T355" s="74" t="s">
        <v>1311</v>
      </c>
      <c r="U355" s="76">
        <v>429355.5</v>
      </c>
      <c r="V355" s="74" t="s">
        <v>56</v>
      </c>
      <c r="W355" s="75" t="s">
        <v>384</v>
      </c>
      <c r="X355" s="77"/>
      <c r="Y355" s="70">
        <f t="shared" si="22"/>
        <v>-10.5</v>
      </c>
    </row>
    <row r="356" spans="1:25" s="39" customFormat="1" ht="14" customHeight="1" x14ac:dyDescent="0.35">
      <c r="A356" s="74" t="s">
        <v>71</v>
      </c>
      <c r="B356" s="74" t="s">
        <v>1010</v>
      </c>
      <c r="C356" s="74" t="s">
        <v>1000</v>
      </c>
      <c r="D356" s="74">
        <v>847</v>
      </c>
      <c r="E356" s="74">
        <v>8471305</v>
      </c>
      <c r="F356" s="74" t="s">
        <v>1001</v>
      </c>
      <c r="G356" s="74">
        <v>1</v>
      </c>
      <c r="H356" s="74">
        <v>421000</v>
      </c>
      <c r="I356" s="74" t="s">
        <v>1011</v>
      </c>
      <c r="J356" s="74" t="s">
        <v>60</v>
      </c>
      <c r="K356" s="74" t="s">
        <v>50</v>
      </c>
      <c r="L356" s="74">
        <v>847001</v>
      </c>
      <c r="M356" s="74" t="s">
        <v>61</v>
      </c>
      <c r="N356" s="74">
        <v>200179</v>
      </c>
      <c r="O356" s="37" t="str">
        <f t="shared" si="21"/>
        <v>847.8471305.1.421000.000000.847001.200179</v>
      </c>
      <c r="P356" s="75" t="s">
        <v>1013</v>
      </c>
      <c r="Q356" s="74" t="s">
        <v>269</v>
      </c>
      <c r="R356" s="74">
        <v>10</v>
      </c>
      <c r="S356" s="74">
        <v>42000</v>
      </c>
      <c r="T356" s="74" t="s">
        <v>1014</v>
      </c>
      <c r="U356" s="76">
        <v>420000</v>
      </c>
      <c r="V356" s="74" t="s">
        <v>56</v>
      </c>
      <c r="W356" s="75" t="s">
        <v>272</v>
      </c>
      <c r="X356" s="77"/>
      <c r="Y356" s="70">
        <f t="shared" si="22"/>
        <v>0</v>
      </c>
    </row>
    <row r="357" spans="1:25" s="39" customFormat="1" ht="14" customHeight="1" x14ac:dyDescent="0.35">
      <c r="A357" s="74" t="s">
        <v>222</v>
      </c>
      <c r="B357" s="74" t="s">
        <v>238</v>
      </c>
      <c r="C357" s="74" t="s">
        <v>1000</v>
      </c>
      <c r="D357" s="74">
        <v>847</v>
      </c>
      <c r="E357" s="74">
        <v>8471305</v>
      </c>
      <c r="F357" s="74" t="s">
        <v>1001</v>
      </c>
      <c r="G357" s="74">
        <v>1</v>
      </c>
      <c r="H357" s="74">
        <v>421700</v>
      </c>
      <c r="I357" s="74" t="s">
        <v>239</v>
      </c>
      <c r="J357" s="74" t="s">
        <v>60</v>
      </c>
      <c r="K357" s="74" t="s">
        <v>50</v>
      </c>
      <c r="L357" s="74">
        <v>847001</v>
      </c>
      <c r="M357" s="74" t="s">
        <v>61</v>
      </c>
      <c r="N357" s="74">
        <v>200179</v>
      </c>
      <c r="O357" s="37" t="str">
        <f t="shared" si="21"/>
        <v>847.8471305.1.421700.000000.847001.200179</v>
      </c>
      <c r="P357" s="75" t="s">
        <v>1017</v>
      </c>
      <c r="Q357" s="74" t="s">
        <v>157</v>
      </c>
      <c r="R357" s="74">
        <v>10</v>
      </c>
      <c r="S357" s="74">
        <v>37800</v>
      </c>
      <c r="T357" s="74" t="s">
        <v>1018</v>
      </c>
      <c r="U357" s="76">
        <v>378000</v>
      </c>
      <c r="V357" s="74" t="s">
        <v>56</v>
      </c>
      <c r="W357" s="75" t="s">
        <v>1020</v>
      </c>
      <c r="X357" s="77"/>
      <c r="Y357" s="70">
        <f t="shared" si="22"/>
        <v>0</v>
      </c>
    </row>
    <row r="358" spans="1:25" s="39" customFormat="1" ht="14" customHeight="1" x14ac:dyDescent="0.35">
      <c r="A358" s="74" t="s">
        <v>161</v>
      </c>
      <c r="B358" s="74" t="s">
        <v>58</v>
      </c>
      <c r="C358" s="74" t="s">
        <v>1000</v>
      </c>
      <c r="D358" s="74">
        <v>847</v>
      </c>
      <c r="E358" s="74">
        <v>8471305</v>
      </c>
      <c r="F358" s="74" t="s">
        <v>1001</v>
      </c>
      <c r="G358" s="74">
        <v>1</v>
      </c>
      <c r="H358" s="74">
        <v>422100</v>
      </c>
      <c r="I358" s="74" t="s">
        <v>1021</v>
      </c>
      <c r="J358" s="74" t="s">
        <v>60</v>
      </c>
      <c r="K358" s="74" t="s">
        <v>50</v>
      </c>
      <c r="L358" s="74">
        <v>847001</v>
      </c>
      <c r="M358" s="74" t="s">
        <v>61</v>
      </c>
      <c r="N358" s="74">
        <v>200179</v>
      </c>
      <c r="O358" s="37" t="str">
        <f t="shared" si="21"/>
        <v>847.8471305.1.422100.000000.847001.200179</v>
      </c>
      <c r="P358" s="75" t="s">
        <v>1023</v>
      </c>
      <c r="Q358" s="74" t="s">
        <v>157</v>
      </c>
      <c r="R358" s="74">
        <v>4</v>
      </c>
      <c r="S358" s="74">
        <v>3150</v>
      </c>
      <c r="T358" s="74" t="s">
        <v>1024</v>
      </c>
      <c r="U358" s="76">
        <v>12600</v>
      </c>
      <c r="V358" s="74" t="s">
        <v>56</v>
      </c>
      <c r="W358" s="75" t="s">
        <v>1025</v>
      </c>
      <c r="X358" s="77"/>
      <c r="Y358" s="70">
        <f t="shared" si="22"/>
        <v>0</v>
      </c>
    </row>
    <row r="359" spans="1:25" s="39" customFormat="1" ht="14" customHeight="1" x14ac:dyDescent="0.35">
      <c r="A359" s="74" t="s">
        <v>245</v>
      </c>
      <c r="B359" s="74" t="s">
        <v>246</v>
      </c>
      <c r="C359" s="74" t="s">
        <v>1000</v>
      </c>
      <c r="D359" s="74">
        <v>847</v>
      </c>
      <c r="E359" s="74">
        <v>8471305</v>
      </c>
      <c r="F359" s="74" t="s">
        <v>1001</v>
      </c>
      <c r="G359" s="74">
        <v>1</v>
      </c>
      <c r="H359" s="74">
        <v>425510</v>
      </c>
      <c r="I359" s="74" t="s">
        <v>247</v>
      </c>
      <c r="J359" s="74" t="s">
        <v>60</v>
      </c>
      <c r="K359" s="74" t="s">
        <v>50</v>
      </c>
      <c r="L359" s="74">
        <v>847001</v>
      </c>
      <c r="M359" s="74" t="s">
        <v>61</v>
      </c>
      <c r="N359" s="74">
        <v>200179</v>
      </c>
      <c r="O359" s="37" t="str">
        <f t="shared" si="21"/>
        <v>847.8471305.1.425510.000000.847001.200179</v>
      </c>
      <c r="P359" s="75" t="s">
        <v>433</v>
      </c>
      <c r="Q359" s="74" t="s">
        <v>434</v>
      </c>
      <c r="R359" s="74">
        <v>34</v>
      </c>
      <c r="S359" s="74">
        <v>31500</v>
      </c>
      <c r="T359" s="74" t="s">
        <v>1027</v>
      </c>
      <c r="U359" s="76">
        <v>1071000</v>
      </c>
      <c r="V359" s="74" t="s">
        <v>56</v>
      </c>
      <c r="W359" s="75" t="s">
        <v>689</v>
      </c>
      <c r="X359" s="77"/>
      <c r="Y359" s="70">
        <f t="shared" si="22"/>
        <v>0</v>
      </c>
    </row>
    <row r="360" spans="1:25" s="39" customFormat="1" ht="14" customHeight="1" x14ac:dyDescent="0.35">
      <c r="A360" s="74" t="s">
        <v>245</v>
      </c>
      <c r="B360" s="74" t="s">
        <v>58</v>
      </c>
      <c r="C360" s="74" t="s">
        <v>1000</v>
      </c>
      <c r="D360" s="74">
        <v>847</v>
      </c>
      <c r="E360" s="74">
        <v>8471305</v>
      </c>
      <c r="F360" s="74" t="s">
        <v>1001</v>
      </c>
      <c r="G360" s="74">
        <v>1</v>
      </c>
      <c r="H360" s="74">
        <v>425550</v>
      </c>
      <c r="I360" s="74" t="s">
        <v>253</v>
      </c>
      <c r="J360" s="74" t="s">
        <v>60</v>
      </c>
      <c r="K360" s="74" t="s">
        <v>50</v>
      </c>
      <c r="L360" s="74">
        <v>847001</v>
      </c>
      <c r="M360" s="74" t="s">
        <v>61</v>
      </c>
      <c r="N360" s="74">
        <v>200179</v>
      </c>
      <c r="O360" s="37" t="str">
        <f t="shared" si="21"/>
        <v>847.8471305.1.425550.000000.847001.200179</v>
      </c>
      <c r="P360" s="75" t="s">
        <v>255</v>
      </c>
      <c r="Q360" s="74" t="s">
        <v>256</v>
      </c>
      <c r="R360" s="74">
        <v>38</v>
      </c>
      <c r="S360" s="74">
        <v>31500</v>
      </c>
      <c r="T360" s="74" t="s">
        <v>1031</v>
      </c>
      <c r="U360" s="76">
        <v>1197000</v>
      </c>
      <c r="V360" s="74" t="s">
        <v>56</v>
      </c>
      <c r="W360" s="75" t="s">
        <v>237</v>
      </c>
      <c r="X360" s="77"/>
      <c r="Y360" s="70">
        <f t="shared" si="22"/>
        <v>0</v>
      </c>
    </row>
    <row r="361" spans="1:25" s="39" customFormat="1" ht="14" customHeight="1" x14ac:dyDescent="0.35">
      <c r="A361" s="74" t="s">
        <v>258</v>
      </c>
      <c r="B361" s="74" t="s">
        <v>58</v>
      </c>
      <c r="C361" s="74" t="s">
        <v>1000</v>
      </c>
      <c r="D361" s="74">
        <v>847</v>
      </c>
      <c r="E361" s="74">
        <v>8471305</v>
      </c>
      <c r="F361" s="74" t="s">
        <v>1001</v>
      </c>
      <c r="G361" s="74">
        <v>1</v>
      </c>
      <c r="H361" s="74">
        <v>425720</v>
      </c>
      <c r="I361" s="74" t="s">
        <v>620</v>
      </c>
      <c r="J361" s="74" t="s">
        <v>60</v>
      </c>
      <c r="K361" s="74" t="s">
        <v>50</v>
      </c>
      <c r="L361" s="74">
        <v>847001</v>
      </c>
      <c r="M361" s="74" t="s">
        <v>61</v>
      </c>
      <c r="N361" s="74">
        <v>200179</v>
      </c>
      <c r="O361" s="37" t="str">
        <f t="shared" si="21"/>
        <v>847.8471305.1.425720.000000.847001.200179</v>
      </c>
      <c r="P361" s="75" t="s">
        <v>622</v>
      </c>
      <c r="Q361" s="74" t="s">
        <v>623</v>
      </c>
      <c r="R361" s="74">
        <v>10</v>
      </c>
      <c r="S361" s="74">
        <v>315000</v>
      </c>
      <c r="T361" s="74" t="s">
        <v>1034</v>
      </c>
      <c r="U361" s="76">
        <v>3150000</v>
      </c>
      <c r="V361" s="74" t="s">
        <v>56</v>
      </c>
      <c r="W361" s="75" t="s">
        <v>384</v>
      </c>
      <c r="X361" s="77"/>
      <c r="Y361" s="70">
        <f t="shared" si="22"/>
        <v>0</v>
      </c>
    </row>
    <row r="362" spans="1:25" s="39" customFormat="1" ht="14" customHeight="1" x14ac:dyDescent="0.35">
      <c r="A362" s="74" t="s">
        <v>222</v>
      </c>
      <c r="B362" s="74" t="s">
        <v>58</v>
      </c>
      <c r="C362" s="74" t="s">
        <v>1000</v>
      </c>
      <c r="D362" s="74">
        <v>847</v>
      </c>
      <c r="E362" s="74">
        <v>8471305</v>
      </c>
      <c r="F362" s="74" t="s">
        <v>1001</v>
      </c>
      <c r="G362" s="74">
        <v>1</v>
      </c>
      <c r="H362" s="74">
        <v>425742</v>
      </c>
      <c r="I362" s="74" t="s">
        <v>1036</v>
      </c>
      <c r="J362" s="74" t="s">
        <v>60</v>
      </c>
      <c r="K362" s="74" t="s">
        <v>50</v>
      </c>
      <c r="L362" s="74">
        <v>847001</v>
      </c>
      <c r="M362" s="74" t="s">
        <v>61</v>
      </c>
      <c r="N362" s="74">
        <v>200179</v>
      </c>
      <c r="O362" s="37" t="str">
        <f t="shared" si="21"/>
        <v>847.8471305.1.425742.000000.847001.200179</v>
      </c>
      <c r="P362" s="75" t="s">
        <v>1038</v>
      </c>
      <c r="Q362" s="74" t="s">
        <v>157</v>
      </c>
      <c r="R362" s="74">
        <v>145</v>
      </c>
      <c r="S362" s="74">
        <v>2157.75</v>
      </c>
      <c r="T362" s="74" t="s">
        <v>1039</v>
      </c>
      <c r="U362" s="76">
        <v>312873.75</v>
      </c>
      <c r="V362" s="74" t="s">
        <v>56</v>
      </c>
      <c r="W362" s="75" t="s">
        <v>384</v>
      </c>
      <c r="X362" s="77"/>
      <c r="Y362" s="70">
        <f t="shared" si="22"/>
        <v>0</v>
      </c>
    </row>
    <row r="363" spans="1:25" s="39" customFormat="1" ht="14" customHeight="1" x14ac:dyDescent="0.35">
      <c r="A363" s="74" t="s">
        <v>258</v>
      </c>
      <c r="B363" s="74" t="s">
        <v>58</v>
      </c>
      <c r="C363" s="74" t="s">
        <v>1000</v>
      </c>
      <c r="D363" s="74">
        <v>847</v>
      </c>
      <c r="E363" s="74">
        <v>8471305</v>
      </c>
      <c r="F363" s="74" t="s">
        <v>1001</v>
      </c>
      <c r="G363" s="74">
        <v>1</v>
      </c>
      <c r="H363" s="74">
        <v>425745</v>
      </c>
      <c r="I363" s="74" t="s">
        <v>1041</v>
      </c>
      <c r="J363" s="74" t="s">
        <v>60</v>
      </c>
      <c r="K363" s="74" t="s">
        <v>50</v>
      </c>
      <c r="L363" s="74">
        <v>847001</v>
      </c>
      <c r="M363" s="74" t="s">
        <v>61</v>
      </c>
      <c r="N363" s="74">
        <v>200179</v>
      </c>
      <c r="O363" s="37" t="str">
        <f t="shared" si="21"/>
        <v>847.8471305.1.425745.000000.847001.200179</v>
      </c>
      <c r="P363" s="75" t="s">
        <v>1043</v>
      </c>
      <c r="Q363" s="74" t="s">
        <v>68</v>
      </c>
      <c r="R363" s="74">
        <v>25</v>
      </c>
      <c r="S363" s="74">
        <v>34650</v>
      </c>
      <c r="T363" s="74" t="s">
        <v>1044</v>
      </c>
      <c r="U363" s="76">
        <v>866250</v>
      </c>
      <c r="V363" s="74" t="s">
        <v>56</v>
      </c>
      <c r="W363" s="75" t="s">
        <v>384</v>
      </c>
      <c r="X363" s="77"/>
      <c r="Y363" s="70">
        <f t="shared" si="22"/>
        <v>0</v>
      </c>
    </row>
    <row r="364" spans="1:25" s="39" customFormat="1" ht="14" customHeight="1" x14ac:dyDescent="0.35">
      <c r="A364" s="74" t="s">
        <v>258</v>
      </c>
      <c r="B364" s="74" t="s">
        <v>58</v>
      </c>
      <c r="C364" s="74" t="s">
        <v>1000</v>
      </c>
      <c r="D364" s="74">
        <v>847</v>
      </c>
      <c r="E364" s="74">
        <v>8471305</v>
      </c>
      <c r="F364" s="74" t="s">
        <v>1001</v>
      </c>
      <c r="G364" s="74">
        <v>1</v>
      </c>
      <c r="H364" s="74">
        <v>425746</v>
      </c>
      <c r="I364" s="74" t="s">
        <v>1047</v>
      </c>
      <c r="J364" s="74" t="s">
        <v>60</v>
      </c>
      <c r="K364" s="74" t="s">
        <v>50</v>
      </c>
      <c r="L364" s="74">
        <v>847001</v>
      </c>
      <c r="M364" s="74" t="s">
        <v>61</v>
      </c>
      <c r="N364" s="74">
        <v>200179</v>
      </c>
      <c r="O364" s="37" t="str">
        <f t="shared" si="21"/>
        <v>847.8471305.1.425746.000000.847001.200179</v>
      </c>
      <c r="P364" s="75" t="s">
        <v>1049</v>
      </c>
      <c r="Q364" s="74" t="s">
        <v>1050</v>
      </c>
      <c r="R364" s="74">
        <v>90</v>
      </c>
      <c r="S364" s="74">
        <v>4389</v>
      </c>
      <c r="T364" s="74" t="s">
        <v>1051</v>
      </c>
      <c r="U364" s="76">
        <v>395010</v>
      </c>
      <c r="V364" s="74" t="s">
        <v>56</v>
      </c>
      <c r="W364" s="75" t="s">
        <v>384</v>
      </c>
      <c r="X364" s="77"/>
      <c r="Y364" s="70">
        <f t="shared" si="22"/>
        <v>0</v>
      </c>
    </row>
    <row r="365" spans="1:25" s="39" customFormat="1" ht="14" customHeight="1" x14ac:dyDescent="0.35">
      <c r="A365" s="74" t="s">
        <v>258</v>
      </c>
      <c r="B365" s="74" t="s">
        <v>58</v>
      </c>
      <c r="C365" s="74" t="s">
        <v>1000</v>
      </c>
      <c r="D365" s="74">
        <v>847</v>
      </c>
      <c r="E365" s="74">
        <v>8471305</v>
      </c>
      <c r="F365" s="74" t="s">
        <v>1001</v>
      </c>
      <c r="G365" s="74">
        <v>1</v>
      </c>
      <c r="H365" s="74">
        <v>425749</v>
      </c>
      <c r="I365" s="74" t="s">
        <v>1052</v>
      </c>
      <c r="J365" s="74" t="s">
        <v>60</v>
      </c>
      <c r="K365" s="74" t="s">
        <v>50</v>
      </c>
      <c r="L365" s="74">
        <v>847001</v>
      </c>
      <c r="M365" s="74" t="s">
        <v>61</v>
      </c>
      <c r="N365" s="74">
        <v>200179</v>
      </c>
      <c r="O365" s="37" t="str">
        <f t="shared" si="21"/>
        <v>847.8471305.1.425749.000000.847001.200179</v>
      </c>
      <c r="P365" s="75" t="s">
        <v>1054</v>
      </c>
      <c r="Q365" s="74" t="s">
        <v>1055</v>
      </c>
      <c r="R365" s="74">
        <v>1</v>
      </c>
      <c r="S365" s="74">
        <v>42919800</v>
      </c>
      <c r="T365" s="74" t="s">
        <v>1056</v>
      </c>
      <c r="U365" s="76">
        <v>42919800</v>
      </c>
      <c r="V365" s="74" t="s">
        <v>56</v>
      </c>
      <c r="W365" s="75" t="s">
        <v>834</v>
      </c>
      <c r="X365" s="77"/>
      <c r="Y365" s="70">
        <f t="shared" si="22"/>
        <v>0</v>
      </c>
    </row>
    <row r="366" spans="1:25" s="39" customFormat="1" ht="14" customHeight="1" x14ac:dyDescent="0.35">
      <c r="A366" s="74" t="s">
        <v>258</v>
      </c>
      <c r="B366" s="74" t="s">
        <v>58</v>
      </c>
      <c r="C366" s="74" t="s">
        <v>1000</v>
      </c>
      <c r="D366" s="74">
        <v>847</v>
      </c>
      <c r="E366" s="74">
        <v>8471305</v>
      </c>
      <c r="F366" s="74" t="s">
        <v>1001</v>
      </c>
      <c r="G366" s="74">
        <v>1</v>
      </c>
      <c r="H366" s="74">
        <v>425750</v>
      </c>
      <c r="I366" s="74" t="s">
        <v>1057</v>
      </c>
      <c r="J366" s="74" t="s">
        <v>60</v>
      </c>
      <c r="K366" s="74" t="s">
        <v>50</v>
      </c>
      <c r="L366" s="74">
        <v>847001</v>
      </c>
      <c r="M366" s="74" t="s">
        <v>61</v>
      </c>
      <c r="N366" s="74">
        <v>200179</v>
      </c>
      <c r="O366" s="37" t="str">
        <f t="shared" si="21"/>
        <v>847.8471305.1.425750.000000.847001.200179</v>
      </c>
      <c r="P366" s="75" t="s">
        <v>1059</v>
      </c>
      <c r="Q366" s="74" t="s">
        <v>441</v>
      </c>
      <c r="R366" s="74">
        <v>145</v>
      </c>
      <c r="S366" s="74">
        <v>19417.650000000001</v>
      </c>
      <c r="T366" s="74" t="s">
        <v>1060</v>
      </c>
      <c r="U366" s="76">
        <v>2815559.25</v>
      </c>
      <c r="V366" s="74" t="s">
        <v>56</v>
      </c>
      <c r="W366" s="75" t="s">
        <v>384</v>
      </c>
      <c r="X366" s="77"/>
      <c r="Y366" s="70">
        <f t="shared" si="22"/>
        <v>0</v>
      </c>
    </row>
    <row r="367" spans="1:25" s="39" customFormat="1" ht="14" customHeight="1" x14ac:dyDescent="0.35">
      <c r="A367" s="74" t="s">
        <v>258</v>
      </c>
      <c r="B367" s="74" t="s">
        <v>58</v>
      </c>
      <c r="C367" s="74" t="s">
        <v>1000</v>
      </c>
      <c r="D367" s="74">
        <v>847</v>
      </c>
      <c r="E367" s="74">
        <v>8471305</v>
      </c>
      <c r="F367" s="74" t="s">
        <v>1001</v>
      </c>
      <c r="G367" s="74">
        <v>1</v>
      </c>
      <c r="H367" s="74">
        <v>425762</v>
      </c>
      <c r="I367" s="74" t="s">
        <v>573</v>
      </c>
      <c r="J367" s="74" t="s">
        <v>60</v>
      </c>
      <c r="K367" s="74" t="s">
        <v>50</v>
      </c>
      <c r="L367" s="74">
        <v>847001</v>
      </c>
      <c r="M367" s="74" t="s">
        <v>61</v>
      </c>
      <c r="N367" s="74">
        <v>200179</v>
      </c>
      <c r="O367" s="37" t="str">
        <f t="shared" si="21"/>
        <v>847.8471305.1.425762.000000.847001.200179</v>
      </c>
      <c r="P367" s="75" t="s">
        <v>1062</v>
      </c>
      <c r="Q367" s="74" t="s">
        <v>68</v>
      </c>
      <c r="R367" s="74">
        <v>29</v>
      </c>
      <c r="S367" s="74">
        <v>119916.3</v>
      </c>
      <c r="T367" s="74" t="s">
        <v>1063</v>
      </c>
      <c r="U367" s="76">
        <v>3477572.7</v>
      </c>
      <c r="V367" s="74" t="s">
        <v>56</v>
      </c>
      <c r="W367" s="75" t="s">
        <v>384</v>
      </c>
      <c r="X367" s="77"/>
      <c r="Y367" s="70">
        <f t="shared" si="22"/>
        <v>0</v>
      </c>
    </row>
    <row r="368" spans="1:25" s="39" customFormat="1" ht="14" customHeight="1" x14ac:dyDescent="0.35">
      <c r="A368" s="74" t="s">
        <v>258</v>
      </c>
      <c r="B368" s="74" t="s">
        <v>58</v>
      </c>
      <c r="C368" s="74" t="s">
        <v>1000</v>
      </c>
      <c r="D368" s="74">
        <v>847</v>
      </c>
      <c r="E368" s="74">
        <v>8471305</v>
      </c>
      <c r="F368" s="74" t="s">
        <v>1001</v>
      </c>
      <c r="G368" s="74">
        <v>1</v>
      </c>
      <c r="H368" s="74">
        <v>425763</v>
      </c>
      <c r="I368" s="74" t="s">
        <v>359</v>
      </c>
      <c r="J368" s="74" t="s">
        <v>60</v>
      </c>
      <c r="K368" s="74" t="s">
        <v>50</v>
      </c>
      <c r="L368" s="74">
        <v>847001</v>
      </c>
      <c r="M368" s="74" t="s">
        <v>61</v>
      </c>
      <c r="N368" s="74">
        <v>200179</v>
      </c>
      <c r="O368" s="37" t="str">
        <f t="shared" si="21"/>
        <v>847.8471305.1.425763.000000.847001.200179</v>
      </c>
      <c r="P368" s="75" t="s">
        <v>361</v>
      </c>
      <c r="Q368" s="74" t="s">
        <v>68</v>
      </c>
      <c r="R368" s="74">
        <v>11</v>
      </c>
      <c r="S368" s="74">
        <v>24512.25</v>
      </c>
      <c r="T368" s="74" t="s">
        <v>1066</v>
      </c>
      <c r="U368" s="76">
        <v>269634.75</v>
      </c>
      <c r="V368" s="74" t="s">
        <v>56</v>
      </c>
      <c r="W368" s="75" t="s">
        <v>384</v>
      </c>
      <c r="X368" s="77"/>
      <c r="Y368" s="70">
        <f t="shared" si="22"/>
        <v>0</v>
      </c>
    </row>
    <row r="369" spans="1:25" s="39" customFormat="1" ht="14" customHeight="1" x14ac:dyDescent="0.35">
      <c r="A369" s="74" t="s">
        <v>189</v>
      </c>
      <c r="B369" s="74" t="s">
        <v>265</v>
      </c>
      <c r="C369" s="74" t="s">
        <v>1000</v>
      </c>
      <c r="D369" s="74">
        <v>847</v>
      </c>
      <c r="E369" s="74">
        <v>8471305</v>
      </c>
      <c r="F369" s="74" t="s">
        <v>1001</v>
      </c>
      <c r="G369" s="74">
        <v>1</v>
      </c>
      <c r="H369" s="74">
        <v>425900</v>
      </c>
      <c r="I369" s="74" t="s">
        <v>266</v>
      </c>
      <c r="J369" s="74" t="s">
        <v>60</v>
      </c>
      <c r="K369" s="74" t="s">
        <v>50</v>
      </c>
      <c r="L369" s="74">
        <v>847001</v>
      </c>
      <c r="M369" s="74" t="s">
        <v>61</v>
      </c>
      <c r="N369" s="74">
        <v>200179</v>
      </c>
      <c r="O369" s="37" t="str">
        <f t="shared" si="21"/>
        <v>847.8471305.1.425900.000000.847001.200179</v>
      </c>
      <c r="P369" s="75" t="s">
        <v>268</v>
      </c>
      <c r="Q369" s="74" t="s">
        <v>269</v>
      </c>
      <c r="R369" s="74">
        <v>25</v>
      </c>
      <c r="S369" s="74">
        <v>15483.3</v>
      </c>
      <c r="T369" s="74" t="s">
        <v>1069</v>
      </c>
      <c r="U369" s="76">
        <v>387082.5</v>
      </c>
      <c r="V369" s="74" t="s">
        <v>56</v>
      </c>
      <c r="W369" s="75" t="s">
        <v>1020</v>
      </c>
      <c r="X369" s="77"/>
      <c r="Y369" s="70">
        <f t="shared" si="22"/>
        <v>0</v>
      </c>
    </row>
    <row r="370" spans="1:25" s="39" customFormat="1" ht="14" customHeight="1" x14ac:dyDescent="0.35">
      <c r="A370" s="74" t="s">
        <v>161</v>
      </c>
      <c r="B370" s="74" t="s">
        <v>58</v>
      </c>
      <c r="C370" s="74" t="s">
        <v>1000</v>
      </c>
      <c r="D370" s="74">
        <v>847</v>
      </c>
      <c r="E370" s="74">
        <v>8471305</v>
      </c>
      <c r="F370" s="74" t="s">
        <v>1001</v>
      </c>
      <c r="G370" s="74">
        <v>1</v>
      </c>
      <c r="H370" s="74">
        <v>426100</v>
      </c>
      <c r="I370" s="74" t="s">
        <v>1071</v>
      </c>
      <c r="J370" s="74" t="s">
        <v>60</v>
      </c>
      <c r="K370" s="74" t="s">
        <v>50</v>
      </c>
      <c r="L370" s="74">
        <v>847001</v>
      </c>
      <c r="M370" s="74" t="s">
        <v>61</v>
      </c>
      <c r="N370" s="74">
        <v>200179</v>
      </c>
      <c r="O370" s="37" t="str">
        <f t="shared" si="21"/>
        <v>847.8471305.1.426100.000000.847001.200179</v>
      </c>
      <c r="P370" s="75" t="s">
        <v>1073</v>
      </c>
      <c r="Q370" s="74" t="s">
        <v>157</v>
      </c>
      <c r="R370" s="74">
        <v>12</v>
      </c>
      <c r="S370" s="74">
        <v>8925</v>
      </c>
      <c r="T370" s="74" t="s">
        <v>1074</v>
      </c>
      <c r="U370" s="76">
        <v>107100</v>
      </c>
      <c r="V370" s="74" t="s">
        <v>56</v>
      </c>
      <c r="W370" s="75" t="s">
        <v>618</v>
      </c>
      <c r="X370" s="77"/>
      <c r="Y370" s="70">
        <f t="shared" si="22"/>
        <v>0</v>
      </c>
    </row>
    <row r="371" spans="1:25" s="39" customFormat="1" ht="14" customHeight="1" x14ac:dyDescent="0.35">
      <c r="A371" s="74" t="s">
        <v>63</v>
      </c>
      <c r="B371" s="74" t="s">
        <v>64</v>
      </c>
      <c r="C371" s="74" t="s">
        <v>1000</v>
      </c>
      <c r="D371" s="74">
        <v>847</v>
      </c>
      <c r="E371" s="74">
        <v>8471305</v>
      </c>
      <c r="F371" s="74" t="s">
        <v>1001</v>
      </c>
      <c r="G371" s="74">
        <v>1</v>
      </c>
      <c r="H371" s="74">
        <v>426610</v>
      </c>
      <c r="I371" s="74" t="s">
        <v>74</v>
      </c>
      <c r="J371" s="74" t="s">
        <v>60</v>
      </c>
      <c r="K371" s="74" t="s">
        <v>50</v>
      </c>
      <c r="L371" s="74">
        <v>847001</v>
      </c>
      <c r="M371" s="74" t="s">
        <v>61</v>
      </c>
      <c r="N371" s="74">
        <v>200179</v>
      </c>
      <c r="O371" s="37" t="str">
        <f t="shared" si="21"/>
        <v>847.8471305.1.426610.000000.847001.200179</v>
      </c>
      <c r="P371" s="75" t="s">
        <v>274</v>
      </c>
      <c r="Q371" s="74" t="s">
        <v>157</v>
      </c>
      <c r="R371" s="74">
        <v>1</v>
      </c>
      <c r="S371" s="74">
        <v>1026231.15</v>
      </c>
      <c r="T371" s="74" t="s">
        <v>1312</v>
      </c>
      <c r="U371" s="76">
        <v>1026231.15</v>
      </c>
      <c r="V371" s="74" t="s">
        <v>56</v>
      </c>
      <c r="W371" s="75" t="s">
        <v>384</v>
      </c>
      <c r="X371" s="77"/>
      <c r="Y371" s="70">
        <f t="shared" si="22"/>
        <v>0</v>
      </c>
    </row>
    <row r="372" spans="1:25" s="39" customFormat="1" ht="14" customHeight="1" x14ac:dyDescent="0.35">
      <c r="A372" s="74" t="s">
        <v>71</v>
      </c>
      <c r="B372" s="74" t="s">
        <v>58</v>
      </c>
      <c r="C372" s="74" t="s">
        <v>1000</v>
      </c>
      <c r="D372" s="74">
        <v>847</v>
      </c>
      <c r="E372" s="74">
        <v>8471305</v>
      </c>
      <c r="F372" s="74" t="s">
        <v>1001</v>
      </c>
      <c r="G372" s="74">
        <v>1</v>
      </c>
      <c r="H372" s="74">
        <v>426900</v>
      </c>
      <c r="I372" s="74" t="s">
        <v>1080</v>
      </c>
      <c r="J372" s="74" t="s">
        <v>60</v>
      </c>
      <c r="K372" s="74" t="s">
        <v>50</v>
      </c>
      <c r="L372" s="74">
        <v>847001</v>
      </c>
      <c r="M372" s="74" t="s">
        <v>61</v>
      </c>
      <c r="N372" s="74">
        <v>200179</v>
      </c>
      <c r="O372" s="37" t="str">
        <f t="shared" si="21"/>
        <v>847.8471305.1.426900.000000.847001.200179</v>
      </c>
      <c r="P372" s="75" t="s">
        <v>1082</v>
      </c>
      <c r="Q372" s="74" t="s">
        <v>157</v>
      </c>
      <c r="R372" s="74">
        <v>12</v>
      </c>
      <c r="S372" s="74">
        <v>1837.5</v>
      </c>
      <c r="T372" s="74" t="s">
        <v>1083</v>
      </c>
      <c r="U372" s="76">
        <v>22050</v>
      </c>
      <c r="V372" s="74" t="s">
        <v>56</v>
      </c>
      <c r="W372" s="75" t="s">
        <v>295</v>
      </c>
      <c r="X372" s="77"/>
      <c r="Y372" s="70">
        <f t="shared" si="22"/>
        <v>0</v>
      </c>
    </row>
    <row r="373" spans="1:25" s="39" customFormat="1" ht="14" customHeight="1" x14ac:dyDescent="0.35">
      <c r="A373" s="74" t="s">
        <v>245</v>
      </c>
      <c r="B373" s="74" t="s">
        <v>58</v>
      </c>
      <c r="C373" s="74" t="s">
        <v>1000</v>
      </c>
      <c r="D373" s="74">
        <v>847</v>
      </c>
      <c r="E373" s="74">
        <v>8471305</v>
      </c>
      <c r="F373" s="74" t="s">
        <v>1001</v>
      </c>
      <c r="G373" s="74">
        <v>1</v>
      </c>
      <c r="H373" s="74">
        <v>427200</v>
      </c>
      <c r="I373" s="74" t="s">
        <v>1085</v>
      </c>
      <c r="J373" s="74" t="s">
        <v>60</v>
      </c>
      <c r="K373" s="74" t="s">
        <v>50</v>
      </c>
      <c r="L373" s="74">
        <v>847001</v>
      </c>
      <c r="M373" s="74" t="s">
        <v>61</v>
      </c>
      <c r="N373" s="74">
        <v>200179</v>
      </c>
      <c r="O373" s="37" t="str">
        <f t="shared" si="21"/>
        <v>847.8471305.1.427200.000000.847001.200179</v>
      </c>
      <c r="P373" s="75" t="s">
        <v>1087</v>
      </c>
      <c r="Q373" s="74" t="s">
        <v>269</v>
      </c>
      <c r="R373" s="74">
        <v>45</v>
      </c>
      <c r="S373" s="74">
        <v>15750</v>
      </c>
      <c r="T373" s="74" t="s">
        <v>1088</v>
      </c>
      <c r="U373" s="76">
        <v>708750</v>
      </c>
      <c r="V373" s="74" t="s">
        <v>56</v>
      </c>
      <c r="W373" s="75" t="s">
        <v>480</v>
      </c>
      <c r="X373" s="77"/>
      <c r="Y373" s="70">
        <f t="shared" si="22"/>
        <v>0</v>
      </c>
    </row>
    <row r="374" spans="1:25" s="39" customFormat="1" ht="14" customHeight="1" x14ac:dyDescent="0.35">
      <c r="A374" s="74" t="s">
        <v>222</v>
      </c>
      <c r="B374" s="74" t="s">
        <v>58</v>
      </c>
      <c r="C374" s="74" t="s">
        <v>1000</v>
      </c>
      <c r="D374" s="74">
        <v>847</v>
      </c>
      <c r="E374" s="74">
        <v>8471305</v>
      </c>
      <c r="F374" s="74" t="s">
        <v>1001</v>
      </c>
      <c r="G374" s="74">
        <v>1</v>
      </c>
      <c r="H374" s="74">
        <v>427710</v>
      </c>
      <c r="I374" s="74" t="s">
        <v>1090</v>
      </c>
      <c r="J374" s="74" t="s">
        <v>60</v>
      </c>
      <c r="K374" s="74" t="s">
        <v>50</v>
      </c>
      <c r="L374" s="74">
        <v>847001</v>
      </c>
      <c r="M374" s="74" t="s">
        <v>61</v>
      </c>
      <c r="N374" s="74">
        <v>200179</v>
      </c>
      <c r="O374" s="37" t="str">
        <f t="shared" si="21"/>
        <v>847.8471305.1.427710.000000.847001.200179</v>
      </c>
      <c r="P374" s="75" t="s">
        <v>1092</v>
      </c>
      <c r="Q374" s="74" t="s">
        <v>157</v>
      </c>
      <c r="R374" s="74">
        <v>43</v>
      </c>
      <c r="S374" s="74">
        <v>5796</v>
      </c>
      <c r="T374" s="74" t="s">
        <v>1313</v>
      </c>
      <c r="U374" s="76">
        <v>249228</v>
      </c>
      <c r="V374" s="74" t="s">
        <v>56</v>
      </c>
      <c r="W374" s="75" t="s">
        <v>480</v>
      </c>
      <c r="X374" s="77"/>
      <c r="Y374" s="70">
        <f t="shared" si="22"/>
        <v>0</v>
      </c>
    </row>
    <row r="375" spans="1:25" s="39" customFormat="1" ht="14" customHeight="1" x14ac:dyDescent="0.35">
      <c r="A375" s="74" t="s">
        <v>153</v>
      </c>
      <c r="B375" s="74" t="s">
        <v>58</v>
      </c>
      <c r="C375" s="74" t="s">
        <v>1000</v>
      </c>
      <c r="D375" s="74">
        <v>847</v>
      </c>
      <c r="E375" s="74">
        <v>8471305</v>
      </c>
      <c r="F375" s="74" t="s">
        <v>1001</v>
      </c>
      <c r="G375" s="74">
        <v>1</v>
      </c>
      <c r="H375" s="74">
        <v>428090</v>
      </c>
      <c r="I375" s="74" t="s">
        <v>154</v>
      </c>
      <c r="J375" s="74" t="s">
        <v>60</v>
      </c>
      <c r="K375" s="74" t="s">
        <v>50</v>
      </c>
      <c r="L375" s="74">
        <v>847001</v>
      </c>
      <c r="M375" s="74" t="s">
        <v>61</v>
      </c>
      <c r="N375" s="74">
        <v>200179</v>
      </c>
      <c r="O375" s="37" t="str">
        <f t="shared" si="21"/>
        <v>847.8471305.1.428090.000000.847001.200179</v>
      </c>
      <c r="P375" s="75" t="s">
        <v>156</v>
      </c>
      <c r="Q375" s="74" t="s">
        <v>157</v>
      </c>
      <c r="R375" s="74">
        <v>35</v>
      </c>
      <c r="S375" s="74">
        <v>30000</v>
      </c>
      <c r="T375" s="74" t="s">
        <v>1096</v>
      </c>
      <c r="U375" s="76">
        <v>1050000</v>
      </c>
      <c r="V375" s="74" t="s">
        <v>56</v>
      </c>
      <c r="W375" s="75" t="s">
        <v>237</v>
      </c>
      <c r="X375" s="77"/>
      <c r="Y375" s="70">
        <f t="shared" si="22"/>
        <v>0</v>
      </c>
    </row>
    <row r="376" spans="1:25" s="39" customFormat="1" ht="14" customHeight="1" x14ac:dyDescent="0.35">
      <c r="A376" s="74" t="s">
        <v>245</v>
      </c>
      <c r="B376" s="74" t="s">
        <v>246</v>
      </c>
      <c r="C376" s="74" t="s">
        <v>1000</v>
      </c>
      <c r="D376" s="74">
        <v>847</v>
      </c>
      <c r="E376" s="74">
        <v>8471305</v>
      </c>
      <c r="F376" s="74" t="s">
        <v>1001</v>
      </c>
      <c r="G376" s="74">
        <v>1</v>
      </c>
      <c r="H376" s="74">
        <v>428640</v>
      </c>
      <c r="I376" s="74" t="s">
        <v>279</v>
      </c>
      <c r="J376" s="74" t="s">
        <v>60</v>
      </c>
      <c r="K376" s="74" t="s">
        <v>50</v>
      </c>
      <c r="L376" s="74">
        <v>847001</v>
      </c>
      <c r="M376" s="74" t="s">
        <v>61</v>
      </c>
      <c r="N376" s="74">
        <v>200179</v>
      </c>
      <c r="O376" s="37" t="str">
        <f t="shared" si="21"/>
        <v>847.8471305.1.428640.000000.847001.200179</v>
      </c>
      <c r="P376" s="75" t="s">
        <v>281</v>
      </c>
      <c r="Q376" s="74" t="s">
        <v>269</v>
      </c>
      <c r="R376" s="74">
        <v>30</v>
      </c>
      <c r="S376" s="74">
        <v>15750</v>
      </c>
      <c r="T376" s="74" t="s">
        <v>1314</v>
      </c>
      <c r="U376" s="76">
        <v>472500</v>
      </c>
      <c r="V376" s="74" t="s">
        <v>56</v>
      </c>
      <c r="W376" s="75" t="s">
        <v>384</v>
      </c>
      <c r="X376" s="77"/>
      <c r="Y376" s="70">
        <f t="shared" si="22"/>
        <v>0</v>
      </c>
    </row>
    <row r="377" spans="1:25" s="39" customFormat="1" ht="14" customHeight="1" x14ac:dyDescent="0.35">
      <c r="A377" s="74" t="s">
        <v>63</v>
      </c>
      <c r="B377" s="74" t="s">
        <v>64</v>
      </c>
      <c r="C377" s="74" t="s">
        <v>1000</v>
      </c>
      <c r="D377" s="74">
        <v>847</v>
      </c>
      <c r="E377" s="74">
        <v>8471305</v>
      </c>
      <c r="F377" s="74" t="s">
        <v>1001</v>
      </c>
      <c r="G377" s="74">
        <v>1</v>
      </c>
      <c r="H377" s="74">
        <v>432205</v>
      </c>
      <c r="I377" s="74" t="s">
        <v>167</v>
      </c>
      <c r="J377" s="74" t="s">
        <v>60</v>
      </c>
      <c r="K377" s="74" t="s">
        <v>50</v>
      </c>
      <c r="L377" s="74">
        <v>847001</v>
      </c>
      <c r="M377" s="74" t="s">
        <v>61</v>
      </c>
      <c r="N377" s="74">
        <v>200179</v>
      </c>
      <c r="O377" s="37" t="str">
        <f t="shared" si="21"/>
        <v>847.8471305.1.432205.000000.847001.200179</v>
      </c>
      <c r="P377" s="75" t="s">
        <v>169</v>
      </c>
      <c r="Q377" s="74" t="s">
        <v>68</v>
      </c>
      <c r="R377" s="74">
        <v>4</v>
      </c>
      <c r="S377" s="74">
        <v>26250</v>
      </c>
      <c r="T377" s="74" t="s">
        <v>1102</v>
      </c>
      <c r="U377" s="76">
        <v>105000</v>
      </c>
      <c r="V377" s="74" t="s">
        <v>56</v>
      </c>
      <c r="W377" s="75" t="s">
        <v>384</v>
      </c>
      <c r="X377" s="77"/>
      <c r="Y377" s="70">
        <f t="shared" si="22"/>
        <v>0</v>
      </c>
    </row>
    <row r="378" spans="1:25" s="39" customFormat="1" ht="14" customHeight="1" x14ac:dyDescent="0.35">
      <c r="A378" s="74" t="s">
        <v>222</v>
      </c>
      <c r="B378" s="74" t="s">
        <v>58</v>
      </c>
      <c r="C378" s="74" t="s">
        <v>1000</v>
      </c>
      <c r="D378" s="74">
        <v>847</v>
      </c>
      <c r="E378" s="74">
        <v>8471305</v>
      </c>
      <c r="F378" s="74" t="s">
        <v>1001</v>
      </c>
      <c r="G378" s="74">
        <v>1</v>
      </c>
      <c r="H378" s="74">
        <v>432209</v>
      </c>
      <c r="I378" s="74" t="s">
        <v>393</v>
      </c>
      <c r="J378" s="74" t="s">
        <v>60</v>
      </c>
      <c r="K378" s="74" t="s">
        <v>50</v>
      </c>
      <c r="L378" s="74">
        <v>847001</v>
      </c>
      <c r="M378" s="74" t="s">
        <v>61</v>
      </c>
      <c r="N378" s="74">
        <v>200179</v>
      </c>
      <c r="O378" s="37" t="str">
        <f t="shared" si="21"/>
        <v>847.8471305.1.432209.000000.847001.200179</v>
      </c>
      <c r="P378" s="75" t="s">
        <v>470</v>
      </c>
      <c r="Q378" s="74" t="s">
        <v>157</v>
      </c>
      <c r="R378" s="74">
        <v>1</v>
      </c>
      <c r="S378" s="74">
        <v>2046975</v>
      </c>
      <c r="T378" s="74" t="s">
        <v>1315</v>
      </c>
      <c r="U378" s="76">
        <v>2046975</v>
      </c>
      <c r="V378" s="74" t="s">
        <v>56</v>
      </c>
      <c r="W378" s="75" t="s">
        <v>880</v>
      </c>
      <c r="X378" s="77"/>
      <c r="Y378" s="70">
        <f t="shared" si="22"/>
        <v>0</v>
      </c>
    </row>
    <row r="379" spans="1:25" s="39" customFormat="1" ht="14" customHeight="1" x14ac:dyDescent="0.35">
      <c r="A379" s="74" t="s">
        <v>46</v>
      </c>
      <c r="B379" s="74" t="s">
        <v>46</v>
      </c>
      <c r="C379" s="74" t="s">
        <v>1000</v>
      </c>
      <c r="D379" s="74">
        <v>847</v>
      </c>
      <c r="E379" s="74">
        <v>8471305</v>
      </c>
      <c r="F379" s="74" t="s">
        <v>1001</v>
      </c>
      <c r="G379" s="74">
        <v>1</v>
      </c>
      <c r="H379" s="74">
        <v>432210</v>
      </c>
      <c r="I379" s="74" t="s">
        <v>1107</v>
      </c>
      <c r="J379" s="74" t="s">
        <v>60</v>
      </c>
      <c r="K379" s="74" t="s">
        <v>50</v>
      </c>
      <c r="L379" s="74">
        <v>847001</v>
      </c>
      <c r="M379" s="74" t="s">
        <v>61</v>
      </c>
      <c r="N379" s="74">
        <v>200179</v>
      </c>
      <c r="O379" s="37" t="str">
        <f t="shared" si="21"/>
        <v>847.8471305.1.432210.000000.847001.200179</v>
      </c>
      <c r="P379" s="75" t="s">
        <v>1107</v>
      </c>
      <c r="Q379" s="74" t="s">
        <v>157</v>
      </c>
      <c r="R379" s="74">
        <v>1</v>
      </c>
      <c r="S379" s="74">
        <v>630000</v>
      </c>
      <c r="T379" s="74" t="s">
        <v>1110</v>
      </c>
      <c r="U379" s="76">
        <v>630000</v>
      </c>
      <c r="V379" s="74" t="s">
        <v>56</v>
      </c>
      <c r="W379" s="75" t="s">
        <v>384</v>
      </c>
      <c r="X379" s="77"/>
      <c r="Y379" s="70">
        <f t="shared" si="22"/>
        <v>0</v>
      </c>
    </row>
    <row r="380" spans="1:25" s="39" customFormat="1" ht="14" customHeight="1" x14ac:dyDescent="0.35">
      <c r="A380" s="74" t="s">
        <v>222</v>
      </c>
      <c r="B380" s="74" t="s">
        <v>58</v>
      </c>
      <c r="C380" s="74" t="s">
        <v>1000</v>
      </c>
      <c r="D380" s="74">
        <v>847</v>
      </c>
      <c r="E380" s="74">
        <v>8471305</v>
      </c>
      <c r="F380" s="74" t="s">
        <v>1001</v>
      </c>
      <c r="G380" s="74">
        <v>1</v>
      </c>
      <c r="H380" s="74">
        <v>435330</v>
      </c>
      <c r="I380" s="74" t="s">
        <v>1111</v>
      </c>
      <c r="J380" s="74" t="s">
        <v>60</v>
      </c>
      <c r="K380" s="74" t="s">
        <v>50</v>
      </c>
      <c r="L380" s="74">
        <v>847001</v>
      </c>
      <c r="M380" s="74" t="s">
        <v>61</v>
      </c>
      <c r="N380" s="74">
        <v>200179</v>
      </c>
      <c r="O380" s="37" t="str">
        <f t="shared" si="21"/>
        <v>847.8471305.1.435330.000000.847001.200179</v>
      </c>
      <c r="P380" s="75" t="s">
        <v>1113</v>
      </c>
      <c r="Q380" s="74" t="s">
        <v>157</v>
      </c>
      <c r="R380" s="74">
        <v>4</v>
      </c>
      <c r="S380" s="74">
        <v>52500</v>
      </c>
      <c r="T380" s="74" t="s">
        <v>1114</v>
      </c>
      <c r="U380" s="76">
        <v>210000</v>
      </c>
      <c r="V380" s="74" t="s">
        <v>56</v>
      </c>
      <c r="W380" s="75" t="s">
        <v>384</v>
      </c>
      <c r="X380" s="77"/>
      <c r="Y380" s="70">
        <f t="shared" si="22"/>
        <v>0</v>
      </c>
    </row>
    <row r="381" spans="1:25" s="39" customFormat="1" ht="14" customHeight="1" x14ac:dyDescent="0.35">
      <c r="A381" s="74" t="s">
        <v>222</v>
      </c>
      <c r="B381" s="74" t="s">
        <v>58</v>
      </c>
      <c r="C381" s="74" t="s">
        <v>1000</v>
      </c>
      <c r="D381" s="74">
        <v>847</v>
      </c>
      <c r="E381" s="74">
        <v>8471305</v>
      </c>
      <c r="F381" s="74" t="s">
        <v>1001</v>
      </c>
      <c r="G381" s="74">
        <v>1</v>
      </c>
      <c r="H381" s="74">
        <v>435340</v>
      </c>
      <c r="I381" s="74" t="s">
        <v>655</v>
      </c>
      <c r="J381" s="74" t="s">
        <v>60</v>
      </c>
      <c r="K381" s="74" t="s">
        <v>50</v>
      </c>
      <c r="L381" s="74">
        <v>847001</v>
      </c>
      <c r="M381" s="74" t="s">
        <v>61</v>
      </c>
      <c r="N381" s="74">
        <v>200179</v>
      </c>
      <c r="O381" s="37" t="str">
        <f t="shared" si="21"/>
        <v>847.8471305.1.435340.000000.847001.200179</v>
      </c>
      <c r="P381" s="75" t="s">
        <v>1116</v>
      </c>
      <c r="Q381" s="74" t="s">
        <v>1117</v>
      </c>
      <c r="R381" s="74">
        <v>12</v>
      </c>
      <c r="S381" s="74">
        <v>56166.600000000006</v>
      </c>
      <c r="T381" s="74" t="s">
        <v>1118</v>
      </c>
      <c r="U381" s="76">
        <v>673999.20000000007</v>
      </c>
      <c r="V381" s="74" t="s">
        <v>56</v>
      </c>
      <c r="W381" s="75" t="s">
        <v>384</v>
      </c>
      <c r="X381" s="77"/>
      <c r="Y381" s="70">
        <f t="shared" si="22"/>
        <v>0</v>
      </c>
    </row>
    <row r="382" spans="1:25" s="39" customFormat="1" ht="14" customHeight="1" x14ac:dyDescent="0.35">
      <c r="A382" s="74" t="s">
        <v>222</v>
      </c>
      <c r="B382" s="74" t="s">
        <v>58</v>
      </c>
      <c r="C382" s="74" t="s">
        <v>1000</v>
      </c>
      <c r="D382" s="74">
        <v>847</v>
      </c>
      <c r="E382" s="74">
        <v>8471305</v>
      </c>
      <c r="F382" s="74" t="s">
        <v>1001</v>
      </c>
      <c r="G382" s="74">
        <v>1</v>
      </c>
      <c r="H382" s="74">
        <v>435350</v>
      </c>
      <c r="I382" s="74" t="s">
        <v>399</v>
      </c>
      <c r="J382" s="74" t="s">
        <v>60</v>
      </c>
      <c r="K382" s="74" t="s">
        <v>50</v>
      </c>
      <c r="L382" s="74">
        <v>847001</v>
      </c>
      <c r="M382" s="74" t="s">
        <v>61</v>
      </c>
      <c r="N382" s="74">
        <v>200179</v>
      </c>
      <c r="O382" s="37" t="str">
        <f t="shared" si="21"/>
        <v>847.8471305.1.435350.000000.847001.200179</v>
      </c>
      <c r="P382" s="75" t="s">
        <v>401</v>
      </c>
      <c r="Q382" s="74" t="s">
        <v>157</v>
      </c>
      <c r="R382" s="74">
        <v>1</v>
      </c>
      <c r="S382" s="74">
        <v>315000</v>
      </c>
      <c r="T382" s="74" t="s">
        <v>1122</v>
      </c>
      <c r="U382" s="76">
        <v>315000</v>
      </c>
      <c r="V382" s="74" t="s">
        <v>56</v>
      </c>
      <c r="W382" s="75" t="s">
        <v>480</v>
      </c>
      <c r="X382" s="77"/>
      <c r="Y382" s="70">
        <f t="shared" si="22"/>
        <v>0</v>
      </c>
    </row>
    <row r="383" spans="1:25" s="39" customFormat="1" ht="14" customHeight="1" x14ac:dyDescent="0.35">
      <c r="A383" s="74" t="s">
        <v>222</v>
      </c>
      <c r="B383" s="74" t="s">
        <v>220</v>
      </c>
      <c r="C383" s="74" t="s">
        <v>1000</v>
      </c>
      <c r="D383" s="74">
        <v>847</v>
      </c>
      <c r="E383" s="74">
        <v>8471305</v>
      </c>
      <c r="F383" s="74" t="s">
        <v>1001</v>
      </c>
      <c r="G383" s="74">
        <v>1</v>
      </c>
      <c r="H383" s="74">
        <v>435508</v>
      </c>
      <c r="I383" s="74" t="s">
        <v>405</v>
      </c>
      <c r="J383" s="74" t="s">
        <v>60</v>
      </c>
      <c r="K383" s="74" t="s">
        <v>50</v>
      </c>
      <c r="L383" s="74">
        <v>847001</v>
      </c>
      <c r="M383" s="74" t="s">
        <v>61</v>
      </c>
      <c r="N383" s="74">
        <v>200179</v>
      </c>
      <c r="O383" s="37" t="str">
        <f t="shared" si="21"/>
        <v>847.8471305.1.435508.000000.847001.200179</v>
      </c>
      <c r="P383" s="75" t="s">
        <v>407</v>
      </c>
      <c r="Q383" s="74" t="s">
        <v>157</v>
      </c>
      <c r="R383" s="74">
        <v>84</v>
      </c>
      <c r="S383" s="74">
        <v>15750</v>
      </c>
      <c r="T383" s="74" t="s">
        <v>1126</v>
      </c>
      <c r="U383" s="76">
        <v>1323000</v>
      </c>
      <c r="V383" s="74" t="s">
        <v>56</v>
      </c>
      <c r="W383" s="75" t="s">
        <v>689</v>
      </c>
      <c r="X383" s="77"/>
      <c r="Y383" s="70">
        <f t="shared" si="22"/>
        <v>0</v>
      </c>
    </row>
    <row r="384" spans="1:25" s="39" customFormat="1" ht="14" customHeight="1" x14ac:dyDescent="0.35">
      <c r="A384" s="74" t="s">
        <v>222</v>
      </c>
      <c r="B384" s="74" t="s">
        <v>58</v>
      </c>
      <c r="C384" s="74" t="s">
        <v>1000</v>
      </c>
      <c r="D384" s="74">
        <v>847</v>
      </c>
      <c r="E384" s="74">
        <v>8471305</v>
      </c>
      <c r="F384" s="74" t="s">
        <v>1001</v>
      </c>
      <c r="G384" s="74">
        <v>1</v>
      </c>
      <c r="H384" s="74">
        <v>435530</v>
      </c>
      <c r="I384" s="74" t="s">
        <v>1127</v>
      </c>
      <c r="J384" s="74" t="s">
        <v>60</v>
      </c>
      <c r="K384" s="74" t="s">
        <v>50</v>
      </c>
      <c r="L384" s="74">
        <v>847001</v>
      </c>
      <c r="M384" s="74" t="s">
        <v>61</v>
      </c>
      <c r="N384" s="74">
        <v>200179</v>
      </c>
      <c r="O384" s="37" t="str">
        <f t="shared" si="21"/>
        <v>847.8471305.1.435530.000000.847001.200179</v>
      </c>
      <c r="P384" s="75" t="s">
        <v>1129</v>
      </c>
      <c r="Q384" s="74" t="s">
        <v>157</v>
      </c>
      <c r="R384" s="74">
        <v>1</v>
      </c>
      <c r="S384" s="74">
        <v>14781886.350000001</v>
      </c>
      <c r="T384" s="74" t="s">
        <v>1130</v>
      </c>
      <c r="U384" s="76">
        <v>14781886.350000001</v>
      </c>
      <c r="V384" s="74" t="s">
        <v>56</v>
      </c>
      <c r="W384" s="75" t="s">
        <v>384</v>
      </c>
      <c r="X384" s="77"/>
      <c r="Y384" s="70">
        <f t="shared" si="22"/>
        <v>0</v>
      </c>
    </row>
    <row r="385" spans="1:25" s="39" customFormat="1" ht="14" customHeight="1" x14ac:dyDescent="0.35">
      <c r="A385" s="74" t="s">
        <v>189</v>
      </c>
      <c r="B385" s="74" t="s">
        <v>58</v>
      </c>
      <c r="C385" s="74" t="s">
        <v>1000</v>
      </c>
      <c r="D385" s="74">
        <v>847</v>
      </c>
      <c r="E385" s="74">
        <v>8471305</v>
      </c>
      <c r="F385" s="74" t="s">
        <v>1001</v>
      </c>
      <c r="G385" s="74">
        <v>1</v>
      </c>
      <c r="H385" s="74">
        <v>436120</v>
      </c>
      <c r="I385" s="74" t="s">
        <v>291</v>
      </c>
      <c r="J385" s="74" t="s">
        <v>60</v>
      </c>
      <c r="K385" s="74" t="s">
        <v>50</v>
      </c>
      <c r="L385" s="74">
        <v>847001</v>
      </c>
      <c r="M385" s="74" t="s">
        <v>61</v>
      </c>
      <c r="N385" s="74">
        <v>200179</v>
      </c>
      <c r="O385" s="37" t="str">
        <f t="shared" si="21"/>
        <v>847.8471305.1.436120.000000.847001.200179</v>
      </c>
      <c r="P385" s="75" t="s">
        <v>1132</v>
      </c>
      <c r="Q385" s="74" t="s">
        <v>157</v>
      </c>
      <c r="R385" s="74">
        <v>1</v>
      </c>
      <c r="S385" s="74">
        <v>236250</v>
      </c>
      <c r="T385" s="74" t="s">
        <v>1133</v>
      </c>
      <c r="U385" s="76">
        <v>236250</v>
      </c>
      <c r="V385" s="74" t="s">
        <v>56</v>
      </c>
      <c r="W385" s="75" t="s">
        <v>237</v>
      </c>
      <c r="X385" s="77"/>
      <c r="Y385" s="70">
        <f t="shared" si="22"/>
        <v>0</v>
      </c>
    </row>
    <row r="386" spans="1:25" s="39" customFormat="1" ht="14" customHeight="1" x14ac:dyDescent="0.35">
      <c r="A386" s="74" t="s">
        <v>189</v>
      </c>
      <c r="B386" s="74" t="s">
        <v>58</v>
      </c>
      <c r="C386" s="74" t="s">
        <v>1000</v>
      </c>
      <c r="D386" s="74">
        <v>847</v>
      </c>
      <c r="E386" s="74">
        <v>8471305</v>
      </c>
      <c r="F386" s="74" t="s">
        <v>1001</v>
      </c>
      <c r="G386" s="74">
        <v>1</v>
      </c>
      <c r="H386" s="74">
        <v>422900</v>
      </c>
      <c r="I386" s="74" t="s">
        <v>1139</v>
      </c>
      <c r="J386" s="74" t="s">
        <v>60</v>
      </c>
      <c r="K386" s="74" t="s">
        <v>50</v>
      </c>
      <c r="L386" s="74">
        <v>847001</v>
      </c>
      <c r="M386" s="74" t="s">
        <v>61</v>
      </c>
      <c r="N386" s="74">
        <v>200179</v>
      </c>
      <c r="O386" s="37" t="str">
        <f t="shared" si="21"/>
        <v>847.8471305.1.422900.000000.847001.200179</v>
      </c>
      <c r="P386" s="75" t="s">
        <v>1141</v>
      </c>
      <c r="Q386" s="74" t="s">
        <v>1142</v>
      </c>
      <c r="R386" s="74">
        <v>1</v>
      </c>
      <c r="S386" s="74">
        <v>236250</v>
      </c>
      <c r="T386" s="74" t="s">
        <v>1143</v>
      </c>
      <c r="U386" s="76">
        <v>236250</v>
      </c>
      <c r="V386" s="74" t="s">
        <v>56</v>
      </c>
      <c r="W386" s="75" t="s">
        <v>237</v>
      </c>
      <c r="X386" s="77"/>
      <c r="Y386" s="70">
        <f t="shared" si="22"/>
        <v>0</v>
      </c>
    </row>
    <row r="387" spans="1:25" s="39" customFormat="1" ht="14" customHeight="1" x14ac:dyDescent="0.35">
      <c r="A387" s="74" t="s">
        <v>46</v>
      </c>
      <c r="B387" s="74" t="s">
        <v>46</v>
      </c>
      <c r="C387" s="74" t="s">
        <v>1000</v>
      </c>
      <c r="D387" s="74">
        <v>847</v>
      </c>
      <c r="E387" s="74">
        <v>8471305</v>
      </c>
      <c r="F387" s="74" t="s">
        <v>1001</v>
      </c>
      <c r="G387" s="74">
        <v>1</v>
      </c>
      <c r="H387" s="74">
        <v>436110</v>
      </c>
      <c r="I387" s="74" t="s">
        <v>190</v>
      </c>
      <c r="J387" s="74" t="s">
        <v>60</v>
      </c>
      <c r="K387" s="74" t="s">
        <v>50</v>
      </c>
      <c r="L387" s="74">
        <v>847001</v>
      </c>
      <c r="M387" s="74" t="s">
        <v>61</v>
      </c>
      <c r="N387" s="74">
        <v>200179</v>
      </c>
      <c r="O387" s="37" t="str">
        <f t="shared" ref="O387:O450" si="23">CONCATENATE(D387,".",E387,".",G387,".",H387,".",J387,".",L387,".",N387)</f>
        <v>847.8471305.1.436110.000000.847001.200179</v>
      </c>
      <c r="P387" s="75" t="s">
        <v>488</v>
      </c>
      <c r="Q387" s="74" t="s">
        <v>157</v>
      </c>
      <c r="R387" s="74">
        <v>10</v>
      </c>
      <c r="S387" s="74">
        <v>23625</v>
      </c>
      <c r="T387" s="74" t="s">
        <v>1145</v>
      </c>
      <c r="U387" s="76">
        <v>236250</v>
      </c>
      <c r="V387" s="74" t="s">
        <v>56</v>
      </c>
      <c r="W387" s="75" t="s">
        <v>384</v>
      </c>
      <c r="X387" s="77"/>
      <c r="Y387" s="70">
        <f t="shared" ref="Y387:Y658" si="24">(R387*S387)-U387</f>
        <v>0</v>
      </c>
    </row>
    <row r="388" spans="1:25" s="39" customFormat="1" ht="14" customHeight="1" x14ac:dyDescent="0.35">
      <c r="A388" s="37" t="s">
        <v>222</v>
      </c>
      <c r="B388" s="37" t="s">
        <v>58</v>
      </c>
      <c r="C388" s="37" t="s">
        <v>1784</v>
      </c>
      <c r="D388" s="37">
        <v>847</v>
      </c>
      <c r="E388" s="37">
        <v>8470405</v>
      </c>
      <c r="F388" s="37" t="s">
        <v>1785</v>
      </c>
      <c r="G388" s="37">
        <v>1</v>
      </c>
      <c r="H388" s="37">
        <v>420550</v>
      </c>
      <c r="I388" s="37" t="s">
        <v>225</v>
      </c>
      <c r="J388" s="37" t="s">
        <v>60</v>
      </c>
      <c r="K388" s="37" t="s">
        <v>50</v>
      </c>
      <c r="L388" s="37">
        <v>847001</v>
      </c>
      <c r="M388" s="37" t="s">
        <v>61</v>
      </c>
      <c r="N388" s="37">
        <v>200179</v>
      </c>
      <c r="O388" s="37" t="str">
        <f t="shared" si="23"/>
        <v>847.8470405.1.420550.000000.847001.200179</v>
      </c>
      <c r="P388" s="37" t="s">
        <v>227</v>
      </c>
      <c r="Q388" s="37" t="s">
        <v>269</v>
      </c>
      <c r="R388" s="37">
        <v>16</v>
      </c>
      <c r="S388" s="38">
        <v>1469</v>
      </c>
      <c r="T388" s="37" t="s">
        <v>2181</v>
      </c>
      <c r="U388" s="38">
        <v>23504</v>
      </c>
      <c r="V388" s="37" t="s">
        <v>55</v>
      </c>
      <c r="W388" s="37" t="s">
        <v>56</v>
      </c>
      <c r="X388" s="37" t="s">
        <v>264</v>
      </c>
      <c r="Y388" s="37"/>
    </row>
    <row r="389" spans="1:25" s="39" customFormat="1" ht="14" customHeight="1" x14ac:dyDescent="0.35">
      <c r="A389" s="37" t="s">
        <v>222</v>
      </c>
      <c r="B389" s="37" t="s">
        <v>238</v>
      </c>
      <c r="C389" s="37" t="s">
        <v>1784</v>
      </c>
      <c r="D389" s="37">
        <v>847</v>
      </c>
      <c r="E389" s="37">
        <v>8470405</v>
      </c>
      <c r="F389" s="37" t="s">
        <v>1785</v>
      </c>
      <c r="G389" s="37">
        <v>1</v>
      </c>
      <c r="H389" s="37">
        <v>421700</v>
      </c>
      <c r="I389" s="37" t="s">
        <v>239</v>
      </c>
      <c r="J389" s="37" t="s">
        <v>60</v>
      </c>
      <c r="K389" s="37" t="s">
        <v>50</v>
      </c>
      <c r="L389" s="37">
        <v>847001</v>
      </c>
      <c r="M389" s="37" t="s">
        <v>61</v>
      </c>
      <c r="N389" s="37">
        <v>200179</v>
      </c>
      <c r="O389" s="37" t="str">
        <f t="shared" si="23"/>
        <v>847.8470405.1.421700.000000.847001.200179</v>
      </c>
      <c r="P389" s="37" t="s">
        <v>241</v>
      </c>
      <c r="Q389" s="37" t="s">
        <v>269</v>
      </c>
      <c r="R389" s="37">
        <v>2</v>
      </c>
      <c r="S389" s="38">
        <v>140000</v>
      </c>
      <c r="T389" s="37" t="s">
        <v>2181</v>
      </c>
      <c r="U389" s="38">
        <v>280000</v>
      </c>
      <c r="V389" s="37" t="s">
        <v>55</v>
      </c>
      <c r="W389" s="37" t="s">
        <v>197</v>
      </c>
      <c r="X389" s="37" t="s">
        <v>834</v>
      </c>
      <c r="Y389" s="37"/>
    </row>
    <row r="390" spans="1:25" s="39" customFormat="1" ht="14" customHeight="1" x14ac:dyDescent="0.35">
      <c r="A390" s="37" t="s">
        <v>245</v>
      </c>
      <c r="B390" s="37" t="s">
        <v>246</v>
      </c>
      <c r="C390" s="37" t="s">
        <v>1784</v>
      </c>
      <c r="D390" s="37">
        <v>847</v>
      </c>
      <c r="E390" s="37">
        <v>8470405</v>
      </c>
      <c r="F390" s="37" t="s">
        <v>1785</v>
      </c>
      <c r="G390" s="37">
        <v>1</v>
      </c>
      <c r="H390" s="37">
        <v>425510</v>
      </c>
      <c r="I390" s="37" t="s">
        <v>247</v>
      </c>
      <c r="J390" s="37" t="s">
        <v>60</v>
      </c>
      <c r="K390" s="37" t="s">
        <v>50</v>
      </c>
      <c r="L390" s="37">
        <v>847001</v>
      </c>
      <c r="M390" s="37" t="s">
        <v>61</v>
      </c>
      <c r="N390" s="37">
        <v>200179</v>
      </c>
      <c r="O390" s="37" t="str">
        <f t="shared" si="23"/>
        <v>847.8470405.1.425510.000000.847001.200179</v>
      </c>
      <c r="P390" s="37" t="s">
        <v>1405</v>
      </c>
      <c r="Q390" s="37" t="s">
        <v>269</v>
      </c>
      <c r="R390" s="37">
        <v>1</v>
      </c>
      <c r="S390" s="38">
        <v>15000</v>
      </c>
      <c r="T390" s="37" t="s">
        <v>2181</v>
      </c>
      <c r="U390" s="38">
        <v>15000</v>
      </c>
      <c r="V390" s="37" t="s">
        <v>55</v>
      </c>
      <c r="W390" s="37" t="s">
        <v>56</v>
      </c>
      <c r="X390" s="37" t="s">
        <v>480</v>
      </c>
      <c r="Y390" s="37"/>
    </row>
    <row r="391" spans="1:25" s="39" customFormat="1" ht="14" customHeight="1" x14ac:dyDescent="0.35">
      <c r="A391" s="37" t="s">
        <v>245</v>
      </c>
      <c r="B391" s="37" t="s">
        <v>58</v>
      </c>
      <c r="C391" s="37" t="s">
        <v>1784</v>
      </c>
      <c r="D391" s="37">
        <v>847</v>
      </c>
      <c r="E391" s="37">
        <v>8470405</v>
      </c>
      <c r="F391" s="37" t="s">
        <v>1785</v>
      </c>
      <c r="G391" s="37">
        <v>1</v>
      </c>
      <c r="H391" s="37">
        <v>425550</v>
      </c>
      <c r="I391" s="37" t="s">
        <v>253</v>
      </c>
      <c r="J391" s="37" t="s">
        <v>60</v>
      </c>
      <c r="K391" s="37" t="s">
        <v>50</v>
      </c>
      <c r="L391" s="37">
        <v>847001</v>
      </c>
      <c r="M391" s="37" t="s">
        <v>61</v>
      </c>
      <c r="N391" s="37">
        <v>200179</v>
      </c>
      <c r="O391" s="37" t="str">
        <f t="shared" si="23"/>
        <v>847.8470405.1.425550.000000.847001.200179</v>
      </c>
      <c r="P391" s="37" t="s">
        <v>2182</v>
      </c>
      <c r="Q391" s="37" t="s">
        <v>434</v>
      </c>
      <c r="R391" s="37">
        <v>1</v>
      </c>
      <c r="S391" s="38">
        <v>15000</v>
      </c>
      <c r="T391" s="37" t="s">
        <v>2181</v>
      </c>
      <c r="U391" s="38">
        <v>15000</v>
      </c>
      <c r="V391" s="37" t="s">
        <v>55</v>
      </c>
      <c r="W391" s="37" t="s">
        <v>56</v>
      </c>
      <c r="X391" s="37" t="s">
        <v>618</v>
      </c>
      <c r="Y391" s="37"/>
    </row>
    <row r="392" spans="1:25" s="39" customFormat="1" ht="14" customHeight="1" x14ac:dyDescent="0.35">
      <c r="A392" s="37" t="s">
        <v>222</v>
      </c>
      <c r="B392" s="37" t="s">
        <v>58</v>
      </c>
      <c r="C392" s="37" t="s">
        <v>1784</v>
      </c>
      <c r="D392" s="37">
        <v>847</v>
      </c>
      <c r="E392" s="37">
        <v>8470405</v>
      </c>
      <c r="F392" s="37" t="s">
        <v>1785</v>
      </c>
      <c r="G392" s="37">
        <v>1</v>
      </c>
      <c r="H392" s="37">
        <v>425770</v>
      </c>
      <c r="I392" s="37" t="s">
        <v>367</v>
      </c>
      <c r="J392" s="37" t="s">
        <v>60</v>
      </c>
      <c r="K392" s="37" t="s">
        <v>50</v>
      </c>
      <c r="L392" s="37">
        <v>847001</v>
      </c>
      <c r="M392" s="37" t="s">
        <v>61</v>
      </c>
      <c r="N392" s="37">
        <v>200179</v>
      </c>
      <c r="O392" s="37" t="str">
        <f t="shared" si="23"/>
        <v>847.8470405.1.425770.000000.847001.200179</v>
      </c>
      <c r="P392" s="37" t="s">
        <v>926</v>
      </c>
      <c r="Q392" s="37" t="s">
        <v>157</v>
      </c>
      <c r="R392" s="37">
        <v>10</v>
      </c>
      <c r="S392" s="38">
        <v>5000</v>
      </c>
      <c r="T392" s="37" t="s">
        <v>2183</v>
      </c>
      <c r="U392" s="38">
        <v>50000</v>
      </c>
      <c r="V392" s="37" t="s">
        <v>55</v>
      </c>
      <c r="W392" s="37" t="s">
        <v>56</v>
      </c>
      <c r="X392" s="37" t="s">
        <v>252</v>
      </c>
      <c r="Y392" s="37"/>
    </row>
    <row r="393" spans="1:25" s="39" customFormat="1" ht="14" customHeight="1" x14ac:dyDescent="0.35">
      <c r="A393" s="37" t="s">
        <v>222</v>
      </c>
      <c r="B393" s="37" t="s">
        <v>58</v>
      </c>
      <c r="C393" s="37" t="s">
        <v>1784</v>
      </c>
      <c r="D393" s="37">
        <v>847</v>
      </c>
      <c r="E393" s="37">
        <v>8470405</v>
      </c>
      <c r="F393" s="37" t="s">
        <v>1785</v>
      </c>
      <c r="G393" s="37">
        <v>1</v>
      </c>
      <c r="H393" s="37">
        <v>427710</v>
      </c>
      <c r="I393" s="37" t="s">
        <v>1090</v>
      </c>
      <c r="J393" s="37" t="s">
        <v>60</v>
      </c>
      <c r="K393" s="37" t="s">
        <v>50</v>
      </c>
      <c r="L393" s="37">
        <v>847001</v>
      </c>
      <c r="M393" s="37" t="s">
        <v>61</v>
      </c>
      <c r="N393" s="37">
        <v>200179</v>
      </c>
      <c r="O393" s="37" t="str">
        <f t="shared" si="23"/>
        <v>847.8470405.1.427710.000000.847001.200179</v>
      </c>
      <c r="P393" s="37" t="s">
        <v>1092</v>
      </c>
      <c r="Q393" s="37" t="s">
        <v>157</v>
      </c>
      <c r="R393" s="37">
        <v>20</v>
      </c>
      <c r="S393" s="38">
        <v>1681</v>
      </c>
      <c r="T393" s="37" t="s">
        <v>2184</v>
      </c>
      <c r="U393" s="38">
        <v>33620</v>
      </c>
      <c r="V393" s="37" t="s">
        <v>55</v>
      </c>
      <c r="W393" s="37" t="s">
        <v>56</v>
      </c>
      <c r="X393" s="37" t="s">
        <v>480</v>
      </c>
      <c r="Y393" s="37"/>
    </row>
    <row r="394" spans="1:25" s="39" customFormat="1" ht="14" customHeight="1" x14ac:dyDescent="0.35">
      <c r="A394" s="37" t="s">
        <v>222</v>
      </c>
      <c r="B394" s="37" t="s">
        <v>220</v>
      </c>
      <c r="C394" s="37" t="s">
        <v>1784</v>
      </c>
      <c r="D394" s="37">
        <v>847</v>
      </c>
      <c r="E394" s="37">
        <v>8470405</v>
      </c>
      <c r="F394" s="37" t="s">
        <v>1785</v>
      </c>
      <c r="G394" s="37">
        <v>1</v>
      </c>
      <c r="H394" s="37">
        <v>435508</v>
      </c>
      <c r="I394" s="37" t="s">
        <v>405</v>
      </c>
      <c r="J394" s="37" t="s">
        <v>60</v>
      </c>
      <c r="K394" s="37" t="s">
        <v>50</v>
      </c>
      <c r="L394" s="37">
        <v>847001</v>
      </c>
      <c r="M394" s="37" t="s">
        <v>61</v>
      </c>
      <c r="N394" s="37">
        <v>200179</v>
      </c>
      <c r="O394" s="37" t="str">
        <f t="shared" si="23"/>
        <v>847.8470405.1.435508.000000.847001.200179</v>
      </c>
      <c r="P394" s="37" t="s">
        <v>482</v>
      </c>
      <c r="Q394" s="37" t="s">
        <v>157</v>
      </c>
      <c r="R394" s="37">
        <v>5</v>
      </c>
      <c r="S394" s="38">
        <v>40000</v>
      </c>
      <c r="T394" s="37" t="s">
        <v>2185</v>
      </c>
      <c r="U394" s="38">
        <v>200000</v>
      </c>
      <c r="V394" s="37" t="s">
        <v>55</v>
      </c>
      <c r="W394" s="37" t="s">
        <v>56</v>
      </c>
      <c r="X394" s="37" t="s">
        <v>880</v>
      </c>
      <c r="Y394" s="37"/>
    </row>
    <row r="395" spans="1:25" s="39" customFormat="1" ht="14" customHeight="1" x14ac:dyDescent="0.35">
      <c r="A395" s="37" t="s">
        <v>222</v>
      </c>
      <c r="B395" s="37" t="s">
        <v>58</v>
      </c>
      <c r="C395" s="37" t="s">
        <v>1784</v>
      </c>
      <c r="D395" s="37">
        <v>847</v>
      </c>
      <c r="E395" s="37">
        <v>8470405</v>
      </c>
      <c r="F395" s="37" t="s">
        <v>1785</v>
      </c>
      <c r="G395" s="37">
        <v>1</v>
      </c>
      <c r="H395" s="37">
        <v>435350</v>
      </c>
      <c r="I395" s="37" t="s">
        <v>399</v>
      </c>
      <c r="J395" s="37" t="s">
        <v>60</v>
      </c>
      <c r="K395" s="37" t="s">
        <v>50</v>
      </c>
      <c r="L395" s="37">
        <v>847001</v>
      </c>
      <c r="M395" s="37" t="s">
        <v>61</v>
      </c>
      <c r="N395" s="37">
        <v>200179</v>
      </c>
      <c r="O395" s="37" t="str">
        <f t="shared" si="23"/>
        <v>847.8470405.1.435350.000000.847001.200179</v>
      </c>
      <c r="P395" s="37" t="s">
        <v>401</v>
      </c>
      <c r="Q395" s="37" t="s">
        <v>157</v>
      </c>
      <c r="R395" s="37">
        <v>20</v>
      </c>
      <c r="S395" s="38">
        <v>1500</v>
      </c>
      <c r="T395" s="37" t="s">
        <v>2186</v>
      </c>
      <c r="U395" s="38">
        <v>30000</v>
      </c>
      <c r="V395" s="37" t="s">
        <v>55</v>
      </c>
      <c r="W395" s="37" t="s">
        <v>56</v>
      </c>
      <c r="X395" s="37" t="s">
        <v>480</v>
      </c>
      <c r="Y395" s="37"/>
    </row>
    <row r="396" spans="1:25" s="39" customFormat="1" ht="14" customHeight="1" x14ac:dyDescent="0.35">
      <c r="A396" s="37" t="s">
        <v>222</v>
      </c>
      <c r="B396" s="37" t="s">
        <v>58</v>
      </c>
      <c r="C396" s="37" t="s">
        <v>1784</v>
      </c>
      <c r="D396" s="37">
        <v>847</v>
      </c>
      <c r="E396" s="37">
        <v>8470410</v>
      </c>
      <c r="F396" s="37" t="s">
        <v>1822</v>
      </c>
      <c r="G396" s="37">
        <v>1</v>
      </c>
      <c r="H396" s="37">
        <v>425761</v>
      </c>
      <c r="I396" s="37" t="s">
        <v>1383</v>
      </c>
      <c r="J396" s="37" t="s">
        <v>60</v>
      </c>
      <c r="K396" s="37" t="s">
        <v>50</v>
      </c>
      <c r="L396" s="37">
        <v>847001</v>
      </c>
      <c r="M396" s="37" t="s">
        <v>61</v>
      </c>
      <c r="N396" s="37">
        <v>200179</v>
      </c>
      <c r="O396" s="37" t="str">
        <f t="shared" si="23"/>
        <v>847.8470410.1.425761.000000.847001.200179</v>
      </c>
      <c r="P396" s="37" t="s">
        <v>727</v>
      </c>
      <c r="Q396" s="37" t="s">
        <v>68</v>
      </c>
      <c r="R396" s="37">
        <v>5</v>
      </c>
      <c r="S396" s="38">
        <v>200</v>
      </c>
      <c r="T396" s="37" t="s">
        <v>1824</v>
      </c>
      <c r="U396" s="38">
        <v>1000</v>
      </c>
      <c r="V396" s="37" t="s">
        <v>55</v>
      </c>
      <c r="W396" s="37" t="s">
        <v>197</v>
      </c>
      <c r="X396" s="37" t="s">
        <v>384</v>
      </c>
      <c r="Y396" s="37"/>
    </row>
    <row r="397" spans="1:25" s="39" customFormat="1" ht="14" customHeight="1" x14ac:dyDescent="0.35">
      <c r="A397" s="37" t="s">
        <v>222</v>
      </c>
      <c r="B397" s="37" t="s">
        <v>58</v>
      </c>
      <c r="C397" s="37" t="s">
        <v>1784</v>
      </c>
      <c r="D397" s="37">
        <v>847</v>
      </c>
      <c r="E397" s="37">
        <v>8470410</v>
      </c>
      <c r="F397" s="37" t="s">
        <v>1822</v>
      </c>
      <c r="G397" s="37">
        <v>1</v>
      </c>
      <c r="H397" s="37">
        <v>425770</v>
      </c>
      <c r="I397" s="37" t="s">
        <v>367</v>
      </c>
      <c r="J397" s="37" t="s">
        <v>60</v>
      </c>
      <c r="K397" s="37" t="s">
        <v>50</v>
      </c>
      <c r="L397" s="37">
        <v>847001</v>
      </c>
      <c r="M397" s="37" t="s">
        <v>61</v>
      </c>
      <c r="N397" s="37">
        <v>200179</v>
      </c>
      <c r="O397" s="37" t="str">
        <f t="shared" si="23"/>
        <v>847.8470410.1.425770.000000.847001.200179</v>
      </c>
      <c r="P397" s="37" t="s">
        <v>369</v>
      </c>
      <c r="Q397" s="37" t="s">
        <v>157</v>
      </c>
      <c r="R397" s="37">
        <v>12</v>
      </c>
      <c r="S397" s="38">
        <v>12000</v>
      </c>
      <c r="T397" s="37" t="s">
        <v>1827</v>
      </c>
      <c r="U397" s="38">
        <v>144000</v>
      </c>
      <c r="V397" s="37" t="s">
        <v>55</v>
      </c>
      <c r="W397" s="37" t="s">
        <v>197</v>
      </c>
      <c r="X397" s="37" t="s">
        <v>480</v>
      </c>
      <c r="Y397" s="37"/>
    </row>
    <row r="398" spans="1:25" s="39" customFormat="1" ht="14" customHeight="1" x14ac:dyDescent="0.35">
      <c r="A398" s="37" t="s">
        <v>63</v>
      </c>
      <c r="B398" s="37" t="s">
        <v>64</v>
      </c>
      <c r="C398" s="37" t="s">
        <v>1784</v>
      </c>
      <c r="D398" s="37">
        <v>847</v>
      </c>
      <c r="E398" s="37">
        <v>8470410</v>
      </c>
      <c r="F398" s="37" t="s">
        <v>1822</v>
      </c>
      <c r="G398" s="37">
        <v>1</v>
      </c>
      <c r="H398" s="37">
        <v>426610</v>
      </c>
      <c r="I398" s="37" t="s">
        <v>74</v>
      </c>
      <c r="J398" s="37" t="s">
        <v>60</v>
      </c>
      <c r="K398" s="37" t="s">
        <v>50</v>
      </c>
      <c r="L398" s="37">
        <v>847001</v>
      </c>
      <c r="M398" s="37" t="s">
        <v>61</v>
      </c>
      <c r="N398" s="37">
        <v>200179</v>
      </c>
      <c r="O398" s="37" t="str">
        <f t="shared" si="23"/>
        <v>847.8470410.1.426610.000000.847001.200179</v>
      </c>
      <c r="P398" s="37" t="s">
        <v>274</v>
      </c>
      <c r="Q398" s="37" t="s">
        <v>157</v>
      </c>
      <c r="R398" s="37">
        <v>1</v>
      </c>
      <c r="S398" s="38">
        <v>5600</v>
      </c>
      <c r="T398" s="37" t="s">
        <v>1832</v>
      </c>
      <c r="U398" s="38">
        <v>5600</v>
      </c>
      <c r="V398" s="37" t="s">
        <v>55</v>
      </c>
      <c r="W398" s="37" t="s">
        <v>56</v>
      </c>
      <c r="X398" s="37" t="s">
        <v>480</v>
      </c>
      <c r="Y398" s="37"/>
    </row>
    <row r="399" spans="1:25" s="39" customFormat="1" ht="14" customHeight="1" x14ac:dyDescent="0.35">
      <c r="A399" s="37" t="s">
        <v>189</v>
      </c>
      <c r="B399" s="37" t="s">
        <v>58</v>
      </c>
      <c r="C399" s="37" t="s">
        <v>1784</v>
      </c>
      <c r="D399" s="37">
        <v>847</v>
      </c>
      <c r="E399" s="37">
        <v>8470410</v>
      </c>
      <c r="F399" s="37" t="s">
        <v>1822</v>
      </c>
      <c r="G399" s="37">
        <v>1</v>
      </c>
      <c r="H399" s="37">
        <v>435310</v>
      </c>
      <c r="I399" s="37" t="s">
        <v>1336</v>
      </c>
      <c r="J399" s="37" t="s">
        <v>60</v>
      </c>
      <c r="K399" s="37" t="s">
        <v>50</v>
      </c>
      <c r="L399" s="37">
        <v>847001</v>
      </c>
      <c r="M399" s="37" t="s">
        <v>61</v>
      </c>
      <c r="N399" s="37">
        <v>200179</v>
      </c>
      <c r="O399" s="37" t="str">
        <f t="shared" si="23"/>
        <v>847.8470410.1.435310.000000.847001.200179</v>
      </c>
      <c r="P399" s="37" t="s">
        <v>1347</v>
      </c>
      <c r="Q399" s="37" t="s">
        <v>157</v>
      </c>
      <c r="R399" s="37">
        <v>4</v>
      </c>
      <c r="S399" s="38">
        <v>21307</v>
      </c>
      <c r="T399" s="37" t="s">
        <v>1835</v>
      </c>
      <c r="U399" s="38">
        <v>85228</v>
      </c>
      <c r="V399" s="37" t="s">
        <v>55</v>
      </c>
      <c r="W399" s="37" t="s">
        <v>56</v>
      </c>
      <c r="X399" s="37" t="s">
        <v>480</v>
      </c>
      <c r="Y399" s="37"/>
    </row>
    <row r="400" spans="1:25" s="39" customFormat="1" ht="14" customHeight="1" x14ac:dyDescent="0.35">
      <c r="A400" s="37" t="s">
        <v>222</v>
      </c>
      <c r="B400" s="37" t="s">
        <v>58</v>
      </c>
      <c r="C400" s="37" t="s">
        <v>1784</v>
      </c>
      <c r="D400" s="37">
        <v>847</v>
      </c>
      <c r="E400" s="37">
        <v>8470410</v>
      </c>
      <c r="F400" s="37" t="s">
        <v>1822</v>
      </c>
      <c r="G400" s="37">
        <v>1</v>
      </c>
      <c r="H400" s="37">
        <v>435350</v>
      </c>
      <c r="I400" s="37" t="s">
        <v>399</v>
      </c>
      <c r="J400" s="37" t="s">
        <v>60</v>
      </c>
      <c r="K400" s="37" t="s">
        <v>50</v>
      </c>
      <c r="L400" s="37">
        <v>847001</v>
      </c>
      <c r="M400" s="37" t="s">
        <v>61</v>
      </c>
      <c r="N400" s="37">
        <v>200179</v>
      </c>
      <c r="O400" s="37" t="str">
        <f t="shared" si="23"/>
        <v>847.8470410.1.435350.000000.847001.200179</v>
      </c>
      <c r="P400" s="37" t="s">
        <v>401</v>
      </c>
      <c r="Q400" s="37" t="s">
        <v>157</v>
      </c>
      <c r="R400" s="37">
        <v>10</v>
      </c>
      <c r="S400" s="38">
        <v>10000</v>
      </c>
      <c r="T400" s="37" t="s">
        <v>1838</v>
      </c>
      <c r="U400" s="38">
        <v>100000</v>
      </c>
      <c r="V400" s="37" t="s">
        <v>55</v>
      </c>
      <c r="W400" s="37" t="s">
        <v>197</v>
      </c>
      <c r="X400" s="37" t="s">
        <v>480</v>
      </c>
      <c r="Y400" s="37"/>
    </row>
    <row r="401" spans="1:25" s="39" customFormat="1" ht="14" customHeight="1" x14ac:dyDescent="0.35">
      <c r="A401" s="37" t="s">
        <v>245</v>
      </c>
      <c r="B401" s="37" t="s">
        <v>246</v>
      </c>
      <c r="C401" s="37" t="s">
        <v>1784</v>
      </c>
      <c r="D401" s="37">
        <v>847</v>
      </c>
      <c r="E401" s="37">
        <v>8470415</v>
      </c>
      <c r="F401" s="37" t="s">
        <v>1842</v>
      </c>
      <c r="G401" s="37">
        <v>1</v>
      </c>
      <c r="H401" s="37">
        <v>425510</v>
      </c>
      <c r="I401" s="37" t="s">
        <v>247</v>
      </c>
      <c r="J401" s="37" t="s">
        <v>60</v>
      </c>
      <c r="K401" s="37" t="s">
        <v>50</v>
      </c>
      <c r="L401" s="37">
        <v>847001</v>
      </c>
      <c r="M401" s="37" t="s">
        <v>61</v>
      </c>
      <c r="N401" s="37">
        <v>200179</v>
      </c>
      <c r="O401" s="37" t="str">
        <f t="shared" si="23"/>
        <v>847.8470415.1.425510.000000.847001.200179</v>
      </c>
      <c r="P401" s="37" t="s">
        <v>2187</v>
      </c>
      <c r="Q401" s="37" t="s">
        <v>269</v>
      </c>
      <c r="R401" s="37">
        <v>2</v>
      </c>
      <c r="S401" s="38">
        <v>50000</v>
      </c>
      <c r="T401" s="37" t="s">
        <v>2188</v>
      </c>
      <c r="U401" s="38">
        <v>100000</v>
      </c>
      <c r="V401" s="37" t="s">
        <v>210</v>
      </c>
      <c r="W401" s="37" t="s">
        <v>197</v>
      </c>
      <c r="X401" s="37" t="s">
        <v>618</v>
      </c>
      <c r="Y401" s="37"/>
    </row>
    <row r="402" spans="1:25" s="39" customFormat="1" ht="14" customHeight="1" x14ac:dyDescent="0.35">
      <c r="A402" s="37" t="s">
        <v>245</v>
      </c>
      <c r="B402" s="37" t="s">
        <v>246</v>
      </c>
      <c r="C402" s="37" t="s">
        <v>1784</v>
      </c>
      <c r="D402" s="37">
        <v>847</v>
      </c>
      <c r="E402" s="37">
        <v>8470415</v>
      </c>
      <c r="F402" s="37" t="s">
        <v>1842</v>
      </c>
      <c r="G402" s="37">
        <v>1</v>
      </c>
      <c r="H402" s="37">
        <v>425100</v>
      </c>
      <c r="I402" s="37" t="s">
        <v>1521</v>
      </c>
      <c r="J402" s="37" t="s">
        <v>60</v>
      </c>
      <c r="K402" s="37" t="s">
        <v>50</v>
      </c>
      <c r="L402" s="37">
        <v>847001</v>
      </c>
      <c r="M402" s="37" t="s">
        <v>61</v>
      </c>
      <c r="N402" s="37">
        <v>200179</v>
      </c>
      <c r="O402" s="37" t="str">
        <f t="shared" si="23"/>
        <v>847.8470415.1.425100.000000.847001.200179</v>
      </c>
      <c r="P402" s="37" t="s">
        <v>1185</v>
      </c>
      <c r="Q402" s="37" t="s">
        <v>269</v>
      </c>
      <c r="R402" s="37">
        <v>1</v>
      </c>
      <c r="S402" s="38">
        <v>50000</v>
      </c>
      <c r="T402" s="37" t="s">
        <v>2189</v>
      </c>
      <c r="U402" s="38">
        <v>50000</v>
      </c>
      <c r="V402" s="37" t="s">
        <v>55</v>
      </c>
      <c r="W402" s="37" t="s">
        <v>56</v>
      </c>
      <c r="X402" s="37" t="s">
        <v>834</v>
      </c>
      <c r="Y402" s="37"/>
    </row>
    <row r="403" spans="1:25" s="39" customFormat="1" ht="14" customHeight="1" x14ac:dyDescent="0.35">
      <c r="A403" s="37" t="s">
        <v>153</v>
      </c>
      <c r="B403" s="37" t="s">
        <v>58</v>
      </c>
      <c r="C403" s="37" t="s">
        <v>1784</v>
      </c>
      <c r="D403" s="37">
        <v>847</v>
      </c>
      <c r="E403" s="37">
        <v>8470415</v>
      </c>
      <c r="F403" s="37" t="s">
        <v>1842</v>
      </c>
      <c r="G403" s="37">
        <v>1</v>
      </c>
      <c r="H403" s="37">
        <v>428090</v>
      </c>
      <c r="I403" s="37" t="s">
        <v>154</v>
      </c>
      <c r="J403" s="37" t="s">
        <v>60</v>
      </c>
      <c r="K403" s="37" t="s">
        <v>50</v>
      </c>
      <c r="L403" s="37">
        <v>847001</v>
      </c>
      <c r="M403" s="37" t="s">
        <v>61</v>
      </c>
      <c r="N403" s="37">
        <v>200179</v>
      </c>
      <c r="O403" s="37" t="str">
        <f t="shared" si="23"/>
        <v>847.8470415.1.428090.000000.847001.200179</v>
      </c>
      <c r="P403" s="37" t="s">
        <v>2190</v>
      </c>
      <c r="Q403" s="37" t="s">
        <v>269</v>
      </c>
      <c r="R403" s="37">
        <v>10</v>
      </c>
      <c r="S403" s="38">
        <v>300</v>
      </c>
      <c r="T403" s="37" t="s">
        <v>2191</v>
      </c>
      <c r="U403" s="38">
        <v>3000</v>
      </c>
      <c r="V403" s="37" t="s">
        <v>55</v>
      </c>
      <c r="W403" s="37" t="s">
        <v>56</v>
      </c>
      <c r="X403" s="37" t="s">
        <v>384</v>
      </c>
      <c r="Y403" s="37"/>
    </row>
    <row r="404" spans="1:25" s="39" customFormat="1" ht="14" customHeight="1" x14ac:dyDescent="0.35">
      <c r="A404" s="37" t="s">
        <v>245</v>
      </c>
      <c r="B404" s="37" t="s">
        <v>58</v>
      </c>
      <c r="C404" s="58" t="s">
        <v>1784</v>
      </c>
      <c r="D404" s="37">
        <v>847</v>
      </c>
      <c r="E404" s="37">
        <v>8470415</v>
      </c>
      <c r="F404" s="37" t="s">
        <v>1842</v>
      </c>
      <c r="G404" s="37">
        <v>1</v>
      </c>
      <c r="H404" s="37">
        <v>427200</v>
      </c>
      <c r="I404" s="37" t="s">
        <v>1085</v>
      </c>
      <c r="J404" s="37" t="s">
        <v>60</v>
      </c>
      <c r="K404" s="37" t="s">
        <v>50</v>
      </c>
      <c r="L404" s="37">
        <v>847001</v>
      </c>
      <c r="M404" s="37" t="s">
        <v>61</v>
      </c>
      <c r="N404" s="37">
        <v>200179</v>
      </c>
      <c r="O404" s="37" t="str">
        <f t="shared" si="23"/>
        <v>847.8470415.1.427200.000000.847001.200179</v>
      </c>
      <c r="P404" s="37" t="s">
        <v>748</v>
      </c>
      <c r="Q404" s="37" t="s">
        <v>269</v>
      </c>
      <c r="R404" s="37">
        <v>20</v>
      </c>
      <c r="S404" s="38">
        <v>500</v>
      </c>
      <c r="T404" s="37" t="s">
        <v>2192</v>
      </c>
      <c r="U404" s="38">
        <v>10000</v>
      </c>
      <c r="V404" s="37" t="s">
        <v>55</v>
      </c>
      <c r="W404" s="37" t="s">
        <v>56</v>
      </c>
      <c r="X404" s="37" t="s">
        <v>237</v>
      </c>
      <c r="Y404" s="37"/>
    </row>
    <row r="405" spans="1:25" s="39" customFormat="1" ht="14" customHeight="1" x14ac:dyDescent="0.35">
      <c r="A405" s="37" t="s">
        <v>258</v>
      </c>
      <c r="B405" s="37" t="s">
        <v>350</v>
      </c>
      <c r="C405" s="37" t="s">
        <v>1784</v>
      </c>
      <c r="D405" s="37">
        <v>847</v>
      </c>
      <c r="E405" s="37">
        <v>8470415</v>
      </c>
      <c r="F405" s="37" t="s">
        <v>1842</v>
      </c>
      <c r="G405" s="37">
        <v>1</v>
      </c>
      <c r="H405" s="37">
        <v>425760</v>
      </c>
      <c r="I405" s="37" t="s">
        <v>352</v>
      </c>
      <c r="J405" s="37" t="s">
        <v>60</v>
      </c>
      <c r="K405" s="37" t="s">
        <v>50</v>
      </c>
      <c r="L405" s="37">
        <v>847001</v>
      </c>
      <c r="M405" s="37" t="s">
        <v>61</v>
      </c>
      <c r="N405" s="37">
        <v>200179</v>
      </c>
      <c r="O405" s="37" t="str">
        <f t="shared" si="23"/>
        <v>847.8470415.1.425760.000000.847001.200179</v>
      </c>
      <c r="P405" s="37" t="s">
        <v>440</v>
      </c>
      <c r="Q405" s="37" t="s">
        <v>269</v>
      </c>
      <c r="R405" s="37">
        <v>8</v>
      </c>
      <c r="S405" s="38">
        <v>2500</v>
      </c>
      <c r="T405" s="37" t="s">
        <v>2193</v>
      </c>
      <c r="U405" s="38">
        <v>20000</v>
      </c>
      <c r="V405" s="37" t="s">
        <v>55</v>
      </c>
      <c r="W405" s="37" t="s">
        <v>56</v>
      </c>
      <c r="X405" s="37" t="s">
        <v>365</v>
      </c>
      <c r="Y405" s="37"/>
    </row>
    <row r="406" spans="1:25" s="39" customFormat="1" ht="14" customHeight="1" x14ac:dyDescent="0.35">
      <c r="A406" s="37" t="s">
        <v>258</v>
      </c>
      <c r="B406" s="37" t="s">
        <v>58</v>
      </c>
      <c r="C406" s="37" t="s">
        <v>1784</v>
      </c>
      <c r="D406" s="37">
        <v>847</v>
      </c>
      <c r="E406" s="37">
        <v>8470415</v>
      </c>
      <c r="F406" s="37" t="s">
        <v>1842</v>
      </c>
      <c r="G406" s="37">
        <v>1</v>
      </c>
      <c r="H406" s="37">
        <v>425763</v>
      </c>
      <c r="I406" s="37" t="s">
        <v>359</v>
      </c>
      <c r="J406" s="37" t="s">
        <v>60</v>
      </c>
      <c r="K406" s="37" t="s">
        <v>50</v>
      </c>
      <c r="L406" s="37">
        <v>847001</v>
      </c>
      <c r="M406" s="37" t="s">
        <v>61</v>
      </c>
      <c r="N406" s="37">
        <v>200179</v>
      </c>
      <c r="O406" s="37" t="str">
        <f t="shared" si="23"/>
        <v>847.8470415.1.425763.000000.847001.200179</v>
      </c>
      <c r="P406" s="37" t="s">
        <v>1864</v>
      </c>
      <c r="Q406" s="37" t="s">
        <v>269</v>
      </c>
      <c r="R406" s="37">
        <v>2</v>
      </c>
      <c r="S406" s="38">
        <v>12000</v>
      </c>
      <c r="T406" s="37" t="s">
        <v>2194</v>
      </c>
      <c r="U406" s="38">
        <v>24000</v>
      </c>
      <c r="V406" s="37" t="s">
        <v>55</v>
      </c>
      <c r="W406" s="37" t="s">
        <v>56</v>
      </c>
      <c r="X406" s="37" t="s">
        <v>252</v>
      </c>
      <c r="Y406" s="37"/>
    </row>
    <row r="407" spans="1:25" s="39" customFormat="1" ht="14" customHeight="1" x14ac:dyDescent="0.35">
      <c r="A407" s="37" t="s">
        <v>258</v>
      </c>
      <c r="B407" s="37" t="s">
        <v>58</v>
      </c>
      <c r="C407" s="37" t="s">
        <v>1784</v>
      </c>
      <c r="D407" s="37">
        <v>847</v>
      </c>
      <c r="E407" s="37">
        <v>8470415</v>
      </c>
      <c r="F407" s="37" t="s">
        <v>1842</v>
      </c>
      <c r="G407" s="37">
        <v>1</v>
      </c>
      <c r="H407" s="37">
        <v>425763</v>
      </c>
      <c r="I407" s="37" t="s">
        <v>359</v>
      </c>
      <c r="J407" s="37" t="s">
        <v>60</v>
      </c>
      <c r="K407" s="37" t="s">
        <v>50</v>
      </c>
      <c r="L407" s="37">
        <v>847001</v>
      </c>
      <c r="M407" s="37" t="s">
        <v>61</v>
      </c>
      <c r="N407" s="37">
        <v>200179</v>
      </c>
      <c r="O407" s="37" t="str">
        <f t="shared" si="23"/>
        <v>847.8470415.1.425763.000000.847001.200179</v>
      </c>
      <c r="P407" s="37" t="s">
        <v>958</v>
      </c>
      <c r="Q407" s="37" t="s">
        <v>269</v>
      </c>
      <c r="R407" s="37">
        <v>2</v>
      </c>
      <c r="S407" s="38">
        <v>10000</v>
      </c>
      <c r="T407" s="37" t="s">
        <v>2195</v>
      </c>
      <c r="U407" s="38">
        <v>20000</v>
      </c>
      <c r="V407" s="37" t="s">
        <v>55</v>
      </c>
      <c r="W407" s="37" t="s">
        <v>56</v>
      </c>
      <c r="X407" s="37" t="s">
        <v>252</v>
      </c>
      <c r="Y407" s="37"/>
    </row>
    <row r="408" spans="1:25" s="39" customFormat="1" ht="14" customHeight="1" x14ac:dyDescent="0.35">
      <c r="A408" s="37" t="s">
        <v>258</v>
      </c>
      <c r="B408" s="37" t="s">
        <v>58</v>
      </c>
      <c r="C408" s="37" t="s">
        <v>1784</v>
      </c>
      <c r="D408" s="37">
        <v>847</v>
      </c>
      <c r="E408" s="37">
        <v>8470415</v>
      </c>
      <c r="F408" s="37" t="s">
        <v>1842</v>
      </c>
      <c r="G408" s="37">
        <v>1</v>
      </c>
      <c r="H408" s="37">
        <v>425763</v>
      </c>
      <c r="I408" s="37" t="s">
        <v>359</v>
      </c>
      <c r="J408" s="37" t="s">
        <v>60</v>
      </c>
      <c r="K408" s="37" t="s">
        <v>50</v>
      </c>
      <c r="L408" s="37">
        <v>847001</v>
      </c>
      <c r="M408" s="37" t="s">
        <v>61</v>
      </c>
      <c r="N408" s="37">
        <v>200179</v>
      </c>
      <c r="O408" s="37" t="str">
        <f t="shared" si="23"/>
        <v>847.8470415.1.425763.000000.847001.200179</v>
      </c>
      <c r="P408" s="37" t="s">
        <v>361</v>
      </c>
      <c r="Q408" s="37" t="s">
        <v>269</v>
      </c>
      <c r="R408" s="37">
        <v>120</v>
      </c>
      <c r="S408" s="38">
        <v>1000</v>
      </c>
      <c r="T408" s="37" t="s">
        <v>2196</v>
      </c>
      <c r="U408" s="38">
        <v>120000</v>
      </c>
      <c r="V408" s="37" t="s">
        <v>55</v>
      </c>
      <c r="W408" s="37" t="s">
        <v>56</v>
      </c>
      <c r="X408" s="37" t="s">
        <v>365</v>
      </c>
      <c r="Y408" s="37"/>
    </row>
    <row r="409" spans="1:25" s="39" customFormat="1" ht="14" customHeight="1" x14ac:dyDescent="0.35">
      <c r="A409" s="37" t="s">
        <v>46</v>
      </c>
      <c r="B409" s="37" t="s">
        <v>46</v>
      </c>
      <c r="C409" s="37" t="s">
        <v>1784</v>
      </c>
      <c r="D409" s="37">
        <v>847</v>
      </c>
      <c r="E409" s="37">
        <v>8470415</v>
      </c>
      <c r="F409" s="37" t="s">
        <v>1842</v>
      </c>
      <c r="G409" s="37">
        <v>1</v>
      </c>
      <c r="H409" s="37">
        <v>425770</v>
      </c>
      <c r="I409" s="37" t="s">
        <v>367</v>
      </c>
      <c r="J409" s="37" t="s">
        <v>60</v>
      </c>
      <c r="K409" s="37" t="s">
        <v>50</v>
      </c>
      <c r="L409" s="37">
        <v>847001</v>
      </c>
      <c r="M409" s="37" t="s">
        <v>61</v>
      </c>
      <c r="N409" s="37">
        <v>200179</v>
      </c>
      <c r="O409" s="37" t="str">
        <f t="shared" si="23"/>
        <v>847.8470415.1.425770.000000.847001.200179</v>
      </c>
      <c r="P409" s="37" t="s">
        <v>369</v>
      </c>
      <c r="Q409" s="37" t="s">
        <v>269</v>
      </c>
      <c r="R409" s="37">
        <v>28</v>
      </c>
      <c r="S409" s="38">
        <v>15000</v>
      </c>
      <c r="T409" s="37" t="s">
        <v>2197</v>
      </c>
      <c r="U409" s="38">
        <v>420000</v>
      </c>
      <c r="V409" s="37" t="s">
        <v>55</v>
      </c>
      <c r="W409" s="37" t="s">
        <v>56</v>
      </c>
      <c r="X409" s="37" t="s">
        <v>252</v>
      </c>
      <c r="Y409" s="37"/>
    </row>
    <row r="410" spans="1:25" s="39" customFormat="1" ht="14" customHeight="1" x14ac:dyDescent="0.35">
      <c r="A410" s="37" t="s">
        <v>46</v>
      </c>
      <c r="B410" s="37" t="s">
        <v>46</v>
      </c>
      <c r="C410" s="37" t="s">
        <v>1784</v>
      </c>
      <c r="D410" s="37">
        <v>847</v>
      </c>
      <c r="E410" s="37">
        <v>8470415</v>
      </c>
      <c r="F410" s="37" t="s">
        <v>1842</v>
      </c>
      <c r="G410" s="37">
        <v>1</v>
      </c>
      <c r="H410" s="37">
        <v>425770</v>
      </c>
      <c r="I410" s="37" t="s">
        <v>367</v>
      </c>
      <c r="J410" s="37" t="s">
        <v>60</v>
      </c>
      <c r="K410" s="37" t="s">
        <v>50</v>
      </c>
      <c r="L410" s="37">
        <v>847001</v>
      </c>
      <c r="M410" s="37" t="s">
        <v>61</v>
      </c>
      <c r="N410" s="37">
        <v>200179</v>
      </c>
      <c r="O410" s="37" t="str">
        <f t="shared" si="23"/>
        <v>847.8470415.1.425770.000000.847001.200179</v>
      </c>
      <c r="P410" s="37" t="s">
        <v>926</v>
      </c>
      <c r="Q410" s="37" t="s">
        <v>269</v>
      </c>
      <c r="R410" s="37">
        <v>5</v>
      </c>
      <c r="S410" s="38">
        <v>15000</v>
      </c>
      <c r="T410" s="37" t="s">
        <v>1877</v>
      </c>
      <c r="U410" s="38">
        <v>75000</v>
      </c>
      <c r="V410" s="37" t="s">
        <v>55</v>
      </c>
      <c r="W410" s="37" t="s">
        <v>56</v>
      </c>
      <c r="X410" s="37" t="s">
        <v>237</v>
      </c>
      <c r="Y410" s="37"/>
    </row>
    <row r="411" spans="1:25" s="39" customFormat="1" ht="14" customHeight="1" x14ac:dyDescent="0.35">
      <c r="A411" s="37" t="s">
        <v>189</v>
      </c>
      <c r="B411" s="37" t="s">
        <v>265</v>
      </c>
      <c r="C411" s="37" t="s">
        <v>1784</v>
      </c>
      <c r="D411" s="37">
        <v>847</v>
      </c>
      <c r="E411" s="37">
        <v>8470415</v>
      </c>
      <c r="F411" s="37" t="s">
        <v>1842</v>
      </c>
      <c r="G411" s="37">
        <v>1</v>
      </c>
      <c r="H411" s="37">
        <v>425900</v>
      </c>
      <c r="I411" s="37" t="s">
        <v>266</v>
      </c>
      <c r="J411" s="37" t="s">
        <v>60</v>
      </c>
      <c r="K411" s="37" t="s">
        <v>50</v>
      </c>
      <c r="L411" s="37">
        <v>847001</v>
      </c>
      <c r="M411" s="37" t="s">
        <v>61</v>
      </c>
      <c r="N411" s="37">
        <v>200179</v>
      </c>
      <c r="O411" s="37" t="str">
        <f t="shared" si="23"/>
        <v>847.8470415.1.425900.000000.847001.200179</v>
      </c>
      <c r="P411" s="37" t="s">
        <v>268</v>
      </c>
      <c r="Q411" s="37" t="s">
        <v>269</v>
      </c>
      <c r="R411" s="37">
        <v>10</v>
      </c>
      <c r="S411" s="38">
        <v>12000</v>
      </c>
      <c r="T411" s="37" t="s">
        <v>1880</v>
      </c>
      <c r="U411" s="38">
        <v>120000</v>
      </c>
      <c r="V411" s="37" t="s">
        <v>55</v>
      </c>
      <c r="W411" s="37" t="s">
        <v>56</v>
      </c>
      <c r="X411" s="37" t="s">
        <v>237</v>
      </c>
      <c r="Y411" s="37"/>
    </row>
    <row r="412" spans="1:25" s="39" customFormat="1" ht="14" customHeight="1" x14ac:dyDescent="0.35">
      <c r="A412" s="37" t="s">
        <v>189</v>
      </c>
      <c r="B412" s="37" t="s">
        <v>265</v>
      </c>
      <c r="C412" s="37" t="s">
        <v>1784</v>
      </c>
      <c r="D412" s="37">
        <v>847</v>
      </c>
      <c r="E412" s="37">
        <v>8470415</v>
      </c>
      <c r="F412" s="37" t="s">
        <v>1842</v>
      </c>
      <c r="G412" s="37">
        <v>1</v>
      </c>
      <c r="H412" s="37">
        <v>425900</v>
      </c>
      <c r="I412" s="37" t="s">
        <v>266</v>
      </c>
      <c r="J412" s="37" t="s">
        <v>60</v>
      </c>
      <c r="K412" s="37" t="s">
        <v>50</v>
      </c>
      <c r="L412" s="37">
        <v>847001</v>
      </c>
      <c r="M412" s="37" t="s">
        <v>61</v>
      </c>
      <c r="N412" s="37">
        <v>200179</v>
      </c>
      <c r="O412" s="37" t="str">
        <f t="shared" si="23"/>
        <v>847.8470415.1.425900.000000.847001.200179</v>
      </c>
      <c r="P412" s="37" t="s">
        <v>268</v>
      </c>
      <c r="Q412" s="37" t="s">
        <v>269</v>
      </c>
      <c r="R412" s="37">
        <v>1</v>
      </c>
      <c r="S412" s="38">
        <v>140000</v>
      </c>
      <c r="T412" s="37" t="s">
        <v>1882</v>
      </c>
      <c r="U412" s="38">
        <v>140000</v>
      </c>
      <c r="V412" s="37" t="s">
        <v>55</v>
      </c>
      <c r="W412" s="37" t="s">
        <v>56</v>
      </c>
      <c r="X412" s="37" t="s">
        <v>230</v>
      </c>
      <c r="Y412" s="37"/>
    </row>
    <row r="413" spans="1:25" s="39" customFormat="1" ht="14" customHeight="1" x14ac:dyDescent="0.35">
      <c r="A413" s="37" t="s">
        <v>63</v>
      </c>
      <c r="B413" s="37" t="s">
        <v>64</v>
      </c>
      <c r="C413" s="37" t="s">
        <v>1784</v>
      </c>
      <c r="D413" s="37">
        <v>847</v>
      </c>
      <c r="E413" s="37">
        <v>8470415</v>
      </c>
      <c r="F413" s="37" t="s">
        <v>1842</v>
      </c>
      <c r="G413" s="37">
        <v>1</v>
      </c>
      <c r="H413" s="37">
        <v>426610</v>
      </c>
      <c r="I413" s="37" t="s">
        <v>74</v>
      </c>
      <c r="J413" s="37" t="s">
        <v>60</v>
      </c>
      <c r="K413" s="37" t="s">
        <v>50</v>
      </c>
      <c r="L413" s="37">
        <v>847001</v>
      </c>
      <c r="M413" s="37" t="s">
        <v>61</v>
      </c>
      <c r="N413" s="37">
        <v>200179</v>
      </c>
      <c r="O413" s="37" t="str">
        <f t="shared" si="23"/>
        <v>847.8470415.1.426610.000000.847001.200179</v>
      </c>
      <c r="P413" s="37" t="s">
        <v>274</v>
      </c>
      <c r="Q413" s="37" t="s">
        <v>269</v>
      </c>
      <c r="R413" s="37">
        <v>1</v>
      </c>
      <c r="S413" s="38">
        <v>97617</v>
      </c>
      <c r="T413" s="37" t="s">
        <v>1886</v>
      </c>
      <c r="U413" s="38">
        <v>97617</v>
      </c>
      <c r="V413" s="37" t="s">
        <v>55</v>
      </c>
      <c r="W413" s="37" t="s">
        <v>56</v>
      </c>
      <c r="X413" s="37" t="s">
        <v>230</v>
      </c>
      <c r="Y413" s="37"/>
    </row>
    <row r="414" spans="1:25" s="39" customFormat="1" ht="14" customHeight="1" x14ac:dyDescent="0.35">
      <c r="A414" s="37" t="s">
        <v>63</v>
      </c>
      <c r="B414" s="37" t="s">
        <v>64</v>
      </c>
      <c r="C414" s="37" t="s">
        <v>1784</v>
      </c>
      <c r="D414" s="37">
        <v>847</v>
      </c>
      <c r="E414" s="37">
        <v>8470415</v>
      </c>
      <c r="F414" s="37" t="s">
        <v>1842</v>
      </c>
      <c r="G414" s="37">
        <v>1</v>
      </c>
      <c r="H414" s="37">
        <v>426610</v>
      </c>
      <c r="I414" s="37" t="s">
        <v>74</v>
      </c>
      <c r="J414" s="37" t="s">
        <v>60</v>
      </c>
      <c r="K414" s="37" t="s">
        <v>50</v>
      </c>
      <c r="L414" s="37">
        <v>847001</v>
      </c>
      <c r="M414" s="37" t="s">
        <v>61</v>
      </c>
      <c r="N414" s="37">
        <v>200179</v>
      </c>
      <c r="O414" s="37" t="str">
        <f t="shared" si="23"/>
        <v>847.8470415.1.426610.000000.847001.200179</v>
      </c>
      <c r="P414" s="37" t="s">
        <v>274</v>
      </c>
      <c r="Q414" s="37" t="s">
        <v>269</v>
      </c>
      <c r="R414" s="37">
        <v>1</v>
      </c>
      <c r="S414" s="38">
        <v>30000</v>
      </c>
      <c r="T414" s="37" t="s">
        <v>2198</v>
      </c>
      <c r="U414" s="38">
        <v>30000</v>
      </c>
      <c r="V414" s="37" t="s">
        <v>55</v>
      </c>
      <c r="W414" s="37" t="s">
        <v>56</v>
      </c>
      <c r="X414" s="37" t="s">
        <v>480</v>
      </c>
      <c r="Y414" s="37"/>
    </row>
    <row r="415" spans="1:25" s="39" customFormat="1" ht="14" customHeight="1" x14ac:dyDescent="0.35">
      <c r="A415" s="37" t="s">
        <v>63</v>
      </c>
      <c r="B415" s="37" t="s">
        <v>64</v>
      </c>
      <c r="C415" s="37" t="s">
        <v>1784</v>
      </c>
      <c r="D415" s="37">
        <v>847</v>
      </c>
      <c r="E415" s="37">
        <v>8470415</v>
      </c>
      <c r="F415" s="37" t="s">
        <v>1842</v>
      </c>
      <c r="G415" s="37">
        <v>1</v>
      </c>
      <c r="H415" s="37">
        <v>426610</v>
      </c>
      <c r="I415" s="37" t="s">
        <v>74</v>
      </c>
      <c r="J415" s="37" t="s">
        <v>60</v>
      </c>
      <c r="K415" s="37" t="s">
        <v>50</v>
      </c>
      <c r="L415" s="37">
        <v>847001</v>
      </c>
      <c r="M415" s="37" t="s">
        <v>61</v>
      </c>
      <c r="N415" s="37">
        <v>200179</v>
      </c>
      <c r="O415" s="37" t="str">
        <f t="shared" si="23"/>
        <v>847.8470415.1.426610.000000.847001.200179</v>
      </c>
      <c r="P415" s="37" t="s">
        <v>274</v>
      </c>
      <c r="Q415" s="37" t="s">
        <v>269</v>
      </c>
      <c r="R415" s="37">
        <v>1</v>
      </c>
      <c r="S415" s="38">
        <v>31195</v>
      </c>
      <c r="T415" s="37" t="s">
        <v>2199</v>
      </c>
      <c r="U415" s="38">
        <v>31195</v>
      </c>
      <c r="V415" s="37" t="s">
        <v>55</v>
      </c>
      <c r="W415" s="37" t="s">
        <v>56</v>
      </c>
      <c r="X415" s="37" t="s">
        <v>230</v>
      </c>
      <c r="Y415" s="37"/>
    </row>
    <row r="416" spans="1:25" s="39" customFormat="1" ht="14" customHeight="1" x14ac:dyDescent="0.35">
      <c r="A416" s="37" t="s">
        <v>245</v>
      </c>
      <c r="B416" s="37" t="s">
        <v>246</v>
      </c>
      <c r="C416" s="37" t="s">
        <v>1784</v>
      </c>
      <c r="D416" s="37">
        <v>847</v>
      </c>
      <c r="E416" s="37">
        <v>8470415</v>
      </c>
      <c r="F416" s="37" t="s">
        <v>1842</v>
      </c>
      <c r="G416" s="37">
        <v>1</v>
      </c>
      <c r="H416" s="37">
        <v>428640</v>
      </c>
      <c r="I416" s="37" t="s">
        <v>279</v>
      </c>
      <c r="J416" s="37" t="s">
        <v>60</v>
      </c>
      <c r="K416" s="37" t="s">
        <v>50</v>
      </c>
      <c r="L416" s="37">
        <v>847001</v>
      </c>
      <c r="M416" s="37" t="s">
        <v>61</v>
      </c>
      <c r="N416" s="37">
        <v>200179</v>
      </c>
      <c r="O416" s="37" t="str">
        <f t="shared" si="23"/>
        <v>847.8470415.1.428640.000000.847001.200179</v>
      </c>
      <c r="P416" s="37" t="s">
        <v>645</v>
      </c>
      <c r="Q416" s="37" t="s">
        <v>269</v>
      </c>
      <c r="R416" s="37">
        <v>1</v>
      </c>
      <c r="S416" s="38">
        <v>20000</v>
      </c>
      <c r="T416" s="37" t="s">
        <v>1898</v>
      </c>
      <c r="U416" s="38">
        <v>20000</v>
      </c>
      <c r="V416" s="37" t="s">
        <v>55</v>
      </c>
      <c r="W416" s="37" t="s">
        <v>56</v>
      </c>
      <c r="X416" s="37" t="s">
        <v>379</v>
      </c>
      <c r="Y416" s="37"/>
    </row>
    <row r="417" spans="1:25" s="39" customFormat="1" ht="14" customHeight="1" x14ac:dyDescent="0.35">
      <c r="A417" s="37" t="s">
        <v>222</v>
      </c>
      <c r="B417" s="37" t="s">
        <v>58</v>
      </c>
      <c r="C417" s="37" t="s">
        <v>1784</v>
      </c>
      <c r="D417" s="37">
        <v>847</v>
      </c>
      <c r="E417" s="37">
        <v>8470415</v>
      </c>
      <c r="F417" s="37" t="s">
        <v>1842</v>
      </c>
      <c r="G417" s="37">
        <v>1</v>
      </c>
      <c r="H417" s="37">
        <v>432209</v>
      </c>
      <c r="I417" s="37" t="s">
        <v>393</v>
      </c>
      <c r="J417" s="37" t="s">
        <v>60</v>
      </c>
      <c r="K417" s="37" t="s">
        <v>50</v>
      </c>
      <c r="L417" s="37">
        <v>847001</v>
      </c>
      <c r="M417" s="37" t="s">
        <v>61</v>
      </c>
      <c r="N417" s="37">
        <v>200179</v>
      </c>
      <c r="O417" s="37" t="str">
        <f t="shared" si="23"/>
        <v>847.8470415.1.432209.000000.847001.200179</v>
      </c>
      <c r="P417" s="37" t="s">
        <v>470</v>
      </c>
      <c r="Q417" s="37" t="s">
        <v>269</v>
      </c>
      <c r="R417" s="37">
        <v>1</v>
      </c>
      <c r="S417" s="38">
        <v>478500</v>
      </c>
      <c r="T417" s="37" t="s">
        <v>2200</v>
      </c>
      <c r="U417" s="38">
        <v>478500</v>
      </c>
      <c r="V417" s="37" t="s">
        <v>55</v>
      </c>
      <c r="W417" s="37" t="s">
        <v>56</v>
      </c>
      <c r="X417" s="37" t="s">
        <v>230</v>
      </c>
      <c r="Y417" s="37"/>
    </row>
    <row r="418" spans="1:25" s="39" customFormat="1" ht="14" customHeight="1" x14ac:dyDescent="0.35">
      <c r="A418" s="37" t="s">
        <v>222</v>
      </c>
      <c r="B418" s="37" t="s">
        <v>58</v>
      </c>
      <c r="C418" s="37" t="s">
        <v>1784</v>
      </c>
      <c r="D418" s="37">
        <v>847</v>
      </c>
      <c r="E418" s="37">
        <v>8470415</v>
      </c>
      <c r="F418" s="37" t="s">
        <v>1842</v>
      </c>
      <c r="G418" s="37">
        <v>1</v>
      </c>
      <c r="H418" s="37">
        <v>435350</v>
      </c>
      <c r="I418" s="37" t="s">
        <v>399</v>
      </c>
      <c r="J418" s="37" t="s">
        <v>60</v>
      </c>
      <c r="K418" s="37" t="s">
        <v>50</v>
      </c>
      <c r="L418" s="37">
        <v>847001</v>
      </c>
      <c r="M418" s="37" t="s">
        <v>61</v>
      </c>
      <c r="N418" s="37">
        <v>200179</v>
      </c>
      <c r="O418" s="37" t="str">
        <f t="shared" si="23"/>
        <v>847.8470415.1.435350.000000.847001.200179</v>
      </c>
      <c r="P418" s="37" t="s">
        <v>401</v>
      </c>
      <c r="Q418" s="37" t="s">
        <v>269</v>
      </c>
      <c r="R418" s="37">
        <v>20</v>
      </c>
      <c r="S418" s="38">
        <v>12000</v>
      </c>
      <c r="T418" s="37" t="s">
        <v>1911</v>
      </c>
      <c r="U418" s="38">
        <v>240000</v>
      </c>
      <c r="V418" s="37" t="s">
        <v>55</v>
      </c>
      <c r="W418" s="37" t="s">
        <v>56</v>
      </c>
      <c r="X418" s="37" t="s">
        <v>480</v>
      </c>
      <c r="Y418" s="37"/>
    </row>
    <row r="419" spans="1:25" s="39" customFormat="1" ht="14" customHeight="1" x14ac:dyDescent="0.35">
      <c r="A419" s="37" t="s">
        <v>222</v>
      </c>
      <c r="B419" s="37" t="s">
        <v>220</v>
      </c>
      <c r="C419" s="37" t="s">
        <v>1784</v>
      </c>
      <c r="D419" s="37">
        <v>847</v>
      </c>
      <c r="E419" s="37">
        <v>8470415</v>
      </c>
      <c r="F419" s="37" t="s">
        <v>1842</v>
      </c>
      <c r="G419" s="37">
        <v>1</v>
      </c>
      <c r="H419" s="37">
        <v>435508</v>
      </c>
      <c r="I419" s="37" t="s">
        <v>405</v>
      </c>
      <c r="J419" s="37" t="s">
        <v>60</v>
      </c>
      <c r="K419" s="37" t="s">
        <v>50</v>
      </c>
      <c r="L419" s="37">
        <v>847001</v>
      </c>
      <c r="M419" s="37" t="s">
        <v>61</v>
      </c>
      <c r="N419" s="37">
        <v>200179</v>
      </c>
      <c r="O419" s="37" t="str">
        <f t="shared" si="23"/>
        <v>847.8470415.1.435508.000000.847001.200179</v>
      </c>
      <c r="P419" s="37" t="s">
        <v>482</v>
      </c>
      <c r="Q419" s="37" t="s">
        <v>269</v>
      </c>
      <c r="R419" s="37">
        <v>1</v>
      </c>
      <c r="S419" s="38">
        <v>825000</v>
      </c>
      <c r="T419" s="37" t="s">
        <v>2200</v>
      </c>
      <c r="U419" s="38">
        <v>825000</v>
      </c>
      <c r="V419" s="37" t="s">
        <v>55</v>
      </c>
      <c r="W419" s="37" t="s">
        <v>56</v>
      </c>
      <c r="X419" s="37" t="s">
        <v>230</v>
      </c>
      <c r="Y419" s="37"/>
    </row>
    <row r="420" spans="1:25" s="39" customFormat="1" ht="14" customHeight="1" x14ac:dyDescent="0.35">
      <c r="A420" s="37" t="s">
        <v>222</v>
      </c>
      <c r="B420" s="37" t="s">
        <v>220</v>
      </c>
      <c r="C420" s="37" t="s">
        <v>1784</v>
      </c>
      <c r="D420" s="37">
        <v>847</v>
      </c>
      <c r="E420" s="37">
        <v>8470415</v>
      </c>
      <c r="F420" s="37" t="s">
        <v>1842</v>
      </c>
      <c r="G420" s="37">
        <v>1</v>
      </c>
      <c r="H420" s="37">
        <v>435508</v>
      </c>
      <c r="I420" s="37" t="s">
        <v>405</v>
      </c>
      <c r="J420" s="37" t="s">
        <v>60</v>
      </c>
      <c r="K420" s="37" t="s">
        <v>50</v>
      </c>
      <c r="L420" s="37">
        <v>847001</v>
      </c>
      <c r="M420" s="37" t="s">
        <v>61</v>
      </c>
      <c r="N420" s="37">
        <v>200179</v>
      </c>
      <c r="O420" s="37" t="str">
        <f t="shared" si="23"/>
        <v>847.8470415.1.435508.000000.847001.200179</v>
      </c>
      <c r="P420" s="37" t="s">
        <v>407</v>
      </c>
      <c r="Q420" s="37" t="s">
        <v>157</v>
      </c>
      <c r="R420" s="37">
        <v>4</v>
      </c>
      <c r="S420" s="38">
        <v>25000</v>
      </c>
      <c r="T420" s="37" t="s">
        <v>2201</v>
      </c>
      <c r="U420" s="38">
        <v>100000</v>
      </c>
      <c r="V420" s="37" t="s">
        <v>210</v>
      </c>
      <c r="W420" s="37" t="s">
        <v>197</v>
      </c>
      <c r="X420" s="37" t="s">
        <v>230</v>
      </c>
      <c r="Y420" s="37"/>
    </row>
    <row r="421" spans="1:25" s="39" customFormat="1" ht="14" customHeight="1" x14ac:dyDescent="0.35">
      <c r="A421" s="37" t="s">
        <v>161</v>
      </c>
      <c r="B421" s="37" t="s">
        <v>220</v>
      </c>
      <c r="C421" s="37" t="s">
        <v>1784</v>
      </c>
      <c r="D421" s="37">
        <v>847</v>
      </c>
      <c r="E421" s="37">
        <v>8470415</v>
      </c>
      <c r="F421" s="37" t="s">
        <v>1842</v>
      </c>
      <c r="G421" s="37">
        <v>1</v>
      </c>
      <c r="H421" s="37">
        <v>492316</v>
      </c>
      <c r="I421" s="37" t="s">
        <v>221</v>
      </c>
      <c r="J421" s="37" t="s">
        <v>60</v>
      </c>
      <c r="K421" s="37" t="s">
        <v>50</v>
      </c>
      <c r="L421" s="37">
        <v>847001</v>
      </c>
      <c r="M421" s="37" t="s">
        <v>61</v>
      </c>
      <c r="N421" s="37">
        <v>300180</v>
      </c>
      <c r="O421" s="37" t="str">
        <f t="shared" si="23"/>
        <v>847.8470415.1.492316.000000.847001.300180</v>
      </c>
      <c r="P421" s="37" t="s">
        <v>422</v>
      </c>
      <c r="Q421" s="37" t="s">
        <v>157</v>
      </c>
      <c r="R421" s="37">
        <v>1</v>
      </c>
      <c r="S421" s="38">
        <v>196260</v>
      </c>
      <c r="T421" s="37" t="s">
        <v>2202</v>
      </c>
      <c r="U421" s="38">
        <v>196260</v>
      </c>
      <c r="V421" s="37" t="s">
        <v>210</v>
      </c>
      <c r="W421" s="37" t="s">
        <v>56</v>
      </c>
      <c r="X421" s="37" t="s">
        <v>230</v>
      </c>
      <c r="Y421" s="37"/>
    </row>
    <row r="422" spans="1:25" s="39" customFormat="1" ht="14" customHeight="1" x14ac:dyDescent="0.35">
      <c r="A422" s="37" t="s">
        <v>161</v>
      </c>
      <c r="B422" s="37" t="s">
        <v>220</v>
      </c>
      <c r="C422" s="37" t="s">
        <v>1784</v>
      </c>
      <c r="D422" s="37">
        <v>847</v>
      </c>
      <c r="E422" s="37">
        <v>8470415</v>
      </c>
      <c r="F422" s="37" t="s">
        <v>1842</v>
      </c>
      <c r="G422" s="37">
        <v>1</v>
      </c>
      <c r="H422" s="37">
        <v>492316</v>
      </c>
      <c r="I422" s="37" t="s">
        <v>221</v>
      </c>
      <c r="J422" s="37" t="s">
        <v>60</v>
      </c>
      <c r="K422" s="37" t="s">
        <v>50</v>
      </c>
      <c r="L422" s="37">
        <v>847001</v>
      </c>
      <c r="M422" s="37" t="s">
        <v>61</v>
      </c>
      <c r="N422" s="37">
        <v>300180</v>
      </c>
      <c r="O422" s="37" t="str">
        <f t="shared" si="23"/>
        <v>847.8470415.1.492316.000000.847001.300180</v>
      </c>
      <c r="P422" s="37" t="s">
        <v>422</v>
      </c>
      <c r="Q422" s="37" t="s">
        <v>157</v>
      </c>
      <c r="R422" s="37">
        <v>1</v>
      </c>
      <c r="S422" s="38">
        <v>387920</v>
      </c>
      <c r="T422" s="37" t="s">
        <v>2203</v>
      </c>
      <c r="U422" s="38">
        <v>387920</v>
      </c>
      <c r="V422" s="37" t="s">
        <v>210</v>
      </c>
      <c r="W422" s="37" t="s">
        <v>56</v>
      </c>
      <c r="X422" s="37" t="s">
        <v>480</v>
      </c>
      <c r="Y422" s="37"/>
    </row>
    <row r="423" spans="1:25" s="39" customFormat="1" ht="14" customHeight="1" x14ac:dyDescent="0.35">
      <c r="A423" s="37" t="s">
        <v>161</v>
      </c>
      <c r="B423" s="37" t="s">
        <v>220</v>
      </c>
      <c r="C423" s="37" t="s">
        <v>1784</v>
      </c>
      <c r="D423" s="37">
        <v>847</v>
      </c>
      <c r="E423" s="37">
        <v>8470415</v>
      </c>
      <c r="F423" s="37" t="s">
        <v>1842</v>
      </c>
      <c r="G423" s="37">
        <v>1</v>
      </c>
      <c r="H423" s="37">
        <v>492316</v>
      </c>
      <c r="I423" s="37" t="s">
        <v>221</v>
      </c>
      <c r="J423" s="37" t="s">
        <v>60</v>
      </c>
      <c r="K423" s="37" t="s">
        <v>50</v>
      </c>
      <c r="L423" s="37">
        <v>847001</v>
      </c>
      <c r="M423" s="37" t="s">
        <v>61</v>
      </c>
      <c r="N423" s="37">
        <v>300180</v>
      </c>
      <c r="O423" s="37" t="str">
        <f t="shared" si="23"/>
        <v>847.8470415.1.492316.000000.847001.300180</v>
      </c>
      <c r="P423" s="37" t="s">
        <v>422</v>
      </c>
      <c r="Q423" s="37" t="s">
        <v>157</v>
      </c>
      <c r="R423" s="37">
        <v>1</v>
      </c>
      <c r="S423" s="38">
        <v>1916456</v>
      </c>
      <c r="T423" s="37" t="s">
        <v>2204</v>
      </c>
      <c r="U423" s="38">
        <v>1916456</v>
      </c>
      <c r="V423" s="37" t="s">
        <v>210</v>
      </c>
      <c r="W423" s="37" t="s">
        <v>56</v>
      </c>
      <c r="X423" s="37" t="s">
        <v>480</v>
      </c>
      <c r="Y423" s="37"/>
    </row>
    <row r="424" spans="1:25" s="39" customFormat="1" ht="14" customHeight="1" x14ac:dyDescent="0.35">
      <c r="A424" s="37" t="s">
        <v>161</v>
      </c>
      <c r="B424" s="37" t="s">
        <v>220</v>
      </c>
      <c r="C424" s="37" t="s">
        <v>1784</v>
      </c>
      <c r="D424" s="37">
        <v>847</v>
      </c>
      <c r="E424" s="37">
        <v>8470415</v>
      </c>
      <c r="F424" s="37" t="s">
        <v>1842</v>
      </c>
      <c r="G424" s="37">
        <v>1</v>
      </c>
      <c r="H424" s="37">
        <v>492316</v>
      </c>
      <c r="I424" s="37" t="s">
        <v>221</v>
      </c>
      <c r="J424" s="37" t="s">
        <v>60</v>
      </c>
      <c r="K424" s="37" t="s">
        <v>50</v>
      </c>
      <c r="L424" s="37">
        <v>847001</v>
      </c>
      <c r="M424" s="37" t="s">
        <v>61</v>
      </c>
      <c r="N424" s="37">
        <v>300180</v>
      </c>
      <c r="O424" s="37" t="str">
        <f t="shared" si="23"/>
        <v>847.8470415.1.492316.000000.847001.300180</v>
      </c>
      <c r="P424" s="37" t="s">
        <v>422</v>
      </c>
      <c r="Q424" s="37" t="s">
        <v>157</v>
      </c>
      <c r="R424" s="37">
        <v>1</v>
      </c>
      <c r="S424" s="38">
        <v>672000</v>
      </c>
      <c r="T424" s="37" t="s">
        <v>2205</v>
      </c>
      <c r="U424" s="38">
        <v>672000</v>
      </c>
      <c r="V424" s="37" t="s">
        <v>210</v>
      </c>
      <c r="W424" s="37" t="s">
        <v>56</v>
      </c>
      <c r="X424" s="37" t="s">
        <v>230</v>
      </c>
      <c r="Y424" s="37"/>
    </row>
    <row r="425" spans="1:25" s="39" customFormat="1" ht="14" customHeight="1" x14ac:dyDescent="0.35">
      <c r="A425" s="37" t="s">
        <v>161</v>
      </c>
      <c r="B425" s="37" t="s">
        <v>220</v>
      </c>
      <c r="C425" s="37" t="s">
        <v>1784</v>
      </c>
      <c r="D425" s="37">
        <v>847</v>
      </c>
      <c r="E425" s="37">
        <v>8470415</v>
      </c>
      <c r="F425" s="37" t="s">
        <v>1842</v>
      </c>
      <c r="G425" s="37">
        <v>1</v>
      </c>
      <c r="H425" s="37">
        <v>492316</v>
      </c>
      <c r="I425" s="37" t="s">
        <v>221</v>
      </c>
      <c r="J425" s="37" t="s">
        <v>60</v>
      </c>
      <c r="K425" s="37" t="s">
        <v>50</v>
      </c>
      <c r="L425" s="37">
        <v>847001</v>
      </c>
      <c r="M425" s="37" t="s">
        <v>61</v>
      </c>
      <c r="N425" s="37">
        <v>300180</v>
      </c>
      <c r="O425" s="37" t="str">
        <f t="shared" si="23"/>
        <v>847.8470415.1.492316.000000.847001.300180</v>
      </c>
      <c r="P425" s="37" t="s">
        <v>422</v>
      </c>
      <c r="Q425" s="37" t="s">
        <v>157</v>
      </c>
      <c r="R425" s="37">
        <v>1</v>
      </c>
      <c r="S425" s="38">
        <v>170625</v>
      </c>
      <c r="T425" s="37" t="s">
        <v>2206</v>
      </c>
      <c r="U425" s="38">
        <v>170625</v>
      </c>
      <c r="V425" s="37" t="s">
        <v>210</v>
      </c>
      <c r="W425" s="37" t="s">
        <v>56</v>
      </c>
      <c r="X425" s="37" t="s">
        <v>480</v>
      </c>
      <c r="Y425" s="37"/>
    </row>
    <row r="426" spans="1:25" s="39" customFormat="1" ht="14" customHeight="1" x14ac:dyDescent="0.35">
      <c r="A426" s="37" t="s">
        <v>161</v>
      </c>
      <c r="B426" s="37" t="s">
        <v>220</v>
      </c>
      <c r="C426" s="37" t="s">
        <v>1784</v>
      </c>
      <c r="D426" s="37">
        <v>847</v>
      </c>
      <c r="E426" s="37">
        <v>8470415</v>
      </c>
      <c r="F426" s="37" t="s">
        <v>1842</v>
      </c>
      <c r="G426" s="37">
        <v>1</v>
      </c>
      <c r="H426" s="37">
        <v>492316</v>
      </c>
      <c r="I426" s="37" t="s">
        <v>221</v>
      </c>
      <c r="J426" s="37" t="s">
        <v>60</v>
      </c>
      <c r="K426" s="37" t="s">
        <v>50</v>
      </c>
      <c r="L426" s="37">
        <v>847001</v>
      </c>
      <c r="M426" s="37" t="s">
        <v>61</v>
      </c>
      <c r="N426" s="37">
        <v>300180</v>
      </c>
      <c r="O426" s="37" t="str">
        <f t="shared" si="23"/>
        <v>847.8470415.1.492316.000000.847001.300180</v>
      </c>
      <c r="P426" s="37" t="s">
        <v>422</v>
      </c>
      <c r="Q426" s="37" t="s">
        <v>157</v>
      </c>
      <c r="R426" s="37">
        <v>1</v>
      </c>
      <c r="S426" s="38">
        <v>501942</v>
      </c>
      <c r="T426" s="37" t="s">
        <v>2207</v>
      </c>
      <c r="U426" s="38">
        <v>501942</v>
      </c>
      <c r="V426" s="37" t="s">
        <v>210</v>
      </c>
      <c r="W426" s="37" t="s">
        <v>56</v>
      </c>
      <c r="X426" s="37" t="s">
        <v>480</v>
      </c>
      <c r="Y426" s="37"/>
    </row>
    <row r="427" spans="1:25" s="39" customFormat="1" ht="14" customHeight="1" x14ac:dyDescent="0.35">
      <c r="A427" s="37" t="s">
        <v>161</v>
      </c>
      <c r="B427" s="37" t="s">
        <v>220</v>
      </c>
      <c r="C427" s="37" t="s">
        <v>1784</v>
      </c>
      <c r="D427" s="37">
        <v>847</v>
      </c>
      <c r="E427" s="37">
        <v>8470415</v>
      </c>
      <c r="F427" s="37" t="s">
        <v>1842</v>
      </c>
      <c r="G427" s="37">
        <v>1</v>
      </c>
      <c r="H427" s="37">
        <v>492316</v>
      </c>
      <c r="I427" s="37" t="s">
        <v>221</v>
      </c>
      <c r="J427" s="37" t="s">
        <v>60</v>
      </c>
      <c r="K427" s="37" t="s">
        <v>50</v>
      </c>
      <c r="L427" s="37">
        <v>847001</v>
      </c>
      <c r="M427" s="37" t="s">
        <v>61</v>
      </c>
      <c r="N427" s="37">
        <v>300180</v>
      </c>
      <c r="O427" s="37" t="str">
        <f t="shared" si="23"/>
        <v>847.8470415.1.492316.000000.847001.300180</v>
      </c>
      <c r="P427" s="37" t="s">
        <v>422</v>
      </c>
      <c r="Q427" s="37" t="s">
        <v>157</v>
      </c>
      <c r="R427" s="37">
        <v>1</v>
      </c>
      <c r="S427" s="38">
        <v>648997</v>
      </c>
      <c r="T427" s="37" t="s">
        <v>2208</v>
      </c>
      <c r="U427" s="38">
        <v>648997</v>
      </c>
      <c r="V427" s="37" t="s">
        <v>210</v>
      </c>
      <c r="W427" s="37" t="s">
        <v>56</v>
      </c>
      <c r="X427" s="37" t="s">
        <v>480</v>
      </c>
      <c r="Y427" s="37"/>
    </row>
    <row r="428" spans="1:25" s="39" customFormat="1" ht="14" customHeight="1" x14ac:dyDescent="0.35">
      <c r="A428" s="37" t="s">
        <v>245</v>
      </c>
      <c r="B428" s="37" t="s">
        <v>246</v>
      </c>
      <c r="C428" s="37" t="s">
        <v>1784</v>
      </c>
      <c r="D428" s="37">
        <v>847</v>
      </c>
      <c r="E428" s="37">
        <v>8470425</v>
      </c>
      <c r="F428" s="37" t="s">
        <v>1943</v>
      </c>
      <c r="G428" s="37">
        <v>1</v>
      </c>
      <c r="H428" s="37">
        <v>425510</v>
      </c>
      <c r="I428" s="37" t="s">
        <v>247</v>
      </c>
      <c r="J428" s="37" t="s">
        <v>60</v>
      </c>
      <c r="K428" s="37" t="s">
        <v>50</v>
      </c>
      <c r="L428" s="37">
        <v>847001</v>
      </c>
      <c r="M428" s="37" t="s">
        <v>61</v>
      </c>
      <c r="N428" s="37">
        <v>200179</v>
      </c>
      <c r="O428" s="37" t="str">
        <f t="shared" si="23"/>
        <v>847.8470425.1.425510.000000.847001.200179</v>
      </c>
      <c r="P428" s="37" t="s">
        <v>1405</v>
      </c>
      <c r="Q428" s="37" t="s">
        <v>269</v>
      </c>
      <c r="R428" s="37">
        <v>11</v>
      </c>
      <c r="S428" s="38">
        <v>5000</v>
      </c>
      <c r="T428" s="37" t="s">
        <v>2209</v>
      </c>
      <c r="U428" s="38">
        <v>55000</v>
      </c>
      <c r="V428" s="37" t="s">
        <v>55</v>
      </c>
      <c r="W428" s="37" t="s">
        <v>56</v>
      </c>
      <c r="X428" s="37" t="s">
        <v>379</v>
      </c>
      <c r="Y428" s="37"/>
    </row>
    <row r="429" spans="1:25" s="39" customFormat="1" ht="14" customHeight="1" x14ac:dyDescent="0.35">
      <c r="A429" s="37" t="s">
        <v>245</v>
      </c>
      <c r="B429" s="37" t="s">
        <v>246</v>
      </c>
      <c r="C429" s="37" t="s">
        <v>1784</v>
      </c>
      <c r="D429" s="37">
        <v>847</v>
      </c>
      <c r="E429" s="37">
        <v>8470425</v>
      </c>
      <c r="F429" s="37" t="s">
        <v>1943</v>
      </c>
      <c r="G429" s="37">
        <v>1</v>
      </c>
      <c r="H429" s="37">
        <v>425510</v>
      </c>
      <c r="I429" s="37" t="s">
        <v>247</v>
      </c>
      <c r="J429" s="37" t="s">
        <v>60</v>
      </c>
      <c r="K429" s="37" t="s">
        <v>50</v>
      </c>
      <c r="L429" s="37">
        <v>847001</v>
      </c>
      <c r="M429" s="37" t="s">
        <v>61</v>
      </c>
      <c r="N429" s="37">
        <v>200179</v>
      </c>
      <c r="O429" s="37" t="str">
        <f t="shared" si="23"/>
        <v>847.8470425.1.425510.000000.847001.200179</v>
      </c>
      <c r="P429" s="37" t="s">
        <v>344</v>
      </c>
      <c r="Q429" s="37" t="s">
        <v>256</v>
      </c>
      <c r="R429" s="37">
        <v>1</v>
      </c>
      <c r="S429" s="38">
        <v>220000</v>
      </c>
      <c r="T429" s="37" t="s">
        <v>1946</v>
      </c>
      <c r="U429" s="38">
        <v>220000</v>
      </c>
      <c r="V429" s="37" t="s">
        <v>55</v>
      </c>
      <c r="W429" s="37" t="s">
        <v>56</v>
      </c>
      <c r="X429" s="37" t="s">
        <v>618</v>
      </c>
      <c r="Y429" s="37"/>
    </row>
    <row r="430" spans="1:25" s="39" customFormat="1" ht="14" customHeight="1" x14ac:dyDescent="0.35">
      <c r="A430" s="37" t="s">
        <v>245</v>
      </c>
      <c r="B430" s="37" t="s">
        <v>58</v>
      </c>
      <c r="C430" s="37" t="s">
        <v>1784</v>
      </c>
      <c r="D430" s="37">
        <v>847</v>
      </c>
      <c r="E430" s="37">
        <v>8470425</v>
      </c>
      <c r="F430" s="37" t="s">
        <v>1943</v>
      </c>
      <c r="G430" s="37">
        <v>1</v>
      </c>
      <c r="H430" s="37">
        <v>425550</v>
      </c>
      <c r="I430" s="37" t="s">
        <v>253</v>
      </c>
      <c r="J430" s="37" t="s">
        <v>60</v>
      </c>
      <c r="K430" s="37" t="s">
        <v>50</v>
      </c>
      <c r="L430" s="37">
        <v>847001</v>
      </c>
      <c r="M430" s="37" t="s">
        <v>61</v>
      </c>
      <c r="N430" s="37">
        <v>200179</v>
      </c>
      <c r="O430" s="37" t="str">
        <f t="shared" si="23"/>
        <v>847.8470425.1.425550.000000.847001.200179</v>
      </c>
      <c r="P430" s="37" t="s">
        <v>255</v>
      </c>
      <c r="Q430" s="37" t="s">
        <v>256</v>
      </c>
      <c r="R430" s="37">
        <v>12</v>
      </c>
      <c r="S430" s="38">
        <v>22500</v>
      </c>
      <c r="T430" s="37" t="s">
        <v>1948</v>
      </c>
      <c r="U430" s="38">
        <v>270000</v>
      </c>
      <c r="V430" s="37" t="s">
        <v>55</v>
      </c>
      <c r="W430" s="37" t="s">
        <v>56</v>
      </c>
      <c r="X430" s="37" t="s">
        <v>379</v>
      </c>
      <c r="Y430" s="37"/>
    </row>
    <row r="431" spans="1:25" s="39" customFormat="1" ht="14" customHeight="1" x14ac:dyDescent="0.35">
      <c r="A431" s="37" t="s">
        <v>222</v>
      </c>
      <c r="B431" s="37" t="s">
        <v>58</v>
      </c>
      <c r="C431" s="37" t="s">
        <v>1784</v>
      </c>
      <c r="D431" s="37">
        <v>847</v>
      </c>
      <c r="E431" s="37">
        <v>8470425</v>
      </c>
      <c r="F431" s="37" t="s">
        <v>1943</v>
      </c>
      <c r="G431" s="37">
        <v>1</v>
      </c>
      <c r="H431" s="37">
        <v>425770</v>
      </c>
      <c r="I431" s="37" t="s">
        <v>367</v>
      </c>
      <c r="J431" s="37" t="s">
        <v>60</v>
      </c>
      <c r="K431" s="37" t="s">
        <v>50</v>
      </c>
      <c r="L431" s="37">
        <v>847001</v>
      </c>
      <c r="M431" s="37" t="s">
        <v>61</v>
      </c>
      <c r="N431" s="37">
        <v>200179</v>
      </c>
      <c r="O431" s="37" t="str">
        <f t="shared" si="23"/>
        <v>847.8470425.1.425770.000000.847001.200179</v>
      </c>
      <c r="P431" s="37" t="s">
        <v>926</v>
      </c>
      <c r="Q431" s="37" t="s">
        <v>157</v>
      </c>
      <c r="R431" s="37">
        <v>4</v>
      </c>
      <c r="S431" s="38">
        <v>22500</v>
      </c>
      <c r="T431" s="37" t="s">
        <v>2210</v>
      </c>
      <c r="U431" s="38">
        <v>90000</v>
      </c>
      <c r="V431" s="37" t="s">
        <v>55</v>
      </c>
      <c r="W431" s="37" t="s">
        <v>56</v>
      </c>
      <c r="X431" s="37" t="s">
        <v>379</v>
      </c>
      <c r="Y431" s="37"/>
    </row>
    <row r="432" spans="1:25" s="39" customFormat="1" ht="14" customHeight="1" x14ac:dyDescent="0.35">
      <c r="A432" s="37" t="s">
        <v>189</v>
      </c>
      <c r="B432" s="37" t="s">
        <v>265</v>
      </c>
      <c r="C432" s="37" t="s">
        <v>1784</v>
      </c>
      <c r="D432" s="37">
        <v>847</v>
      </c>
      <c r="E432" s="37">
        <v>8470425</v>
      </c>
      <c r="F432" s="37" t="s">
        <v>1943</v>
      </c>
      <c r="G432" s="37">
        <v>1</v>
      </c>
      <c r="H432" s="37">
        <v>425900</v>
      </c>
      <c r="I432" s="37" t="s">
        <v>266</v>
      </c>
      <c r="J432" s="37" t="s">
        <v>60</v>
      </c>
      <c r="K432" s="37" t="s">
        <v>50</v>
      </c>
      <c r="L432" s="37">
        <v>847001</v>
      </c>
      <c r="M432" s="37" t="s">
        <v>61</v>
      </c>
      <c r="N432" s="37">
        <v>200179</v>
      </c>
      <c r="O432" s="37" t="str">
        <f t="shared" si="23"/>
        <v>847.8470425.1.425900.000000.847001.200179</v>
      </c>
      <c r="P432" s="37" t="s">
        <v>268</v>
      </c>
      <c r="Q432" s="37" t="s">
        <v>269</v>
      </c>
      <c r="R432" s="37">
        <v>5</v>
      </c>
      <c r="S432" s="38">
        <v>20000</v>
      </c>
      <c r="T432" s="37" t="s">
        <v>1952</v>
      </c>
      <c r="U432" s="38">
        <v>100000</v>
      </c>
      <c r="V432" s="37" t="s">
        <v>55</v>
      </c>
      <c r="W432" s="37" t="s">
        <v>56</v>
      </c>
      <c r="X432" s="37"/>
      <c r="Y432" s="37"/>
    </row>
    <row r="433" spans="1:25" s="39" customFormat="1" ht="14" customHeight="1" x14ac:dyDescent="0.35">
      <c r="A433" s="37" t="s">
        <v>189</v>
      </c>
      <c r="B433" s="37" t="s">
        <v>265</v>
      </c>
      <c r="C433" s="37" t="s">
        <v>1784</v>
      </c>
      <c r="D433" s="37">
        <v>847</v>
      </c>
      <c r="E433" s="37">
        <v>8470425</v>
      </c>
      <c r="F433" s="37" t="s">
        <v>1943</v>
      </c>
      <c r="G433" s="37">
        <v>1</v>
      </c>
      <c r="H433" s="37">
        <v>425900</v>
      </c>
      <c r="I433" s="37" t="s">
        <v>266</v>
      </c>
      <c r="J433" s="37" t="s">
        <v>60</v>
      </c>
      <c r="K433" s="37" t="s">
        <v>50</v>
      </c>
      <c r="L433" s="37">
        <v>847001</v>
      </c>
      <c r="M433" s="37" t="s">
        <v>61</v>
      </c>
      <c r="N433" s="37">
        <v>200179</v>
      </c>
      <c r="O433" s="37" t="str">
        <f t="shared" si="23"/>
        <v>847.8470425.1.425900.000000.847001.200179</v>
      </c>
      <c r="P433" s="37" t="s">
        <v>268</v>
      </c>
      <c r="Q433" s="37" t="s">
        <v>269</v>
      </c>
      <c r="R433" s="37">
        <v>2</v>
      </c>
      <c r="S433" s="38">
        <v>10000</v>
      </c>
      <c r="T433" s="37" t="s">
        <v>1953</v>
      </c>
      <c r="U433" s="38">
        <v>20000</v>
      </c>
      <c r="V433" s="37" t="s">
        <v>55</v>
      </c>
      <c r="W433" s="37" t="s">
        <v>56</v>
      </c>
      <c r="X433" s="37" t="s">
        <v>1333</v>
      </c>
      <c r="Y433" s="37"/>
    </row>
    <row r="434" spans="1:25" s="39" customFormat="1" ht="14" customHeight="1" x14ac:dyDescent="0.35">
      <c r="A434" s="37" t="s">
        <v>63</v>
      </c>
      <c r="B434" s="37" t="s">
        <v>64</v>
      </c>
      <c r="C434" s="37" t="s">
        <v>1784</v>
      </c>
      <c r="D434" s="37">
        <v>847</v>
      </c>
      <c r="E434" s="37">
        <v>8470425</v>
      </c>
      <c r="F434" s="37" t="s">
        <v>1943</v>
      </c>
      <c r="G434" s="37">
        <v>1</v>
      </c>
      <c r="H434" s="37">
        <v>426610</v>
      </c>
      <c r="I434" s="37" t="s">
        <v>74</v>
      </c>
      <c r="J434" s="37" t="s">
        <v>60</v>
      </c>
      <c r="K434" s="37" t="s">
        <v>50</v>
      </c>
      <c r="L434" s="37">
        <v>847001</v>
      </c>
      <c r="M434" s="37" t="s">
        <v>61</v>
      </c>
      <c r="N434" s="37">
        <v>200179</v>
      </c>
      <c r="O434" s="37" t="str">
        <f t="shared" si="23"/>
        <v>847.8470425.1.426610.000000.847001.200179</v>
      </c>
      <c r="P434" s="37" t="s">
        <v>274</v>
      </c>
      <c r="Q434" s="37" t="s">
        <v>157</v>
      </c>
      <c r="R434" s="37">
        <v>10</v>
      </c>
      <c r="S434" s="38">
        <v>45000</v>
      </c>
      <c r="T434" s="37" t="s">
        <v>2211</v>
      </c>
      <c r="U434" s="38">
        <v>450000</v>
      </c>
      <c r="V434" s="37" t="s">
        <v>55</v>
      </c>
      <c r="W434" s="37" t="s">
        <v>56</v>
      </c>
      <c r="X434" s="37" t="s">
        <v>834</v>
      </c>
      <c r="Y434" s="37"/>
    </row>
    <row r="435" spans="1:25" s="39" customFormat="1" ht="14" customHeight="1" x14ac:dyDescent="0.35">
      <c r="A435" s="37" t="s">
        <v>153</v>
      </c>
      <c r="B435" s="37" t="s">
        <v>58</v>
      </c>
      <c r="C435" s="37" t="s">
        <v>1784</v>
      </c>
      <c r="D435" s="37">
        <v>847</v>
      </c>
      <c r="E435" s="37">
        <v>8470425</v>
      </c>
      <c r="F435" s="37" t="s">
        <v>1943</v>
      </c>
      <c r="G435" s="37">
        <v>1</v>
      </c>
      <c r="H435" s="37">
        <v>428090</v>
      </c>
      <c r="I435" s="37" t="s">
        <v>154</v>
      </c>
      <c r="J435" s="37" t="s">
        <v>60</v>
      </c>
      <c r="K435" s="37" t="s">
        <v>50</v>
      </c>
      <c r="L435" s="37">
        <v>847001</v>
      </c>
      <c r="M435" s="37" t="s">
        <v>61</v>
      </c>
      <c r="N435" s="37">
        <v>200179</v>
      </c>
      <c r="O435" s="37" t="str">
        <f t="shared" si="23"/>
        <v>847.8470425.1.428090.000000.847001.200179</v>
      </c>
      <c r="P435" s="37" t="s">
        <v>387</v>
      </c>
      <c r="Q435" s="37" t="s">
        <v>157</v>
      </c>
      <c r="R435" s="37">
        <v>3</v>
      </c>
      <c r="S435" s="38">
        <v>64000</v>
      </c>
      <c r="T435" s="37" t="s">
        <v>2212</v>
      </c>
      <c r="U435" s="38">
        <v>192000</v>
      </c>
      <c r="V435" s="37" t="s">
        <v>55</v>
      </c>
      <c r="W435" s="37" t="s">
        <v>56</v>
      </c>
      <c r="X435" s="37" t="s">
        <v>379</v>
      </c>
      <c r="Y435" s="37"/>
    </row>
    <row r="436" spans="1:25" s="39" customFormat="1" ht="14" customHeight="1" x14ac:dyDescent="0.35">
      <c r="A436" s="37" t="s">
        <v>222</v>
      </c>
      <c r="B436" s="37" t="s">
        <v>58</v>
      </c>
      <c r="C436" s="37" t="s">
        <v>1784</v>
      </c>
      <c r="D436" s="37">
        <v>847</v>
      </c>
      <c r="E436" s="37">
        <v>8470425</v>
      </c>
      <c r="F436" s="37" t="s">
        <v>1943</v>
      </c>
      <c r="G436" s="37">
        <v>1</v>
      </c>
      <c r="H436" s="37">
        <v>435350</v>
      </c>
      <c r="I436" s="37" t="s">
        <v>399</v>
      </c>
      <c r="J436" s="37" t="s">
        <v>60</v>
      </c>
      <c r="K436" s="37" t="s">
        <v>50</v>
      </c>
      <c r="L436" s="37">
        <v>847001</v>
      </c>
      <c r="M436" s="37" t="s">
        <v>61</v>
      </c>
      <c r="N436" s="37">
        <v>200179</v>
      </c>
      <c r="O436" s="37" t="str">
        <f t="shared" si="23"/>
        <v>847.8470425.1.435350.000000.847001.200179</v>
      </c>
      <c r="P436" s="37" t="s">
        <v>401</v>
      </c>
      <c r="Q436" s="37" t="s">
        <v>157</v>
      </c>
      <c r="R436" s="37">
        <v>15</v>
      </c>
      <c r="S436" s="38">
        <v>10000</v>
      </c>
      <c r="T436" s="37" t="s">
        <v>1959</v>
      </c>
      <c r="U436" s="38">
        <v>150000</v>
      </c>
      <c r="V436" s="37" t="s">
        <v>55</v>
      </c>
      <c r="W436" s="37" t="s">
        <v>56</v>
      </c>
      <c r="X436" s="37" t="s">
        <v>480</v>
      </c>
      <c r="Y436" s="37"/>
    </row>
    <row r="437" spans="1:25" s="39" customFormat="1" ht="14" customHeight="1" x14ac:dyDescent="0.35">
      <c r="A437" s="37" t="s">
        <v>222</v>
      </c>
      <c r="B437" s="37" t="s">
        <v>220</v>
      </c>
      <c r="C437" s="37" t="s">
        <v>1784</v>
      </c>
      <c r="D437" s="37">
        <v>847</v>
      </c>
      <c r="E437" s="37">
        <v>8470425</v>
      </c>
      <c r="F437" s="37" t="s">
        <v>1943</v>
      </c>
      <c r="G437" s="37">
        <v>1</v>
      </c>
      <c r="H437" s="37">
        <v>435508</v>
      </c>
      <c r="I437" s="37" t="s">
        <v>405</v>
      </c>
      <c r="J437" s="37" t="s">
        <v>60</v>
      </c>
      <c r="K437" s="37" t="s">
        <v>50</v>
      </c>
      <c r="L437" s="37">
        <v>847001</v>
      </c>
      <c r="M437" s="37" t="s">
        <v>61</v>
      </c>
      <c r="N437" s="37">
        <v>200179</v>
      </c>
      <c r="O437" s="37" t="str">
        <f t="shared" si="23"/>
        <v>847.8470425.1.435508.000000.847001.200179</v>
      </c>
      <c r="P437" s="37" t="s">
        <v>482</v>
      </c>
      <c r="Q437" s="37" t="s">
        <v>157</v>
      </c>
      <c r="R437" s="37">
        <v>14</v>
      </c>
      <c r="S437" s="38">
        <v>60000</v>
      </c>
      <c r="T437" s="37" t="s">
        <v>2213</v>
      </c>
      <c r="U437" s="38">
        <v>840000</v>
      </c>
      <c r="V437" s="37" t="s">
        <v>55</v>
      </c>
      <c r="W437" s="37" t="s">
        <v>56</v>
      </c>
      <c r="X437" s="37" t="s">
        <v>834</v>
      </c>
      <c r="Y437" s="37"/>
    </row>
    <row r="438" spans="1:25" s="39" customFormat="1" ht="14" customHeight="1" x14ac:dyDescent="0.35">
      <c r="A438" s="37" t="s">
        <v>63</v>
      </c>
      <c r="B438" s="37" t="s">
        <v>64</v>
      </c>
      <c r="C438" s="37" t="s">
        <v>1784</v>
      </c>
      <c r="D438" s="37">
        <v>847</v>
      </c>
      <c r="E438" s="37">
        <v>8470425</v>
      </c>
      <c r="F438" s="37" t="s">
        <v>1943</v>
      </c>
      <c r="G438" s="37">
        <v>1</v>
      </c>
      <c r="H438" s="37">
        <v>492310</v>
      </c>
      <c r="I438" s="37" t="s">
        <v>191</v>
      </c>
      <c r="J438" s="37" t="s">
        <v>60</v>
      </c>
      <c r="K438" s="37" t="s">
        <v>50</v>
      </c>
      <c r="L438" s="37">
        <v>847001</v>
      </c>
      <c r="M438" s="37" t="s">
        <v>61</v>
      </c>
      <c r="N438" s="37">
        <v>300180</v>
      </c>
      <c r="O438" s="37" t="str">
        <f t="shared" si="23"/>
        <v>847.8470425.1.492310.000000.847001.300180</v>
      </c>
      <c r="P438" s="37" t="s">
        <v>1614</v>
      </c>
      <c r="Q438" s="37" t="s">
        <v>68</v>
      </c>
      <c r="R438" s="37">
        <v>10</v>
      </c>
      <c r="S438" s="38">
        <v>75000</v>
      </c>
      <c r="T438" s="37" t="s">
        <v>2214</v>
      </c>
      <c r="U438" s="38">
        <v>750000</v>
      </c>
      <c r="V438" s="37" t="s">
        <v>55</v>
      </c>
      <c r="W438" s="37" t="s">
        <v>56</v>
      </c>
      <c r="X438" s="37" t="s">
        <v>834</v>
      </c>
      <c r="Y438" s="37"/>
    </row>
    <row r="439" spans="1:25" s="39" customFormat="1" ht="14" customHeight="1" x14ac:dyDescent="0.35">
      <c r="A439" s="37" t="s">
        <v>161</v>
      </c>
      <c r="B439" s="37" t="s">
        <v>220</v>
      </c>
      <c r="C439" s="37" t="s">
        <v>1784</v>
      </c>
      <c r="D439" s="37">
        <v>847</v>
      </c>
      <c r="E439" s="37">
        <v>8470425</v>
      </c>
      <c r="F439" s="37" t="s">
        <v>1943</v>
      </c>
      <c r="G439" s="37">
        <v>1</v>
      </c>
      <c r="H439" s="37">
        <v>492316</v>
      </c>
      <c r="I439" s="37" t="s">
        <v>221</v>
      </c>
      <c r="J439" s="37" t="s">
        <v>60</v>
      </c>
      <c r="K439" s="37" t="s">
        <v>50</v>
      </c>
      <c r="L439" s="37">
        <v>847001</v>
      </c>
      <c r="M439" s="37" t="s">
        <v>61</v>
      </c>
      <c r="N439" s="37">
        <v>300180</v>
      </c>
      <c r="O439" s="37" t="str">
        <f t="shared" si="23"/>
        <v>847.8470425.1.492316.000000.847001.300180</v>
      </c>
      <c r="P439" s="37" t="s">
        <v>422</v>
      </c>
      <c r="Q439" s="37" t="s">
        <v>157</v>
      </c>
      <c r="R439" s="37">
        <v>10</v>
      </c>
      <c r="S439" s="38">
        <v>200000</v>
      </c>
      <c r="T439" s="37" t="s">
        <v>2215</v>
      </c>
      <c r="U439" s="38">
        <v>2000000</v>
      </c>
      <c r="V439" s="37" t="s">
        <v>55</v>
      </c>
      <c r="W439" s="37" t="s">
        <v>56</v>
      </c>
      <c r="X439" s="37" t="s">
        <v>834</v>
      </c>
      <c r="Y439" s="37"/>
    </row>
    <row r="440" spans="1:25" s="39" customFormat="1" ht="14" customHeight="1" x14ac:dyDescent="0.35">
      <c r="A440" s="37" t="s">
        <v>161</v>
      </c>
      <c r="B440" s="37" t="s">
        <v>220</v>
      </c>
      <c r="C440" s="37" t="s">
        <v>1784</v>
      </c>
      <c r="D440" s="37">
        <v>847</v>
      </c>
      <c r="E440" s="37">
        <v>8470425</v>
      </c>
      <c r="F440" s="37" t="s">
        <v>1943</v>
      </c>
      <c r="G440" s="37">
        <v>1</v>
      </c>
      <c r="H440" s="37">
        <v>492316</v>
      </c>
      <c r="I440" s="37" t="s">
        <v>221</v>
      </c>
      <c r="J440" s="37" t="s">
        <v>60</v>
      </c>
      <c r="K440" s="37" t="s">
        <v>50</v>
      </c>
      <c r="L440" s="37">
        <v>847001</v>
      </c>
      <c r="M440" s="37" t="s">
        <v>61</v>
      </c>
      <c r="N440" s="37">
        <v>300180</v>
      </c>
      <c r="O440" s="37" t="str">
        <f t="shared" si="23"/>
        <v>847.8470425.1.492316.000000.847001.300180</v>
      </c>
      <c r="P440" s="37" t="s">
        <v>422</v>
      </c>
      <c r="Q440" s="37" t="s">
        <v>269</v>
      </c>
      <c r="R440" s="37">
        <v>3</v>
      </c>
      <c r="S440" s="38">
        <v>120000</v>
      </c>
      <c r="T440" s="37" t="s">
        <v>2216</v>
      </c>
      <c r="U440" s="38">
        <v>360000</v>
      </c>
      <c r="V440" s="37" t="s">
        <v>55</v>
      </c>
      <c r="W440" s="37" t="s">
        <v>56</v>
      </c>
      <c r="X440" s="37" t="s">
        <v>834</v>
      </c>
      <c r="Y440" s="37"/>
    </row>
    <row r="441" spans="1:25" s="39" customFormat="1" ht="14" customHeight="1" x14ac:dyDescent="0.35">
      <c r="A441" s="37" t="s">
        <v>161</v>
      </c>
      <c r="B441" s="37" t="s">
        <v>220</v>
      </c>
      <c r="C441" s="37" t="s">
        <v>1784</v>
      </c>
      <c r="D441" s="37">
        <v>847</v>
      </c>
      <c r="E441" s="37">
        <v>8470425</v>
      </c>
      <c r="F441" s="37" t="s">
        <v>1943</v>
      </c>
      <c r="G441" s="37">
        <v>1</v>
      </c>
      <c r="H441" s="37">
        <v>492316</v>
      </c>
      <c r="I441" s="37" t="s">
        <v>221</v>
      </c>
      <c r="J441" s="37" t="s">
        <v>60</v>
      </c>
      <c r="K441" s="37" t="s">
        <v>50</v>
      </c>
      <c r="L441" s="37">
        <v>847001</v>
      </c>
      <c r="M441" s="37" t="s">
        <v>61</v>
      </c>
      <c r="N441" s="37">
        <v>300180</v>
      </c>
      <c r="O441" s="37" t="str">
        <f t="shared" si="23"/>
        <v>847.8470425.1.492316.000000.847001.300180</v>
      </c>
      <c r="P441" s="37" t="s">
        <v>422</v>
      </c>
      <c r="Q441" s="37" t="s">
        <v>157</v>
      </c>
      <c r="R441" s="37">
        <v>1</v>
      </c>
      <c r="S441" s="38">
        <v>1010000</v>
      </c>
      <c r="T441" s="37" t="s">
        <v>2217</v>
      </c>
      <c r="U441" s="38">
        <v>1010000</v>
      </c>
      <c r="V441" s="37" t="s">
        <v>55</v>
      </c>
      <c r="W441" s="37" t="s">
        <v>56</v>
      </c>
      <c r="X441" s="37" t="s">
        <v>834</v>
      </c>
      <c r="Y441" s="37"/>
    </row>
    <row r="442" spans="1:25" s="39" customFormat="1" ht="14" customHeight="1" x14ac:dyDescent="0.35">
      <c r="A442" s="37" t="s">
        <v>222</v>
      </c>
      <c r="B442" s="37" t="s">
        <v>58</v>
      </c>
      <c r="C442" s="37" t="s">
        <v>1784</v>
      </c>
      <c r="D442" s="37">
        <v>847</v>
      </c>
      <c r="E442" s="37">
        <v>8470430</v>
      </c>
      <c r="F442" s="37" t="s">
        <v>1974</v>
      </c>
      <c r="G442" s="37">
        <v>1</v>
      </c>
      <c r="H442" s="37">
        <v>425761</v>
      </c>
      <c r="I442" s="37" t="s">
        <v>1383</v>
      </c>
      <c r="J442" s="37" t="s">
        <v>60</v>
      </c>
      <c r="K442" s="37" t="s">
        <v>50</v>
      </c>
      <c r="L442" s="37">
        <v>847001</v>
      </c>
      <c r="M442" s="37" t="s">
        <v>61</v>
      </c>
      <c r="N442" s="37">
        <v>200179</v>
      </c>
      <c r="O442" s="37" t="str">
        <f t="shared" si="23"/>
        <v>847.8470430.1.425761.000000.847001.200179</v>
      </c>
      <c r="P442" s="37" t="s">
        <v>727</v>
      </c>
      <c r="Q442" s="37" t="s">
        <v>68</v>
      </c>
      <c r="R442" s="37">
        <v>2</v>
      </c>
      <c r="S442" s="68">
        <v>4250</v>
      </c>
      <c r="T442" s="37" t="s">
        <v>2218</v>
      </c>
      <c r="U442" s="38">
        <v>8500</v>
      </c>
      <c r="V442" s="37" t="s">
        <v>55</v>
      </c>
      <c r="W442" s="37" t="s">
        <v>56</v>
      </c>
      <c r="X442" s="37" t="s">
        <v>384</v>
      </c>
      <c r="Y442" s="37"/>
    </row>
    <row r="443" spans="1:25" s="39" customFormat="1" ht="14" customHeight="1" x14ac:dyDescent="0.35">
      <c r="A443" s="37" t="s">
        <v>222</v>
      </c>
      <c r="B443" s="37" t="s">
        <v>58</v>
      </c>
      <c r="C443" s="37" t="s">
        <v>1784</v>
      </c>
      <c r="D443" s="37">
        <v>847</v>
      </c>
      <c r="E443" s="37">
        <v>8470430</v>
      </c>
      <c r="F443" s="37" t="s">
        <v>1974</v>
      </c>
      <c r="G443" s="37">
        <v>1</v>
      </c>
      <c r="H443" s="37">
        <v>425770</v>
      </c>
      <c r="I443" s="37" t="s">
        <v>367</v>
      </c>
      <c r="J443" s="37" t="s">
        <v>60</v>
      </c>
      <c r="K443" s="37" t="s">
        <v>50</v>
      </c>
      <c r="L443" s="37">
        <v>847001</v>
      </c>
      <c r="M443" s="37" t="s">
        <v>61</v>
      </c>
      <c r="N443" s="37">
        <v>200179</v>
      </c>
      <c r="O443" s="37" t="str">
        <f t="shared" si="23"/>
        <v>847.8470430.1.425770.000000.847001.200179</v>
      </c>
      <c r="P443" s="37" t="s">
        <v>369</v>
      </c>
      <c r="Q443" s="37" t="s">
        <v>157</v>
      </c>
      <c r="R443" s="37">
        <v>10</v>
      </c>
      <c r="S443" s="69">
        <v>37342.5</v>
      </c>
      <c r="T443" s="37" t="s">
        <v>1979</v>
      </c>
      <c r="U443" s="38">
        <v>373425</v>
      </c>
      <c r="V443" s="37" t="s">
        <v>55</v>
      </c>
      <c r="W443" s="37" t="s">
        <v>56</v>
      </c>
      <c r="X443" s="37" t="s">
        <v>480</v>
      </c>
      <c r="Y443" s="37"/>
    </row>
    <row r="444" spans="1:25" s="39" customFormat="1" ht="14" customHeight="1" x14ac:dyDescent="0.35">
      <c r="A444" s="37" t="s">
        <v>189</v>
      </c>
      <c r="B444" s="37" t="s">
        <v>265</v>
      </c>
      <c r="C444" s="37" t="s">
        <v>1784</v>
      </c>
      <c r="D444" s="37">
        <v>847</v>
      </c>
      <c r="E444" s="37">
        <v>8470430</v>
      </c>
      <c r="F444" s="37" t="s">
        <v>1974</v>
      </c>
      <c r="G444" s="37">
        <v>1</v>
      </c>
      <c r="H444" s="37">
        <v>425900</v>
      </c>
      <c r="I444" s="37" t="s">
        <v>266</v>
      </c>
      <c r="J444" s="37" t="s">
        <v>60</v>
      </c>
      <c r="K444" s="37" t="s">
        <v>50</v>
      </c>
      <c r="L444" s="37">
        <v>847001</v>
      </c>
      <c r="M444" s="37" t="s">
        <v>61</v>
      </c>
      <c r="N444" s="37">
        <v>200179</v>
      </c>
      <c r="O444" s="37" t="str">
        <f t="shared" si="23"/>
        <v>847.8470430.1.425900.000000.847001.200179</v>
      </c>
      <c r="P444" s="37" t="s">
        <v>268</v>
      </c>
      <c r="Q444" s="37" t="s">
        <v>269</v>
      </c>
      <c r="R444" s="37">
        <v>4</v>
      </c>
      <c r="S444" s="69">
        <v>3000</v>
      </c>
      <c r="T444" s="37" t="s">
        <v>1982</v>
      </c>
      <c r="U444" s="38">
        <v>12000</v>
      </c>
      <c r="V444" s="37" t="s">
        <v>55</v>
      </c>
      <c r="W444" s="37" t="s">
        <v>56</v>
      </c>
      <c r="X444" s="37" t="s">
        <v>816</v>
      </c>
      <c r="Y444" s="37"/>
    </row>
    <row r="445" spans="1:25" s="39" customFormat="1" ht="14" customHeight="1" x14ac:dyDescent="0.35">
      <c r="A445" s="37" t="s">
        <v>63</v>
      </c>
      <c r="B445" s="37" t="s">
        <v>64</v>
      </c>
      <c r="C445" s="37" t="s">
        <v>1784</v>
      </c>
      <c r="D445" s="37">
        <v>847</v>
      </c>
      <c r="E445" s="37">
        <v>8470430</v>
      </c>
      <c r="F445" s="37" t="s">
        <v>1974</v>
      </c>
      <c r="G445" s="37">
        <v>1</v>
      </c>
      <c r="H445" s="37">
        <v>426610</v>
      </c>
      <c r="I445" s="37" t="s">
        <v>74</v>
      </c>
      <c r="J445" s="37" t="s">
        <v>60</v>
      </c>
      <c r="K445" s="37" t="s">
        <v>50</v>
      </c>
      <c r="L445" s="37">
        <v>847001</v>
      </c>
      <c r="M445" s="37" t="s">
        <v>61</v>
      </c>
      <c r="N445" s="37">
        <v>200179</v>
      </c>
      <c r="O445" s="37" t="str">
        <f t="shared" si="23"/>
        <v>847.8470430.1.426610.000000.847001.200179</v>
      </c>
      <c r="P445" s="37" t="s">
        <v>274</v>
      </c>
      <c r="Q445" s="37" t="s">
        <v>157</v>
      </c>
      <c r="R445" s="37">
        <v>3</v>
      </c>
      <c r="S445" s="69">
        <v>8717.3333333333339</v>
      </c>
      <c r="T445" s="37" t="s">
        <v>1985</v>
      </c>
      <c r="U445" s="38">
        <v>26152</v>
      </c>
      <c r="V445" s="37" t="s">
        <v>55</v>
      </c>
      <c r="W445" s="37" t="s">
        <v>56</v>
      </c>
      <c r="X445" s="37" t="s">
        <v>816</v>
      </c>
      <c r="Y445" s="37"/>
    </row>
    <row r="446" spans="1:25" s="39" customFormat="1" ht="14" customHeight="1" x14ac:dyDescent="0.35">
      <c r="A446" s="37" t="s">
        <v>222</v>
      </c>
      <c r="B446" s="37" t="s">
        <v>58</v>
      </c>
      <c r="C446" s="37" t="s">
        <v>1784</v>
      </c>
      <c r="D446" s="37">
        <v>847</v>
      </c>
      <c r="E446" s="37">
        <v>8470430</v>
      </c>
      <c r="F446" s="37" t="s">
        <v>1974</v>
      </c>
      <c r="G446" s="37">
        <v>1</v>
      </c>
      <c r="H446" s="37">
        <v>432209</v>
      </c>
      <c r="I446" s="37" t="s">
        <v>393</v>
      </c>
      <c r="J446" s="37" t="s">
        <v>60</v>
      </c>
      <c r="K446" s="37" t="s">
        <v>50</v>
      </c>
      <c r="L446" s="37">
        <v>847001</v>
      </c>
      <c r="M446" s="37" t="s">
        <v>61</v>
      </c>
      <c r="N446" s="37">
        <v>200179</v>
      </c>
      <c r="O446" s="37" t="str">
        <f t="shared" si="23"/>
        <v>847.8470430.1.432209.000000.847001.200179</v>
      </c>
      <c r="P446" s="37" t="s">
        <v>470</v>
      </c>
      <c r="Q446" s="37" t="s">
        <v>157</v>
      </c>
      <c r="R446" s="37">
        <v>1</v>
      </c>
      <c r="S446" s="69">
        <v>1575</v>
      </c>
      <c r="T446" s="37" t="s">
        <v>2219</v>
      </c>
      <c r="U446" s="38">
        <v>1575</v>
      </c>
      <c r="V446" s="37" t="s">
        <v>55</v>
      </c>
      <c r="W446" s="37" t="s">
        <v>56</v>
      </c>
      <c r="X446" s="37" t="s">
        <v>70</v>
      </c>
      <c r="Y446" s="37"/>
    </row>
    <row r="447" spans="1:25" s="39" customFormat="1" ht="14" customHeight="1" x14ac:dyDescent="0.35">
      <c r="A447" s="37" t="s">
        <v>222</v>
      </c>
      <c r="B447" s="37" t="s">
        <v>220</v>
      </c>
      <c r="C447" s="37" t="s">
        <v>1784</v>
      </c>
      <c r="D447" s="37">
        <v>847</v>
      </c>
      <c r="E447" s="37">
        <v>8470430</v>
      </c>
      <c r="F447" s="37" t="s">
        <v>1974</v>
      </c>
      <c r="G447" s="37">
        <v>1</v>
      </c>
      <c r="H447" s="37">
        <v>435508</v>
      </c>
      <c r="I447" s="37" t="s">
        <v>405</v>
      </c>
      <c r="J447" s="37" t="s">
        <v>60</v>
      </c>
      <c r="K447" s="37" t="s">
        <v>50</v>
      </c>
      <c r="L447" s="37">
        <v>847001</v>
      </c>
      <c r="M447" s="37" t="s">
        <v>61</v>
      </c>
      <c r="N447" s="37">
        <v>200179</v>
      </c>
      <c r="O447" s="37" t="str">
        <f t="shared" si="23"/>
        <v>847.8470430.1.435508.000000.847001.200179</v>
      </c>
      <c r="P447" s="37" t="s">
        <v>482</v>
      </c>
      <c r="Q447" s="37" t="s">
        <v>157</v>
      </c>
      <c r="R447" s="37">
        <v>2</v>
      </c>
      <c r="S447" s="69">
        <v>42300</v>
      </c>
      <c r="T447" s="37" t="s">
        <v>2220</v>
      </c>
      <c r="U447" s="38">
        <v>84600</v>
      </c>
      <c r="V447" s="37" t="s">
        <v>55</v>
      </c>
      <c r="W447" s="37" t="s">
        <v>56</v>
      </c>
      <c r="X447" s="37" t="s">
        <v>816</v>
      </c>
      <c r="Y447" s="37"/>
    </row>
    <row r="448" spans="1:25" s="39" customFormat="1" ht="14" customHeight="1" x14ac:dyDescent="0.35">
      <c r="A448" s="37" t="s">
        <v>222</v>
      </c>
      <c r="B448" s="37" t="s">
        <v>58</v>
      </c>
      <c r="C448" s="37" t="s">
        <v>1784</v>
      </c>
      <c r="D448" s="37">
        <v>847</v>
      </c>
      <c r="E448" s="37">
        <v>8470440</v>
      </c>
      <c r="F448" s="37" t="s">
        <v>2001</v>
      </c>
      <c r="G448" s="37">
        <v>1</v>
      </c>
      <c r="H448" s="37">
        <v>420550</v>
      </c>
      <c r="I448" s="37" t="s">
        <v>225</v>
      </c>
      <c r="J448" s="37" t="s">
        <v>60</v>
      </c>
      <c r="K448" s="37" t="s">
        <v>50</v>
      </c>
      <c r="L448" s="37">
        <v>847001</v>
      </c>
      <c r="M448" s="37" t="s">
        <v>61</v>
      </c>
      <c r="N448" s="37">
        <v>200179</v>
      </c>
      <c r="O448" s="37" t="str">
        <f t="shared" si="23"/>
        <v>847.8470440.1.420550.000000.847001.200179</v>
      </c>
      <c r="P448" s="37" t="s">
        <v>227</v>
      </c>
      <c r="Q448" s="37" t="s">
        <v>157</v>
      </c>
      <c r="R448" s="37">
        <v>4</v>
      </c>
      <c r="S448" s="38">
        <v>140000</v>
      </c>
      <c r="T448" s="37" t="s">
        <v>2221</v>
      </c>
      <c r="U448" s="38">
        <v>560000</v>
      </c>
      <c r="V448" s="37" t="s">
        <v>1483</v>
      </c>
      <c r="W448" s="37" t="s">
        <v>56</v>
      </c>
      <c r="X448" s="37" t="s">
        <v>230</v>
      </c>
      <c r="Y448" s="37"/>
    </row>
    <row r="449" spans="1:25" s="39" customFormat="1" ht="14" customHeight="1" x14ac:dyDescent="0.35">
      <c r="A449" s="37" t="s">
        <v>222</v>
      </c>
      <c r="B449" s="37" t="s">
        <v>58</v>
      </c>
      <c r="C449" s="37" t="s">
        <v>1784</v>
      </c>
      <c r="D449" s="37">
        <v>847</v>
      </c>
      <c r="E449" s="37">
        <v>8470440</v>
      </c>
      <c r="F449" s="37" t="s">
        <v>2001</v>
      </c>
      <c r="G449" s="37">
        <v>1</v>
      </c>
      <c r="H449" s="37">
        <v>420570</v>
      </c>
      <c r="I449" s="37" t="s">
        <v>231</v>
      </c>
      <c r="J449" s="37" t="s">
        <v>60</v>
      </c>
      <c r="K449" s="37" t="s">
        <v>50</v>
      </c>
      <c r="L449" s="37">
        <v>847001</v>
      </c>
      <c r="M449" s="37" t="s">
        <v>61</v>
      </c>
      <c r="N449" s="37">
        <v>200179</v>
      </c>
      <c r="O449" s="37" t="str">
        <f t="shared" si="23"/>
        <v>847.8470440.1.420570.000000.847001.200179</v>
      </c>
      <c r="P449" s="37" t="s">
        <v>233</v>
      </c>
      <c r="Q449" s="37" t="s">
        <v>157</v>
      </c>
      <c r="R449" s="37">
        <v>10</v>
      </c>
      <c r="S449" s="38">
        <v>15000</v>
      </c>
      <c r="T449" s="37" t="s">
        <v>2222</v>
      </c>
      <c r="U449" s="38">
        <v>150000</v>
      </c>
      <c r="V449" s="37" t="s">
        <v>1483</v>
      </c>
      <c r="W449" s="37" t="s">
        <v>56</v>
      </c>
      <c r="X449" s="37" t="s">
        <v>230</v>
      </c>
      <c r="Y449" s="37"/>
    </row>
    <row r="450" spans="1:25" s="39" customFormat="1" ht="14" customHeight="1" x14ac:dyDescent="0.35">
      <c r="A450" s="37" t="s">
        <v>222</v>
      </c>
      <c r="B450" s="37" t="s">
        <v>238</v>
      </c>
      <c r="C450" s="37" t="s">
        <v>1784</v>
      </c>
      <c r="D450" s="37">
        <v>847</v>
      </c>
      <c r="E450" s="37">
        <v>8470440</v>
      </c>
      <c r="F450" s="37" t="s">
        <v>2001</v>
      </c>
      <c r="G450" s="37">
        <v>1</v>
      </c>
      <c r="H450" s="37">
        <v>421700</v>
      </c>
      <c r="I450" s="37" t="s">
        <v>239</v>
      </c>
      <c r="J450" s="37" t="s">
        <v>60</v>
      </c>
      <c r="K450" s="37" t="s">
        <v>50</v>
      </c>
      <c r="L450" s="37">
        <v>847001</v>
      </c>
      <c r="M450" s="37" t="s">
        <v>61</v>
      </c>
      <c r="N450" s="37">
        <v>200179</v>
      </c>
      <c r="O450" s="37" t="str">
        <f t="shared" si="23"/>
        <v>847.8470440.1.421700.000000.847001.200179</v>
      </c>
      <c r="P450" s="37" t="s">
        <v>1017</v>
      </c>
      <c r="Q450" s="37" t="s">
        <v>157</v>
      </c>
      <c r="R450" s="37">
        <v>2</v>
      </c>
      <c r="S450" s="38">
        <v>140000</v>
      </c>
      <c r="T450" s="37" t="s">
        <v>2223</v>
      </c>
      <c r="U450" s="38">
        <v>280000</v>
      </c>
      <c r="V450" s="37" t="s">
        <v>1483</v>
      </c>
      <c r="W450" s="37" t="s">
        <v>197</v>
      </c>
      <c r="X450" s="37" t="s">
        <v>230</v>
      </c>
      <c r="Y450" s="37"/>
    </row>
    <row r="451" spans="1:25" s="39" customFormat="1" ht="14" customHeight="1" x14ac:dyDescent="0.35">
      <c r="A451" s="37" t="s">
        <v>245</v>
      </c>
      <c r="B451" s="37" t="s">
        <v>246</v>
      </c>
      <c r="C451" s="37" t="s">
        <v>1784</v>
      </c>
      <c r="D451" s="37">
        <v>847</v>
      </c>
      <c r="E451" s="37">
        <v>8470440</v>
      </c>
      <c r="F451" s="37" t="s">
        <v>2001</v>
      </c>
      <c r="G451" s="37">
        <v>1</v>
      </c>
      <c r="H451" s="37">
        <v>425100</v>
      </c>
      <c r="I451" s="37" t="s">
        <v>1521</v>
      </c>
      <c r="J451" s="37" t="s">
        <v>60</v>
      </c>
      <c r="K451" s="37" t="s">
        <v>50</v>
      </c>
      <c r="L451" s="37">
        <v>847001</v>
      </c>
      <c r="M451" s="37" t="s">
        <v>61</v>
      </c>
      <c r="N451" s="37">
        <v>200179</v>
      </c>
      <c r="O451" s="37" t="str">
        <f t="shared" ref="O451:O514" si="25">CONCATENATE(D451,".",E451,".",G451,".",H451,".",J451,".",L451,".",N451)</f>
        <v>847.8470440.1.425100.000000.847001.200179</v>
      </c>
      <c r="P451" s="37" t="s">
        <v>2224</v>
      </c>
      <c r="Q451" s="37" t="s">
        <v>157</v>
      </c>
      <c r="R451" s="37">
        <v>2</v>
      </c>
      <c r="S451" s="38">
        <v>5000</v>
      </c>
      <c r="T451" s="37" t="s">
        <v>2225</v>
      </c>
      <c r="U451" s="38">
        <v>10000</v>
      </c>
      <c r="V451" s="37" t="s">
        <v>1483</v>
      </c>
      <c r="W451" s="37" t="s">
        <v>56</v>
      </c>
      <c r="X451" s="37" t="s">
        <v>230</v>
      </c>
      <c r="Y451" s="37"/>
    </row>
    <row r="452" spans="1:25" s="39" customFormat="1" ht="14" customHeight="1" x14ac:dyDescent="0.35">
      <c r="A452" s="37" t="s">
        <v>245</v>
      </c>
      <c r="B452" s="37" t="s">
        <v>246</v>
      </c>
      <c r="C452" s="37" t="s">
        <v>1784</v>
      </c>
      <c r="D452" s="37">
        <v>847</v>
      </c>
      <c r="E452" s="37">
        <v>8470440</v>
      </c>
      <c r="F452" s="37" t="s">
        <v>2001</v>
      </c>
      <c r="G452" s="37">
        <v>1</v>
      </c>
      <c r="H452" s="37">
        <v>425510</v>
      </c>
      <c r="I452" s="37" t="s">
        <v>247</v>
      </c>
      <c r="J452" s="37" t="s">
        <v>60</v>
      </c>
      <c r="K452" s="37" t="s">
        <v>50</v>
      </c>
      <c r="L452" s="37">
        <v>847001</v>
      </c>
      <c r="M452" s="37" t="s">
        <v>61</v>
      </c>
      <c r="N452" s="37">
        <v>200179</v>
      </c>
      <c r="O452" s="37" t="str">
        <f t="shared" si="25"/>
        <v>847.8470440.1.425510.000000.847001.200179</v>
      </c>
      <c r="P452" s="37" t="s">
        <v>1405</v>
      </c>
      <c r="Q452" s="37" t="s">
        <v>157</v>
      </c>
      <c r="R452" s="37">
        <v>15</v>
      </c>
      <c r="S452" s="38">
        <v>15000</v>
      </c>
      <c r="T452" s="37" t="s">
        <v>2226</v>
      </c>
      <c r="U452" s="38">
        <v>225000</v>
      </c>
      <c r="V452" s="37" t="s">
        <v>1483</v>
      </c>
      <c r="W452" s="37" t="s">
        <v>56</v>
      </c>
      <c r="X452" s="37" t="s">
        <v>230</v>
      </c>
      <c r="Y452" s="37"/>
    </row>
    <row r="453" spans="1:25" s="39" customFormat="1" ht="14" customHeight="1" x14ac:dyDescent="0.35">
      <c r="A453" s="37" t="s">
        <v>245</v>
      </c>
      <c r="B453" s="37" t="s">
        <v>58</v>
      </c>
      <c r="C453" s="37" t="s">
        <v>1784</v>
      </c>
      <c r="D453" s="37">
        <v>847</v>
      </c>
      <c r="E453" s="37">
        <v>8470440</v>
      </c>
      <c r="F453" s="37" t="s">
        <v>2001</v>
      </c>
      <c r="G453" s="37">
        <v>1</v>
      </c>
      <c r="H453" s="37">
        <v>425550</v>
      </c>
      <c r="I453" s="37" t="s">
        <v>253</v>
      </c>
      <c r="J453" s="37" t="s">
        <v>60</v>
      </c>
      <c r="K453" s="37" t="s">
        <v>50</v>
      </c>
      <c r="L453" s="37">
        <v>847001</v>
      </c>
      <c r="M453" s="37" t="s">
        <v>61</v>
      </c>
      <c r="N453" s="37">
        <v>200179</v>
      </c>
      <c r="O453" s="37" t="str">
        <f t="shared" si="25"/>
        <v>847.8470440.1.425550.000000.847001.200179</v>
      </c>
      <c r="P453" s="37" t="s">
        <v>255</v>
      </c>
      <c r="Q453" s="37" t="s">
        <v>157</v>
      </c>
      <c r="R453" s="37">
        <v>15</v>
      </c>
      <c r="S453" s="38">
        <v>15000</v>
      </c>
      <c r="T453" s="37" t="s">
        <v>2227</v>
      </c>
      <c r="U453" s="38">
        <v>225000</v>
      </c>
      <c r="V453" s="37" t="s">
        <v>1483</v>
      </c>
      <c r="W453" s="37" t="s">
        <v>56</v>
      </c>
      <c r="X453" s="37" t="s">
        <v>230</v>
      </c>
      <c r="Y453" s="37"/>
    </row>
    <row r="454" spans="1:25" s="39" customFormat="1" ht="14" customHeight="1" x14ac:dyDescent="0.35">
      <c r="A454" s="37" t="s">
        <v>222</v>
      </c>
      <c r="B454" s="37" t="s">
        <v>58</v>
      </c>
      <c r="C454" s="37" t="s">
        <v>1784</v>
      </c>
      <c r="D454" s="37">
        <v>847</v>
      </c>
      <c r="E454" s="37">
        <v>8470440</v>
      </c>
      <c r="F454" s="37" t="s">
        <v>2001</v>
      </c>
      <c r="G454" s="37">
        <v>1</v>
      </c>
      <c r="H454" s="37">
        <v>425761</v>
      </c>
      <c r="I454" s="37" t="s">
        <v>1383</v>
      </c>
      <c r="J454" s="37" t="s">
        <v>60</v>
      </c>
      <c r="K454" s="37" t="s">
        <v>50</v>
      </c>
      <c r="L454" s="37">
        <v>847001</v>
      </c>
      <c r="M454" s="37" t="s">
        <v>61</v>
      </c>
      <c r="N454" s="37">
        <v>200179</v>
      </c>
      <c r="O454" s="37" t="str">
        <f t="shared" si="25"/>
        <v>847.8470440.1.425761.000000.847001.200179</v>
      </c>
      <c r="P454" s="37" t="s">
        <v>1600</v>
      </c>
      <c r="Q454" s="37" t="s">
        <v>157</v>
      </c>
      <c r="R454" s="37">
        <v>300</v>
      </c>
      <c r="S454" s="38">
        <v>2500</v>
      </c>
      <c r="T454" s="37" t="s">
        <v>2228</v>
      </c>
      <c r="U454" s="38">
        <v>750000</v>
      </c>
      <c r="V454" s="37" t="s">
        <v>2027</v>
      </c>
      <c r="W454" s="37" t="s">
        <v>56</v>
      </c>
      <c r="X454" s="37" t="s">
        <v>230</v>
      </c>
      <c r="Y454" s="37"/>
    </row>
    <row r="455" spans="1:25" s="39" customFormat="1" ht="14" customHeight="1" x14ac:dyDescent="0.35">
      <c r="A455" s="37" t="s">
        <v>222</v>
      </c>
      <c r="B455" s="37" t="s">
        <v>58</v>
      </c>
      <c r="C455" s="37" t="s">
        <v>1784</v>
      </c>
      <c r="D455" s="37">
        <v>847</v>
      </c>
      <c r="E455" s="37">
        <v>8470440</v>
      </c>
      <c r="F455" s="37" t="s">
        <v>2001</v>
      </c>
      <c r="G455" s="37">
        <v>1</v>
      </c>
      <c r="H455" s="37">
        <v>425770</v>
      </c>
      <c r="I455" s="37" t="s">
        <v>367</v>
      </c>
      <c r="J455" s="37" t="s">
        <v>60</v>
      </c>
      <c r="K455" s="37" t="s">
        <v>50</v>
      </c>
      <c r="L455" s="37">
        <v>847001</v>
      </c>
      <c r="M455" s="37" t="s">
        <v>61</v>
      </c>
      <c r="N455" s="37">
        <v>200179</v>
      </c>
      <c r="O455" s="37" t="str">
        <f t="shared" si="25"/>
        <v>847.8470440.1.425770.000000.847001.200179</v>
      </c>
      <c r="P455" s="37" t="s">
        <v>369</v>
      </c>
      <c r="Q455" s="37" t="s">
        <v>157</v>
      </c>
      <c r="R455" s="37">
        <v>15</v>
      </c>
      <c r="S455" s="38">
        <v>20000</v>
      </c>
      <c r="T455" s="37" t="s">
        <v>2229</v>
      </c>
      <c r="U455" s="38">
        <v>300000</v>
      </c>
      <c r="V455" s="37" t="s">
        <v>1483</v>
      </c>
      <c r="W455" s="37" t="s">
        <v>56</v>
      </c>
      <c r="X455" s="37" t="s">
        <v>230</v>
      </c>
      <c r="Y455" s="37"/>
    </row>
    <row r="456" spans="1:25" s="39" customFormat="1" ht="14" customHeight="1" x14ac:dyDescent="0.35">
      <c r="A456" s="37" t="s">
        <v>63</v>
      </c>
      <c r="B456" s="37" t="s">
        <v>64</v>
      </c>
      <c r="C456" s="37" t="s">
        <v>1784</v>
      </c>
      <c r="D456" s="37">
        <v>847</v>
      </c>
      <c r="E456" s="37">
        <v>8470440</v>
      </c>
      <c r="F456" s="37" t="s">
        <v>2001</v>
      </c>
      <c r="G456" s="37">
        <v>1</v>
      </c>
      <c r="H456" s="37">
        <v>426610</v>
      </c>
      <c r="I456" s="37" t="s">
        <v>74</v>
      </c>
      <c r="J456" s="37" t="s">
        <v>60</v>
      </c>
      <c r="K456" s="37" t="s">
        <v>50</v>
      </c>
      <c r="L456" s="37">
        <v>847001</v>
      </c>
      <c r="M456" s="37" t="s">
        <v>61</v>
      </c>
      <c r="N456" s="37">
        <v>200179</v>
      </c>
      <c r="O456" s="37" t="str">
        <f t="shared" si="25"/>
        <v>847.8470440.1.426610.000000.847001.200179</v>
      </c>
      <c r="P456" s="37" t="s">
        <v>274</v>
      </c>
      <c r="Q456" s="37" t="s">
        <v>157</v>
      </c>
      <c r="R456" s="37">
        <v>4</v>
      </c>
      <c r="S456" s="38">
        <v>30000</v>
      </c>
      <c r="T456" s="37" t="s">
        <v>2230</v>
      </c>
      <c r="U456" s="38">
        <v>120000</v>
      </c>
      <c r="V456" s="37" t="s">
        <v>1483</v>
      </c>
      <c r="W456" s="37" t="s">
        <v>56</v>
      </c>
      <c r="X456" s="37" t="s">
        <v>230</v>
      </c>
      <c r="Y456" s="37"/>
    </row>
    <row r="457" spans="1:25" s="39" customFormat="1" ht="14" customHeight="1" x14ac:dyDescent="0.35">
      <c r="A457" s="37" t="s">
        <v>222</v>
      </c>
      <c r="B457" s="37" t="s">
        <v>58</v>
      </c>
      <c r="C457" s="37" t="s">
        <v>1784</v>
      </c>
      <c r="D457" s="37">
        <v>847</v>
      </c>
      <c r="E457" s="37">
        <v>8470440</v>
      </c>
      <c r="F457" s="37" t="s">
        <v>2001</v>
      </c>
      <c r="G457" s="37">
        <v>1</v>
      </c>
      <c r="H457" s="37">
        <v>427710</v>
      </c>
      <c r="I457" s="37" t="s">
        <v>1090</v>
      </c>
      <c r="J457" s="37" t="s">
        <v>60</v>
      </c>
      <c r="K457" s="37" t="s">
        <v>50</v>
      </c>
      <c r="L457" s="37">
        <v>847001</v>
      </c>
      <c r="M457" s="37" t="s">
        <v>61</v>
      </c>
      <c r="N457" s="37">
        <v>200179</v>
      </c>
      <c r="O457" s="37" t="str">
        <f t="shared" si="25"/>
        <v>847.8470440.1.427710.000000.847001.200179</v>
      </c>
      <c r="P457" s="37" t="s">
        <v>1092</v>
      </c>
      <c r="Q457" s="37" t="s">
        <v>157</v>
      </c>
      <c r="R457" s="37">
        <v>15</v>
      </c>
      <c r="S457" s="38">
        <v>1000</v>
      </c>
      <c r="T457" s="37" t="s">
        <v>2231</v>
      </c>
      <c r="U457" s="38">
        <v>15000</v>
      </c>
      <c r="V457" s="37" t="s">
        <v>1483</v>
      </c>
      <c r="W457" s="37" t="s">
        <v>56</v>
      </c>
      <c r="X457" s="37" t="s">
        <v>230</v>
      </c>
      <c r="Y457" s="37"/>
    </row>
    <row r="458" spans="1:25" s="39" customFormat="1" ht="14" customHeight="1" x14ac:dyDescent="0.35">
      <c r="A458" s="37" t="s">
        <v>153</v>
      </c>
      <c r="B458" s="37" t="s">
        <v>58</v>
      </c>
      <c r="C458" s="37" t="s">
        <v>1784</v>
      </c>
      <c r="D458" s="37">
        <v>847</v>
      </c>
      <c r="E458" s="37">
        <v>8470440</v>
      </c>
      <c r="F458" s="37" t="s">
        <v>2001</v>
      </c>
      <c r="G458" s="37">
        <v>1</v>
      </c>
      <c r="H458" s="37">
        <v>428090</v>
      </c>
      <c r="I458" s="37" t="s">
        <v>154</v>
      </c>
      <c r="J458" s="37" t="s">
        <v>60</v>
      </c>
      <c r="K458" s="37" t="s">
        <v>50</v>
      </c>
      <c r="L458" s="37">
        <v>847001</v>
      </c>
      <c r="M458" s="37" t="s">
        <v>61</v>
      </c>
      <c r="N458" s="37">
        <v>200179</v>
      </c>
      <c r="O458" s="37" t="str">
        <f t="shared" si="25"/>
        <v>847.8470440.1.428090.000000.847001.200179</v>
      </c>
      <c r="P458" s="37" t="s">
        <v>387</v>
      </c>
      <c r="Q458" s="37" t="s">
        <v>157</v>
      </c>
      <c r="R458" s="37">
        <v>15</v>
      </c>
      <c r="S458" s="38">
        <v>15000</v>
      </c>
      <c r="T458" s="37" t="s">
        <v>2232</v>
      </c>
      <c r="U458" s="38">
        <v>225000</v>
      </c>
      <c r="V458" s="37" t="s">
        <v>1483</v>
      </c>
      <c r="W458" s="37" t="s">
        <v>56</v>
      </c>
      <c r="X458" s="37" t="s">
        <v>230</v>
      </c>
      <c r="Y458" s="37"/>
    </row>
    <row r="459" spans="1:25" s="39" customFormat="1" ht="14" customHeight="1" x14ac:dyDescent="0.35">
      <c r="A459" s="37" t="s">
        <v>245</v>
      </c>
      <c r="B459" s="37" t="s">
        <v>246</v>
      </c>
      <c r="C459" s="37" t="s">
        <v>1784</v>
      </c>
      <c r="D459" s="37">
        <v>847</v>
      </c>
      <c r="E459" s="37">
        <v>8470440</v>
      </c>
      <c r="F459" s="37" t="s">
        <v>2001</v>
      </c>
      <c r="G459" s="37">
        <v>1</v>
      </c>
      <c r="H459" s="37">
        <v>428640</v>
      </c>
      <c r="I459" s="37" t="s">
        <v>279</v>
      </c>
      <c r="J459" s="37" t="s">
        <v>60</v>
      </c>
      <c r="K459" s="37" t="s">
        <v>50</v>
      </c>
      <c r="L459" s="37">
        <v>847001</v>
      </c>
      <c r="M459" s="37" t="s">
        <v>61</v>
      </c>
      <c r="N459" s="37">
        <v>200179</v>
      </c>
      <c r="O459" s="37" t="str">
        <f t="shared" si="25"/>
        <v>847.8470440.1.428640.000000.847001.200179</v>
      </c>
      <c r="P459" s="37" t="s">
        <v>645</v>
      </c>
      <c r="Q459" s="37" t="s">
        <v>157</v>
      </c>
      <c r="R459" s="37">
        <v>20</v>
      </c>
      <c r="S459" s="38">
        <v>5000</v>
      </c>
      <c r="T459" s="37" t="s">
        <v>2233</v>
      </c>
      <c r="U459" s="38">
        <v>100000</v>
      </c>
      <c r="V459" s="37" t="s">
        <v>1483</v>
      </c>
      <c r="W459" s="37" t="s">
        <v>56</v>
      </c>
      <c r="X459" s="37" t="s">
        <v>230</v>
      </c>
      <c r="Y459" s="37"/>
    </row>
    <row r="460" spans="1:25" s="39" customFormat="1" ht="14" customHeight="1" x14ac:dyDescent="0.35">
      <c r="A460" s="37" t="s">
        <v>222</v>
      </c>
      <c r="B460" s="37" t="s">
        <v>58</v>
      </c>
      <c r="C460" s="37" t="s">
        <v>1784</v>
      </c>
      <c r="D460" s="37">
        <v>847</v>
      </c>
      <c r="E460" s="37">
        <v>8470440</v>
      </c>
      <c r="F460" s="37" t="s">
        <v>2001</v>
      </c>
      <c r="G460" s="37">
        <v>1</v>
      </c>
      <c r="H460" s="37">
        <v>435340</v>
      </c>
      <c r="I460" s="37" t="s">
        <v>655</v>
      </c>
      <c r="J460" s="37" t="s">
        <v>60</v>
      </c>
      <c r="K460" s="37" t="s">
        <v>50</v>
      </c>
      <c r="L460" s="37">
        <v>847001</v>
      </c>
      <c r="M460" s="37" t="s">
        <v>61</v>
      </c>
      <c r="N460" s="37">
        <v>200179</v>
      </c>
      <c r="O460" s="37" t="str">
        <f t="shared" si="25"/>
        <v>847.8470440.1.435340.000000.847001.200179</v>
      </c>
      <c r="P460" s="37" t="s">
        <v>882</v>
      </c>
      <c r="Q460" s="37" t="s">
        <v>157</v>
      </c>
      <c r="R460" s="37">
        <v>4</v>
      </c>
      <c r="S460" s="38">
        <v>30000</v>
      </c>
      <c r="T460" s="37" t="s">
        <v>2234</v>
      </c>
      <c r="U460" s="38">
        <v>120000</v>
      </c>
      <c r="V460" s="37" t="s">
        <v>1483</v>
      </c>
      <c r="W460" s="37" t="s">
        <v>56</v>
      </c>
      <c r="X460" s="37" t="s">
        <v>230</v>
      </c>
      <c r="Y460" s="37"/>
    </row>
    <row r="461" spans="1:25" s="39" customFormat="1" ht="14" customHeight="1" x14ac:dyDescent="0.35">
      <c r="A461" s="37" t="s">
        <v>222</v>
      </c>
      <c r="B461" s="37" t="s">
        <v>58</v>
      </c>
      <c r="C461" s="37" t="s">
        <v>1784</v>
      </c>
      <c r="D461" s="37">
        <v>847</v>
      </c>
      <c r="E461" s="37">
        <v>8470440</v>
      </c>
      <c r="F461" s="37" t="s">
        <v>2001</v>
      </c>
      <c r="G461" s="37">
        <v>1</v>
      </c>
      <c r="H461" s="37">
        <v>435350</v>
      </c>
      <c r="I461" s="37" t="s">
        <v>399</v>
      </c>
      <c r="J461" s="37" t="s">
        <v>60</v>
      </c>
      <c r="K461" s="37" t="s">
        <v>50</v>
      </c>
      <c r="L461" s="37">
        <v>847001</v>
      </c>
      <c r="M461" s="37" t="s">
        <v>61</v>
      </c>
      <c r="N461" s="37">
        <v>200179</v>
      </c>
      <c r="O461" s="37" t="str">
        <f t="shared" si="25"/>
        <v>847.8470440.1.435350.000000.847001.200179</v>
      </c>
      <c r="P461" s="37" t="s">
        <v>401</v>
      </c>
      <c r="Q461" s="37" t="s">
        <v>157</v>
      </c>
      <c r="R461" s="37">
        <v>20</v>
      </c>
      <c r="S461" s="38">
        <v>2000</v>
      </c>
      <c r="T461" s="37" t="s">
        <v>2235</v>
      </c>
      <c r="U461" s="38">
        <v>40000</v>
      </c>
      <c r="V461" s="37" t="s">
        <v>1483</v>
      </c>
      <c r="W461" s="37" t="s">
        <v>56</v>
      </c>
      <c r="X461" s="37" t="s">
        <v>230</v>
      </c>
      <c r="Y461" s="37"/>
    </row>
    <row r="462" spans="1:25" s="39" customFormat="1" ht="14" customHeight="1" x14ac:dyDescent="0.35">
      <c r="A462" s="37" t="s">
        <v>222</v>
      </c>
      <c r="B462" s="37" t="s">
        <v>58</v>
      </c>
      <c r="C462" s="37" t="s">
        <v>1784</v>
      </c>
      <c r="D462" s="37">
        <v>847</v>
      </c>
      <c r="E462" s="37">
        <v>8470440</v>
      </c>
      <c r="F462" s="37" t="s">
        <v>2001</v>
      </c>
      <c r="G462" s="37">
        <v>1</v>
      </c>
      <c r="H462" s="37">
        <v>436600</v>
      </c>
      <c r="I462" s="37" t="s">
        <v>416</v>
      </c>
      <c r="J462" s="37" t="s">
        <v>60</v>
      </c>
      <c r="K462" s="37" t="s">
        <v>50</v>
      </c>
      <c r="L462" s="37">
        <v>847001</v>
      </c>
      <c r="M462" s="37" t="s">
        <v>61</v>
      </c>
      <c r="N462" s="37">
        <v>200179</v>
      </c>
      <c r="O462" s="37" t="str">
        <f t="shared" si="25"/>
        <v>847.8470440.1.436600.000000.847001.200179</v>
      </c>
      <c r="P462" s="37" t="s">
        <v>418</v>
      </c>
      <c r="Q462" s="37" t="s">
        <v>157</v>
      </c>
      <c r="R462" s="37">
        <v>15</v>
      </c>
      <c r="S462" s="38">
        <v>1500</v>
      </c>
      <c r="T462" s="37" t="s">
        <v>2236</v>
      </c>
      <c r="U462" s="38">
        <v>22500</v>
      </c>
      <c r="V462" s="37" t="s">
        <v>1483</v>
      </c>
      <c r="W462" s="37" t="s">
        <v>56</v>
      </c>
      <c r="X462" s="37" t="s">
        <v>230</v>
      </c>
      <c r="Y462" s="37"/>
    </row>
    <row r="463" spans="1:25" s="39" customFormat="1" ht="14" customHeight="1" x14ac:dyDescent="0.35">
      <c r="A463" s="37" t="s">
        <v>222</v>
      </c>
      <c r="B463" s="37" t="s">
        <v>58</v>
      </c>
      <c r="C463" s="37" t="s">
        <v>1784</v>
      </c>
      <c r="D463" s="37">
        <v>847</v>
      </c>
      <c r="E463" s="37">
        <v>8470445</v>
      </c>
      <c r="F463" s="37" t="s">
        <v>2056</v>
      </c>
      <c r="G463" s="37">
        <v>1</v>
      </c>
      <c r="H463" s="37">
        <v>427710</v>
      </c>
      <c r="I463" s="37" t="s">
        <v>1090</v>
      </c>
      <c r="J463" s="37" t="s">
        <v>60</v>
      </c>
      <c r="K463" s="37" t="s">
        <v>50</v>
      </c>
      <c r="L463" s="37">
        <v>847001</v>
      </c>
      <c r="M463" s="37" t="s">
        <v>61</v>
      </c>
      <c r="N463" s="37">
        <v>200179</v>
      </c>
      <c r="O463" s="37" t="str">
        <f t="shared" si="25"/>
        <v>847.8470445.1.427710.000000.847001.200179</v>
      </c>
      <c r="P463" s="37" t="s">
        <v>1092</v>
      </c>
      <c r="Q463" s="37" t="s">
        <v>157</v>
      </c>
      <c r="R463" s="37">
        <v>1</v>
      </c>
      <c r="S463" s="38">
        <v>13138</v>
      </c>
      <c r="T463" s="37" t="s">
        <v>2237</v>
      </c>
      <c r="U463" s="38">
        <v>13138</v>
      </c>
      <c r="V463" s="37" t="s">
        <v>55</v>
      </c>
      <c r="W463" s="37" t="s">
        <v>56</v>
      </c>
      <c r="X463" s="37" t="s">
        <v>237</v>
      </c>
      <c r="Y463" s="37"/>
    </row>
    <row r="464" spans="1:25" s="39" customFormat="1" ht="14" customHeight="1" x14ac:dyDescent="0.35">
      <c r="A464" s="37" t="s">
        <v>189</v>
      </c>
      <c r="B464" s="37" t="s">
        <v>265</v>
      </c>
      <c r="C464" s="37" t="s">
        <v>1784</v>
      </c>
      <c r="D464" s="37">
        <v>847</v>
      </c>
      <c r="E464" s="37">
        <v>8470445</v>
      </c>
      <c r="F464" s="37" t="s">
        <v>2056</v>
      </c>
      <c r="G464" s="37">
        <v>1</v>
      </c>
      <c r="H464" s="37">
        <v>425900</v>
      </c>
      <c r="I464" s="37" t="s">
        <v>266</v>
      </c>
      <c r="J464" s="37" t="s">
        <v>60</v>
      </c>
      <c r="K464" s="37" t="s">
        <v>50</v>
      </c>
      <c r="L464" s="37">
        <v>847001</v>
      </c>
      <c r="M464" s="37" t="s">
        <v>61</v>
      </c>
      <c r="N464" s="37">
        <v>200179</v>
      </c>
      <c r="O464" s="37" t="str">
        <f t="shared" si="25"/>
        <v>847.8470445.1.425900.000000.847001.200179</v>
      </c>
      <c r="P464" s="37" t="s">
        <v>268</v>
      </c>
      <c r="Q464" s="37" t="s">
        <v>269</v>
      </c>
      <c r="R464" s="37">
        <v>12</v>
      </c>
      <c r="S464" s="38">
        <v>10000</v>
      </c>
      <c r="T464" s="37" t="s">
        <v>2085</v>
      </c>
      <c r="U464" s="38">
        <v>120000</v>
      </c>
      <c r="V464" s="37" t="s">
        <v>55</v>
      </c>
      <c r="W464" s="37" t="s">
        <v>56</v>
      </c>
      <c r="X464" s="37" t="s">
        <v>237</v>
      </c>
      <c r="Y464" s="37"/>
    </row>
    <row r="465" spans="1:25" s="39" customFormat="1" ht="14" customHeight="1" x14ac:dyDescent="0.35">
      <c r="A465" s="37" t="s">
        <v>222</v>
      </c>
      <c r="B465" s="37" t="s">
        <v>58</v>
      </c>
      <c r="C465" s="37" t="s">
        <v>1784</v>
      </c>
      <c r="D465" s="37">
        <v>847</v>
      </c>
      <c r="E465" s="37">
        <v>8470445</v>
      </c>
      <c r="F465" s="37" t="s">
        <v>2056</v>
      </c>
      <c r="G465" s="37">
        <v>1</v>
      </c>
      <c r="H465" s="37">
        <v>420550</v>
      </c>
      <c r="I465" s="37" t="s">
        <v>225</v>
      </c>
      <c r="J465" s="37" t="s">
        <v>60</v>
      </c>
      <c r="K465" s="37" t="s">
        <v>50</v>
      </c>
      <c r="L465" s="37">
        <v>847001</v>
      </c>
      <c r="M465" s="37" t="s">
        <v>61</v>
      </c>
      <c r="N465" s="37">
        <v>200179</v>
      </c>
      <c r="O465" s="37" t="str">
        <f t="shared" si="25"/>
        <v>847.8470445.1.420550.000000.847001.200179</v>
      </c>
      <c r="P465" s="37" t="s">
        <v>227</v>
      </c>
      <c r="Q465" s="37" t="s">
        <v>157</v>
      </c>
      <c r="R465" s="37">
        <v>1</v>
      </c>
      <c r="S465" s="38">
        <v>200000</v>
      </c>
      <c r="T465" s="37" t="s">
        <v>2088</v>
      </c>
      <c r="U465" s="38">
        <v>200000</v>
      </c>
      <c r="V465" s="37" t="s">
        <v>55</v>
      </c>
      <c r="W465" s="37" t="s">
        <v>56</v>
      </c>
      <c r="X465" s="37" t="s">
        <v>237</v>
      </c>
      <c r="Y465" s="37"/>
    </row>
    <row r="466" spans="1:25" s="39" customFormat="1" ht="14" customHeight="1" x14ac:dyDescent="0.35">
      <c r="A466" s="37" t="s">
        <v>222</v>
      </c>
      <c r="B466" s="37" t="s">
        <v>58</v>
      </c>
      <c r="C466" s="37" t="s">
        <v>1784</v>
      </c>
      <c r="D466" s="37">
        <v>847</v>
      </c>
      <c r="E466" s="37">
        <v>8470445</v>
      </c>
      <c r="F466" s="37" t="s">
        <v>2056</v>
      </c>
      <c r="G466" s="37">
        <v>1</v>
      </c>
      <c r="H466" s="37">
        <v>420550</v>
      </c>
      <c r="I466" s="37" t="s">
        <v>225</v>
      </c>
      <c r="J466" s="37" t="s">
        <v>60</v>
      </c>
      <c r="K466" s="37" t="s">
        <v>50</v>
      </c>
      <c r="L466" s="37">
        <v>847001</v>
      </c>
      <c r="M466" s="37" t="s">
        <v>61</v>
      </c>
      <c r="N466" s="37">
        <v>200179</v>
      </c>
      <c r="O466" s="37" t="str">
        <f t="shared" si="25"/>
        <v>847.8470445.1.420550.000000.847001.200179</v>
      </c>
      <c r="P466" s="37" t="s">
        <v>227</v>
      </c>
      <c r="Q466" s="37" t="s">
        <v>157</v>
      </c>
      <c r="R466" s="37">
        <v>1</v>
      </c>
      <c r="S466" s="38">
        <v>200000</v>
      </c>
      <c r="T466" s="37" t="s">
        <v>2088</v>
      </c>
      <c r="U466" s="38">
        <v>200000</v>
      </c>
      <c r="V466" s="37" t="s">
        <v>210</v>
      </c>
      <c r="W466" s="37" t="s">
        <v>56</v>
      </c>
      <c r="X466" s="37" t="s">
        <v>237</v>
      </c>
      <c r="Y466" s="37"/>
    </row>
    <row r="467" spans="1:25" s="39" customFormat="1" ht="14" customHeight="1" x14ac:dyDescent="0.35">
      <c r="A467" s="37" t="s">
        <v>245</v>
      </c>
      <c r="B467" s="37" t="s">
        <v>246</v>
      </c>
      <c r="C467" s="37" t="s">
        <v>1784</v>
      </c>
      <c r="D467" s="37">
        <v>847</v>
      </c>
      <c r="E467" s="37">
        <v>8470445</v>
      </c>
      <c r="F467" s="37" t="s">
        <v>2056</v>
      </c>
      <c r="G467" s="37">
        <v>1</v>
      </c>
      <c r="H467" s="37">
        <v>425510</v>
      </c>
      <c r="I467" s="37" t="s">
        <v>247</v>
      </c>
      <c r="J467" s="37" t="s">
        <v>60</v>
      </c>
      <c r="K467" s="37" t="s">
        <v>50</v>
      </c>
      <c r="L467" s="37">
        <v>847001</v>
      </c>
      <c r="M467" s="37" t="s">
        <v>61</v>
      </c>
      <c r="N467" s="37">
        <v>200179</v>
      </c>
      <c r="O467" s="37" t="str">
        <f t="shared" si="25"/>
        <v>847.8470445.1.425510.000000.847001.200179</v>
      </c>
      <c r="P467" s="37" t="s">
        <v>344</v>
      </c>
      <c r="Q467" s="37" t="s">
        <v>256</v>
      </c>
      <c r="R467" s="37">
        <v>3</v>
      </c>
      <c r="S467" s="38">
        <v>150000</v>
      </c>
      <c r="T467" s="37" t="s">
        <v>2091</v>
      </c>
      <c r="U467" s="38">
        <v>450000</v>
      </c>
      <c r="V467" s="37" t="s">
        <v>210</v>
      </c>
      <c r="W467" s="37" t="s">
        <v>56</v>
      </c>
      <c r="X467" s="37" t="s">
        <v>618</v>
      </c>
      <c r="Y467" s="37"/>
    </row>
    <row r="468" spans="1:25" s="39" customFormat="1" ht="14" customHeight="1" x14ac:dyDescent="0.35">
      <c r="A468" s="37" t="s">
        <v>63</v>
      </c>
      <c r="B468" s="37" t="s">
        <v>64</v>
      </c>
      <c r="C468" s="37" t="s">
        <v>1784</v>
      </c>
      <c r="D468" s="37">
        <v>847</v>
      </c>
      <c r="E468" s="37">
        <v>8470445</v>
      </c>
      <c r="F468" s="37" t="s">
        <v>2056</v>
      </c>
      <c r="G468" s="37">
        <v>1</v>
      </c>
      <c r="H468" s="37">
        <v>492354</v>
      </c>
      <c r="I468" s="37" t="s">
        <v>204</v>
      </c>
      <c r="J468" s="37" t="s">
        <v>60</v>
      </c>
      <c r="K468" s="37" t="s">
        <v>2093</v>
      </c>
      <c r="L468" s="37">
        <v>847001</v>
      </c>
      <c r="M468" s="37" t="s">
        <v>192</v>
      </c>
      <c r="N468" s="37">
        <v>300180</v>
      </c>
      <c r="O468" s="37" t="str">
        <f t="shared" si="25"/>
        <v>847.8470445.1.492354.000000.847001.300180</v>
      </c>
      <c r="P468" s="37" t="s">
        <v>205</v>
      </c>
      <c r="Q468" s="37" t="s">
        <v>201</v>
      </c>
      <c r="R468" s="37">
        <v>1</v>
      </c>
      <c r="S468" s="38">
        <v>600000</v>
      </c>
      <c r="T468" s="37" t="s">
        <v>2238</v>
      </c>
      <c r="U468" s="38">
        <v>600000</v>
      </c>
      <c r="V468" s="37" t="s">
        <v>210</v>
      </c>
      <c r="W468" s="37" t="s">
        <v>197</v>
      </c>
      <c r="X468" s="37" t="s">
        <v>70</v>
      </c>
      <c r="Y468" s="37"/>
    </row>
    <row r="469" spans="1:25" s="39" customFormat="1" ht="14" customHeight="1" x14ac:dyDescent="0.35">
      <c r="A469" s="37" t="s">
        <v>222</v>
      </c>
      <c r="B469" s="37" t="s">
        <v>58</v>
      </c>
      <c r="C469" s="37" t="s">
        <v>1784</v>
      </c>
      <c r="D469" s="37">
        <v>847</v>
      </c>
      <c r="E469" s="37">
        <v>8470450</v>
      </c>
      <c r="F469" s="37" t="s">
        <v>2100</v>
      </c>
      <c r="G469" s="37">
        <v>1</v>
      </c>
      <c r="H469" s="37">
        <v>435350</v>
      </c>
      <c r="I469" s="37" t="s">
        <v>399</v>
      </c>
      <c r="J469" s="37" t="s">
        <v>60</v>
      </c>
      <c r="K469" s="37" t="s">
        <v>50</v>
      </c>
      <c r="L469" s="37">
        <v>847001</v>
      </c>
      <c r="M469" s="37" t="s">
        <v>61</v>
      </c>
      <c r="N469" s="37">
        <v>200179</v>
      </c>
      <c r="O469" s="37" t="str">
        <f t="shared" si="25"/>
        <v>847.8470450.1.435350.000000.847001.200179</v>
      </c>
      <c r="P469" s="37" t="s">
        <v>401</v>
      </c>
      <c r="Q469" s="37" t="s">
        <v>157</v>
      </c>
      <c r="R469" s="37">
        <v>1</v>
      </c>
      <c r="S469" s="38">
        <v>120000</v>
      </c>
      <c r="T469" s="37" t="s">
        <v>2113</v>
      </c>
      <c r="U469" s="38">
        <v>120000</v>
      </c>
      <c r="V469" s="37" t="s">
        <v>55</v>
      </c>
      <c r="W469" s="37" t="s">
        <v>56</v>
      </c>
      <c r="X469" s="37" t="s">
        <v>252</v>
      </c>
      <c r="Y469" s="37"/>
    </row>
    <row r="470" spans="1:25" s="39" customFormat="1" ht="14" customHeight="1" x14ac:dyDescent="0.35">
      <c r="A470" s="37" t="s">
        <v>222</v>
      </c>
      <c r="B470" s="37" t="s">
        <v>220</v>
      </c>
      <c r="C470" s="37" t="s">
        <v>1784</v>
      </c>
      <c r="D470" s="37">
        <v>847</v>
      </c>
      <c r="E470" s="37">
        <v>8470450</v>
      </c>
      <c r="F470" s="37" t="s">
        <v>2100</v>
      </c>
      <c r="G470" s="37">
        <v>1</v>
      </c>
      <c r="H470" s="37">
        <v>435508</v>
      </c>
      <c r="I470" s="37" t="s">
        <v>405</v>
      </c>
      <c r="J470" s="37" t="s">
        <v>60</v>
      </c>
      <c r="K470" s="37" t="s">
        <v>50</v>
      </c>
      <c r="L470" s="37">
        <v>847001</v>
      </c>
      <c r="M470" s="37" t="s">
        <v>61</v>
      </c>
      <c r="N470" s="37">
        <v>200179</v>
      </c>
      <c r="O470" s="37" t="str">
        <f t="shared" si="25"/>
        <v>847.8470450.1.435508.000000.847001.200179</v>
      </c>
      <c r="P470" s="37" t="s">
        <v>482</v>
      </c>
      <c r="Q470" s="37" t="s">
        <v>157</v>
      </c>
      <c r="R470" s="37">
        <v>1</v>
      </c>
      <c r="S470" s="38">
        <v>280000</v>
      </c>
      <c r="T470" s="37" t="s">
        <v>2115</v>
      </c>
      <c r="U470" s="38">
        <v>280000</v>
      </c>
      <c r="V470" s="37" t="s">
        <v>55</v>
      </c>
      <c r="W470" s="37" t="s">
        <v>56</v>
      </c>
      <c r="X470" s="37" t="s">
        <v>70</v>
      </c>
      <c r="Y470" s="37"/>
    </row>
    <row r="471" spans="1:25" s="39" customFormat="1" ht="14" customHeight="1" x14ac:dyDescent="0.35">
      <c r="A471" s="37" t="s">
        <v>161</v>
      </c>
      <c r="B471" s="37" t="s">
        <v>220</v>
      </c>
      <c r="C471" s="37" t="s">
        <v>1784</v>
      </c>
      <c r="D471" s="37">
        <v>847</v>
      </c>
      <c r="E471" s="37">
        <v>8470450</v>
      </c>
      <c r="F471" s="37" t="s">
        <v>2100</v>
      </c>
      <c r="G471" s="37">
        <v>1</v>
      </c>
      <c r="H471" s="37">
        <v>492316</v>
      </c>
      <c r="I471" s="37" t="s">
        <v>221</v>
      </c>
      <c r="J471" s="37" t="s">
        <v>60</v>
      </c>
      <c r="K471" s="37" t="s">
        <v>50</v>
      </c>
      <c r="L471" s="37">
        <v>847001</v>
      </c>
      <c r="M471" s="37" t="s">
        <v>192</v>
      </c>
      <c r="N471" s="37">
        <v>300180</v>
      </c>
      <c r="O471" s="37" t="str">
        <f t="shared" si="25"/>
        <v>847.8470450.1.492316.000000.847001.300180</v>
      </c>
      <c r="P471" s="37" t="s">
        <v>969</v>
      </c>
      <c r="Q471" s="37" t="s">
        <v>157</v>
      </c>
      <c r="R471" s="37">
        <v>2</v>
      </c>
      <c r="S471" s="38">
        <v>60000</v>
      </c>
      <c r="T471" s="37" t="s">
        <v>2239</v>
      </c>
      <c r="U471" s="38">
        <v>120000</v>
      </c>
      <c r="V471" s="37" t="s">
        <v>55</v>
      </c>
      <c r="W471" s="37" t="s">
        <v>197</v>
      </c>
      <c r="X471" s="37" t="s">
        <v>70</v>
      </c>
      <c r="Y471" s="37"/>
    </row>
    <row r="472" spans="1:25" s="39" customFormat="1" ht="14" customHeight="1" x14ac:dyDescent="0.35">
      <c r="A472" s="37" t="s">
        <v>222</v>
      </c>
      <c r="B472" s="37" t="s">
        <v>58</v>
      </c>
      <c r="C472" s="37" t="s">
        <v>1784</v>
      </c>
      <c r="D472" s="37">
        <v>847</v>
      </c>
      <c r="E472" s="37">
        <v>8470450</v>
      </c>
      <c r="F472" s="37" t="s">
        <v>2100</v>
      </c>
      <c r="G472" s="37">
        <v>1</v>
      </c>
      <c r="H472" s="37">
        <v>492316</v>
      </c>
      <c r="I472" s="37" t="s">
        <v>221</v>
      </c>
      <c r="J472" s="37" t="s">
        <v>60</v>
      </c>
      <c r="K472" s="37" t="s">
        <v>50</v>
      </c>
      <c r="L472" s="37">
        <v>847001</v>
      </c>
      <c r="M472" s="37" t="s">
        <v>192</v>
      </c>
      <c r="N472" s="37">
        <v>300180</v>
      </c>
      <c r="O472" s="37" t="str">
        <f t="shared" si="25"/>
        <v>847.8470450.1.492316.000000.847001.300180</v>
      </c>
      <c r="P472" s="37" t="s">
        <v>969</v>
      </c>
      <c r="Q472" s="37" t="s">
        <v>157</v>
      </c>
      <c r="R472" s="37">
        <v>1</v>
      </c>
      <c r="S472" s="38">
        <v>130000</v>
      </c>
      <c r="T472" s="37" t="s">
        <v>2240</v>
      </c>
      <c r="U472" s="38">
        <v>130000</v>
      </c>
      <c r="V472" s="37" t="s">
        <v>55</v>
      </c>
      <c r="W472" s="37" t="s">
        <v>197</v>
      </c>
      <c r="X472" s="37" t="s">
        <v>252</v>
      </c>
      <c r="Y472" s="37"/>
    </row>
    <row r="473" spans="1:25" s="39" customFormat="1" ht="14" customHeight="1" x14ac:dyDescent="0.35">
      <c r="A473" s="37" t="s">
        <v>222</v>
      </c>
      <c r="B473" s="37" t="s">
        <v>58</v>
      </c>
      <c r="C473" s="37" t="s">
        <v>1784</v>
      </c>
      <c r="D473" s="37">
        <v>847</v>
      </c>
      <c r="E473" s="37">
        <v>8470450</v>
      </c>
      <c r="F473" s="37" t="s">
        <v>2100</v>
      </c>
      <c r="G473" s="37">
        <v>1</v>
      </c>
      <c r="H473" s="37">
        <v>492310</v>
      </c>
      <c r="I473" s="37" t="s">
        <v>2241</v>
      </c>
      <c r="J473" s="37" t="s">
        <v>60</v>
      </c>
      <c r="K473" s="37" t="s">
        <v>50</v>
      </c>
      <c r="L473" s="37">
        <v>847001</v>
      </c>
      <c r="M473" s="37" t="s">
        <v>192</v>
      </c>
      <c r="N473" s="37">
        <v>300180</v>
      </c>
      <c r="O473" s="37" t="str">
        <f t="shared" si="25"/>
        <v>847.8470450.1.492310.000000.847001.300180</v>
      </c>
      <c r="P473" s="37" t="s">
        <v>1614</v>
      </c>
      <c r="Q473" s="37" t="s">
        <v>68</v>
      </c>
      <c r="R473" s="37">
        <v>5</v>
      </c>
      <c r="S473" s="38">
        <v>20000</v>
      </c>
      <c r="T473" s="37" t="s">
        <v>2242</v>
      </c>
      <c r="U473" s="38">
        <v>100000</v>
      </c>
      <c r="V473" s="37" t="s">
        <v>55</v>
      </c>
      <c r="W473" s="37" t="s">
        <v>197</v>
      </c>
      <c r="X473" s="37" t="s">
        <v>70</v>
      </c>
      <c r="Y473" s="37"/>
    </row>
    <row r="474" spans="1:25" s="39" customFormat="1" ht="14" customHeight="1" x14ac:dyDescent="0.35">
      <c r="A474" s="37" t="s">
        <v>222</v>
      </c>
      <c r="B474" s="37" t="s">
        <v>58</v>
      </c>
      <c r="C474" s="37" t="s">
        <v>1784</v>
      </c>
      <c r="D474" s="37">
        <v>847</v>
      </c>
      <c r="E474" s="37">
        <v>8470450</v>
      </c>
      <c r="F474" s="37" t="s">
        <v>2100</v>
      </c>
      <c r="G474" s="37">
        <v>1</v>
      </c>
      <c r="H474" s="37">
        <v>492310</v>
      </c>
      <c r="I474" s="37" t="s">
        <v>2241</v>
      </c>
      <c r="J474" s="37" t="s">
        <v>60</v>
      </c>
      <c r="K474" s="37" t="s">
        <v>50</v>
      </c>
      <c r="L474" s="37">
        <v>847001</v>
      </c>
      <c r="M474" s="37" t="s">
        <v>192</v>
      </c>
      <c r="N474" s="37">
        <v>300180</v>
      </c>
      <c r="O474" s="37" t="str">
        <f t="shared" si="25"/>
        <v>847.8470450.1.492310.000000.847001.300180</v>
      </c>
      <c r="P474" s="37" t="s">
        <v>1614</v>
      </c>
      <c r="Q474" s="37" t="s">
        <v>68</v>
      </c>
      <c r="R474" s="37">
        <v>2</v>
      </c>
      <c r="S474" s="38">
        <v>10000</v>
      </c>
      <c r="T474" s="37" t="s">
        <v>2243</v>
      </c>
      <c r="U474" s="38">
        <v>20000</v>
      </c>
      <c r="V474" s="37" t="s">
        <v>55</v>
      </c>
      <c r="W474" s="37" t="s">
        <v>197</v>
      </c>
      <c r="X474" s="37" t="s">
        <v>70</v>
      </c>
      <c r="Y474" s="37"/>
    </row>
    <row r="475" spans="1:25" s="39" customFormat="1" ht="14" customHeight="1" x14ac:dyDescent="0.35">
      <c r="A475" s="37" t="s">
        <v>222</v>
      </c>
      <c r="B475" s="37" t="s">
        <v>58</v>
      </c>
      <c r="C475" s="37" t="s">
        <v>1784</v>
      </c>
      <c r="D475" s="37">
        <v>847</v>
      </c>
      <c r="E475" s="37">
        <v>8470450</v>
      </c>
      <c r="F475" s="37" t="s">
        <v>2100</v>
      </c>
      <c r="G475" s="37">
        <v>1</v>
      </c>
      <c r="H475" s="37">
        <v>492310</v>
      </c>
      <c r="I475" s="37" t="s">
        <v>2241</v>
      </c>
      <c r="J475" s="37" t="s">
        <v>60</v>
      </c>
      <c r="K475" s="37" t="s">
        <v>50</v>
      </c>
      <c r="L475" s="37">
        <v>847001</v>
      </c>
      <c r="M475" s="37" t="s">
        <v>192</v>
      </c>
      <c r="N475" s="37">
        <v>300180</v>
      </c>
      <c r="O475" s="37" t="str">
        <f t="shared" si="25"/>
        <v>847.8470450.1.492310.000000.847001.300180</v>
      </c>
      <c r="P475" s="37" t="s">
        <v>1614</v>
      </c>
      <c r="Q475" s="37" t="s">
        <v>68</v>
      </c>
      <c r="R475" s="37">
        <v>1</v>
      </c>
      <c r="S475" s="38">
        <v>5000</v>
      </c>
      <c r="T475" s="37" t="s">
        <v>2244</v>
      </c>
      <c r="U475" s="38">
        <v>5000</v>
      </c>
      <c r="V475" s="37" t="s">
        <v>55</v>
      </c>
      <c r="W475" s="37" t="s">
        <v>197</v>
      </c>
      <c r="X475" s="37" t="s">
        <v>70</v>
      </c>
      <c r="Y475" s="37"/>
    </row>
    <row r="476" spans="1:25" s="39" customFormat="1" ht="14" customHeight="1" x14ac:dyDescent="0.35">
      <c r="A476" s="37" t="s">
        <v>222</v>
      </c>
      <c r="B476" s="37" t="s">
        <v>58</v>
      </c>
      <c r="C476" s="37" t="s">
        <v>1784</v>
      </c>
      <c r="D476" s="37">
        <v>847</v>
      </c>
      <c r="E476" s="37">
        <v>8470450</v>
      </c>
      <c r="F476" s="37" t="s">
        <v>2100</v>
      </c>
      <c r="G476" s="37">
        <v>1</v>
      </c>
      <c r="H476" s="37">
        <v>421700</v>
      </c>
      <c r="I476" s="37" t="s">
        <v>241</v>
      </c>
      <c r="J476" s="37" t="s">
        <v>60</v>
      </c>
      <c r="K476" s="37" t="s">
        <v>50</v>
      </c>
      <c r="L476" s="37">
        <v>847001</v>
      </c>
      <c r="M476" s="37" t="s">
        <v>61</v>
      </c>
      <c r="N476" s="37">
        <v>200179</v>
      </c>
      <c r="O476" s="37" t="str">
        <f t="shared" si="25"/>
        <v>847.8470450.1.421700.000000.847001.200179</v>
      </c>
      <c r="P476" s="37" t="s">
        <v>241</v>
      </c>
      <c r="Q476" s="37" t="s">
        <v>157</v>
      </c>
      <c r="R476" s="37">
        <v>2</v>
      </c>
      <c r="S476" s="38">
        <v>150000</v>
      </c>
      <c r="T476" s="37" t="s">
        <v>2246</v>
      </c>
      <c r="U476" s="38">
        <v>300000</v>
      </c>
      <c r="V476" s="37" t="s">
        <v>55</v>
      </c>
      <c r="W476" s="37" t="s">
        <v>197</v>
      </c>
      <c r="X476" s="37" t="s">
        <v>230</v>
      </c>
      <c r="Y476" s="37"/>
    </row>
    <row r="477" spans="1:25" s="39" customFormat="1" ht="14" customHeight="1" x14ac:dyDescent="0.35">
      <c r="A477" s="37" t="s">
        <v>258</v>
      </c>
      <c r="B477" s="37" t="s">
        <v>350</v>
      </c>
      <c r="C477" s="37" t="s">
        <v>1784</v>
      </c>
      <c r="D477" s="37">
        <v>847</v>
      </c>
      <c r="E477" s="37">
        <v>8470455</v>
      </c>
      <c r="F477" s="37" t="s">
        <v>2132</v>
      </c>
      <c r="G477" s="37">
        <v>1</v>
      </c>
      <c r="H477" s="37">
        <v>425760</v>
      </c>
      <c r="I477" s="37" t="s">
        <v>352</v>
      </c>
      <c r="J477" s="37" t="s">
        <v>60</v>
      </c>
      <c r="K477" s="37" t="s">
        <v>50</v>
      </c>
      <c r="L477" s="37">
        <v>847001</v>
      </c>
      <c r="M477" s="37" t="s">
        <v>61</v>
      </c>
      <c r="N477" s="37">
        <v>200179</v>
      </c>
      <c r="O477" s="37" t="str">
        <f t="shared" si="25"/>
        <v>847.8470455.1.425760.000000.847001.200179</v>
      </c>
      <c r="P477" s="37" t="s">
        <v>354</v>
      </c>
      <c r="Q477" s="37" t="s">
        <v>262</v>
      </c>
      <c r="R477" s="37">
        <v>84</v>
      </c>
      <c r="S477" s="38">
        <v>150</v>
      </c>
      <c r="T477" s="37" t="s">
        <v>2134</v>
      </c>
      <c r="U477" s="38">
        <v>12600</v>
      </c>
      <c r="V477" s="37" t="s">
        <v>55</v>
      </c>
      <c r="W477" s="37" t="s">
        <v>56</v>
      </c>
      <c r="X477" s="37" t="s">
        <v>365</v>
      </c>
      <c r="Y477" s="37"/>
    </row>
    <row r="478" spans="1:25" s="39" customFormat="1" ht="14" customHeight="1" x14ac:dyDescent="0.35">
      <c r="A478" s="37" t="s">
        <v>222</v>
      </c>
      <c r="B478" s="37" t="s">
        <v>58</v>
      </c>
      <c r="C478" s="37" t="s">
        <v>1784</v>
      </c>
      <c r="D478" s="37">
        <v>847</v>
      </c>
      <c r="E478" s="37">
        <v>8470455</v>
      </c>
      <c r="F478" s="37" t="s">
        <v>2132</v>
      </c>
      <c r="G478" s="37">
        <v>1</v>
      </c>
      <c r="H478" s="37">
        <v>425770</v>
      </c>
      <c r="I478" s="37" t="s">
        <v>367</v>
      </c>
      <c r="J478" s="37" t="s">
        <v>60</v>
      </c>
      <c r="K478" s="37" t="s">
        <v>50</v>
      </c>
      <c r="L478" s="37">
        <v>847001</v>
      </c>
      <c r="M478" s="37" t="s">
        <v>61</v>
      </c>
      <c r="N478" s="37">
        <v>200179</v>
      </c>
      <c r="O478" s="37" t="str">
        <f t="shared" si="25"/>
        <v>847.8470455.1.425770.000000.847001.200179</v>
      </c>
      <c r="P478" s="37" t="s">
        <v>369</v>
      </c>
      <c r="Q478" s="37" t="s">
        <v>157</v>
      </c>
      <c r="R478" s="37">
        <v>8</v>
      </c>
      <c r="S478" s="38">
        <v>16000</v>
      </c>
      <c r="T478" s="37" t="s">
        <v>2139</v>
      </c>
      <c r="U478" s="38">
        <v>128000</v>
      </c>
      <c r="V478" s="37" t="s">
        <v>55</v>
      </c>
      <c r="W478" s="37" t="s">
        <v>56</v>
      </c>
      <c r="X478" s="37" t="s">
        <v>252</v>
      </c>
      <c r="Y478" s="37"/>
    </row>
    <row r="479" spans="1:25" s="39" customFormat="1" ht="14" customHeight="1" x14ac:dyDescent="0.35">
      <c r="A479" s="37" t="s">
        <v>189</v>
      </c>
      <c r="B479" s="37" t="s">
        <v>265</v>
      </c>
      <c r="C479" s="37" t="s">
        <v>1784</v>
      </c>
      <c r="D479" s="37">
        <v>847</v>
      </c>
      <c r="E479" s="37">
        <v>8470455</v>
      </c>
      <c r="F479" s="37" t="s">
        <v>2132</v>
      </c>
      <c r="G479" s="37">
        <v>1</v>
      </c>
      <c r="H479" s="37">
        <v>425900</v>
      </c>
      <c r="I479" s="37" t="s">
        <v>266</v>
      </c>
      <c r="J479" s="37" t="s">
        <v>60</v>
      </c>
      <c r="K479" s="37" t="s">
        <v>50</v>
      </c>
      <c r="L479" s="37">
        <v>847001</v>
      </c>
      <c r="M479" s="37" t="s">
        <v>61</v>
      </c>
      <c r="N479" s="37">
        <v>200179</v>
      </c>
      <c r="O479" s="37" t="str">
        <f t="shared" si="25"/>
        <v>847.8470455.1.425900.000000.847001.200179</v>
      </c>
      <c r="P479" s="37" t="s">
        <v>268</v>
      </c>
      <c r="Q479" s="37" t="s">
        <v>269</v>
      </c>
      <c r="R479" s="37">
        <v>3</v>
      </c>
      <c r="S479" s="38">
        <v>15000</v>
      </c>
      <c r="T479" s="37" t="s">
        <v>2144</v>
      </c>
      <c r="U479" s="38">
        <v>45000</v>
      </c>
      <c r="V479" s="37" t="s">
        <v>210</v>
      </c>
      <c r="W479" s="37" t="s">
        <v>56</v>
      </c>
      <c r="X479" s="37" t="s">
        <v>230</v>
      </c>
      <c r="Y479" s="37"/>
    </row>
    <row r="480" spans="1:25" s="39" customFormat="1" ht="14" customHeight="1" x14ac:dyDescent="0.35">
      <c r="A480" s="37" t="s">
        <v>63</v>
      </c>
      <c r="B480" s="37" t="s">
        <v>64</v>
      </c>
      <c r="C480" s="37" t="s">
        <v>1784</v>
      </c>
      <c r="D480" s="37">
        <v>847</v>
      </c>
      <c r="E480" s="37">
        <v>8470455</v>
      </c>
      <c r="F480" s="37" t="s">
        <v>2132</v>
      </c>
      <c r="G480" s="37">
        <v>1</v>
      </c>
      <c r="H480" s="37">
        <v>426610</v>
      </c>
      <c r="I480" s="37" t="s">
        <v>74</v>
      </c>
      <c r="J480" s="37" t="s">
        <v>60</v>
      </c>
      <c r="K480" s="37" t="s">
        <v>50</v>
      </c>
      <c r="L480" s="37">
        <v>847001</v>
      </c>
      <c r="M480" s="37" t="s">
        <v>61</v>
      </c>
      <c r="N480" s="37">
        <v>200179</v>
      </c>
      <c r="O480" s="37" t="str">
        <f t="shared" si="25"/>
        <v>847.8470455.1.426610.000000.847001.200179</v>
      </c>
      <c r="P480" s="37" t="s">
        <v>960</v>
      </c>
      <c r="Q480" s="37" t="s">
        <v>68</v>
      </c>
      <c r="R480" s="37">
        <v>9</v>
      </c>
      <c r="S480" s="38">
        <v>5000</v>
      </c>
      <c r="T480" s="37" t="s">
        <v>2149</v>
      </c>
      <c r="U480" s="38">
        <v>45000</v>
      </c>
      <c r="V480" s="37" t="s">
        <v>55</v>
      </c>
      <c r="W480" s="37" t="s">
        <v>56</v>
      </c>
      <c r="X480" s="37" t="s">
        <v>480</v>
      </c>
      <c r="Y480" s="37"/>
    </row>
    <row r="481" spans="1:25" s="39" customFormat="1" ht="14" customHeight="1" x14ac:dyDescent="0.35">
      <c r="A481" s="37" t="s">
        <v>153</v>
      </c>
      <c r="B481" s="37" t="s">
        <v>58</v>
      </c>
      <c r="C481" s="37" t="s">
        <v>1784</v>
      </c>
      <c r="D481" s="37">
        <v>847</v>
      </c>
      <c r="E481" s="37">
        <v>8470455</v>
      </c>
      <c r="F481" s="37" t="s">
        <v>2132</v>
      </c>
      <c r="G481" s="37">
        <v>1</v>
      </c>
      <c r="H481" s="37">
        <v>428090</v>
      </c>
      <c r="I481" s="37" t="s">
        <v>154</v>
      </c>
      <c r="J481" s="37" t="s">
        <v>60</v>
      </c>
      <c r="K481" s="37" t="s">
        <v>50</v>
      </c>
      <c r="L481" s="37">
        <v>847001</v>
      </c>
      <c r="M481" s="37" t="s">
        <v>61</v>
      </c>
      <c r="N481" s="37">
        <v>200179</v>
      </c>
      <c r="O481" s="37" t="str">
        <f t="shared" si="25"/>
        <v>847.8470455.1.428090.000000.847001.200179</v>
      </c>
      <c r="P481" s="37" t="s">
        <v>156</v>
      </c>
      <c r="Q481" s="37" t="s">
        <v>157</v>
      </c>
      <c r="R481" s="37">
        <v>3</v>
      </c>
      <c r="S481" s="38">
        <v>25000</v>
      </c>
      <c r="T481" s="37" t="s">
        <v>2154</v>
      </c>
      <c r="U481" s="38">
        <v>75000</v>
      </c>
      <c r="V481" s="37" t="s">
        <v>210</v>
      </c>
      <c r="W481" s="37" t="s">
        <v>56</v>
      </c>
      <c r="X481" s="37" t="s">
        <v>230</v>
      </c>
      <c r="Y481" s="37"/>
    </row>
    <row r="482" spans="1:25" s="39" customFormat="1" ht="14" customHeight="1" x14ac:dyDescent="0.35">
      <c r="A482" s="37" t="s">
        <v>245</v>
      </c>
      <c r="B482" s="37" t="s">
        <v>246</v>
      </c>
      <c r="C482" s="37" t="s">
        <v>1784</v>
      </c>
      <c r="D482" s="37">
        <v>847</v>
      </c>
      <c r="E482" s="37">
        <v>8470455</v>
      </c>
      <c r="F482" s="37" t="s">
        <v>2132</v>
      </c>
      <c r="G482" s="37">
        <v>1</v>
      </c>
      <c r="H482" s="37">
        <v>428640</v>
      </c>
      <c r="I482" s="37" t="s">
        <v>279</v>
      </c>
      <c r="J482" s="37" t="s">
        <v>60</v>
      </c>
      <c r="K482" s="37" t="s">
        <v>50</v>
      </c>
      <c r="L482" s="37">
        <v>847001</v>
      </c>
      <c r="M482" s="37" t="s">
        <v>61</v>
      </c>
      <c r="N482" s="37">
        <v>200179</v>
      </c>
      <c r="O482" s="37" t="str">
        <f t="shared" si="25"/>
        <v>847.8470455.1.428640.000000.847001.200179</v>
      </c>
      <c r="P482" s="37" t="s">
        <v>1395</v>
      </c>
      <c r="Q482" s="37" t="s">
        <v>269</v>
      </c>
      <c r="R482" s="37">
        <v>6</v>
      </c>
      <c r="S482" s="38">
        <v>2500</v>
      </c>
      <c r="T482" s="37" t="s">
        <v>2156</v>
      </c>
      <c r="U482" s="38">
        <v>15000</v>
      </c>
      <c r="V482" s="37" t="s">
        <v>210</v>
      </c>
      <c r="W482" s="37" t="s">
        <v>56</v>
      </c>
      <c r="X482" s="37" t="s">
        <v>384</v>
      </c>
      <c r="Y482" s="37"/>
    </row>
    <row r="483" spans="1:25" s="39" customFormat="1" ht="14" customHeight="1" x14ac:dyDescent="0.35">
      <c r="A483" s="37" t="s">
        <v>222</v>
      </c>
      <c r="B483" s="37" t="s">
        <v>58</v>
      </c>
      <c r="C483" s="37" t="s">
        <v>1784</v>
      </c>
      <c r="D483" s="37">
        <v>847</v>
      </c>
      <c r="E483" s="37">
        <v>8470455</v>
      </c>
      <c r="F483" s="37" t="s">
        <v>2132</v>
      </c>
      <c r="G483" s="37">
        <v>1</v>
      </c>
      <c r="H483" s="37">
        <v>432209</v>
      </c>
      <c r="I483" s="37" t="s">
        <v>393</v>
      </c>
      <c r="J483" s="37" t="s">
        <v>60</v>
      </c>
      <c r="K483" s="37" t="s">
        <v>50</v>
      </c>
      <c r="L483" s="37">
        <v>847001</v>
      </c>
      <c r="M483" s="37" t="s">
        <v>61</v>
      </c>
      <c r="N483" s="37">
        <v>200179</v>
      </c>
      <c r="O483" s="37" t="str">
        <f t="shared" si="25"/>
        <v>847.8470455.1.432209.000000.847001.200179</v>
      </c>
      <c r="P483" s="37" t="s">
        <v>470</v>
      </c>
      <c r="Q483" s="37" t="s">
        <v>157</v>
      </c>
      <c r="R483" s="37">
        <v>1.2</v>
      </c>
      <c r="S483" s="38">
        <v>300000</v>
      </c>
      <c r="T483" s="37" t="s">
        <v>2158</v>
      </c>
      <c r="U483" s="38">
        <v>360000</v>
      </c>
      <c r="V483" s="37" t="s">
        <v>55</v>
      </c>
      <c r="W483" s="37" t="s">
        <v>56</v>
      </c>
      <c r="X483" s="37" t="s">
        <v>365</v>
      </c>
      <c r="Y483" s="37"/>
    </row>
    <row r="484" spans="1:25" s="39" customFormat="1" ht="14" customHeight="1" x14ac:dyDescent="0.35">
      <c r="A484" s="37" t="s">
        <v>222</v>
      </c>
      <c r="B484" s="37" t="s">
        <v>58</v>
      </c>
      <c r="C484" s="37" t="s">
        <v>1784</v>
      </c>
      <c r="D484" s="37">
        <v>847</v>
      </c>
      <c r="E484" s="37">
        <v>8470455</v>
      </c>
      <c r="F484" s="37" t="s">
        <v>2132</v>
      </c>
      <c r="G484" s="37">
        <v>1</v>
      </c>
      <c r="H484" s="37">
        <v>435350</v>
      </c>
      <c r="I484" s="37" t="s">
        <v>399</v>
      </c>
      <c r="J484" s="37" t="s">
        <v>60</v>
      </c>
      <c r="K484" s="37" t="s">
        <v>50</v>
      </c>
      <c r="L484" s="37">
        <v>847001</v>
      </c>
      <c r="M484" s="37" t="s">
        <v>61</v>
      </c>
      <c r="N484" s="37">
        <v>200179</v>
      </c>
      <c r="O484" s="37" t="str">
        <f t="shared" si="25"/>
        <v>847.8470455.1.435350.000000.847001.200179</v>
      </c>
      <c r="P484" s="37" t="s">
        <v>401</v>
      </c>
      <c r="Q484" s="37" t="s">
        <v>157</v>
      </c>
      <c r="R484" s="37">
        <v>17</v>
      </c>
      <c r="S484" s="38">
        <v>10000</v>
      </c>
      <c r="T484" s="37" t="s">
        <v>2163</v>
      </c>
      <c r="U484" s="38">
        <v>170000</v>
      </c>
      <c r="V484" s="37" t="s">
        <v>55</v>
      </c>
      <c r="W484" s="37" t="s">
        <v>56</v>
      </c>
      <c r="X484" s="37" t="s">
        <v>480</v>
      </c>
      <c r="Y484" s="37"/>
    </row>
    <row r="485" spans="1:25" s="39" customFormat="1" ht="14" customHeight="1" x14ac:dyDescent="0.35">
      <c r="A485" s="37" t="s">
        <v>222</v>
      </c>
      <c r="B485" s="37" t="s">
        <v>220</v>
      </c>
      <c r="C485" s="37" t="s">
        <v>1784</v>
      </c>
      <c r="D485" s="37">
        <v>847</v>
      </c>
      <c r="E485" s="37">
        <v>8470455</v>
      </c>
      <c r="F485" s="37" t="s">
        <v>2132</v>
      </c>
      <c r="G485" s="37">
        <v>1</v>
      </c>
      <c r="H485" s="37">
        <v>435508</v>
      </c>
      <c r="I485" s="37" t="s">
        <v>405</v>
      </c>
      <c r="J485" s="37" t="s">
        <v>60</v>
      </c>
      <c r="K485" s="37" t="s">
        <v>50</v>
      </c>
      <c r="L485" s="37">
        <v>847001</v>
      </c>
      <c r="M485" s="37" t="s">
        <v>61</v>
      </c>
      <c r="N485" s="37">
        <v>200179</v>
      </c>
      <c r="O485" s="37" t="str">
        <f t="shared" si="25"/>
        <v>847.8470455.1.435508.000000.847001.200179</v>
      </c>
      <c r="P485" s="37" t="s">
        <v>482</v>
      </c>
      <c r="Q485" s="37" t="s">
        <v>157</v>
      </c>
      <c r="R485" s="37">
        <v>25</v>
      </c>
      <c r="S485" s="38">
        <v>11000</v>
      </c>
      <c r="T485" s="37" t="s">
        <v>2168</v>
      </c>
      <c r="U485" s="38">
        <v>275000</v>
      </c>
      <c r="V485" s="37" t="s">
        <v>55</v>
      </c>
      <c r="W485" s="37" t="s">
        <v>56</v>
      </c>
      <c r="X485" s="37" t="s">
        <v>230</v>
      </c>
      <c r="Y485" s="37"/>
    </row>
    <row r="486" spans="1:25" s="39" customFormat="1" ht="14" customHeight="1" x14ac:dyDescent="0.35">
      <c r="A486" s="37" t="s">
        <v>189</v>
      </c>
      <c r="B486" s="37" t="s">
        <v>58</v>
      </c>
      <c r="C486" s="37" t="s">
        <v>1784</v>
      </c>
      <c r="D486" s="37">
        <v>847</v>
      </c>
      <c r="E486" s="37">
        <v>8470455</v>
      </c>
      <c r="F486" s="37" t="s">
        <v>2132</v>
      </c>
      <c r="G486" s="37">
        <v>1</v>
      </c>
      <c r="H486" s="37">
        <v>436110</v>
      </c>
      <c r="I486" s="37" t="s">
        <v>190</v>
      </c>
      <c r="J486" s="37" t="s">
        <v>60</v>
      </c>
      <c r="K486" s="37" t="s">
        <v>50</v>
      </c>
      <c r="L486" s="37">
        <v>847001</v>
      </c>
      <c r="M486" s="37" t="s">
        <v>61</v>
      </c>
      <c r="N486" s="37">
        <v>200179</v>
      </c>
      <c r="O486" s="37" t="str">
        <f t="shared" si="25"/>
        <v>847.8470455.1.436110.000000.847001.200179</v>
      </c>
      <c r="P486" s="37" t="s">
        <v>411</v>
      </c>
      <c r="Q486" s="37" t="s">
        <v>157</v>
      </c>
      <c r="R486" s="37">
        <v>9</v>
      </c>
      <c r="S486" s="38">
        <v>1000</v>
      </c>
      <c r="T486" s="37" t="s">
        <v>2173</v>
      </c>
      <c r="U486" s="38">
        <v>9000</v>
      </c>
      <c r="V486" s="37" t="s">
        <v>55</v>
      </c>
      <c r="W486" s="37" t="s">
        <v>56</v>
      </c>
      <c r="X486" s="37" t="s">
        <v>480</v>
      </c>
      <c r="Y486" s="37"/>
    </row>
    <row r="487" spans="1:25" s="39" customFormat="1" ht="14" customHeight="1" x14ac:dyDescent="0.35">
      <c r="A487" s="37" t="s">
        <v>161</v>
      </c>
      <c r="B487" s="37" t="s">
        <v>220</v>
      </c>
      <c r="C487" s="37" t="s">
        <v>1784</v>
      </c>
      <c r="D487" s="37">
        <v>847</v>
      </c>
      <c r="E487" s="37">
        <v>8470455</v>
      </c>
      <c r="F487" s="37" t="s">
        <v>2132</v>
      </c>
      <c r="G487" s="37">
        <v>1</v>
      </c>
      <c r="H487" s="37">
        <v>492316</v>
      </c>
      <c r="I487" s="37" t="s">
        <v>221</v>
      </c>
      <c r="J487" s="37" t="s">
        <v>60</v>
      </c>
      <c r="K487" s="37" t="s">
        <v>50</v>
      </c>
      <c r="L487" s="37">
        <v>847001</v>
      </c>
      <c r="M487" s="37" t="s">
        <v>192</v>
      </c>
      <c r="N487" s="37">
        <v>300180</v>
      </c>
      <c r="O487" s="37" t="str">
        <f t="shared" si="25"/>
        <v>847.8470455.1.492316.000000.847001.300180</v>
      </c>
      <c r="P487" s="37" t="s">
        <v>422</v>
      </c>
      <c r="Q487" s="37" t="s">
        <v>157</v>
      </c>
      <c r="R487" s="37">
        <v>9</v>
      </c>
      <c r="S487" s="38">
        <v>300000</v>
      </c>
      <c r="T487" s="37" t="s">
        <v>2178</v>
      </c>
      <c r="U487" s="38">
        <v>2700000</v>
      </c>
      <c r="V487" s="37" t="s">
        <v>55</v>
      </c>
      <c r="W487" s="37" t="s">
        <v>197</v>
      </c>
      <c r="X487" s="37" t="s">
        <v>365</v>
      </c>
      <c r="Y487" s="37"/>
    </row>
    <row r="488" spans="1:25" s="39" customFormat="1" ht="14" customHeight="1" x14ac:dyDescent="0.35">
      <c r="A488" s="74" t="s">
        <v>71</v>
      </c>
      <c r="B488" s="74" t="s">
        <v>1010</v>
      </c>
      <c r="C488" s="74" t="s">
        <v>2277</v>
      </c>
      <c r="D488" s="74">
        <v>847</v>
      </c>
      <c r="E488" s="74">
        <v>8470130</v>
      </c>
      <c r="F488" s="74" t="s">
        <v>2278</v>
      </c>
      <c r="G488" s="74">
        <v>1</v>
      </c>
      <c r="H488" s="74">
        <v>421000</v>
      </c>
      <c r="I488" s="74" t="s">
        <v>1011</v>
      </c>
      <c r="J488" s="74" t="s">
        <v>60</v>
      </c>
      <c r="K488" s="74" t="s">
        <v>50</v>
      </c>
      <c r="L488" s="74">
        <v>847001</v>
      </c>
      <c r="M488" s="74" t="s">
        <v>61</v>
      </c>
      <c r="N488" s="74">
        <v>200179</v>
      </c>
      <c r="O488" s="37" t="str">
        <f t="shared" si="25"/>
        <v>847.8470130.1.421000.000000.847001.200179</v>
      </c>
      <c r="P488" s="75" t="s">
        <v>2365</v>
      </c>
      <c r="Q488" s="74" t="s">
        <v>269</v>
      </c>
      <c r="R488" s="74">
        <v>1</v>
      </c>
      <c r="S488" s="74">
        <v>540000</v>
      </c>
      <c r="T488" s="74" t="s">
        <v>2280</v>
      </c>
      <c r="U488" s="76">
        <v>540000</v>
      </c>
      <c r="V488" s="74" t="s">
        <v>210</v>
      </c>
      <c r="W488" s="75" t="s">
        <v>56</v>
      </c>
      <c r="X488" s="77" t="s">
        <v>480</v>
      </c>
      <c r="Y488" s="70"/>
    </row>
    <row r="489" spans="1:25" s="39" customFormat="1" ht="14" customHeight="1" x14ac:dyDescent="0.35">
      <c r="A489" s="74" t="s">
        <v>63</v>
      </c>
      <c r="B489" s="74" t="s">
        <v>64</v>
      </c>
      <c r="C489" s="74" t="s">
        <v>2277</v>
      </c>
      <c r="D489" s="74">
        <v>847</v>
      </c>
      <c r="E489" s="74">
        <v>8470130</v>
      </c>
      <c r="F489" s="74" t="s">
        <v>2278</v>
      </c>
      <c r="G489" s="74">
        <v>1</v>
      </c>
      <c r="H489" s="74">
        <v>426610</v>
      </c>
      <c r="I489" s="74" t="s">
        <v>74</v>
      </c>
      <c r="J489" s="74" t="s">
        <v>60</v>
      </c>
      <c r="K489" s="74" t="s">
        <v>50</v>
      </c>
      <c r="L489" s="74">
        <v>847001</v>
      </c>
      <c r="M489" s="74" t="s">
        <v>61</v>
      </c>
      <c r="N489" s="74">
        <v>200179</v>
      </c>
      <c r="O489" s="37" t="str">
        <f t="shared" si="25"/>
        <v>847.8470130.1.426610.000000.847001.200179</v>
      </c>
      <c r="P489" s="75" t="s">
        <v>274</v>
      </c>
      <c r="Q489" s="74" t="s">
        <v>157</v>
      </c>
      <c r="R489" s="74">
        <v>8</v>
      </c>
      <c r="S489" s="74">
        <v>22500</v>
      </c>
      <c r="T489" s="74" t="s">
        <v>2284</v>
      </c>
      <c r="U489" s="76">
        <v>180000</v>
      </c>
      <c r="V489" s="74" t="s">
        <v>210</v>
      </c>
      <c r="W489" s="75" t="s">
        <v>56</v>
      </c>
      <c r="X489" s="77" t="s">
        <v>237</v>
      </c>
      <c r="Y489" s="70"/>
    </row>
    <row r="490" spans="1:25" s="39" customFormat="1" ht="14" customHeight="1" x14ac:dyDescent="0.35">
      <c r="A490" s="74" t="s">
        <v>153</v>
      </c>
      <c r="B490" s="74" t="s">
        <v>58</v>
      </c>
      <c r="C490" s="74" t="s">
        <v>2277</v>
      </c>
      <c r="D490" s="74">
        <v>847</v>
      </c>
      <c r="E490" s="74">
        <v>8470130</v>
      </c>
      <c r="F490" s="74" t="s">
        <v>2278</v>
      </c>
      <c r="G490" s="74">
        <v>1</v>
      </c>
      <c r="H490" s="74">
        <v>428090</v>
      </c>
      <c r="I490" s="74" t="s">
        <v>154</v>
      </c>
      <c r="J490" s="74" t="s">
        <v>60</v>
      </c>
      <c r="K490" s="74" t="s">
        <v>50</v>
      </c>
      <c r="L490" s="74">
        <v>847001</v>
      </c>
      <c r="M490" s="74" t="s">
        <v>61</v>
      </c>
      <c r="N490" s="74">
        <v>200179</v>
      </c>
      <c r="O490" s="37" t="str">
        <f t="shared" si="25"/>
        <v>847.8470130.1.428090.000000.847001.200179</v>
      </c>
      <c r="P490" s="75" t="s">
        <v>156</v>
      </c>
      <c r="Q490" s="74" t="s">
        <v>157</v>
      </c>
      <c r="R490" s="74">
        <v>1</v>
      </c>
      <c r="S490" s="74">
        <v>551250</v>
      </c>
      <c r="T490" s="74" t="s">
        <v>2366</v>
      </c>
      <c r="U490" s="76">
        <v>551250</v>
      </c>
      <c r="V490" s="74" t="s">
        <v>210</v>
      </c>
      <c r="W490" s="75" t="s">
        <v>56</v>
      </c>
      <c r="X490" s="77" t="s">
        <v>636</v>
      </c>
      <c r="Y490" s="70"/>
    </row>
    <row r="491" spans="1:25" s="39" customFormat="1" ht="14" customHeight="1" x14ac:dyDescent="0.35">
      <c r="A491" s="74" t="s">
        <v>245</v>
      </c>
      <c r="B491" s="74" t="s">
        <v>246</v>
      </c>
      <c r="C491" s="74" t="s">
        <v>2277</v>
      </c>
      <c r="D491" s="74">
        <v>847</v>
      </c>
      <c r="E491" s="74">
        <v>8470140</v>
      </c>
      <c r="F491" s="74" t="s">
        <v>2293</v>
      </c>
      <c r="G491" s="74">
        <v>1</v>
      </c>
      <c r="H491" s="74">
        <v>425100</v>
      </c>
      <c r="I491" s="74" t="s">
        <v>1521</v>
      </c>
      <c r="J491" s="74" t="s">
        <v>60</v>
      </c>
      <c r="K491" s="74" t="s">
        <v>50</v>
      </c>
      <c r="L491" s="74">
        <v>847001</v>
      </c>
      <c r="M491" s="74" t="s">
        <v>61</v>
      </c>
      <c r="N491" s="74">
        <v>200179</v>
      </c>
      <c r="O491" s="37" t="str">
        <f t="shared" si="25"/>
        <v>847.8470140.1.425100.000000.847001.200179</v>
      </c>
      <c r="P491" s="75" t="s">
        <v>1581</v>
      </c>
      <c r="Q491" s="74" t="s">
        <v>269</v>
      </c>
      <c r="R491" s="74">
        <v>4</v>
      </c>
      <c r="S491" s="74">
        <v>500000</v>
      </c>
      <c r="T491" s="74" t="s">
        <v>2295</v>
      </c>
      <c r="U491" s="76">
        <v>2000000</v>
      </c>
      <c r="V491" s="74" t="s">
        <v>55</v>
      </c>
      <c r="W491" s="75" t="s">
        <v>56</v>
      </c>
      <c r="X491" s="77" t="s">
        <v>379</v>
      </c>
      <c r="Y491" s="70"/>
    </row>
    <row r="492" spans="1:25" s="39" customFormat="1" ht="14" customHeight="1" x14ac:dyDescent="0.35">
      <c r="A492" s="74" t="s">
        <v>245</v>
      </c>
      <c r="B492" s="74" t="s">
        <v>246</v>
      </c>
      <c r="C492" s="74" t="s">
        <v>2277</v>
      </c>
      <c r="D492" s="74">
        <v>847</v>
      </c>
      <c r="E492" s="74">
        <v>8470140</v>
      </c>
      <c r="F492" s="74" t="s">
        <v>2293</v>
      </c>
      <c r="G492" s="74">
        <v>1</v>
      </c>
      <c r="H492" s="74">
        <v>425100</v>
      </c>
      <c r="I492" s="74" t="s">
        <v>1521</v>
      </c>
      <c r="J492" s="74" t="s">
        <v>60</v>
      </c>
      <c r="K492" s="74" t="s">
        <v>50</v>
      </c>
      <c r="L492" s="74" t="s">
        <v>51</v>
      </c>
      <c r="M492" s="74" t="s">
        <v>61</v>
      </c>
      <c r="N492" s="74">
        <v>200179</v>
      </c>
      <c r="O492" s="37" t="str">
        <f t="shared" si="25"/>
        <v>847.8470140.1.425100.000000.847001.200179</v>
      </c>
      <c r="P492" s="75" t="s">
        <v>2299</v>
      </c>
      <c r="Q492" s="74" t="s">
        <v>269</v>
      </c>
      <c r="R492" s="74">
        <v>2</v>
      </c>
      <c r="S492" s="74">
        <v>500833</v>
      </c>
      <c r="T492" s="74" t="s">
        <v>2300</v>
      </c>
      <c r="U492" s="76">
        <v>1001666</v>
      </c>
      <c r="V492" s="74" t="s">
        <v>55</v>
      </c>
      <c r="W492" s="75" t="s">
        <v>56</v>
      </c>
      <c r="X492" s="77" t="s">
        <v>379</v>
      </c>
      <c r="Y492" s="70"/>
    </row>
    <row r="493" spans="1:25" s="39" customFormat="1" ht="14" customHeight="1" x14ac:dyDescent="0.35">
      <c r="A493" s="74" t="s">
        <v>245</v>
      </c>
      <c r="B493" s="74" t="s">
        <v>246</v>
      </c>
      <c r="C493" s="74" t="s">
        <v>2277</v>
      </c>
      <c r="D493" s="74">
        <v>847</v>
      </c>
      <c r="E493" s="74">
        <v>8470140</v>
      </c>
      <c r="F493" s="74" t="s">
        <v>2293</v>
      </c>
      <c r="G493" s="74">
        <v>1</v>
      </c>
      <c r="H493" s="74">
        <v>425100</v>
      </c>
      <c r="I493" s="74" t="s">
        <v>1521</v>
      </c>
      <c r="J493" s="74" t="s">
        <v>60</v>
      </c>
      <c r="K493" s="74" t="s">
        <v>50</v>
      </c>
      <c r="L493" s="74" t="s">
        <v>51</v>
      </c>
      <c r="M493" s="74" t="s">
        <v>61</v>
      </c>
      <c r="N493" s="74">
        <v>200179</v>
      </c>
      <c r="O493" s="37" t="str">
        <f t="shared" si="25"/>
        <v>847.8470140.1.425100.000000.847001.200179</v>
      </c>
      <c r="P493" s="75" t="s">
        <v>2301</v>
      </c>
      <c r="Q493" s="74" t="s">
        <v>269</v>
      </c>
      <c r="R493" s="74">
        <v>8</v>
      </c>
      <c r="S493" s="74">
        <v>100000</v>
      </c>
      <c r="T493" s="74" t="s">
        <v>2302</v>
      </c>
      <c r="U493" s="76">
        <v>800000</v>
      </c>
      <c r="V493" s="74" t="s">
        <v>55</v>
      </c>
      <c r="W493" s="75" t="s">
        <v>56</v>
      </c>
      <c r="X493" s="77" t="s">
        <v>379</v>
      </c>
      <c r="Y493" s="70"/>
    </row>
    <row r="494" spans="1:25" s="39" customFormat="1" ht="14" customHeight="1" x14ac:dyDescent="0.35">
      <c r="A494" s="74" t="s">
        <v>245</v>
      </c>
      <c r="B494" s="74" t="s">
        <v>246</v>
      </c>
      <c r="C494" s="74" t="s">
        <v>2277</v>
      </c>
      <c r="D494" s="74">
        <v>847</v>
      </c>
      <c r="E494" s="74">
        <v>8470140</v>
      </c>
      <c r="F494" s="74" t="s">
        <v>2293</v>
      </c>
      <c r="G494" s="74">
        <v>1</v>
      </c>
      <c r="H494" s="74">
        <v>425100</v>
      </c>
      <c r="I494" s="74" t="s">
        <v>1521</v>
      </c>
      <c r="J494" s="74" t="s">
        <v>60</v>
      </c>
      <c r="K494" s="74" t="s">
        <v>50</v>
      </c>
      <c r="L494" s="74" t="s">
        <v>51</v>
      </c>
      <c r="M494" s="74" t="s">
        <v>61</v>
      </c>
      <c r="N494" s="74">
        <v>200179</v>
      </c>
      <c r="O494" s="37" t="str">
        <f t="shared" si="25"/>
        <v>847.8470140.1.425100.000000.847001.200179</v>
      </c>
      <c r="P494" s="75" t="s">
        <v>2303</v>
      </c>
      <c r="Q494" s="74" t="s">
        <v>269</v>
      </c>
      <c r="R494" s="74">
        <v>2</v>
      </c>
      <c r="S494" s="74">
        <v>500000</v>
      </c>
      <c r="T494" s="74" t="s">
        <v>2304</v>
      </c>
      <c r="U494" s="76">
        <v>1000000</v>
      </c>
      <c r="V494" s="74" t="s">
        <v>55</v>
      </c>
      <c r="W494" s="75" t="s">
        <v>56</v>
      </c>
      <c r="X494" s="77" t="s">
        <v>379</v>
      </c>
      <c r="Y494" s="70"/>
    </row>
    <row r="495" spans="1:25" s="39" customFormat="1" ht="14" customHeight="1" x14ac:dyDescent="0.35">
      <c r="A495" s="74" t="s">
        <v>245</v>
      </c>
      <c r="B495" s="74" t="s">
        <v>246</v>
      </c>
      <c r="C495" s="74" t="s">
        <v>2277</v>
      </c>
      <c r="D495" s="74">
        <v>847</v>
      </c>
      <c r="E495" s="74">
        <v>8470140</v>
      </c>
      <c r="F495" s="74" t="s">
        <v>2293</v>
      </c>
      <c r="G495" s="74">
        <v>1</v>
      </c>
      <c r="H495" s="74">
        <v>425100</v>
      </c>
      <c r="I495" s="74" t="s">
        <v>1521</v>
      </c>
      <c r="J495" s="74" t="s">
        <v>60</v>
      </c>
      <c r="K495" s="74" t="s">
        <v>50</v>
      </c>
      <c r="L495" s="74" t="s">
        <v>51</v>
      </c>
      <c r="M495" s="74" t="s">
        <v>61</v>
      </c>
      <c r="N495" s="74">
        <v>200179</v>
      </c>
      <c r="O495" s="37" t="str">
        <f t="shared" si="25"/>
        <v>847.8470140.1.425100.000000.847001.200179</v>
      </c>
      <c r="P495" s="75" t="s">
        <v>2305</v>
      </c>
      <c r="Q495" s="74" t="s">
        <v>2306</v>
      </c>
      <c r="R495" s="74">
        <v>6</v>
      </c>
      <c r="S495" s="74">
        <v>100500</v>
      </c>
      <c r="T495" s="74" t="s">
        <v>2307</v>
      </c>
      <c r="U495" s="76">
        <v>603000</v>
      </c>
      <c r="V495" s="74" t="s">
        <v>55</v>
      </c>
      <c r="W495" s="75" t="s">
        <v>56</v>
      </c>
      <c r="X495" s="77" t="s">
        <v>379</v>
      </c>
      <c r="Y495" s="70"/>
    </row>
    <row r="496" spans="1:25" s="39" customFormat="1" ht="14" customHeight="1" x14ac:dyDescent="0.35">
      <c r="A496" s="74" t="s">
        <v>245</v>
      </c>
      <c r="B496" s="74" t="s">
        <v>246</v>
      </c>
      <c r="C496" s="74" t="s">
        <v>2277</v>
      </c>
      <c r="D496" s="74">
        <v>847</v>
      </c>
      <c r="E496" s="74">
        <v>8470140</v>
      </c>
      <c r="F496" s="74" t="s">
        <v>2293</v>
      </c>
      <c r="G496" s="74">
        <v>1</v>
      </c>
      <c r="H496" s="74">
        <v>425100</v>
      </c>
      <c r="I496" s="74" t="s">
        <v>1521</v>
      </c>
      <c r="J496" s="74" t="s">
        <v>60</v>
      </c>
      <c r="K496" s="74" t="s">
        <v>50</v>
      </c>
      <c r="L496" s="74" t="s">
        <v>51</v>
      </c>
      <c r="M496" s="74" t="s">
        <v>61</v>
      </c>
      <c r="N496" s="74">
        <v>200179</v>
      </c>
      <c r="O496" s="37" t="str">
        <f t="shared" si="25"/>
        <v>847.8470140.1.425100.000000.847001.200179</v>
      </c>
      <c r="P496" s="75" t="s">
        <v>2308</v>
      </c>
      <c r="Q496" s="74" t="s">
        <v>269</v>
      </c>
      <c r="R496" s="74">
        <v>4</v>
      </c>
      <c r="S496" s="74">
        <v>300000</v>
      </c>
      <c r="T496" s="74" t="s">
        <v>2309</v>
      </c>
      <c r="U496" s="76">
        <v>1200000</v>
      </c>
      <c r="V496" s="74" t="s">
        <v>55</v>
      </c>
      <c r="W496" s="75" t="s">
        <v>56</v>
      </c>
      <c r="X496" s="77" t="s">
        <v>379</v>
      </c>
      <c r="Y496" s="70"/>
    </row>
    <row r="497" spans="1:25" s="39" customFormat="1" ht="14" customHeight="1" x14ac:dyDescent="0.35">
      <c r="A497" s="74" t="s">
        <v>245</v>
      </c>
      <c r="B497" s="74" t="s">
        <v>246</v>
      </c>
      <c r="C497" s="74" t="s">
        <v>2277</v>
      </c>
      <c r="D497" s="74">
        <v>847</v>
      </c>
      <c r="E497" s="74">
        <v>8470140</v>
      </c>
      <c r="F497" s="74" t="s">
        <v>2293</v>
      </c>
      <c r="G497" s="74">
        <v>1</v>
      </c>
      <c r="H497" s="74">
        <v>425100</v>
      </c>
      <c r="I497" s="74" t="s">
        <v>1521</v>
      </c>
      <c r="J497" s="74" t="s">
        <v>60</v>
      </c>
      <c r="K497" s="74" t="s">
        <v>50</v>
      </c>
      <c r="L497" s="74" t="s">
        <v>51</v>
      </c>
      <c r="M497" s="74" t="s">
        <v>61</v>
      </c>
      <c r="N497" s="74">
        <v>200179</v>
      </c>
      <c r="O497" s="37" t="str">
        <f t="shared" si="25"/>
        <v>847.8470140.1.425100.000000.847001.200179</v>
      </c>
      <c r="P497" s="75" t="s">
        <v>1185</v>
      </c>
      <c r="Q497" s="74" t="s">
        <v>269</v>
      </c>
      <c r="R497" s="74">
        <v>4</v>
      </c>
      <c r="S497" s="74">
        <v>600000</v>
      </c>
      <c r="T497" s="74" t="s">
        <v>2310</v>
      </c>
      <c r="U497" s="76">
        <v>2400000</v>
      </c>
      <c r="V497" s="74" t="s">
        <v>55</v>
      </c>
      <c r="W497" s="75" t="s">
        <v>56</v>
      </c>
      <c r="X497" s="77" t="s">
        <v>379</v>
      </c>
      <c r="Y497" s="70"/>
    </row>
    <row r="498" spans="1:25" s="39" customFormat="1" ht="14" customHeight="1" x14ac:dyDescent="0.35">
      <c r="A498" s="74" t="s">
        <v>245</v>
      </c>
      <c r="B498" s="74" t="s">
        <v>246</v>
      </c>
      <c r="C498" s="74" t="s">
        <v>2277</v>
      </c>
      <c r="D498" s="74">
        <v>847</v>
      </c>
      <c r="E498" s="74">
        <v>8470140</v>
      </c>
      <c r="F498" s="74" t="s">
        <v>2293</v>
      </c>
      <c r="G498" s="74">
        <v>1</v>
      </c>
      <c r="H498" s="74">
        <v>425100</v>
      </c>
      <c r="I498" s="74" t="s">
        <v>1521</v>
      </c>
      <c r="J498" s="74" t="s">
        <v>60</v>
      </c>
      <c r="K498" s="74" t="s">
        <v>50</v>
      </c>
      <c r="L498" s="74" t="s">
        <v>51</v>
      </c>
      <c r="M498" s="74" t="s">
        <v>61</v>
      </c>
      <c r="N498" s="74">
        <v>200179</v>
      </c>
      <c r="O498" s="37" t="str">
        <f t="shared" si="25"/>
        <v>847.8470140.1.425100.000000.847001.200179</v>
      </c>
      <c r="P498" s="75" t="s">
        <v>1522</v>
      </c>
      <c r="Q498" s="74" t="s">
        <v>269</v>
      </c>
      <c r="R498" s="74">
        <v>8</v>
      </c>
      <c r="S498" s="74">
        <v>500000</v>
      </c>
      <c r="T498" s="74" t="s">
        <v>2313</v>
      </c>
      <c r="U498" s="76">
        <v>4000000</v>
      </c>
      <c r="V498" s="74" t="s">
        <v>55</v>
      </c>
      <c r="W498" s="75" t="s">
        <v>56</v>
      </c>
      <c r="X498" s="77" t="s">
        <v>379</v>
      </c>
      <c r="Y498" s="70"/>
    </row>
    <row r="499" spans="1:25" s="39" customFormat="1" ht="14" customHeight="1" x14ac:dyDescent="0.35">
      <c r="A499" s="74" t="s">
        <v>245</v>
      </c>
      <c r="B499" s="74" t="s">
        <v>246</v>
      </c>
      <c r="C499" s="74" t="s">
        <v>2277</v>
      </c>
      <c r="D499" s="74">
        <v>847</v>
      </c>
      <c r="E499" s="74">
        <v>8470140</v>
      </c>
      <c r="F499" s="74" t="s">
        <v>2293</v>
      </c>
      <c r="G499" s="74">
        <v>1</v>
      </c>
      <c r="H499" s="74">
        <v>425100</v>
      </c>
      <c r="I499" s="74" t="s">
        <v>1521</v>
      </c>
      <c r="J499" s="74" t="s">
        <v>60</v>
      </c>
      <c r="K499" s="74" t="s">
        <v>50</v>
      </c>
      <c r="L499" s="74" t="s">
        <v>51</v>
      </c>
      <c r="M499" s="74" t="s">
        <v>61</v>
      </c>
      <c r="N499" s="74">
        <v>200179</v>
      </c>
      <c r="O499" s="37" t="str">
        <f t="shared" si="25"/>
        <v>847.8470140.1.425100.000000.847001.200179</v>
      </c>
      <c r="P499" s="75" t="s">
        <v>1639</v>
      </c>
      <c r="Q499" s="74" t="s">
        <v>269</v>
      </c>
      <c r="R499" s="74">
        <v>14</v>
      </c>
      <c r="S499" s="74">
        <v>100000</v>
      </c>
      <c r="T499" s="74" t="s">
        <v>2313</v>
      </c>
      <c r="U499" s="76">
        <v>1400000</v>
      </c>
      <c r="V499" s="74" t="s">
        <v>55</v>
      </c>
      <c r="W499" s="75" t="s">
        <v>56</v>
      </c>
      <c r="X499" s="77" t="s">
        <v>379</v>
      </c>
      <c r="Y499" s="70"/>
    </row>
    <row r="500" spans="1:25" s="39" customFormat="1" ht="14" customHeight="1" x14ac:dyDescent="0.35">
      <c r="A500" s="74" t="s">
        <v>245</v>
      </c>
      <c r="B500" s="74" t="s">
        <v>246</v>
      </c>
      <c r="C500" s="74" t="s">
        <v>2277</v>
      </c>
      <c r="D500" s="74">
        <v>847</v>
      </c>
      <c r="E500" s="74">
        <v>8470140</v>
      </c>
      <c r="F500" s="74" t="s">
        <v>2293</v>
      </c>
      <c r="G500" s="74">
        <v>1</v>
      </c>
      <c r="H500" s="74">
        <v>425510</v>
      </c>
      <c r="I500" s="74" t="s">
        <v>247</v>
      </c>
      <c r="J500" s="74" t="s">
        <v>60</v>
      </c>
      <c r="K500" s="74" t="s">
        <v>50</v>
      </c>
      <c r="L500" s="74">
        <v>847001</v>
      </c>
      <c r="M500" s="74" t="s">
        <v>61</v>
      </c>
      <c r="N500" s="74">
        <v>200179</v>
      </c>
      <c r="O500" s="37" t="str">
        <f t="shared" si="25"/>
        <v>847.8470140.1.425510.000000.847001.200179</v>
      </c>
      <c r="P500" s="75" t="s">
        <v>344</v>
      </c>
      <c r="Q500" s="74" t="s">
        <v>256</v>
      </c>
      <c r="R500" s="74">
        <v>1</v>
      </c>
      <c r="S500" s="74">
        <v>220000</v>
      </c>
      <c r="T500" s="74" t="s">
        <v>2315</v>
      </c>
      <c r="U500" s="76">
        <v>220000</v>
      </c>
      <c r="V500" s="74" t="s">
        <v>55</v>
      </c>
      <c r="W500" s="75" t="s">
        <v>56</v>
      </c>
      <c r="X500" s="77" t="s">
        <v>379</v>
      </c>
      <c r="Y500" s="70"/>
    </row>
    <row r="501" spans="1:25" s="39" customFormat="1" ht="14" customHeight="1" x14ac:dyDescent="0.35">
      <c r="A501" s="74" t="s">
        <v>245</v>
      </c>
      <c r="B501" s="74" t="s">
        <v>246</v>
      </c>
      <c r="C501" s="74" t="s">
        <v>2277</v>
      </c>
      <c r="D501" s="74">
        <v>847</v>
      </c>
      <c r="E501" s="74">
        <v>8470140</v>
      </c>
      <c r="F501" s="74" t="s">
        <v>2293</v>
      </c>
      <c r="G501" s="74">
        <v>1</v>
      </c>
      <c r="H501" s="74">
        <v>425510</v>
      </c>
      <c r="I501" s="74" t="s">
        <v>247</v>
      </c>
      <c r="J501" s="74" t="s">
        <v>60</v>
      </c>
      <c r="K501" s="74" t="s">
        <v>50</v>
      </c>
      <c r="L501" s="74">
        <v>847001</v>
      </c>
      <c r="M501" s="74" t="s">
        <v>61</v>
      </c>
      <c r="N501" s="74">
        <v>200179</v>
      </c>
      <c r="O501" s="37" t="str">
        <f t="shared" si="25"/>
        <v>847.8470140.1.425510.000000.847001.200179</v>
      </c>
      <c r="P501" s="75" t="s">
        <v>672</v>
      </c>
      <c r="Q501" s="74" t="s">
        <v>673</v>
      </c>
      <c r="R501" s="74">
        <v>10</v>
      </c>
      <c r="S501" s="74">
        <v>300000</v>
      </c>
      <c r="T501" s="74" t="s">
        <v>2316</v>
      </c>
      <c r="U501" s="76">
        <v>3000000</v>
      </c>
      <c r="V501" s="74" t="s">
        <v>55</v>
      </c>
      <c r="W501" s="75" t="s">
        <v>56</v>
      </c>
      <c r="X501" s="77" t="s">
        <v>379</v>
      </c>
      <c r="Y501" s="70"/>
    </row>
    <row r="502" spans="1:25" s="39" customFormat="1" ht="14" customHeight="1" x14ac:dyDescent="0.35">
      <c r="A502" s="74" t="s">
        <v>245</v>
      </c>
      <c r="B502" s="74" t="s">
        <v>246</v>
      </c>
      <c r="C502" s="74" t="s">
        <v>2277</v>
      </c>
      <c r="D502" s="74">
        <v>847</v>
      </c>
      <c r="E502" s="74">
        <v>8470140</v>
      </c>
      <c r="F502" s="74" t="s">
        <v>2293</v>
      </c>
      <c r="G502" s="74">
        <v>1</v>
      </c>
      <c r="H502" s="74">
        <v>425510</v>
      </c>
      <c r="I502" s="74" t="s">
        <v>247</v>
      </c>
      <c r="J502" s="74" t="s">
        <v>60</v>
      </c>
      <c r="K502" s="74" t="s">
        <v>50</v>
      </c>
      <c r="L502" s="74">
        <v>847001</v>
      </c>
      <c r="M502" s="74" t="s">
        <v>61</v>
      </c>
      <c r="N502" s="74">
        <v>200179</v>
      </c>
      <c r="O502" s="37" t="str">
        <f t="shared" si="25"/>
        <v>847.8470140.1.425510.000000.847001.200179</v>
      </c>
      <c r="P502" s="75" t="s">
        <v>433</v>
      </c>
      <c r="Q502" s="74" t="s">
        <v>434</v>
      </c>
      <c r="R502" s="74">
        <v>6</v>
      </c>
      <c r="S502" s="74">
        <v>800884</v>
      </c>
      <c r="T502" s="74" t="s">
        <v>2317</v>
      </c>
      <c r="U502" s="76">
        <v>4805304</v>
      </c>
      <c r="V502" s="74" t="s">
        <v>55</v>
      </c>
      <c r="W502" s="75" t="s">
        <v>56</v>
      </c>
      <c r="X502" s="77" t="s">
        <v>379</v>
      </c>
      <c r="Y502" s="70"/>
    </row>
    <row r="503" spans="1:25" s="39" customFormat="1" ht="14" customHeight="1" x14ac:dyDescent="0.35">
      <c r="A503" s="74" t="s">
        <v>245</v>
      </c>
      <c r="B503" s="74" t="s">
        <v>58</v>
      </c>
      <c r="C503" s="74" t="s">
        <v>2277</v>
      </c>
      <c r="D503" s="74">
        <v>847</v>
      </c>
      <c r="E503" s="74">
        <v>8470140</v>
      </c>
      <c r="F503" s="74" t="s">
        <v>2293</v>
      </c>
      <c r="G503" s="74">
        <v>1</v>
      </c>
      <c r="H503" s="74">
        <v>425550</v>
      </c>
      <c r="I503" s="74" t="s">
        <v>253</v>
      </c>
      <c r="J503" s="74" t="s">
        <v>60</v>
      </c>
      <c r="K503" s="74" t="s">
        <v>50</v>
      </c>
      <c r="L503" s="74">
        <v>847001</v>
      </c>
      <c r="M503" s="74" t="s">
        <v>61</v>
      </c>
      <c r="N503" s="74">
        <v>200179</v>
      </c>
      <c r="O503" s="37" t="str">
        <f t="shared" si="25"/>
        <v>847.8470140.1.425550.000000.847001.200179</v>
      </c>
      <c r="P503" s="75" t="s">
        <v>255</v>
      </c>
      <c r="Q503" s="74" t="s">
        <v>256</v>
      </c>
      <c r="R503" s="74">
        <v>6</v>
      </c>
      <c r="S503" s="74">
        <v>500000</v>
      </c>
      <c r="T503" s="74" t="s">
        <v>2319</v>
      </c>
      <c r="U503" s="76">
        <v>3000000</v>
      </c>
      <c r="V503" s="74" t="s">
        <v>55</v>
      </c>
      <c r="W503" s="75" t="s">
        <v>56</v>
      </c>
      <c r="X503" s="77" t="s">
        <v>379</v>
      </c>
      <c r="Y503" s="70"/>
    </row>
    <row r="504" spans="1:25" s="39" customFormat="1" ht="14" customHeight="1" x14ac:dyDescent="0.35">
      <c r="A504" s="74" t="s">
        <v>258</v>
      </c>
      <c r="B504" s="74" t="s">
        <v>58</v>
      </c>
      <c r="C504" s="74" t="s">
        <v>2277</v>
      </c>
      <c r="D504" s="74">
        <v>847</v>
      </c>
      <c r="E504" s="74">
        <v>8470140</v>
      </c>
      <c r="F504" s="74" t="s">
        <v>2293</v>
      </c>
      <c r="G504" s="74">
        <v>1</v>
      </c>
      <c r="H504" s="74">
        <v>425763</v>
      </c>
      <c r="I504" s="74" t="s">
        <v>359</v>
      </c>
      <c r="J504" s="74" t="s">
        <v>60</v>
      </c>
      <c r="K504" s="74" t="s">
        <v>2320</v>
      </c>
      <c r="L504" s="74">
        <v>847050</v>
      </c>
      <c r="M504" s="74" t="s">
        <v>61</v>
      </c>
      <c r="N504" s="74">
        <v>200179</v>
      </c>
      <c r="O504" s="37" t="str">
        <f t="shared" si="25"/>
        <v>847.8470140.1.425763.000000.847050.200179</v>
      </c>
      <c r="P504" s="75" t="s">
        <v>361</v>
      </c>
      <c r="Q504" s="74" t="s">
        <v>68</v>
      </c>
      <c r="R504" s="74"/>
      <c r="S504" s="74">
        <v>100000</v>
      </c>
      <c r="T504" s="74" t="s">
        <v>2322</v>
      </c>
      <c r="U504" s="76">
        <v>0</v>
      </c>
      <c r="V504" s="74" t="s">
        <v>55</v>
      </c>
      <c r="W504" s="75" t="s">
        <v>56</v>
      </c>
      <c r="X504" s="77" t="s">
        <v>379</v>
      </c>
      <c r="Y504" s="70"/>
    </row>
    <row r="505" spans="1:25" s="39" customFormat="1" ht="14" customHeight="1" x14ac:dyDescent="0.35">
      <c r="A505" s="74" t="s">
        <v>245</v>
      </c>
      <c r="B505" s="74" t="s">
        <v>246</v>
      </c>
      <c r="C505" s="74" t="s">
        <v>2277</v>
      </c>
      <c r="D505" s="74">
        <v>847</v>
      </c>
      <c r="E505" s="74">
        <v>8470140</v>
      </c>
      <c r="F505" s="74" t="s">
        <v>2293</v>
      </c>
      <c r="G505" s="74">
        <v>1</v>
      </c>
      <c r="H505" s="74">
        <v>427100</v>
      </c>
      <c r="I505" s="74" t="s">
        <v>2323</v>
      </c>
      <c r="J505" s="74" t="s">
        <v>60</v>
      </c>
      <c r="K505" s="74" t="s">
        <v>50</v>
      </c>
      <c r="L505" s="74">
        <v>847001</v>
      </c>
      <c r="M505" s="74" t="s">
        <v>61</v>
      </c>
      <c r="N505" s="74">
        <v>200179</v>
      </c>
      <c r="O505" s="37" t="str">
        <f t="shared" si="25"/>
        <v>847.8470140.1.427100.000000.847001.200179</v>
      </c>
      <c r="P505" s="75" t="s">
        <v>2325</v>
      </c>
      <c r="Q505" s="74" t="s">
        <v>269</v>
      </c>
      <c r="R505" s="74">
        <v>1</v>
      </c>
      <c r="S505" s="74">
        <v>100000</v>
      </c>
      <c r="T505" s="74" t="s">
        <v>2326</v>
      </c>
      <c r="U505" s="76">
        <v>100000</v>
      </c>
      <c r="V505" s="74" t="s">
        <v>55</v>
      </c>
      <c r="W505" s="75" t="s">
        <v>56</v>
      </c>
      <c r="X505" s="77" t="s">
        <v>379</v>
      </c>
      <c r="Y505" s="70"/>
    </row>
    <row r="506" spans="1:25" s="39" customFormat="1" ht="14" customHeight="1" x14ac:dyDescent="0.35">
      <c r="A506" s="74" t="s">
        <v>245</v>
      </c>
      <c r="B506" s="74" t="s">
        <v>246</v>
      </c>
      <c r="C506" s="74" t="s">
        <v>2277</v>
      </c>
      <c r="D506" s="74">
        <v>847</v>
      </c>
      <c r="E506" s="74">
        <v>8470140</v>
      </c>
      <c r="F506" s="74" t="s">
        <v>2293</v>
      </c>
      <c r="G506" s="74">
        <v>1</v>
      </c>
      <c r="H506" s="74">
        <v>427100</v>
      </c>
      <c r="I506" s="74" t="s">
        <v>2323</v>
      </c>
      <c r="J506" s="74" t="s">
        <v>60</v>
      </c>
      <c r="K506" s="74" t="s">
        <v>50</v>
      </c>
      <c r="L506" s="74">
        <v>847001</v>
      </c>
      <c r="M506" s="74" t="s">
        <v>61</v>
      </c>
      <c r="N506" s="74">
        <v>200179</v>
      </c>
      <c r="O506" s="37" t="str">
        <f t="shared" si="25"/>
        <v>847.8470140.1.427100.000000.847001.200179</v>
      </c>
      <c r="P506" s="75" t="s">
        <v>2327</v>
      </c>
      <c r="Q506" s="74" t="s">
        <v>269</v>
      </c>
      <c r="R506" s="74">
        <v>1</v>
      </c>
      <c r="S506" s="74">
        <v>2400000</v>
      </c>
      <c r="T506" s="74" t="s">
        <v>2328</v>
      </c>
      <c r="U506" s="76">
        <v>2400000</v>
      </c>
      <c r="V506" s="74" t="s">
        <v>55</v>
      </c>
      <c r="W506" s="75" t="s">
        <v>56</v>
      </c>
      <c r="X506" s="77" t="s">
        <v>379</v>
      </c>
      <c r="Y506" s="70"/>
    </row>
    <row r="507" spans="1:25" s="39" customFormat="1" ht="14" customHeight="1" x14ac:dyDescent="0.35">
      <c r="A507" s="74" t="s">
        <v>245</v>
      </c>
      <c r="B507" s="74" t="s">
        <v>58</v>
      </c>
      <c r="C507" s="74" t="s">
        <v>2277</v>
      </c>
      <c r="D507" s="74">
        <v>847</v>
      </c>
      <c r="E507" s="74">
        <v>8470140</v>
      </c>
      <c r="F507" s="74" t="s">
        <v>2293</v>
      </c>
      <c r="G507" s="74">
        <v>1</v>
      </c>
      <c r="H507" s="74">
        <v>427200</v>
      </c>
      <c r="I507" s="74" t="s">
        <v>1085</v>
      </c>
      <c r="J507" s="74" t="s">
        <v>60</v>
      </c>
      <c r="K507" s="74" t="s">
        <v>50</v>
      </c>
      <c r="L507" s="74">
        <v>847001</v>
      </c>
      <c r="M507" s="74" t="s">
        <v>61</v>
      </c>
      <c r="N507" s="74">
        <v>200179</v>
      </c>
      <c r="O507" s="37" t="str">
        <f t="shared" si="25"/>
        <v>847.8470140.1.427200.000000.847001.200179</v>
      </c>
      <c r="P507" s="75" t="s">
        <v>1087</v>
      </c>
      <c r="Q507" s="74" t="s">
        <v>269</v>
      </c>
      <c r="R507" s="74">
        <v>40</v>
      </c>
      <c r="S507" s="74">
        <v>3375</v>
      </c>
      <c r="T507" s="74" t="s">
        <v>2331</v>
      </c>
      <c r="U507" s="76">
        <v>135000</v>
      </c>
      <c r="V507" s="74" t="s">
        <v>55</v>
      </c>
      <c r="W507" s="75" t="s">
        <v>56</v>
      </c>
      <c r="X507" s="77" t="s">
        <v>379</v>
      </c>
      <c r="Y507" s="70"/>
    </row>
    <row r="508" spans="1:25" s="39" customFormat="1" ht="14" customHeight="1" x14ac:dyDescent="0.35">
      <c r="A508" s="74" t="s">
        <v>245</v>
      </c>
      <c r="B508" s="74" t="s">
        <v>58</v>
      </c>
      <c r="C508" s="74" t="s">
        <v>2277</v>
      </c>
      <c r="D508" s="74">
        <v>847</v>
      </c>
      <c r="E508" s="74">
        <v>8470140</v>
      </c>
      <c r="F508" s="74" t="s">
        <v>2293</v>
      </c>
      <c r="G508" s="74">
        <v>1</v>
      </c>
      <c r="H508" s="74">
        <v>427200</v>
      </c>
      <c r="I508" s="74" t="s">
        <v>1085</v>
      </c>
      <c r="J508" s="74" t="s">
        <v>60</v>
      </c>
      <c r="K508" s="74" t="s">
        <v>50</v>
      </c>
      <c r="L508" s="74">
        <v>847001</v>
      </c>
      <c r="M508" s="74" t="s">
        <v>61</v>
      </c>
      <c r="N508" s="74">
        <v>200179</v>
      </c>
      <c r="O508" s="37" t="str">
        <f t="shared" si="25"/>
        <v>847.8470140.1.427200.000000.847001.200179</v>
      </c>
      <c r="P508" s="75" t="s">
        <v>2334</v>
      </c>
      <c r="Q508" s="74" t="s">
        <v>269</v>
      </c>
      <c r="R508" s="74">
        <v>30</v>
      </c>
      <c r="S508" s="74">
        <v>2666.6666599999999</v>
      </c>
      <c r="T508" s="74" t="s">
        <v>2335</v>
      </c>
      <c r="U508" s="76">
        <v>79999.999799999991</v>
      </c>
      <c r="V508" s="74" t="s">
        <v>55</v>
      </c>
      <c r="W508" s="75" t="s">
        <v>56</v>
      </c>
      <c r="X508" s="77" t="s">
        <v>379</v>
      </c>
      <c r="Y508" s="70"/>
    </row>
    <row r="509" spans="1:25" s="39" customFormat="1" ht="14" customHeight="1" x14ac:dyDescent="0.35">
      <c r="A509" s="74" t="s">
        <v>245</v>
      </c>
      <c r="B509" s="74" t="s">
        <v>58</v>
      </c>
      <c r="C509" s="74" t="s">
        <v>2277</v>
      </c>
      <c r="D509" s="74">
        <v>847</v>
      </c>
      <c r="E509" s="74">
        <v>8470140</v>
      </c>
      <c r="F509" s="74" t="s">
        <v>2293</v>
      </c>
      <c r="G509" s="74">
        <v>1</v>
      </c>
      <c r="H509" s="74">
        <v>427200</v>
      </c>
      <c r="I509" s="74" t="s">
        <v>1085</v>
      </c>
      <c r="J509" s="74" t="s">
        <v>60</v>
      </c>
      <c r="K509" s="74" t="s">
        <v>50</v>
      </c>
      <c r="L509" s="74">
        <v>847001</v>
      </c>
      <c r="M509" s="74" t="s">
        <v>61</v>
      </c>
      <c r="N509" s="74">
        <v>200179</v>
      </c>
      <c r="O509" s="37" t="str">
        <f t="shared" si="25"/>
        <v>847.8470140.1.427200.000000.847001.200179</v>
      </c>
      <c r="P509" s="75" t="s">
        <v>2336</v>
      </c>
      <c r="Q509" s="74" t="s">
        <v>269</v>
      </c>
      <c r="R509" s="74">
        <v>15</v>
      </c>
      <c r="S509" s="74">
        <v>2333.3332999999998</v>
      </c>
      <c r="T509" s="74" t="s">
        <v>2337</v>
      </c>
      <c r="U509" s="76">
        <v>34999.999499999998</v>
      </c>
      <c r="V509" s="74" t="s">
        <v>55</v>
      </c>
      <c r="W509" s="75" t="s">
        <v>56</v>
      </c>
      <c r="X509" s="77" t="s">
        <v>379</v>
      </c>
      <c r="Y509" s="70"/>
    </row>
    <row r="510" spans="1:25" s="39" customFormat="1" ht="14" customHeight="1" x14ac:dyDescent="0.35">
      <c r="A510" s="74" t="s">
        <v>245</v>
      </c>
      <c r="B510" s="74" t="s">
        <v>58</v>
      </c>
      <c r="C510" s="74" t="s">
        <v>2277</v>
      </c>
      <c r="D510" s="74">
        <v>847</v>
      </c>
      <c r="E510" s="74">
        <v>8470140</v>
      </c>
      <c r="F510" s="74" t="s">
        <v>2293</v>
      </c>
      <c r="G510" s="74">
        <v>1</v>
      </c>
      <c r="H510" s="74">
        <v>427200</v>
      </c>
      <c r="I510" s="74" t="s">
        <v>1085</v>
      </c>
      <c r="J510" s="74" t="s">
        <v>60</v>
      </c>
      <c r="K510" s="74" t="s">
        <v>50</v>
      </c>
      <c r="L510" s="74">
        <v>847001</v>
      </c>
      <c r="M510" s="74" t="s">
        <v>61</v>
      </c>
      <c r="N510" s="74">
        <v>200179</v>
      </c>
      <c r="O510" s="37" t="str">
        <f t="shared" si="25"/>
        <v>847.8470140.1.427200.000000.847001.200179</v>
      </c>
      <c r="P510" s="75" t="s">
        <v>748</v>
      </c>
      <c r="Q510" s="74" t="s">
        <v>269</v>
      </c>
      <c r="R510" s="74">
        <v>2000</v>
      </c>
      <c r="S510" s="74">
        <v>100</v>
      </c>
      <c r="T510" s="74" t="s">
        <v>2338</v>
      </c>
      <c r="U510" s="76">
        <v>200000</v>
      </c>
      <c r="V510" s="74" t="s">
        <v>55</v>
      </c>
      <c r="W510" s="75" t="s">
        <v>56</v>
      </c>
      <c r="X510" s="77" t="s">
        <v>379</v>
      </c>
      <c r="Y510" s="70"/>
    </row>
    <row r="511" spans="1:25" s="39" customFormat="1" ht="14" customHeight="1" x14ac:dyDescent="0.35">
      <c r="A511" s="74" t="s">
        <v>245</v>
      </c>
      <c r="B511" s="74" t="s">
        <v>58</v>
      </c>
      <c r="C511" s="74" t="s">
        <v>2277</v>
      </c>
      <c r="D511" s="74">
        <v>847</v>
      </c>
      <c r="E511" s="74">
        <v>8470140</v>
      </c>
      <c r="F511" s="74" t="s">
        <v>2293</v>
      </c>
      <c r="G511" s="74">
        <v>1</v>
      </c>
      <c r="H511" s="74">
        <v>427200</v>
      </c>
      <c r="I511" s="74" t="s">
        <v>1085</v>
      </c>
      <c r="J511" s="74" t="s">
        <v>60</v>
      </c>
      <c r="K511" s="74" t="s">
        <v>50</v>
      </c>
      <c r="L511" s="74">
        <v>847001</v>
      </c>
      <c r="M511" s="74" t="s">
        <v>61</v>
      </c>
      <c r="N511" s="74">
        <v>200179</v>
      </c>
      <c r="O511" s="37" t="str">
        <f t="shared" si="25"/>
        <v>847.8470140.1.427200.000000.847001.200179</v>
      </c>
      <c r="P511" s="75" t="s">
        <v>2339</v>
      </c>
      <c r="Q511" s="74" t="s">
        <v>269</v>
      </c>
      <c r="R511" s="74">
        <v>3000</v>
      </c>
      <c r="S511" s="74">
        <v>100</v>
      </c>
      <c r="T511" s="74" t="s">
        <v>2340</v>
      </c>
      <c r="U511" s="76">
        <v>300000</v>
      </c>
      <c r="V511" s="74" t="s">
        <v>55</v>
      </c>
      <c r="W511" s="75" t="s">
        <v>56</v>
      </c>
      <c r="X511" s="77" t="s">
        <v>379</v>
      </c>
      <c r="Y511" s="70"/>
    </row>
    <row r="512" spans="1:25" s="39" customFormat="1" ht="14" customHeight="1" x14ac:dyDescent="0.35">
      <c r="A512" s="74" t="s">
        <v>245</v>
      </c>
      <c r="B512" s="74" t="s">
        <v>246</v>
      </c>
      <c r="C512" s="74" t="s">
        <v>2277</v>
      </c>
      <c r="D512" s="74">
        <v>847</v>
      </c>
      <c r="E512" s="74">
        <v>8470140</v>
      </c>
      <c r="F512" s="74" t="s">
        <v>2293</v>
      </c>
      <c r="G512" s="74">
        <v>1</v>
      </c>
      <c r="H512" s="74">
        <v>428640</v>
      </c>
      <c r="I512" s="74" t="s">
        <v>279</v>
      </c>
      <c r="J512" s="74" t="s">
        <v>60</v>
      </c>
      <c r="K512" s="74" t="s">
        <v>50</v>
      </c>
      <c r="L512" s="74">
        <v>847001</v>
      </c>
      <c r="M512" s="74" t="s">
        <v>61</v>
      </c>
      <c r="N512" s="74">
        <v>200179</v>
      </c>
      <c r="O512" s="37" t="str">
        <f t="shared" si="25"/>
        <v>847.8470140.1.428640.000000.847001.200179</v>
      </c>
      <c r="P512" s="75" t="s">
        <v>281</v>
      </c>
      <c r="Q512" s="74" t="s">
        <v>269</v>
      </c>
      <c r="R512" s="74">
        <v>100</v>
      </c>
      <c r="S512" s="74">
        <v>1100</v>
      </c>
      <c r="T512" s="74" t="s">
        <v>2342</v>
      </c>
      <c r="U512" s="76">
        <v>110000</v>
      </c>
      <c r="V512" s="74" t="s">
        <v>55</v>
      </c>
      <c r="W512" s="75" t="s">
        <v>56</v>
      </c>
      <c r="X512" s="77" t="s">
        <v>379</v>
      </c>
      <c r="Y512" s="70"/>
    </row>
    <row r="513" spans="1:25" s="39" customFormat="1" ht="14" customHeight="1" x14ac:dyDescent="0.35">
      <c r="A513" s="74" t="s">
        <v>245</v>
      </c>
      <c r="B513" s="74" t="s">
        <v>246</v>
      </c>
      <c r="C513" s="74" t="s">
        <v>2277</v>
      </c>
      <c r="D513" s="74">
        <v>847</v>
      </c>
      <c r="E513" s="74">
        <v>8470140</v>
      </c>
      <c r="F513" s="74" t="s">
        <v>2293</v>
      </c>
      <c r="G513" s="74">
        <v>1</v>
      </c>
      <c r="H513" s="74">
        <v>428640</v>
      </c>
      <c r="I513" s="74" t="s">
        <v>279</v>
      </c>
      <c r="J513" s="74" t="s">
        <v>60</v>
      </c>
      <c r="K513" s="74" t="s">
        <v>50</v>
      </c>
      <c r="L513" s="74">
        <v>847001</v>
      </c>
      <c r="M513" s="74" t="s">
        <v>61</v>
      </c>
      <c r="N513" s="74">
        <v>200179</v>
      </c>
      <c r="O513" s="37" t="str">
        <f t="shared" si="25"/>
        <v>847.8470140.1.428640.000000.847001.200179</v>
      </c>
      <c r="P513" s="75" t="s">
        <v>645</v>
      </c>
      <c r="Q513" s="74" t="s">
        <v>269</v>
      </c>
      <c r="R513" s="74">
        <v>100</v>
      </c>
      <c r="S513" s="74">
        <v>3600</v>
      </c>
      <c r="T513" s="74" t="s">
        <v>2343</v>
      </c>
      <c r="U513" s="76">
        <v>360000</v>
      </c>
      <c r="V513" s="74" t="s">
        <v>55</v>
      </c>
      <c r="W513" s="75" t="s">
        <v>56</v>
      </c>
      <c r="X513" s="77" t="s">
        <v>379</v>
      </c>
      <c r="Y513" s="70"/>
    </row>
    <row r="514" spans="1:25" s="39" customFormat="1" ht="14" customHeight="1" x14ac:dyDescent="0.35">
      <c r="A514" s="74" t="s">
        <v>245</v>
      </c>
      <c r="B514" s="74" t="s">
        <v>246</v>
      </c>
      <c r="C514" s="74" t="s">
        <v>2277</v>
      </c>
      <c r="D514" s="74">
        <v>847</v>
      </c>
      <c r="E514" s="74">
        <v>8470140</v>
      </c>
      <c r="F514" s="74" t="s">
        <v>2293</v>
      </c>
      <c r="G514" s="74">
        <v>1</v>
      </c>
      <c r="H514" s="74">
        <v>428640</v>
      </c>
      <c r="I514" s="74" t="s">
        <v>279</v>
      </c>
      <c r="J514" s="74" t="s">
        <v>60</v>
      </c>
      <c r="K514" s="74" t="s">
        <v>50</v>
      </c>
      <c r="L514" s="74">
        <v>847001</v>
      </c>
      <c r="M514" s="74" t="s">
        <v>61</v>
      </c>
      <c r="N514" s="74">
        <v>200179</v>
      </c>
      <c r="O514" s="37" t="str">
        <f t="shared" si="25"/>
        <v>847.8470140.1.428640.000000.847001.200179</v>
      </c>
      <c r="P514" s="75" t="s">
        <v>1533</v>
      </c>
      <c r="Q514" s="74" t="s">
        <v>269</v>
      </c>
      <c r="R514" s="74">
        <v>3000</v>
      </c>
      <c r="S514" s="74">
        <v>50</v>
      </c>
      <c r="T514" s="74" t="s">
        <v>2344</v>
      </c>
      <c r="U514" s="76">
        <v>150000</v>
      </c>
      <c r="V514" s="74" t="s">
        <v>55</v>
      </c>
      <c r="W514" s="75" t="s">
        <v>56</v>
      </c>
      <c r="X514" s="77" t="s">
        <v>379</v>
      </c>
      <c r="Y514" s="70"/>
    </row>
    <row r="515" spans="1:25" s="39" customFormat="1" ht="14" customHeight="1" x14ac:dyDescent="0.35">
      <c r="A515" s="74" t="s">
        <v>245</v>
      </c>
      <c r="B515" s="74" t="s">
        <v>246</v>
      </c>
      <c r="C515" s="74" t="s">
        <v>2277</v>
      </c>
      <c r="D515" s="74">
        <v>847</v>
      </c>
      <c r="E515" s="74">
        <v>8470140</v>
      </c>
      <c r="F515" s="74" t="s">
        <v>2293</v>
      </c>
      <c r="G515" s="74">
        <v>1</v>
      </c>
      <c r="H515" s="74">
        <v>428640</v>
      </c>
      <c r="I515" s="74" t="s">
        <v>279</v>
      </c>
      <c r="J515" s="74" t="s">
        <v>60</v>
      </c>
      <c r="K515" s="74" t="s">
        <v>50</v>
      </c>
      <c r="L515" s="74">
        <v>847001</v>
      </c>
      <c r="M515" s="74" t="s">
        <v>61</v>
      </c>
      <c r="N515" s="74">
        <v>200179</v>
      </c>
      <c r="O515" s="37" t="str">
        <f t="shared" ref="O515:O578" si="26">CONCATENATE(D515,".",E515,".",G515,".",H515,".",J515,".",L515,".",N515)</f>
        <v>847.8470140.1.428640.000000.847001.200179</v>
      </c>
      <c r="P515" s="75" t="s">
        <v>1452</v>
      </c>
      <c r="Q515" s="74" t="s">
        <v>269</v>
      </c>
      <c r="R515" s="74">
        <v>3000</v>
      </c>
      <c r="S515" s="74">
        <v>126</v>
      </c>
      <c r="T515" s="74" t="s">
        <v>2345</v>
      </c>
      <c r="U515" s="76">
        <v>378000</v>
      </c>
      <c r="V515" s="74" t="s">
        <v>55</v>
      </c>
      <c r="W515" s="75" t="s">
        <v>56</v>
      </c>
      <c r="X515" s="77" t="s">
        <v>379</v>
      </c>
      <c r="Y515" s="70"/>
    </row>
    <row r="516" spans="1:25" s="39" customFormat="1" ht="14" customHeight="1" x14ac:dyDescent="0.35">
      <c r="A516" s="74" t="s">
        <v>189</v>
      </c>
      <c r="B516" s="74" t="s">
        <v>58</v>
      </c>
      <c r="C516" s="74" t="s">
        <v>2277</v>
      </c>
      <c r="D516" s="74">
        <v>847</v>
      </c>
      <c r="E516" s="74">
        <v>8470140</v>
      </c>
      <c r="F516" s="74" t="s">
        <v>2293</v>
      </c>
      <c r="G516" s="74">
        <v>1</v>
      </c>
      <c r="H516" s="74">
        <v>435310</v>
      </c>
      <c r="I516" s="74" t="s">
        <v>1336</v>
      </c>
      <c r="J516" s="74" t="s">
        <v>60</v>
      </c>
      <c r="K516" s="74" t="s">
        <v>50</v>
      </c>
      <c r="L516" s="74">
        <v>847001</v>
      </c>
      <c r="M516" s="74" t="s">
        <v>61</v>
      </c>
      <c r="N516" s="74">
        <v>200179</v>
      </c>
      <c r="O516" s="37" t="str">
        <f t="shared" si="26"/>
        <v>847.8470140.1.435310.000000.847001.200179</v>
      </c>
      <c r="P516" s="75" t="s">
        <v>1347</v>
      </c>
      <c r="Q516" s="74" t="s">
        <v>157</v>
      </c>
      <c r="R516" s="74">
        <v>2</v>
      </c>
      <c r="S516" s="74">
        <v>5000</v>
      </c>
      <c r="T516" s="74" t="s">
        <v>2347</v>
      </c>
      <c r="U516" s="76">
        <v>10000</v>
      </c>
      <c r="V516" s="74" t="s">
        <v>55</v>
      </c>
      <c r="W516" s="75" t="s">
        <v>56</v>
      </c>
      <c r="X516" s="77" t="s">
        <v>379</v>
      </c>
      <c r="Y516" s="70"/>
    </row>
    <row r="517" spans="1:25" s="39" customFormat="1" ht="14" customHeight="1" x14ac:dyDescent="0.35">
      <c r="A517" s="74" t="s">
        <v>245</v>
      </c>
      <c r="B517" s="74" t="s">
        <v>246</v>
      </c>
      <c r="C517" s="74" t="s">
        <v>2277</v>
      </c>
      <c r="D517" s="74">
        <v>847</v>
      </c>
      <c r="E517" s="74">
        <v>8470140</v>
      </c>
      <c r="F517" s="74" t="s">
        <v>2293</v>
      </c>
      <c r="G517" s="74">
        <v>1</v>
      </c>
      <c r="H517" s="74">
        <v>435519</v>
      </c>
      <c r="I517" s="74" t="s">
        <v>2348</v>
      </c>
      <c r="J517" s="74" t="s">
        <v>60</v>
      </c>
      <c r="K517" s="74" t="s">
        <v>50</v>
      </c>
      <c r="L517" s="74">
        <v>847001</v>
      </c>
      <c r="M517" s="74" t="s">
        <v>61</v>
      </c>
      <c r="N517" s="74">
        <v>200179</v>
      </c>
      <c r="O517" s="37" t="str">
        <f t="shared" si="26"/>
        <v>847.8470140.1.435519.000000.847001.200179</v>
      </c>
      <c r="P517" s="75" t="s">
        <v>2350</v>
      </c>
      <c r="Q517" s="74" t="s">
        <v>157</v>
      </c>
      <c r="R517" s="74">
        <v>1</v>
      </c>
      <c r="S517" s="74">
        <v>135000</v>
      </c>
      <c r="T517" s="74" t="s">
        <v>2351</v>
      </c>
      <c r="U517" s="76">
        <v>135000</v>
      </c>
      <c r="V517" s="74" t="s">
        <v>55</v>
      </c>
      <c r="W517" s="75" t="s">
        <v>56</v>
      </c>
      <c r="X517" s="77" t="s">
        <v>379</v>
      </c>
      <c r="Y517" s="70"/>
    </row>
    <row r="518" spans="1:25" s="39" customFormat="1" ht="14" customHeight="1" x14ac:dyDescent="0.35">
      <c r="A518" s="74" t="s">
        <v>63</v>
      </c>
      <c r="B518" s="74" t="s">
        <v>64</v>
      </c>
      <c r="C518" s="74" t="s">
        <v>2277</v>
      </c>
      <c r="D518" s="74">
        <v>847</v>
      </c>
      <c r="E518" s="74">
        <v>8470140</v>
      </c>
      <c r="F518" s="74" t="s">
        <v>2293</v>
      </c>
      <c r="G518" s="74">
        <v>1</v>
      </c>
      <c r="H518" s="74">
        <v>492310</v>
      </c>
      <c r="I518" s="74" t="s">
        <v>191</v>
      </c>
      <c r="J518" s="74" t="s">
        <v>60</v>
      </c>
      <c r="K518" s="74" t="s">
        <v>50</v>
      </c>
      <c r="L518" s="74">
        <v>847001</v>
      </c>
      <c r="M518" s="74" t="s">
        <v>192</v>
      </c>
      <c r="N518" s="74">
        <v>300180</v>
      </c>
      <c r="O518" s="37" t="str">
        <f t="shared" si="26"/>
        <v>847.8470140.1.492310.000000.847001.300180</v>
      </c>
      <c r="P518" s="75" t="s">
        <v>1614</v>
      </c>
      <c r="Q518" s="74" t="s">
        <v>68</v>
      </c>
      <c r="R518" s="74">
        <v>2</v>
      </c>
      <c r="S518" s="74">
        <v>100000</v>
      </c>
      <c r="T518" s="74" t="s">
        <v>2353</v>
      </c>
      <c r="U518" s="76">
        <v>200000</v>
      </c>
      <c r="V518" s="74" t="s">
        <v>55</v>
      </c>
      <c r="W518" s="75" t="s">
        <v>56</v>
      </c>
      <c r="X518" s="77" t="s">
        <v>379</v>
      </c>
      <c r="Y518" s="70"/>
    </row>
    <row r="519" spans="1:25" s="39" customFormat="1" ht="14" customHeight="1" x14ac:dyDescent="0.35">
      <c r="A519" s="74" t="s">
        <v>189</v>
      </c>
      <c r="B519" s="74" t="s">
        <v>265</v>
      </c>
      <c r="C519" s="74" t="s">
        <v>2277</v>
      </c>
      <c r="D519" s="74">
        <v>847</v>
      </c>
      <c r="E519" s="74">
        <v>8470910</v>
      </c>
      <c r="F519" s="74" t="s">
        <v>2354</v>
      </c>
      <c r="G519" s="74">
        <v>1</v>
      </c>
      <c r="H519" s="74">
        <v>425900</v>
      </c>
      <c r="I519" s="74" t="s">
        <v>266</v>
      </c>
      <c r="J519" s="74" t="s">
        <v>60</v>
      </c>
      <c r="K519" s="74" t="s">
        <v>50</v>
      </c>
      <c r="L519" s="74">
        <v>847001</v>
      </c>
      <c r="M519" s="74" t="s">
        <v>61</v>
      </c>
      <c r="N519" s="74">
        <v>200179</v>
      </c>
      <c r="O519" s="37" t="str">
        <f t="shared" si="26"/>
        <v>847.8470910.1.425900.000000.847001.200179</v>
      </c>
      <c r="P519" s="75" t="s">
        <v>268</v>
      </c>
      <c r="Q519" s="74" t="s">
        <v>269</v>
      </c>
      <c r="R519" s="74">
        <v>10</v>
      </c>
      <c r="S519" s="74">
        <v>5000</v>
      </c>
      <c r="T519" s="74" t="s">
        <v>2355</v>
      </c>
      <c r="U519" s="76">
        <v>50000</v>
      </c>
      <c r="V519" s="74" t="s">
        <v>55</v>
      </c>
      <c r="W519" s="75" t="s">
        <v>56</v>
      </c>
      <c r="X519" s="77" t="s">
        <v>237</v>
      </c>
      <c r="Y519" s="70"/>
    </row>
    <row r="520" spans="1:25" s="39" customFormat="1" ht="14" customHeight="1" x14ac:dyDescent="0.35">
      <c r="A520" s="74" t="s">
        <v>153</v>
      </c>
      <c r="B520" s="74" t="s">
        <v>58</v>
      </c>
      <c r="C520" s="74" t="s">
        <v>2277</v>
      </c>
      <c r="D520" s="74">
        <v>847</v>
      </c>
      <c r="E520" s="74">
        <v>8470910</v>
      </c>
      <c r="F520" s="74" t="s">
        <v>2354</v>
      </c>
      <c r="G520" s="74">
        <v>1</v>
      </c>
      <c r="H520" s="74">
        <v>428090</v>
      </c>
      <c r="I520" s="74" t="s">
        <v>154</v>
      </c>
      <c r="J520" s="74" t="s">
        <v>60</v>
      </c>
      <c r="K520" s="74" t="s">
        <v>50</v>
      </c>
      <c r="L520" s="74">
        <v>847001</v>
      </c>
      <c r="M520" s="74" t="s">
        <v>61</v>
      </c>
      <c r="N520" s="74">
        <v>200179</v>
      </c>
      <c r="O520" s="37" t="str">
        <f t="shared" si="26"/>
        <v>847.8470910.1.428090.000000.847001.200179</v>
      </c>
      <c r="P520" s="75" t="s">
        <v>387</v>
      </c>
      <c r="Q520" s="74" t="s">
        <v>157</v>
      </c>
      <c r="R520" s="74">
        <v>10</v>
      </c>
      <c r="S520" s="74">
        <v>100000</v>
      </c>
      <c r="T520" s="74" t="s">
        <v>2358</v>
      </c>
      <c r="U520" s="76">
        <v>1000000</v>
      </c>
      <c r="V520" s="74" t="s">
        <v>210</v>
      </c>
      <c r="W520" s="75" t="s">
        <v>56</v>
      </c>
      <c r="X520" s="77" t="s">
        <v>237</v>
      </c>
      <c r="Y520" s="70"/>
    </row>
    <row r="521" spans="1:25" s="39" customFormat="1" ht="14" customHeight="1" x14ac:dyDescent="0.35">
      <c r="A521" s="74" t="s">
        <v>189</v>
      </c>
      <c r="B521" s="74" t="s">
        <v>58</v>
      </c>
      <c r="C521" s="74" t="s">
        <v>2277</v>
      </c>
      <c r="D521" s="74">
        <v>847</v>
      </c>
      <c r="E521" s="74">
        <v>8470910</v>
      </c>
      <c r="F521" s="74" t="s">
        <v>2354</v>
      </c>
      <c r="G521" s="74">
        <v>1</v>
      </c>
      <c r="H521" s="74">
        <v>429900</v>
      </c>
      <c r="I521" s="74" t="s">
        <v>2359</v>
      </c>
      <c r="J521" s="74" t="s">
        <v>60</v>
      </c>
      <c r="K521" s="74" t="s">
        <v>50</v>
      </c>
      <c r="L521" s="74">
        <v>847001</v>
      </c>
      <c r="M521" s="74" t="s">
        <v>61</v>
      </c>
      <c r="N521" s="74">
        <v>200179</v>
      </c>
      <c r="O521" s="37" t="str">
        <f t="shared" si="26"/>
        <v>847.8470910.1.429900.000000.847001.200179</v>
      </c>
      <c r="P521" s="75" t="s">
        <v>2361</v>
      </c>
      <c r="Q521" s="74" t="s">
        <v>1418</v>
      </c>
      <c r="R521" s="74">
        <v>3</v>
      </c>
      <c r="S521" s="74">
        <v>1000000</v>
      </c>
      <c r="T521" s="74" t="s">
        <v>2362</v>
      </c>
      <c r="U521" s="76">
        <v>3000000</v>
      </c>
      <c r="V521" s="74" t="s">
        <v>210</v>
      </c>
      <c r="W521" s="75" t="s">
        <v>56</v>
      </c>
      <c r="X521" s="77" t="s">
        <v>237</v>
      </c>
      <c r="Y521" s="70"/>
    </row>
    <row r="522" spans="1:25" s="39" customFormat="1" ht="14" customHeight="1" x14ac:dyDescent="0.35">
      <c r="A522" s="74" t="s">
        <v>222</v>
      </c>
      <c r="B522" s="74" t="s">
        <v>58</v>
      </c>
      <c r="C522" s="74" t="s">
        <v>2277</v>
      </c>
      <c r="D522" s="74">
        <v>847</v>
      </c>
      <c r="E522" s="74">
        <v>8470910</v>
      </c>
      <c r="F522" s="74" t="s">
        <v>2354</v>
      </c>
      <c r="G522" s="74">
        <v>1</v>
      </c>
      <c r="H522" s="74">
        <v>420570</v>
      </c>
      <c r="I522" s="74" t="s">
        <v>231</v>
      </c>
      <c r="J522" s="74" t="s">
        <v>60</v>
      </c>
      <c r="K522" s="74" t="s">
        <v>50</v>
      </c>
      <c r="L522" s="74">
        <v>847001</v>
      </c>
      <c r="M522" s="74" t="s">
        <v>61</v>
      </c>
      <c r="N522" s="74">
        <v>200179</v>
      </c>
      <c r="O522" s="37" t="str">
        <f t="shared" si="26"/>
        <v>847.8470910.1.420570.000000.847001.200179</v>
      </c>
      <c r="P522" s="75" t="s">
        <v>233</v>
      </c>
      <c r="Q522" s="74" t="s">
        <v>234</v>
      </c>
      <c r="R522" s="74">
        <v>10</v>
      </c>
      <c r="S522" s="74">
        <v>1500000</v>
      </c>
      <c r="T522" s="74" t="s">
        <v>2364</v>
      </c>
      <c r="U522" s="76">
        <v>15000000</v>
      </c>
      <c r="V522" s="74" t="s">
        <v>210</v>
      </c>
      <c r="W522" s="75" t="s">
        <v>56</v>
      </c>
      <c r="X522" s="77" t="s">
        <v>237</v>
      </c>
      <c r="Y522" s="70"/>
    </row>
    <row r="523" spans="1:25" s="39" customFormat="1" ht="14" customHeight="1" x14ac:dyDescent="0.35">
      <c r="A523" s="74" t="s">
        <v>245</v>
      </c>
      <c r="B523" s="74" t="s">
        <v>246</v>
      </c>
      <c r="C523" s="74" t="s">
        <v>47</v>
      </c>
      <c r="D523" s="74">
        <v>847</v>
      </c>
      <c r="E523" s="74">
        <v>8470510</v>
      </c>
      <c r="F523" s="74" t="s">
        <v>2369</v>
      </c>
      <c r="G523" s="74">
        <v>1</v>
      </c>
      <c r="H523" s="74">
        <v>425510</v>
      </c>
      <c r="I523" s="74" t="s">
        <v>247</v>
      </c>
      <c r="J523" s="74" t="s">
        <v>60</v>
      </c>
      <c r="K523" s="74" t="s">
        <v>50</v>
      </c>
      <c r="L523" s="74">
        <v>847001</v>
      </c>
      <c r="M523" s="74" t="s">
        <v>61</v>
      </c>
      <c r="N523" s="74">
        <v>200179</v>
      </c>
      <c r="O523" s="37" t="str">
        <f t="shared" si="26"/>
        <v>847.8470510.1.425510.000000.847001.200179</v>
      </c>
      <c r="P523" s="75" t="s">
        <v>514</v>
      </c>
      <c r="Q523" s="74" t="s">
        <v>515</v>
      </c>
      <c r="R523" s="74">
        <v>1</v>
      </c>
      <c r="S523" s="74">
        <v>40000</v>
      </c>
      <c r="T523" s="74" t="s">
        <v>2370</v>
      </c>
      <c r="U523" s="76">
        <v>40000</v>
      </c>
      <c r="V523" s="74" t="s">
        <v>55</v>
      </c>
      <c r="W523" s="75" t="s">
        <v>56</v>
      </c>
      <c r="X523" s="77" t="s">
        <v>816</v>
      </c>
      <c r="Y523" s="70"/>
    </row>
    <row r="524" spans="1:25" s="39" customFormat="1" ht="14" customHeight="1" x14ac:dyDescent="0.35">
      <c r="A524" s="74" t="s">
        <v>189</v>
      </c>
      <c r="B524" s="74" t="s">
        <v>265</v>
      </c>
      <c r="C524" s="74" t="s">
        <v>47</v>
      </c>
      <c r="D524" s="74">
        <v>847</v>
      </c>
      <c r="E524" s="74">
        <v>8470510</v>
      </c>
      <c r="F524" s="74" t="s">
        <v>2369</v>
      </c>
      <c r="G524" s="74">
        <v>1</v>
      </c>
      <c r="H524" s="74">
        <v>425900</v>
      </c>
      <c r="I524" s="74" t="s">
        <v>266</v>
      </c>
      <c r="J524" s="74" t="s">
        <v>60</v>
      </c>
      <c r="K524" s="74" t="s">
        <v>50</v>
      </c>
      <c r="L524" s="74">
        <v>847001</v>
      </c>
      <c r="M524" s="74" t="s">
        <v>61</v>
      </c>
      <c r="N524" s="74">
        <v>200179</v>
      </c>
      <c r="O524" s="37" t="str">
        <f t="shared" si="26"/>
        <v>847.8470510.1.425900.000000.847001.200179</v>
      </c>
      <c r="P524" s="75" t="s">
        <v>268</v>
      </c>
      <c r="Q524" s="74" t="s">
        <v>269</v>
      </c>
      <c r="R524" s="74">
        <v>1</v>
      </c>
      <c r="S524" s="74">
        <v>50000</v>
      </c>
      <c r="T524" s="74" t="s">
        <v>2373</v>
      </c>
      <c r="U524" s="76">
        <v>50000</v>
      </c>
      <c r="V524" s="74" t="s">
        <v>55</v>
      </c>
      <c r="W524" s="75" t="s">
        <v>56</v>
      </c>
      <c r="X524" s="77" t="s">
        <v>816</v>
      </c>
      <c r="Y524" s="70"/>
    </row>
    <row r="525" spans="1:25" s="39" customFormat="1" ht="14" customHeight="1" x14ac:dyDescent="0.35">
      <c r="A525" s="74" t="s">
        <v>153</v>
      </c>
      <c r="B525" s="74" t="s">
        <v>58</v>
      </c>
      <c r="C525" s="74" t="s">
        <v>47</v>
      </c>
      <c r="D525" s="74">
        <v>847</v>
      </c>
      <c r="E525" s="74">
        <v>8470510</v>
      </c>
      <c r="F525" s="74" t="s">
        <v>2369</v>
      </c>
      <c r="G525" s="74">
        <v>1</v>
      </c>
      <c r="H525" s="74">
        <v>428090</v>
      </c>
      <c r="I525" s="74" t="s">
        <v>154</v>
      </c>
      <c r="J525" s="74" t="s">
        <v>60</v>
      </c>
      <c r="K525" s="74" t="s">
        <v>50</v>
      </c>
      <c r="L525" s="74">
        <v>847001</v>
      </c>
      <c r="M525" s="74" t="s">
        <v>61</v>
      </c>
      <c r="N525" s="74">
        <v>200179</v>
      </c>
      <c r="O525" s="37" t="str">
        <f t="shared" si="26"/>
        <v>847.8470510.1.428090.000000.847001.200179</v>
      </c>
      <c r="P525" s="75" t="s">
        <v>156</v>
      </c>
      <c r="Q525" s="74" t="s">
        <v>157</v>
      </c>
      <c r="R525" s="74">
        <v>1</v>
      </c>
      <c r="S525" s="74">
        <v>150000</v>
      </c>
      <c r="T525" s="74" t="s">
        <v>2374</v>
      </c>
      <c r="U525" s="76">
        <v>150000</v>
      </c>
      <c r="V525" s="74" t="s">
        <v>55</v>
      </c>
      <c r="W525" s="75" t="s">
        <v>56</v>
      </c>
      <c r="X525" s="77" t="s">
        <v>816</v>
      </c>
      <c r="Y525" s="70"/>
    </row>
    <row r="526" spans="1:25" s="39" customFormat="1" ht="14" customHeight="1" x14ac:dyDescent="0.35">
      <c r="A526" s="74" t="s">
        <v>245</v>
      </c>
      <c r="B526" s="74" t="s">
        <v>246</v>
      </c>
      <c r="C526" s="74" t="s">
        <v>47</v>
      </c>
      <c r="D526" s="74">
        <v>847</v>
      </c>
      <c r="E526" s="74">
        <v>8470520</v>
      </c>
      <c r="F526" s="74" t="s">
        <v>2375</v>
      </c>
      <c r="G526" s="74">
        <v>1</v>
      </c>
      <c r="H526" s="74">
        <v>425510</v>
      </c>
      <c r="I526" s="74" t="s">
        <v>247</v>
      </c>
      <c r="J526" s="74" t="s">
        <v>60</v>
      </c>
      <c r="K526" s="74" t="s">
        <v>50</v>
      </c>
      <c r="L526" s="74">
        <v>847001</v>
      </c>
      <c r="M526" s="74" t="s">
        <v>61</v>
      </c>
      <c r="N526" s="74">
        <v>200179</v>
      </c>
      <c r="O526" s="37" t="str">
        <f t="shared" si="26"/>
        <v>847.8470520.1.425510.000000.847001.200179</v>
      </c>
      <c r="P526" s="75" t="s">
        <v>433</v>
      </c>
      <c r="Q526" s="74" t="s">
        <v>434</v>
      </c>
      <c r="R526" s="74">
        <v>1</v>
      </c>
      <c r="S526" s="74">
        <v>25000</v>
      </c>
      <c r="T526" s="74" t="s">
        <v>2604</v>
      </c>
      <c r="U526" s="76">
        <v>25000</v>
      </c>
      <c r="V526" s="74" t="s">
        <v>55</v>
      </c>
      <c r="W526" s="75" t="s">
        <v>56</v>
      </c>
      <c r="X526" s="77" t="s">
        <v>1025</v>
      </c>
      <c r="Y526" s="70"/>
    </row>
    <row r="527" spans="1:25" s="39" customFormat="1" ht="14" customHeight="1" x14ac:dyDescent="0.35">
      <c r="A527" s="74" t="s">
        <v>161</v>
      </c>
      <c r="B527" s="74" t="s">
        <v>58</v>
      </c>
      <c r="C527" s="74" t="s">
        <v>47</v>
      </c>
      <c r="D527" s="74">
        <v>847</v>
      </c>
      <c r="E527" s="74">
        <v>8470520</v>
      </c>
      <c r="F527" s="74" t="s">
        <v>2375</v>
      </c>
      <c r="G527" s="74">
        <v>1</v>
      </c>
      <c r="H527" s="74">
        <v>426100</v>
      </c>
      <c r="I527" s="74" t="s">
        <v>1071</v>
      </c>
      <c r="J527" s="74" t="s">
        <v>60</v>
      </c>
      <c r="K527" s="74" t="s">
        <v>50</v>
      </c>
      <c r="L527" s="74">
        <v>847001</v>
      </c>
      <c r="M527" s="74" t="s">
        <v>61</v>
      </c>
      <c r="N527" s="74">
        <v>200179</v>
      </c>
      <c r="O527" s="37" t="str">
        <f t="shared" si="26"/>
        <v>847.8470520.1.426100.000000.847001.200179</v>
      </c>
      <c r="P527" s="75" t="s">
        <v>2606</v>
      </c>
      <c r="Q527" s="74" t="s">
        <v>157</v>
      </c>
      <c r="R527" s="74">
        <v>1</v>
      </c>
      <c r="S527" s="74">
        <v>20000</v>
      </c>
      <c r="T527" s="74" t="s">
        <v>2607</v>
      </c>
      <c r="U527" s="76">
        <v>20000</v>
      </c>
      <c r="V527" s="74" t="s">
        <v>55</v>
      </c>
      <c r="W527" s="75" t="s">
        <v>56</v>
      </c>
      <c r="X527" s="77" t="s">
        <v>1025</v>
      </c>
      <c r="Y527" s="70"/>
    </row>
    <row r="528" spans="1:25" s="39" customFormat="1" ht="14" customHeight="1" x14ac:dyDescent="0.35">
      <c r="A528" s="74" t="s">
        <v>222</v>
      </c>
      <c r="B528" s="74" t="s">
        <v>58</v>
      </c>
      <c r="C528" s="74" t="s">
        <v>47</v>
      </c>
      <c r="D528" s="74">
        <v>847</v>
      </c>
      <c r="E528" s="74">
        <v>8470520</v>
      </c>
      <c r="F528" s="74" t="s">
        <v>2375</v>
      </c>
      <c r="G528" s="74">
        <v>1</v>
      </c>
      <c r="H528" s="74">
        <v>427710</v>
      </c>
      <c r="I528" s="74" t="s">
        <v>1090</v>
      </c>
      <c r="J528" s="74" t="s">
        <v>60</v>
      </c>
      <c r="K528" s="74" t="s">
        <v>50</v>
      </c>
      <c r="L528" s="74">
        <v>847001</v>
      </c>
      <c r="M528" s="74" t="s">
        <v>61</v>
      </c>
      <c r="N528" s="74">
        <v>200179</v>
      </c>
      <c r="O528" s="37" t="str">
        <f t="shared" si="26"/>
        <v>847.8470520.1.427710.000000.847001.200179</v>
      </c>
      <c r="P528" s="75" t="s">
        <v>1092</v>
      </c>
      <c r="Q528" s="74" t="s">
        <v>157</v>
      </c>
      <c r="R528" s="74">
        <v>1</v>
      </c>
      <c r="S528" s="74">
        <v>40000</v>
      </c>
      <c r="T528" s="74" t="s">
        <v>2380</v>
      </c>
      <c r="U528" s="76">
        <v>40000</v>
      </c>
      <c r="V528" s="74" t="s">
        <v>55</v>
      </c>
      <c r="W528" s="75" t="s">
        <v>56</v>
      </c>
      <c r="X528" s="77" t="s">
        <v>1025</v>
      </c>
      <c r="Y528" s="70"/>
    </row>
    <row r="529" spans="1:25" s="39" customFormat="1" ht="14" customHeight="1" x14ac:dyDescent="0.35">
      <c r="A529" s="74" t="s">
        <v>161</v>
      </c>
      <c r="B529" s="74" t="s">
        <v>58</v>
      </c>
      <c r="C529" s="74" t="s">
        <v>47</v>
      </c>
      <c r="D529" s="74">
        <v>847</v>
      </c>
      <c r="E529" s="74">
        <v>8470520</v>
      </c>
      <c r="F529" s="74" t="s">
        <v>2375</v>
      </c>
      <c r="G529" s="74">
        <v>1</v>
      </c>
      <c r="H529" s="74">
        <v>428200</v>
      </c>
      <c r="I529" s="74" t="s">
        <v>2383</v>
      </c>
      <c r="J529" s="74" t="s">
        <v>60</v>
      </c>
      <c r="K529" s="74" t="s">
        <v>50</v>
      </c>
      <c r="L529" s="74">
        <v>847001</v>
      </c>
      <c r="M529" s="74" t="s">
        <v>61</v>
      </c>
      <c r="N529" s="74">
        <v>200179</v>
      </c>
      <c r="O529" s="37" t="str">
        <f t="shared" si="26"/>
        <v>847.8470520.1.428200.000000.847001.200179</v>
      </c>
      <c r="P529" s="75" t="s">
        <v>2384</v>
      </c>
      <c r="Q529" s="74" t="s">
        <v>157</v>
      </c>
      <c r="R529" s="74"/>
      <c r="S529" s="74"/>
      <c r="T529" s="74"/>
      <c r="U529" s="76">
        <v>0</v>
      </c>
      <c r="V529" s="74"/>
      <c r="W529" s="75"/>
      <c r="X529" s="77"/>
      <c r="Y529" s="70"/>
    </row>
    <row r="530" spans="1:25" s="39" customFormat="1" ht="14" customHeight="1" x14ac:dyDescent="0.35">
      <c r="A530" s="74" t="s">
        <v>161</v>
      </c>
      <c r="B530" s="74" t="s">
        <v>58</v>
      </c>
      <c r="C530" s="74" t="s">
        <v>47</v>
      </c>
      <c r="D530" s="74">
        <v>847</v>
      </c>
      <c r="E530" s="74">
        <v>8470520</v>
      </c>
      <c r="F530" s="74" t="s">
        <v>2375</v>
      </c>
      <c r="G530" s="74">
        <v>1</v>
      </c>
      <c r="H530" s="74">
        <v>428200</v>
      </c>
      <c r="I530" s="74" t="s">
        <v>2383</v>
      </c>
      <c r="J530" s="74" t="s">
        <v>60</v>
      </c>
      <c r="K530" s="74" t="s">
        <v>50</v>
      </c>
      <c r="L530" s="74">
        <v>847001</v>
      </c>
      <c r="M530" s="74" t="s">
        <v>61</v>
      </c>
      <c r="N530" s="74">
        <v>200179</v>
      </c>
      <c r="O530" s="37" t="str">
        <f t="shared" si="26"/>
        <v>847.8470520.1.428200.000000.847001.200179</v>
      </c>
      <c r="P530" s="75" t="s">
        <v>2384</v>
      </c>
      <c r="Q530" s="74" t="s">
        <v>157</v>
      </c>
      <c r="R530" s="74">
        <v>1</v>
      </c>
      <c r="S530" s="74">
        <v>70000</v>
      </c>
      <c r="T530" s="74" t="s">
        <v>2385</v>
      </c>
      <c r="U530" s="76">
        <v>70000</v>
      </c>
      <c r="V530" s="74" t="s">
        <v>55</v>
      </c>
      <c r="W530" s="75" t="s">
        <v>56</v>
      </c>
      <c r="X530" s="77" t="s">
        <v>1025</v>
      </c>
      <c r="Y530" s="70"/>
    </row>
    <row r="531" spans="1:25" s="39" customFormat="1" ht="14" customHeight="1" x14ac:dyDescent="0.35">
      <c r="A531" s="74" t="s">
        <v>161</v>
      </c>
      <c r="B531" s="74" t="s">
        <v>58</v>
      </c>
      <c r="C531" s="74" t="s">
        <v>47</v>
      </c>
      <c r="D531" s="74">
        <v>847</v>
      </c>
      <c r="E531" s="74">
        <v>8470520</v>
      </c>
      <c r="F531" s="74" t="s">
        <v>2375</v>
      </c>
      <c r="G531" s="74">
        <v>1</v>
      </c>
      <c r="H531" s="74">
        <v>428200</v>
      </c>
      <c r="I531" s="74" t="s">
        <v>2383</v>
      </c>
      <c r="J531" s="74" t="s">
        <v>60</v>
      </c>
      <c r="K531" s="74" t="s">
        <v>50</v>
      </c>
      <c r="L531" s="74">
        <v>847001</v>
      </c>
      <c r="M531" s="74" t="s">
        <v>61</v>
      </c>
      <c r="N531" s="74">
        <v>200179</v>
      </c>
      <c r="O531" s="37" t="str">
        <f t="shared" si="26"/>
        <v>847.8470520.1.428200.000000.847001.200179</v>
      </c>
      <c r="P531" s="75" t="s">
        <v>2384</v>
      </c>
      <c r="Q531" s="74" t="s">
        <v>157</v>
      </c>
      <c r="R531" s="74">
        <v>1</v>
      </c>
      <c r="S531" s="74">
        <v>60000</v>
      </c>
      <c r="T531" s="74" t="s">
        <v>2388</v>
      </c>
      <c r="U531" s="76">
        <v>60000</v>
      </c>
      <c r="V531" s="74" t="s">
        <v>55</v>
      </c>
      <c r="W531" s="75" t="s">
        <v>56</v>
      </c>
      <c r="X531" s="77" t="s">
        <v>1025</v>
      </c>
      <c r="Y531" s="70"/>
    </row>
    <row r="532" spans="1:25" s="39" customFormat="1" ht="14" customHeight="1" x14ac:dyDescent="0.35">
      <c r="A532" s="74" t="s">
        <v>161</v>
      </c>
      <c r="B532" s="74" t="s">
        <v>58</v>
      </c>
      <c r="C532" s="74" t="s">
        <v>47</v>
      </c>
      <c r="D532" s="74">
        <v>847</v>
      </c>
      <c r="E532" s="74">
        <v>8470520</v>
      </c>
      <c r="F532" s="74" t="s">
        <v>2375</v>
      </c>
      <c r="G532" s="74">
        <v>1</v>
      </c>
      <c r="H532" s="74">
        <v>428200</v>
      </c>
      <c r="I532" s="74" t="s">
        <v>2383</v>
      </c>
      <c r="J532" s="74" t="s">
        <v>60</v>
      </c>
      <c r="K532" s="74" t="s">
        <v>50</v>
      </c>
      <c r="L532" s="74">
        <v>847001</v>
      </c>
      <c r="M532" s="74" t="s">
        <v>61</v>
      </c>
      <c r="N532" s="74">
        <v>200179</v>
      </c>
      <c r="O532" s="37" t="str">
        <f t="shared" si="26"/>
        <v>847.8470520.1.428200.000000.847001.200179</v>
      </c>
      <c r="P532" s="75" t="s">
        <v>2384</v>
      </c>
      <c r="Q532" s="74" t="s">
        <v>157</v>
      </c>
      <c r="R532" s="74">
        <v>1</v>
      </c>
      <c r="S532" s="74">
        <v>35000</v>
      </c>
      <c r="T532" s="74" t="s">
        <v>2390</v>
      </c>
      <c r="U532" s="76">
        <v>35000</v>
      </c>
      <c r="V532" s="74" t="s">
        <v>55</v>
      </c>
      <c r="W532" s="75" t="s">
        <v>56</v>
      </c>
      <c r="X532" s="77" t="s">
        <v>1025</v>
      </c>
      <c r="Y532" s="70"/>
    </row>
    <row r="533" spans="1:25" s="39" customFormat="1" ht="14" customHeight="1" x14ac:dyDescent="0.35">
      <c r="A533" s="74" t="s">
        <v>161</v>
      </c>
      <c r="B533" s="74" t="s">
        <v>58</v>
      </c>
      <c r="C533" s="74" t="s">
        <v>47</v>
      </c>
      <c r="D533" s="74">
        <v>847</v>
      </c>
      <c r="E533" s="74">
        <v>8470520</v>
      </c>
      <c r="F533" s="74" t="s">
        <v>2375</v>
      </c>
      <c r="G533" s="74">
        <v>1</v>
      </c>
      <c r="H533" s="74">
        <v>428200</v>
      </c>
      <c r="I533" s="74" t="s">
        <v>2383</v>
      </c>
      <c r="J533" s="74" t="s">
        <v>60</v>
      </c>
      <c r="K533" s="74" t="s">
        <v>50</v>
      </c>
      <c r="L533" s="74">
        <v>847001</v>
      </c>
      <c r="M533" s="74" t="s">
        <v>61</v>
      </c>
      <c r="N533" s="74">
        <v>200179</v>
      </c>
      <c r="O533" s="37" t="str">
        <f t="shared" si="26"/>
        <v>847.8470520.1.428200.000000.847001.200179</v>
      </c>
      <c r="P533" s="75" t="s">
        <v>2384</v>
      </c>
      <c r="Q533" s="74" t="s">
        <v>157</v>
      </c>
      <c r="R533" s="74">
        <v>1</v>
      </c>
      <c r="S533" s="74">
        <v>30000</v>
      </c>
      <c r="T533" s="74" t="s">
        <v>2392</v>
      </c>
      <c r="U533" s="76">
        <v>30000</v>
      </c>
      <c r="V533" s="74" t="s">
        <v>55</v>
      </c>
      <c r="W533" s="75" t="s">
        <v>56</v>
      </c>
      <c r="X533" s="77" t="s">
        <v>1025</v>
      </c>
      <c r="Y533" s="70"/>
    </row>
    <row r="534" spans="1:25" s="39" customFormat="1" ht="14" customHeight="1" x14ac:dyDescent="0.35">
      <c r="A534" s="74" t="s">
        <v>161</v>
      </c>
      <c r="B534" s="74" t="s">
        <v>58</v>
      </c>
      <c r="C534" s="74" t="s">
        <v>47</v>
      </c>
      <c r="D534" s="74">
        <v>847</v>
      </c>
      <c r="E534" s="74">
        <v>8470520</v>
      </c>
      <c r="F534" s="74" t="s">
        <v>2375</v>
      </c>
      <c r="G534" s="74">
        <v>1</v>
      </c>
      <c r="H534" s="74">
        <v>428200</v>
      </c>
      <c r="I534" s="74" t="s">
        <v>2383</v>
      </c>
      <c r="J534" s="74" t="s">
        <v>60</v>
      </c>
      <c r="K534" s="74" t="s">
        <v>50</v>
      </c>
      <c r="L534" s="74">
        <v>847001</v>
      </c>
      <c r="M534" s="74" t="s">
        <v>61</v>
      </c>
      <c r="N534" s="74">
        <v>200179</v>
      </c>
      <c r="O534" s="37" t="str">
        <f t="shared" si="26"/>
        <v>847.8470520.1.428200.000000.847001.200179</v>
      </c>
      <c r="P534" s="75" t="s">
        <v>2384</v>
      </c>
      <c r="Q534" s="74" t="s">
        <v>157</v>
      </c>
      <c r="R534" s="74">
        <v>1</v>
      </c>
      <c r="S534" s="74">
        <v>50000</v>
      </c>
      <c r="T534" s="74" t="s">
        <v>2394</v>
      </c>
      <c r="U534" s="76">
        <v>50000</v>
      </c>
      <c r="V534" s="74" t="s">
        <v>55</v>
      </c>
      <c r="W534" s="75" t="s">
        <v>56</v>
      </c>
      <c r="X534" s="77" t="s">
        <v>1025</v>
      </c>
      <c r="Y534" s="70"/>
    </row>
    <row r="535" spans="1:25" s="39" customFormat="1" ht="14" customHeight="1" x14ac:dyDescent="0.35">
      <c r="A535" s="74" t="s">
        <v>161</v>
      </c>
      <c r="B535" s="74" t="s">
        <v>58</v>
      </c>
      <c r="C535" s="74" t="s">
        <v>47</v>
      </c>
      <c r="D535" s="74">
        <v>847</v>
      </c>
      <c r="E535" s="74">
        <v>8470520</v>
      </c>
      <c r="F535" s="74" t="s">
        <v>2375</v>
      </c>
      <c r="G535" s="74">
        <v>1</v>
      </c>
      <c r="H535" s="74">
        <v>428200</v>
      </c>
      <c r="I535" s="74" t="s">
        <v>2383</v>
      </c>
      <c r="J535" s="74" t="s">
        <v>60</v>
      </c>
      <c r="K535" s="74" t="s">
        <v>50</v>
      </c>
      <c r="L535" s="74">
        <v>847001</v>
      </c>
      <c r="M535" s="74" t="s">
        <v>61</v>
      </c>
      <c r="N535" s="74">
        <v>200179</v>
      </c>
      <c r="O535" s="37" t="str">
        <f t="shared" si="26"/>
        <v>847.8470520.1.428200.000000.847001.200179</v>
      </c>
      <c r="P535" s="75" t="s">
        <v>2384</v>
      </c>
      <c r="Q535" s="74" t="s">
        <v>157</v>
      </c>
      <c r="R535" s="74">
        <v>1</v>
      </c>
      <c r="S535" s="74">
        <v>80000</v>
      </c>
      <c r="T535" s="74" t="s">
        <v>2396</v>
      </c>
      <c r="U535" s="76">
        <v>80000</v>
      </c>
      <c r="V535" s="74" t="s">
        <v>55</v>
      </c>
      <c r="W535" s="75" t="s">
        <v>56</v>
      </c>
      <c r="X535" s="77" t="s">
        <v>1025</v>
      </c>
      <c r="Y535" s="70"/>
    </row>
    <row r="536" spans="1:25" s="39" customFormat="1" ht="14" customHeight="1" x14ac:dyDescent="0.35">
      <c r="A536" s="74" t="s">
        <v>161</v>
      </c>
      <c r="B536" s="74" t="s">
        <v>58</v>
      </c>
      <c r="C536" s="74" t="s">
        <v>47</v>
      </c>
      <c r="D536" s="74">
        <v>847</v>
      </c>
      <c r="E536" s="74">
        <v>8470520</v>
      </c>
      <c r="F536" s="74" t="s">
        <v>2375</v>
      </c>
      <c r="G536" s="74">
        <v>1</v>
      </c>
      <c r="H536" s="74">
        <v>428200</v>
      </c>
      <c r="I536" s="74" t="s">
        <v>2383</v>
      </c>
      <c r="J536" s="74" t="s">
        <v>60</v>
      </c>
      <c r="K536" s="74" t="s">
        <v>50</v>
      </c>
      <c r="L536" s="74">
        <v>847001</v>
      </c>
      <c r="M536" s="74" t="s">
        <v>61</v>
      </c>
      <c r="N536" s="74">
        <v>200179</v>
      </c>
      <c r="O536" s="37" t="str">
        <f t="shared" si="26"/>
        <v>847.8470520.1.428200.000000.847001.200179</v>
      </c>
      <c r="P536" s="75" t="s">
        <v>2384</v>
      </c>
      <c r="Q536" s="74" t="s">
        <v>157</v>
      </c>
      <c r="R536" s="74">
        <v>1</v>
      </c>
      <c r="S536" s="74">
        <v>25000</v>
      </c>
      <c r="T536" s="74" t="s">
        <v>2398</v>
      </c>
      <c r="U536" s="76">
        <v>25000</v>
      </c>
      <c r="V536" s="74" t="s">
        <v>55</v>
      </c>
      <c r="W536" s="75" t="s">
        <v>56</v>
      </c>
      <c r="X536" s="77" t="s">
        <v>1025</v>
      </c>
      <c r="Y536" s="70"/>
    </row>
    <row r="537" spans="1:25" s="39" customFormat="1" ht="14" customHeight="1" x14ac:dyDescent="0.35">
      <c r="A537" s="74" t="s">
        <v>161</v>
      </c>
      <c r="B537" s="74" t="s">
        <v>58</v>
      </c>
      <c r="C537" s="74" t="s">
        <v>47</v>
      </c>
      <c r="D537" s="74">
        <v>847</v>
      </c>
      <c r="E537" s="74">
        <v>8470520</v>
      </c>
      <c r="F537" s="74" t="s">
        <v>2375</v>
      </c>
      <c r="G537" s="74">
        <v>1</v>
      </c>
      <c r="H537" s="74">
        <v>428200</v>
      </c>
      <c r="I537" s="74" t="s">
        <v>2383</v>
      </c>
      <c r="J537" s="74" t="s">
        <v>60</v>
      </c>
      <c r="K537" s="74" t="s">
        <v>50</v>
      </c>
      <c r="L537" s="74">
        <v>847001</v>
      </c>
      <c r="M537" s="74" t="s">
        <v>61</v>
      </c>
      <c r="N537" s="74">
        <v>200179</v>
      </c>
      <c r="O537" s="37" t="str">
        <f t="shared" si="26"/>
        <v>847.8470520.1.428200.000000.847001.200179</v>
      </c>
      <c r="P537" s="75" t="s">
        <v>2384</v>
      </c>
      <c r="Q537" s="74" t="s">
        <v>157</v>
      </c>
      <c r="R537" s="74">
        <v>1</v>
      </c>
      <c r="S537" s="74">
        <v>40000</v>
      </c>
      <c r="T537" s="74" t="s">
        <v>2400</v>
      </c>
      <c r="U537" s="76">
        <v>40000</v>
      </c>
      <c r="V537" s="74" t="s">
        <v>55</v>
      </c>
      <c r="W537" s="75" t="s">
        <v>56</v>
      </c>
      <c r="X537" s="77" t="s">
        <v>1025</v>
      </c>
      <c r="Y537" s="70"/>
    </row>
    <row r="538" spans="1:25" s="39" customFormat="1" ht="14" customHeight="1" x14ac:dyDescent="0.35">
      <c r="A538" s="74" t="s">
        <v>161</v>
      </c>
      <c r="B538" s="74" t="s">
        <v>58</v>
      </c>
      <c r="C538" s="74" t="s">
        <v>47</v>
      </c>
      <c r="D538" s="74">
        <v>847</v>
      </c>
      <c r="E538" s="74">
        <v>8470520</v>
      </c>
      <c r="F538" s="74" t="s">
        <v>2375</v>
      </c>
      <c r="G538" s="74">
        <v>1</v>
      </c>
      <c r="H538" s="74">
        <v>428200</v>
      </c>
      <c r="I538" s="74" t="s">
        <v>2383</v>
      </c>
      <c r="J538" s="74" t="s">
        <v>60</v>
      </c>
      <c r="K538" s="74" t="s">
        <v>50</v>
      </c>
      <c r="L538" s="74">
        <v>847001</v>
      </c>
      <c r="M538" s="74" t="s">
        <v>61</v>
      </c>
      <c r="N538" s="74">
        <v>200179</v>
      </c>
      <c r="O538" s="37" t="str">
        <f t="shared" si="26"/>
        <v>847.8470520.1.428200.000000.847001.200179</v>
      </c>
      <c r="P538" s="75" t="s">
        <v>2384</v>
      </c>
      <c r="Q538" s="74" t="s">
        <v>157</v>
      </c>
      <c r="R538" s="74">
        <v>1</v>
      </c>
      <c r="S538" s="74">
        <v>50000</v>
      </c>
      <c r="T538" s="74" t="s">
        <v>2402</v>
      </c>
      <c r="U538" s="76">
        <v>50000</v>
      </c>
      <c r="V538" s="74" t="s">
        <v>55</v>
      </c>
      <c r="W538" s="75" t="s">
        <v>56</v>
      </c>
      <c r="X538" s="77" t="s">
        <v>1025</v>
      </c>
      <c r="Y538" s="70"/>
    </row>
    <row r="539" spans="1:25" s="39" customFormat="1" ht="14" customHeight="1" x14ac:dyDescent="0.35">
      <c r="A539" s="74" t="s">
        <v>161</v>
      </c>
      <c r="B539" s="74" t="s">
        <v>58</v>
      </c>
      <c r="C539" s="74" t="s">
        <v>47</v>
      </c>
      <c r="D539" s="74">
        <v>847</v>
      </c>
      <c r="E539" s="74">
        <v>8470520</v>
      </c>
      <c r="F539" s="74" t="s">
        <v>2375</v>
      </c>
      <c r="G539" s="74">
        <v>1</v>
      </c>
      <c r="H539" s="74">
        <v>428200</v>
      </c>
      <c r="I539" s="74" t="s">
        <v>2383</v>
      </c>
      <c r="J539" s="74" t="s">
        <v>60</v>
      </c>
      <c r="K539" s="74" t="s">
        <v>50</v>
      </c>
      <c r="L539" s="74">
        <v>847001</v>
      </c>
      <c r="M539" s="74" t="s">
        <v>61</v>
      </c>
      <c r="N539" s="74">
        <v>200179</v>
      </c>
      <c r="O539" s="37" t="str">
        <f t="shared" si="26"/>
        <v>847.8470520.1.428200.000000.847001.200179</v>
      </c>
      <c r="P539" s="75" t="s">
        <v>2384</v>
      </c>
      <c r="Q539" s="74" t="s">
        <v>157</v>
      </c>
      <c r="R539" s="74">
        <v>1</v>
      </c>
      <c r="S539" s="74">
        <v>15000</v>
      </c>
      <c r="T539" s="74" t="s">
        <v>2404</v>
      </c>
      <c r="U539" s="76">
        <v>15000</v>
      </c>
      <c r="V539" s="74" t="s">
        <v>55</v>
      </c>
      <c r="W539" s="75" t="s">
        <v>56</v>
      </c>
      <c r="X539" s="77" t="s">
        <v>816</v>
      </c>
      <c r="Y539" s="70"/>
    </row>
    <row r="540" spans="1:25" s="39" customFormat="1" ht="14" customHeight="1" x14ac:dyDescent="0.35">
      <c r="A540" s="74" t="s">
        <v>161</v>
      </c>
      <c r="B540" s="74" t="s">
        <v>58</v>
      </c>
      <c r="C540" s="74" t="s">
        <v>47</v>
      </c>
      <c r="D540" s="74">
        <v>847</v>
      </c>
      <c r="E540" s="74">
        <v>8470520</v>
      </c>
      <c r="F540" s="74" t="s">
        <v>2375</v>
      </c>
      <c r="G540" s="74">
        <v>1</v>
      </c>
      <c r="H540" s="74">
        <v>428200</v>
      </c>
      <c r="I540" s="74" t="s">
        <v>2383</v>
      </c>
      <c r="J540" s="74" t="s">
        <v>60</v>
      </c>
      <c r="K540" s="74" t="s">
        <v>50</v>
      </c>
      <c r="L540" s="74">
        <v>847001</v>
      </c>
      <c r="M540" s="74" t="s">
        <v>61</v>
      </c>
      <c r="N540" s="74">
        <v>200179</v>
      </c>
      <c r="O540" s="37" t="str">
        <f t="shared" si="26"/>
        <v>847.8470520.1.428200.000000.847001.200179</v>
      </c>
      <c r="P540" s="75" t="s">
        <v>2384</v>
      </c>
      <c r="Q540" s="74" t="s">
        <v>157</v>
      </c>
      <c r="R540" s="74">
        <v>1</v>
      </c>
      <c r="S540" s="74">
        <v>50000</v>
      </c>
      <c r="T540" s="74" t="s">
        <v>2405</v>
      </c>
      <c r="U540" s="76">
        <v>50000</v>
      </c>
      <c r="V540" s="74" t="s">
        <v>55</v>
      </c>
      <c r="W540" s="75" t="s">
        <v>56</v>
      </c>
      <c r="X540" s="77" t="s">
        <v>1025</v>
      </c>
      <c r="Y540" s="70"/>
    </row>
    <row r="541" spans="1:25" s="39" customFormat="1" ht="14" customHeight="1" x14ac:dyDescent="0.35">
      <c r="A541" s="74" t="s">
        <v>161</v>
      </c>
      <c r="B541" s="74" t="s">
        <v>58</v>
      </c>
      <c r="C541" s="74" t="s">
        <v>47</v>
      </c>
      <c r="D541" s="74">
        <v>847</v>
      </c>
      <c r="E541" s="74">
        <v>8470520</v>
      </c>
      <c r="F541" s="74" t="s">
        <v>2375</v>
      </c>
      <c r="G541" s="74">
        <v>1</v>
      </c>
      <c r="H541" s="74">
        <v>428200</v>
      </c>
      <c r="I541" s="74" t="s">
        <v>2383</v>
      </c>
      <c r="J541" s="74" t="s">
        <v>60</v>
      </c>
      <c r="K541" s="74" t="s">
        <v>50</v>
      </c>
      <c r="L541" s="74">
        <v>847001</v>
      </c>
      <c r="M541" s="74" t="s">
        <v>61</v>
      </c>
      <c r="N541" s="74">
        <v>200179</v>
      </c>
      <c r="O541" s="37" t="str">
        <f t="shared" si="26"/>
        <v>847.8470520.1.428200.000000.847001.200179</v>
      </c>
      <c r="P541" s="75" t="s">
        <v>2384</v>
      </c>
      <c r="Q541" s="74" t="s">
        <v>157</v>
      </c>
      <c r="R541" s="74">
        <v>1</v>
      </c>
      <c r="S541" s="74">
        <v>50000</v>
      </c>
      <c r="T541" s="74" t="s">
        <v>2407</v>
      </c>
      <c r="U541" s="76">
        <v>50000</v>
      </c>
      <c r="V541" s="74" t="s">
        <v>55</v>
      </c>
      <c r="W541" s="75" t="s">
        <v>56</v>
      </c>
      <c r="X541" s="77" t="s">
        <v>1025</v>
      </c>
      <c r="Y541" s="70"/>
    </row>
    <row r="542" spans="1:25" s="39" customFormat="1" ht="14" customHeight="1" x14ac:dyDescent="0.35">
      <c r="A542" s="74" t="s">
        <v>161</v>
      </c>
      <c r="B542" s="74" t="s">
        <v>58</v>
      </c>
      <c r="C542" s="74" t="s">
        <v>47</v>
      </c>
      <c r="D542" s="74">
        <v>847</v>
      </c>
      <c r="E542" s="74">
        <v>8470520</v>
      </c>
      <c r="F542" s="74" t="s">
        <v>2375</v>
      </c>
      <c r="G542" s="74">
        <v>1</v>
      </c>
      <c r="H542" s="74">
        <v>428200</v>
      </c>
      <c r="I542" s="74" t="s">
        <v>2383</v>
      </c>
      <c r="J542" s="74" t="s">
        <v>60</v>
      </c>
      <c r="K542" s="74" t="s">
        <v>50</v>
      </c>
      <c r="L542" s="74">
        <v>847001</v>
      </c>
      <c r="M542" s="74" t="s">
        <v>61</v>
      </c>
      <c r="N542" s="74">
        <v>200179</v>
      </c>
      <c r="O542" s="37" t="str">
        <f t="shared" si="26"/>
        <v>847.8470520.1.428200.000000.847001.200179</v>
      </c>
      <c r="P542" s="75" t="s">
        <v>2384</v>
      </c>
      <c r="Q542" s="74" t="s">
        <v>157</v>
      </c>
      <c r="R542" s="74">
        <v>1</v>
      </c>
      <c r="S542" s="74">
        <v>20000</v>
      </c>
      <c r="T542" s="74" t="s">
        <v>2409</v>
      </c>
      <c r="U542" s="76">
        <v>20000</v>
      </c>
      <c r="V542" s="74" t="s">
        <v>55</v>
      </c>
      <c r="W542" s="75" t="s">
        <v>56</v>
      </c>
      <c r="X542" s="77" t="s">
        <v>1025</v>
      </c>
      <c r="Y542" s="70"/>
    </row>
    <row r="543" spans="1:25" s="39" customFormat="1" ht="14" customHeight="1" x14ac:dyDescent="0.35">
      <c r="A543" s="74" t="s">
        <v>161</v>
      </c>
      <c r="B543" s="74" t="s">
        <v>58</v>
      </c>
      <c r="C543" s="74" t="s">
        <v>47</v>
      </c>
      <c r="D543" s="74">
        <v>847</v>
      </c>
      <c r="E543" s="74">
        <v>8470530</v>
      </c>
      <c r="F543" s="74" t="s">
        <v>2412</v>
      </c>
      <c r="G543" s="74">
        <v>1</v>
      </c>
      <c r="H543" s="74">
        <v>420310</v>
      </c>
      <c r="I543" s="74" t="s">
        <v>1474</v>
      </c>
      <c r="J543" s="74" t="s">
        <v>60</v>
      </c>
      <c r="K543" s="74" t="s">
        <v>2413</v>
      </c>
      <c r="L543" s="74">
        <v>847010</v>
      </c>
      <c r="M543" s="74" t="s">
        <v>61</v>
      </c>
      <c r="N543" s="74">
        <v>200179</v>
      </c>
      <c r="O543" s="37" t="str">
        <f t="shared" si="26"/>
        <v>847.8470530.1.420310.000000.847010.200179</v>
      </c>
      <c r="P543" s="75" t="s">
        <v>2414</v>
      </c>
      <c r="Q543" s="74" t="s">
        <v>515</v>
      </c>
      <c r="R543" s="74">
        <v>1</v>
      </c>
      <c r="S543" s="74">
        <v>4056438.64</v>
      </c>
      <c r="T543" s="74" t="s">
        <v>2415</v>
      </c>
      <c r="U543" s="76">
        <v>4056438.64</v>
      </c>
      <c r="V543" s="74" t="s">
        <v>55</v>
      </c>
      <c r="W543" s="75" t="s">
        <v>56</v>
      </c>
      <c r="X543" s="77" t="s">
        <v>816</v>
      </c>
      <c r="Y543" s="70"/>
    </row>
    <row r="544" spans="1:25" s="39" customFormat="1" ht="14" customHeight="1" x14ac:dyDescent="0.35">
      <c r="A544" s="74" t="s">
        <v>161</v>
      </c>
      <c r="B544" s="74" t="s">
        <v>58</v>
      </c>
      <c r="C544" s="74" t="s">
        <v>47</v>
      </c>
      <c r="D544" s="74">
        <v>847</v>
      </c>
      <c r="E544" s="74">
        <v>8470530</v>
      </c>
      <c r="F544" s="74" t="s">
        <v>2412</v>
      </c>
      <c r="G544" s="74">
        <v>1</v>
      </c>
      <c r="H544" s="74">
        <v>420310</v>
      </c>
      <c r="I544" s="74" t="s">
        <v>1474</v>
      </c>
      <c r="J544" s="74" t="s">
        <v>60</v>
      </c>
      <c r="K544" s="74" t="s">
        <v>2417</v>
      </c>
      <c r="L544" s="74">
        <v>847015</v>
      </c>
      <c r="M544" s="74" t="s">
        <v>61</v>
      </c>
      <c r="N544" s="74">
        <v>200179</v>
      </c>
      <c r="O544" s="37" t="str">
        <f t="shared" si="26"/>
        <v>847.8470530.1.420310.000000.847015.200179</v>
      </c>
      <c r="P544" s="75" t="s">
        <v>2414</v>
      </c>
      <c r="Q544" s="74" t="s">
        <v>515</v>
      </c>
      <c r="R544" s="74">
        <v>1</v>
      </c>
      <c r="S544" s="74">
        <v>747242</v>
      </c>
      <c r="T544" s="74" t="s">
        <v>2415</v>
      </c>
      <c r="U544" s="76">
        <v>747242</v>
      </c>
      <c r="V544" s="74" t="s">
        <v>55</v>
      </c>
      <c r="W544" s="75" t="s">
        <v>56</v>
      </c>
      <c r="X544" s="77" t="s">
        <v>816</v>
      </c>
      <c r="Y544" s="70"/>
    </row>
    <row r="545" spans="1:25" s="39" customFormat="1" ht="14" customHeight="1" x14ac:dyDescent="0.35">
      <c r="A545" s="74" t="s">
        <v>161</v>
      </c>
      <c r="B545" s="74" t="s">
        <v>58</v>
      </c>
      <c r="C545" s="74" t="s">
        <v>47</v>
      </c>
      <c r="D545" s="74">
        <v>847</v>
      </c>
      <c r="E545" s="74">
        <v>8470530</v>
      </c>
      <c r="F545" s="74" t="s">
        <v>2412</v>
      </c>
      <c r="G545" s="74">
        <v>1</v>
      </c>
      <c r="H545" s="74">
        <v>420310</v>
      </c>
      <c r="I545" s="74" t="s">
        <v>1474</v>
      </c>
      <c r="J545" s="74" t="s">
        <v>60</v>
      </c>
      <c r="K545" s="74" t="s">
        <v>2093</v>
      </c>
      <c r="L545" s="74">
        <v>847020</v>
      </c>
      <c r="M545" s="74" t="s">
        <v>61</v>
      </c>
      <c r="N545" s="74">
        <v>200179</v>
      </c>
      <c r="O545" s="37" t="str">
        <f t="shared" si="26"/>
        <v>847.8470530.1.420310.000000.847020.200179</v>
      </c>
      <c r="P545" s="75" t="s">
        <v>2414</v>
      </c>
      <c r="Q545" s="74" t="s">
        <v>515</v>
      </c>
      <c r="R545" s="74">
        <v>1</v>
      </c>
      <c r="S545" s="74">
        <v>4118107</v>
      </c>
      <c r="T545" s="74" t="s">
        <v>2415</v>
      </c>
      <c r="U545" s="76">
        <v>4118107</v>
      </c>
      <c r="V545" s="74" t="s">
        <v>55</v>
      </c>
      <c r="W545" s="75" t="s">
        <v>56</v>
      </c>
      <c r="X545" s="77" t="s">
        <v>816</v>
      </c>
      <c r="Y545" s="70"/>
    </row>
    <row r="546" spans="1:25" s="39" customFormat="1" ht="14" customHeight="1" x14ac:dyDescent="0.35">
      <c r="A546" s="74" t="s">
        <v>189</v>
      </c>
      <c r="B546" s="74" t="s">
        <v>58</v>
      </c>
      <c r="C546" s="74" t="s">
        <v>47</v>
      </c>
      <c r="D546" s="74">
        <v>847</v>
      </c>
      <c r="E546" s="74">
        <v>8470530</v>
      </c>
      <c r="F546" s="74" t="s">
        <v>2412</v>
      </c>
      <c r="G546" s="74">
        <v>1</v>
      </c>
      <c r="H546" s="74">
        <v>429900</v>
      </c>
      <c r="I546" s="74" t="s">
        <v>2359</v>
      </c>
      <c r="J546" s="74" t="s">
        <v>60</v>
      </c>
      <c r="K546" s="74" t="s">
        <v>2413</v>
      </c>
      <c r="L546" s="74" t="s">
        <v>2418</v>
      </c>
      <c r="M546" s="74" t="s">
        <v>61</v>
      </c>
      <c r="N546" s="74">
        <v>200179</v>
      </c>
      <c r="O546" s="37" t="str">
        <f t="shared" si="26"/>
        <v>847.8470530.1.429900.000000.847010.200179</v>
      </c>
      <c r="P546" s="75" t="s">
        <v>2361</v>
      </c>
      <c r="Q546" s="74" t="s">
        <v>1418</v>
      </c>
      <c r="R546" s="74">
        <v>1</v>
      </c>
      <c r="S546" s="74">
        <v>220000</v>
      </c>
      <c r="T546" s="74" t="s">
        <v>2419</v>
      </c>
      <c r="U546" s="76">
        <v>220000</v>
      </c>
      <c r="V546" s="74" t="s">
        <v>55</v>
      </c>
      <c r="W546" s="75" t="s">
        <v>56</v>
      </c>
      <c r="X546" s="77" t="s">
        <v>816</v>
      </c>
      <c r="Y546" s="70"/>
    </row>
    <row r="547" spans="1:25" s="39" customFormat="1" ht="14" customHeight="1" x14ac:dyDescent="0.35">
      <c r="A547" s="74" t="s">
        <v>71</v>
      </c>
      <c r="B547" s="74" t="s">
        <v>1010</v>
      </c>
      <c r="C547" s="74" t="s">
        <v>47</v>
      </c>
      <c r="D547" s="74">
        <v>847</v>
      </c>
      <c r="E547" s="74">
        <v>8470530</v>
      </c>
      <c r="F547" s="74" t="s">
        <v>2412</v>
      </c>
      <c r="G547" s="74">
        <v>1</v>
      </c>
      <c r="H547" s="74">
        <v>421000</v>
      </c>
      <c r="I547" s="74" t="s">
        <v>1011</v>
      </c>
      <c r="J547" s="74" t="s">
        <v>60</v>
      </c>
      <c r="K547" s="74" t="s">
        <v>2413</v>
      </c>
      <c r="L547" s="74">
        <v>847010</v>
      </c>
      <c r="M547" s="74" t="s">
        <v>61</v>
      </c>
      <c r="N547" s="74">
        <v>200179</v>
      </c>
      <c r="O547" s="37" t="str">
        <f t="shared" si="26"/>
        <v>847.8470530.1.421000.000000.847010.200179</v>
      </c>
      <c r="P547" s="75" t="s">
        <v>1013</v>
      </c>
      <c r="Q547" s="74" t="s">
        <v>269</v>
      </c>
      <c r="R547" s="74">
        <v>1</v>
      </c>
      <c r="S547" s="74"/>
      <c r="T547" s="74"/>
      <c r="U547" s="76">
        <v>0</v>
      </c>
      <c r="V547" s="74"/>
      <c r="W547" s="75"/>
      <c r="X547" s="77"/>
      <c r="Y547" s="70"/>
    </row>
    <row r="548" spans="1:25" s="39" customFormat="1" ht="14" customHeight="1" x14ac:dyDescent="0.35">
      <c r="A548" s="74" t="s">
        <v>71</v>
      </c>
      <c r="B548" s="74" t="s">
        <v>58</v>
      </c>
      <c r="C548" s="74" t="s">
        <v>47</v>
      </c>
      <c r="D548" s="74">
        <v>847</v>
      </c>
      <c r="E548" s="74">
        <v>8470530</v>
      </c>
      <c r="F548" s="74" t="s">
        <v>2412</v>
      </c>
      <c r="G548" s="74">
        <v>1</v>
      </c>
      <c r="H548" s="74">
        <v>421100</v>
      </c>
      <c r="I548" s="74" t="s">
        <v>72</v>
      </c>
      <c r="J548" s="74" t="s">
        <v>60</v>
      </c>
      <c r="K548" s="74" t="s">
        <v>2413</v>
      </c>
      <c r="L548" s="74">
        <v>847010</v>
      </c>
      <c r="M548" s="74" t="s">
        <v>61</v>
      </c>
      <c r="N548" s="74">
        <v>200179</v>
      </c>
      <c r="O548" s="37" t="str">
        <f t="shared" si="26"/>
        <v>847.8470530.1.421100.000000.847010.200179</v>
      </c>
      <c r="P548" s="75"/>
      <c r="Q548" s="74" t="s">
        <v>62</v>
      </c>
      <c r="R548" s="74"/>
      <c r="S548" s="74"/>
      <c r="T548" s="74"/>
      <c r="U548" s="76">
        <v>0</v>
      </c>
      <c r="V548" s="74"/>
      <c r="W548" s="75"/>
      <c r="X548" s="77"/>
      <c r="Y548" s="70"/>
    </row>
    <row r="549" spans="1:25" s="39" customFormat="1" ht="14" customHeight="1" x14ac:dyDescent="0.35">
      <c r="A549" s="74" t="s">
        <v>46</v>
      </c>
      <c r="B549" s="74" t="s">
        <v>46</v>
      </c>
      <c r="C549" s="74" t="s">
        <v>47</v>
      </c>
      <c r="D549" s="74">
        <v>847</v>
      </c>
      <c r="E549" s="74">
        <v>8470530</v>
      </c>
      <c r="F549" s="74" t="s">
        <v>2412</v>
      </c>
      <c r="G549" s="74">
        <v>1</v>
      </c>
      <c r="H549" s="74">
        <v>430110</v>
      </c>
      <c r="I549" s="74" t="s">
        <v>2425</v>
      </c>
      <c r="J549" s="74" t="s">
        <v>60</v>
      </c>
      <c r="K549" s="74" t="s">
        <v>2413</v>
      </c>
      <c r="L549" s="74">
        <v>847010</v>
      </c>
      <c r="M549" s="74" t="s">
        <v>61</v>
      </c>
      <c r="N549" s="74">
        <v>200179</v>
      </c>
      <c r="O549" s="37" t="str">
        <f t="shared" si="26"/>
        <v>847.8470530.1.430110.000000.847010.200179</v>
      </c>
      <c r="P549" s="75" t="s">
        <v>2426</v>
      </c>
      <c r="Q549" s="74"/>
      <c r="R549" s="74">
        <v>1</v>
      </c>
      <c r="S549" s="74">
        <v>233000</v>
      </c>
      <c r="T549" s="74" t="s">
        <v>2427</v>
      </c>
      <c r="U549" s="76">
        <v>233000</v>
      </c>
      <c r="V549" s="74" t="s">
        <v>55</v>
      </c>
      <c r="W549" s="75" t="s">
        <v>56</v>
      </c>
      <c r="X549" s="77" t="s">
        <v>816</v>
      </c>
      <c r="Y549" s="70"/>
    </row>
    <row r="550" spans="1:25" s="39" customFormat="1" ht="14" customHeight="1" x14ac:dyDescent="0.35">
      <c r="A550" s="74" t="s">
        <v>1535</v>
      </c>
      <c r="B550" s="74" t="s">
        <v>58</v>
      </c>
      <c r="C550" s="74" t="s">
        <v>47</v>
      </c>
      <c r="D550" s="74">
        <v>847</v>
      </c>
      <c r="E550" s="74">
        <v>8470530</v>
      </c>
      <c r="F550" s="74" t="s">
        <v>2412</v>
      </c>
      <c r="G550" s="74">
        <v>1</v>
      </c>
      <c r="H550" s="74">
        <v>430120</v>
      </c>
      <c r="I550" s="74" t="s">
        <v>2428</v>
      </c>
      <c r="J550" s="74" t="s">
        <v>60</v>
      </c>
      <c r="K550" s="74" t="s">
        <v>2429</v>
      </c>
      <c r="L550" s="74" t="s">
        <v>2430</v>
      </c>
      <c r="M550" s="74" t="s">
        <v>61</v>
      </c>
      <c r="N550" s="74">
        <v>200179</v>
      </c>
      <c r="O550" s="37" t="str">
        <f t="shared" si="26"/>
        <v>847.8470530.1.430120.000000.847030.200179</v>
      </c>
      <c r="P550" s="75" t="s">
        <v>2617</v>
      </c>
      <c r="Q550" s="74" t="s">
        <v>515</v>
      </c>
      <c r="R550" s="74">
        <v>1</v>
      </c>
      <c r="S550" s="74">
        <v>4679199</v>
      </c>
      <c r="T550" s="74" t="s">
        <v>2618</v>
      </c>
      <c r="U550" s="76">
        <v>4679199</v>
      </c>
      <c r="V550" s="74" t="s">
        <v>55</v>
      </c>
      <c r="W550" s="75" t="s">
        <v>56</v>
      </c>
      <c r="X550" s="77" t="s">
        <v>816</v>
      </c>
      <c r="Y550" s="70"/>
    </row>
    <row r="551" spans="1:25" s="39" customFormat="1" ht="14" customHeight="1" x14ac:dyDescent="0.35">
      <c r="A551" s="74" t="s">
        <v>1535</v>
      </c>
      <c r="B551" s="74" t="s">
        <v>58</v>
      </c>
      <c r="C551" s="74" t="s">
        <v>47</v>
      </c>
      <c r="D551" s="74">
        <v>847</v>
      </c>
      <c r="E551" s="74">
        <v>8470530</v>
      </c>
      <c r="F551" s="74" t="s">
        <v>2412</v>
      </c>
      <c r="G551" s="74">
        <v>1</v>
      </c>
      <c r="H551" s="74">
        <v>430120</v>
      </c>
      <c r="I551" s="74" t="s">
        <v>2428</v>
      </c>
      <c r="J551" s="74" t="s">
        <v>60</v>
      </c>
      <c r="K551" s="74" t="s">
        <v>2093</v>
      </c>
      <c r="L551" s="74">
        <v>847020</v>
      </c>
      <c r="M551" s="74" t="s">
        <v>61</v>
      </c>
      <c r="N551" s="74">
        <v>200179</v>
      </c>
      <c r="O551" s="37" t="str">
        <f t="shared" si="26"/>
        <v>847.8470530.1.430120.000000.847020.200179</v>
      </c>
      <c r="P551" s="75" t="s">
        <v>2617</v>
      </c>
      <c r="Q551" s="74" t="s">
        <v>515</v>
      </c>
      <c r="R551" s="74">
        <v>1</v>
      </c>
      <c r="S551" s="74">
        <v>18000000</v>
      </c>
      <c r="T551" s="74" t="s">
        <v>2620</v>
      </c>
      <c r="U551" s="76">
        <v>18000000</v>
      </c>
      <c r="V551" s="74" t="s">
        <v>55</v>
      </c>
      <c r="W551" s="75" t="s">
        <v>56</v>
      </c>
      <c r="X551" s="77" t="s">
        <v>816</v>
      </c>
      <c r="Y551" s="70"/>
    </row>
    <row r="552" spans="1:25" s="39" customFormat="1" ht="14" customHeight="1" x14ac:dyDescent="0.35">
      <c r="A552" s="74" t="s">
        <v>161</v>
      </c>
      <c r="B552" s="74" t="s">
        <v>58</v>
      </c>
      <c r="C552" s="74" t="s">
        <v>47</v>
      </c>
      <c r="D552" s="74">
        <v>847</v>
      </c>
      <c r="E552" s="74">
        <v>8470530</v>
      </c>
      <c r="F552" s="74" t="s">
        <v>2412</v>
      </c>
      <c r="G552" s="74">
        <v>1</v>
      </c>
      <c r="H552" s="74">
        <v>421600</v>
      </c>
      <c r="I552" s="74" t="s">
        <v>1475</v>
      </c>
      <c r="J552" s="74" t="s">
        <v>60</v>
      </c>
      <c r="K552" s="74" t="s">
        <v>2413</v>
      </c>
      <c r="L552" s="74">
        <v>847010</v>
      </c>
      <c r="M552" s="74" t="s">
        <v>61</v>
      </c>
      <c r="N552" s="74">
        <v>200179</v>
      </c>
      <c r="O552" s="37" t="str">
        <f t="shared" si="26"/>
        <v>847.8470530.1.421600.000000.847010.200179</v>
      </c>
      <c r="P552" s="75" t="s">
        <v>2433</v>
      </c>
      <c r="Q552" s="74" t="s">
        <v>269</v>
      </c>
      <c r="R552" s="74">
        <v>1</v>
      </c>
      <c r="S552" s="74">
        <v>4185720</v>
      </c>
      <c r="T552" s="74" t="s">
        <v>2434</v>
      </c>
      <c r="U552" s="76">
        <v>4185720</v>
      </c>
      <c r="V552" s="74" t="s">
        <v>55</v>
      </c>
      <c r="W552" s="75" t="s">
        <v>56</v>
      </c>
      <c r="X552" s="77" t="s">
        <v>816</v>
      </c>
      <c r="Y552" s="70"/>
    </row>
    <row r="553" spans="1:25" s="39" customFormat="1" ht="14" customHeight="1" x14ac:dyDescent="0.35">
      <c r="A553" s="74" t="s">
        <v>161</v>
      </c>
      <c r="B553" s="74" t="s">
        <v>58</v>
      </c>
      <c r="C553" s="74" t="s">
        <v>47</v>
      </c>
      <c r="D553" s="74">
        <v>847</v>
      </c>
      <c r="E553" s="74">
        <v>8470530</v>
      </c>
      <c r="F553" s="74" t="s">
        <v>2412</v>
      </c>
      <c r="G553" s="74">
        <v>1</v>
      </c>
      <c r="H553" s="74">
        <v>421600</v>
      </c>
      <c r="I553" s="74" t="s">
        <v>1475</v>
      </c>
      <c r="J553" s="74" t="s">
        <v>60</v>
      </c>
      <c r="K553" s="74" t="s">
        <v>2417</v>
      </c>
      <c r="L553" s="74">
        <v>847015</v>
      </c>
      <c r="M553" s="74" t="s">
        <v>61</v>
      </c>
      <c r="N553" s="74">
        <v>200179</v>
      </c>
      <c r="O553" s="37" t="str">
        <f t="shared" si="26"/>
        <v>847.8470530.1.421600.000000.847015.200179</v>
      </c>
      <c r="P553" s="75" t="s">
        <v>2433</v>
      </c>
      <c r="Q553" s="74" t="s">
        <v>269</v>
      </c>
      <c r="R553" s="74">
        <v>1</v>
      </c>
      <c r="S553" s="74">
        <v>2574558</v>
      </c>
      <c r="T553" s="74" t="s">
        <v>2435</v>
      </c>
      <c r="U553" s="76">
        <v>2574558</v>
      </c>
      <c r="V553" s="74" t="s">
        <v>55</v>
      </c>
      <c r="W553" s="75" t="s">
        <v>56</v>
      </c>
      <c r="X553" s="77" t="s">
        <v>816</v>
      </c>
      <c r="Y553" s="70"/>
    </row>
    <row r="554" spans="1:25" s="39" customFormat="1" ht="14" customHeight="1" x14ac:dyDescent="0.35">
      <c r="A554" s="74" t="s">
        <v>161</v>
      </c>
      <c r="B554" s="74" t="s">
        <v>58</v>
      </c>
      <c r="C554" s="74" t="s">
        <v>47</v>
      </c>
      <c r="D554" s="74">
        <v>847</v>
      </c>
      <c r="E554" s="74">
        <v>8470530</v>
      </c>
      <c r="F554" s="74" t="s">
        <v>2412</v>
      </c>
      <c r="G554" s="74">
        <v>1</v>
      </c>
      <c r="H554" s="74">
        <v>421600</v>
      </c>
      <c r="I554" s="74" t="s">
        <v>1475</v>
      </c>
      <c r="J554" s="74" t="s">
        <v>60</v>
      </c>
      <c r="K554" s="74" t="s">
        <v>2093</v>
      </c>
      <c r="L554" s="74">
        <v>847020</v>
      </c>
      <c r="M554" s="74" t="s">
        <v>61</v>
      </c>
      <c r="N554" s="74">
        <v>200179</v>
      </c>
      <c r="O554" s="37" t="str">
        <f t="shared" si="26"/>
        <v>847.8470530.1.421600.000000.847020.200179</v>
      </c>
      <c r="P554" s="75" t="s">
        <v>2433</v>
      </c>
      <c r="Q554" s="74" t="s">
        <v>269</v>
      </c>
      <c r="R554" s="74">
        <v>1</v>
      </c>
      <c r="S554" s="74">
        <v>2182509</v>
      </c>
      <c r="T554" s="74" t="s">
        <v>2436</v>
      </c>
      <c r="U554" s="76">
        <v>2182509</v>
      </c>
      <c r="V554" s="74" t="s">
        <v>55</v>
      </c>
      <c r="W554" s="75" t="s">
        <v>56</v>
      </c>
      <c r="X554" s="77" t="s">
        <v>816</v>
      </c>
      <c r="Y554" s="70"/>
    </row>
    <row r="555" spans="1:25" s="39" customFormat="1" ht="14" customHeight="1" x14ac:dyDescent="0.35">
      <c r="A555" s="74" t="s">
        <v>161</v>
      </c>
      <c r="B555" s="74" t="s">
        <v>58</v>
      </c>
      <c r="C555" s="74" t="s">
        <v>47</v>
      </c>
      <c r="D555" s="74">
        <v>847</v>
      </c>
      <c r="E555" s="74">
        <v>8470530</v>
      </c>
      <c r="F555" s="74" t="s">
        <v>2412</v>
      </c>
      <c r="G555" s="74">
        <v>1</v>
      </c>
      <c r="H555" s="74">
        <v>421600</v>
      </c>
      <c r="I555" s="74" t="s">
        <v>1475</v>
      </c>
      <c r="J555" s="74" t="s">
        <v>60</v>
      </c>
      <c r="K555" s="74" t="s">
        <v>2429</v>
      </c>
      <c r="L555" s="74">
        <v>847030</v>
      </c>
      <c r="M555" s="74" t="s">
        <v>61</v>
      </c>
      <c r="N555" s="74">
        <v>200179</v>
      </c>
      <c r="O555" s="37" t="str">
        <f t="shared" si="26"/>
        <v>847.8470530.1.421600.000000.847030.200179</v>
      </c>
      <c r="P555" s="75" t="s">
        <v>2433</v>
      </c>
      <c r="Q555" s="74" t="s">
        <v>269</v>
      </c>
      <c r="R555" s="74">
        <v>1</v>
      </c>
      <c r="S555" s="74">
        <v>418095</v>
      </c>
      <c r="T555" s="74" t="s">
        <v>2437</v>
      </c>
      <c r="U555" s="76">
        <v>418095</v>
      </c>
      <c r="V555" s="74" t="s">
        <v>55</v>
      </c>
      <c r="W555" s="75" t="s">
        <v>56</v>
      </c>
      <c r="X555" s="77" t="s">
        <v>816</v>
      </c>
      <c r="Y555" s="70"/>
    </row>
    <row r="556" spans="1:25" s="39" customFormat="1" ht="14" customHeight="1" x14ac:dyDescent="0.35">
      <c r="A556" s="74" t="s">
        <v>222</v>
      </c>
      <c r="B556" s="74" t="s">
        <v>238</v>
      </c>
      <c r="C556" s="74" t="s">
        <v>47</v>
      </c>
      <c r="D556" s="74">
        <v>847</v>
      </c>
      <c r="E556" s="74">
        <v>8470530</v>
      </c>
      <c r="F556" s="74" t="s">
        <v>2412</v>
      </c>
      <c r="G556" s="74">
        <v>1</v>
      </c>
      <c r="H556" s="74">
        <v>421700</v>
      </c>
      <c r="I556" s="74" t="s">
        <v>2438</v>
      </c>
      <c r="J556" s="74" t="s">
        <v>60</v>
      </c>
      <c r="K556" s="74" t="s">
        <v>2413</v>
      </c>
      <c r="L556" s="74">
        <v>847010</v>
      </c>
      <c r="M556" s="74" t="s">
        <v>61</v>
      </c>
      <c r="N556" s="74">
        <v>200179</v>
      </c>
      <c r="O556" s="37" t="str">
        <f t="shared" si="26"/>
        <v>847.8470530.1.421700.000000.847010.200179</v>
      </c>
      <c r="P556" s="75" t="s">
        <v>1017</v>
      </c>
      <c r="Q556" s="74" t="s">
        <v>157</v>
      </c>
      <c r="R556" s="74">
        <v>1</v>
      </c>
      <c r="S556" s="74"/>
      <c r="T556" s="74"/>
      <c r="U556" s="76">
        <v>0</v>
      </c>
      <c r="V556" s="74"/>
      <c r="W556" s="75"/>
      <c r="X556" s="77"/>
      <c r="Y556" s="70"/>
    </row>
    <row r="557" spans="1:25" s="39" customFormat="1" ht="14" customHeight="1" x14ac:dyDescent="0.35">
      <c r="A557" s="74" t="s">
        <v>245</v>
      </c>
      <c r="B557" s="74" t="s">
        <v>246</v>
      </c>
      <c r="C557" s="74" t="s">
        <v>47</v>
      </c>
      <c r="D557" s="74">
        <v>847</v>
      </c>
      <c r="E557" s="74">
        <v>8470530</v>
      </c>
      <c r="F557" s="74" t="s">
        <v>2412</v>
      </c>
      <c r="G557" s="74">
        <v>1</v>
      </c>
      <c r="H557" s="74">
        <v>425510</v>
      </c>
      <c r="I557" s="74" t="s">
        <v>247</v>
      </c>
      <c r="J557" s="74" t="s">
        <v>60</v>
      </c>
      <c r="K557" s="74" t="s">
        <v>2413</v>
      </c>
      <c r="L557" s="74">
        <v>847010</v>
      </c>
      <c r="M557" s="74" t="s">
        <v>61</v>
      </c>
      <c r="N557" s="74">
        <v>200179</v>
      </c>
      <c r="O557" s="37" t="str">
        <f t="shared" si="26"/>
        <v>847.8470530.1.425510.000000.847010.200179</v>
      </c>
      <c r="P557" s="75" t="s">
        <v>344</v>
      </c>
      <c r="Q557" s="74" t="s">
        <v>256</v>
      </c>
      <c r="R557" s="74">
        <v>1</v>
      </c>
      <c r="S557" s="74">
        <v>60000</v>
      </c>
      <c r="T557" s="74" t="s">
        <v>2370</v>
      </c>
      <c r="U557" s="76">
        <v>60000</v>
      </c>
      <c r="V557" s="74" t="s">
        <v>55</v>
      </c>
      <c r="W557" s="75" t="s">
        <v>56</v>
      </c>
      <c r="X557" s="77" t="s">
        <v>816</v>
      </c>
      <c r="Y557" s="70"/>
    </row>
    <row r="558" spans="1:25" s="39" customFormat="1" ht="14" customHeight="1" x14ac:dyDescent="0.35">
      <c r="A558" s="74" t="s">
        <v>189</v>
      </c>
      <c r="B558" s="74" t="s">
        <v>265</v>
      </c>
      <c r="C558" s="74" t="s">
        <v>47</v>
      </c>
      <c r="D558" s="74">
        <v>847</v>
      </c>
      <c r="E558" s="74">
        <v>8470530</v>
      </c>
      <c r="F558" s="74" t="s">
        <v>2412</v>
      </c>
      <c r="G558" s="74">
        <v>1</v>
      </c>
      <c r="H558" s="74">
        <v>425900</v>
      </c>
      <c r="I558" s="74" t="s">
        <v>266</v>
      </c>
      <c r="J558" s="74" t="s">
        <v>60</v>
      </c>
      <c r="K558" s="74" t="s">
        <v>2413</v>
      </c>
      <c r="L558" s="74">
        <v>847010</v>
      </c>
      <c r="M558" s="74" t="s">
        <v>61</v>
      </c>
      <c r="N558" s="74">
        <v>200179</v>
      </c>
      <c r="O558" s="37" t="str">
        <f t="shared" si="26"/>
        <v>847.8470530.1.425900.000000.847010.200179</v>
      </c>
      <c r="P558" s="75" t="s">
        <v>268</v>
      </c>
      <c r="Q558" s="74" t="s">
        <v>269</v>
      </c>
      <c r="R558" s="74">
        <v>1</v>
      </c>
      <c r="S558" s="74">
        <v>50000</v>
      </c>
      <c r="T558" s="74" t="s">
        <v>2373</v>
      </c>
      <c r="U558" s="76">
        <v>50000</v>
      </c>
      <c r="V558" s="74" t="s">
        <v>55</v>
      </c>
      <c r="W558" s="75" t="s">
        <v>56</v>
      </c>
      <c r="X558" s="77" t="s">
        <v>816</v>
      </c>
      <c r="Y558" s="70"/>
    </row>
    <row r="559" spans="1:25" s="39" customFormat="1" ht="14" customHeight="1" x14ac:dyDescent="0.35">
      <c r="A559" s="74" t="s">
        <v>161</v>
      </c>
      <c r="B559" s="74" t="s">
        <v>58</v>
      </c>
      <c r="C559" s="74" t="s">
        <v>47</v>
      </c>
      <c r="D559" s="74">
        <v>847</v>
      </c>
      <c r="E559" s="74">
        <v>8470530</v>
      </c>
      <c r="F559" s="74" t="s">
        <v>2412</v>
      </c>
      <c r="G559" s="74">
        <v>1</v>
      </c>
      <c r="H559" s="74">
        <v>426220</v>
      </c>
      <c r="I559" s="74" t="s">
        <v>1477</v>
      </c>
      <c r="J559" s="74" t="s">
        <v>60</v>
      </c>
      <c r="K559" s="74" t="s">
        <v>2413</v>
      </c>
      <c r="L559" s="74">
        <v>847010</v>
      </c>
      <c r="M559" s="74" t="s">
        <v>61</v>
      </c>
      <c r="N559" s="74">
        <v>200179</v>
      </c>
      <c r="O559" s="37" t="str">
        <f t="shared" si="26"/>
        <v>847.8470530.1.426220.000000.847010.200179</v>
      </c>
      <c r="P559" s="75" t="s">
        <v>2440</v>
      </c>
      <c r="Q559" s="74" t="s">
        <v>157</v>
      </c>
      <c r="R559" s="74">
        <v>1</v>
      </c>
      <c r="S559" s="74">
        <v>960437</v>
      </c>
      <c r="T559" s="74" t="s">
        <v>2441</v>
      </c>
      <c r="U559" s="76">
        <v>960437</v>
      </c>
      <c r="V559" s="74" t="s">
        <v>55</v>
      </c>
      <c r="W559" s="75" t="s">
        <v>56</v>
      </c>
      <c r="X559" s="77" t="s">
        <v>816</v>
      </c>
      <c r="Y559" s="70"/>
    </row>
    <row r="560" spans="1:25" s="39" customFormat="1" ht="14" customHeight="1" x14ac:dyDescent="0.35">
      <c r="A560" s="74" t="s">
        <v>161</v>
      </c>
      <c r="B560" s="74" t="s">
        <v>58</v>
      </c>
      <c r="C560" s="74" t="s">
        <v>47</v>
      </c>
      <c r="D560" s="74">
        <v>847</v>
      </c>
      <c r="E560" s="74">
        <v>8470530</v>
      </c>
      <c r="F560" s="74" t="s">
        <v>2412</v>
      </c>
      <c r="G560" s="74">
        <v>1</v>
      </c>
      <c r="H560" s="74">
        <v>426220</v>
      </c>
      <c r="I560" s="74" t="s">
        <v>1477</v>
      </c>
      <c r="J560" s="74" t="s">
        <v>60</v>
      </c>
      <c r="K560" s="74" t="s">
        <v>2429</v>
      </c>
      <c r="L560" s="74">
        <v>847030</v>
      </c>
      <c r="M560" s="74" t="s">
        <v>61</v>
      </c>
      <c r="N560" s="74">
        <v>200179</v>
      </c>
      <c r="O560" s="37" t="str">
        <f t="shared" si="26"/>
        <v>847.8470530.1.426220.000000.847030.200179</v>
      </c>
      <c r="P560" s="75" t="s">
        <v>2440</v>
      </c>
      <c r="Q560" s="74" t="s">
        <v>157</v>
      </c>
      <c r="R560" s="74">
        <v>1</v>
      </c>
      <c r="S560" s="74">
        <v>23714</v>
      </c>
      <c r="T560" s="74" t="s">
        <v>2441</v>
      </c>
      <c r="U560" s="76">
        <v>23714</v>
      </c>
      <c r="V560" s="74" t="s">
        <v>55</v>
      </c>
      <c r="W560" s="75" t="s">
        <v>56</v>
      </c>
      <c r="X560" s="77" t="s">
        <v>816</v>
      </c>
      <c r="Y560" s="70"/>
    </row>
    <row r="561" spans="1:25" s="39" customFormat="1" ht="14" customHeight="1" x14ac:dyDescent="0.35">
      <c r="A561" s="74" t="s">
        <v>161</v>
      </c>
      <c r="B561" s="74" t="s">
        <v>58</v>
      </c>
      <c r="C561" s="74" t="s">
        <v>47</v>
      </c>
      <c r="D561" s="74">
        <v>847</v>
      </c>
      <c r="E561" s="74">
        <v>8470530</v>
      </c>
      <c r="F561" s="74" t="s">
        <v>2412</v>
      </c>
      <c r="G561" s="74">
        <v>1</v>
      </c>
      <c r="H561" s="74">
        <v>426250</v>
      </c>
      <c r="I561" s="74" t="s">
        <v>2442</v>
      </c>
      <c r="J561" s="74" t="s">
        <v>60</v>
      </c>
      <c r="K561" s="74" t="s">
        <v>2413</v>
      </c>
      <c r="L561" s="74">
        <v>847010</v>
      </c>
      <c r="M561" s="74" t="s">
        <v>61</v>
      </c>
      <c r="N561" s="74">
        <v>200179</v>
      </c>
      <c r="O561" s="37" t="str">
        <f t="shared" si="26"/>
        <v>847.8470530.1.426250.000000.847010.200179</v>
      </c>
      <c r="P561" s="75"/>
      <c r="Q561" s="74" t="s">
        <v>62</v>
      </c>
      <c r="R561" s="74"/>
      <c r="S561" s="74"/>
      <c r="T561" s="74"/>
      <c r="U561" s="76">
        <v>0</v>
      </c>
      <c r="V561" s="74"/>
      <c r="W561" s="75"/>
      <c r="X561" s="77" t="s">
        <v>816</v>
      </c>
      <c r="Y561" s="70"/>
    </row>
    <row r="562" spans="1:25" s="39" customFormat="1" ht="14" customHeight="1" x14ac:dyDescent="0.35">
      <c r="A562" s="74" t="s">
        <v>153</v>
      </c>
      <c r="B562" s="74" t="s">
        <v>58</v>
      </c>
      <c r="C562" s="74" t="s">
        <v>47</v>
      </c>
      <c r="D562" s="74">
        <v>847</v>
      </c>
      <c r="E562" s="74">
        <v>8470530</v>
      </c>
      <c r="F562" s="74" t="s">
        <v>2412</v>
      </c>
      <c r="G562" s="74">
        <v>1</v>
      </c>
      <c r="H562" s="74">
        <v>428090</v>
      </c>
      <c r="I562" s="74" t="s">
        <v>154</v>
      </c>
      <c r="J562" s="74" t="s">
        <v>60</v>
      </c>
      <c r="K562" s="74" t="s">
        <v>50</v>
      </c>
      <c r="L562" s="74">
        <v>847001</v>
      </c>
      <c r="M562" s="74" t="s">
        <v>61</v>
      </c>
      <c r="N562" s="74">
        <v>200179</v>
      </c>
      <c r="O562" s="37" t="str">
        <f t="shared" si="26"/>
        <v>847.8470530.1.428090.000000.847001.200179</v>
      </c>
      <c r="P562" s="75" t="s">
        <v>156</v>
      </c>
      <c r="Q562" s="74" t="s">
        <v>157</v>
      </c>
      <c r="R562" s="74">
        <v>1</v>
      </c>
      <c r="S562" s="74">
        <v>250000</v>
      </c>
      <c r="T562" s="74" t="s">
        <v>2260</v>
      </c>
      <c r="U562" s="76">
        <v>250000</v>
      </c>
      <c r="V562" s="74" t="s">
        <v>55</v>
      </c>
      <c r="W562" s="75" t="s">
        <v>56</v>
      </c>
      <c r="X562" s="77" t="s">
        <v>816</v>
      </c>
      <c r="Y562" s="70"/>
    </row>
    <row r="563" spans="1:25" s="39" customFormat="1" ht="14" customHeight="1" x14ac:dyDescent="0.35">
      <c r="A563" s="74" t="s">
        <v>161</v>
      </c>
      <c r="B563" s="74" t="s">
        <v>58</v>
      </c>
      <c r="C563" s="58" t="s">
        <v>47</v>
      </c>
      <c r="D563" s="74">
        <v>847</v>
      </c>
      <c r="E563" s="74">
        <v>8470530</v>
      </c>
      <c r="F563" s="74" t="s">
        <v>2412</v>
      </c>
      <c r="G563" s="74">
        <v>1</v>
      </c>
      <c r="H563" s="74">
        <v>432120</v>
      </c>
      <c r="I563" s="74" t="s">
        <v>1480</v>
      </c>
      <c r="J563" s="74" t="s">
        <v>60</v>
      </c>
      <c r="K563" s="74" t="s">
        <v>2413</v>
      </c>
      <c r="L563" s="74">
        <v>847010</v>
      </c>
      <c r="M563" s="74" t="s">
        <v>61</v>
      </c>
      <c r="N563" s="74">
        <v>200179</v>
      </c>
      <c r="O563" s="37" t="str">
        <f t="shared" si="26"/>
        <v>847.8470530.1.432120.000000.847010.200179</v>
      </c>
      <c r="P563" s="75" t="s">
        <v>2453</v>
      </c>
      <c r="Q563" s="74" t="s">
        <v>515</v>
      </c>
      <c r="R563" s="74">
        <v>1</v>
      </c>
      <c r="S563" s="74">
        <v>13077621</v>
      </c>
      <c r="T563" s="74" t="s">
        <v>2633</v>
      </c>
      <c r="U563" s="76">
        <v>13077621</v>
      </c>
      <c r="V563" s="74" t="s">
        <v>55</v>
      </c>
      <c r="W563" s="75" t="s">
        <v>56</v>
      </c>
      <c r="X563" s="77" t="s">
        <v>816</v>
      </c>
      <c r="Y563" s="70"/>
    </row>
    <row r="564" spans="1:25" s="39" customFormat="1" ht="14" customHeight="1" x14ac:dyDescent="0.35">
      <c r="A564" s="74" t="s">
        <v>161</v>
      </c>
      <c r="B564" s="74" t="s">
        <v>58</v>
      </c>
      <c r="C564" s="58" t="s">
        <v>47</v>
      </c>
      <c r="D564" s="74">
        <v>847</v>
      </c>
      <c r="E564" s="74">
        <v>8470530</v>
      </c>
      <c r="F564" s="74" t="s">
        <v>2412</v>
      </c>
      <c r="G564" s="74">
        <v>1</v>
      </c>
      <c r="H564" s="74">
        <v>432120</v>
      </c>
      <c r="I564" s="74" t="s">
        <v>1480</v>
      </c>
      <c r="J564" s="74" t="s">
        <v>60</v>
      </c>
      <c r="K564" s="74" t="s">
        <v>2413</v>
      </c>
      <c r="L564" s="74">
        <v>847010</v>
      </c>
      <c r="M564" s="74" t="s">
        <v>61</v>
      </c>
      <c r="N564" s="74">
        <v>200179</v>
      </c>
      <c r="O564" s="37" t="str">
        <f t="shared" si="26"/>
        <v>847.8470530.1.432120.000000.847010.200179</v>
      </c>
      <c r="P564" s="75" t="s">
        <v>2453</v>
      </c>
      <c r="Q564" s="74" t="s">
        <v>515</v>
      </c>
      <c r="R564" s="74">
        <v>1</v>
      </c>
      <c r="S564" s="74">
        <v>800000</v>
      </c>
      <c r="T564" s="74" t="s">
        <v>2634</v>
      </c>
      <c r="U564" s="76">
        <v>800000</v>
      </c>
      <c r="V564" s="74" t="s">
        <v>55</v>
      </c>
      <c r="W564" s="75" t="s">
        <v>56</v>
      </c>
      <c r="X564" s="77" t="s">
        <v>816</v>
      </c>
      <c r="Y564" s="70"/>
    </row>
    <row r="565" spans="1:25" s="39" customFormat="1" ht="14" customHeight="1" x14ac:dyDescent="0.35">
      <c r="A565" s="74" t="s">
        <v>161</v>
      </c>
      <c r="B565" s="74" t="s">
        <v>58</v>
      </c>
      <c r="C565" s="58" t="s">
        <v>47</v>
      </c>
      <c r="D565" s="74">
        <v>847</v>
      </c>
      <c r="E565" s="74">
        <v>8470530</v>
      </c>
      <c r="F565" s="74" t="s">
        <v>2412</v>
      </c>
      <c r="G565" s="74">
        <v>1</v>
      </c>
      <c r="H565" s="74">
        <v>432120</v>
      </c>
      <c r="I565" s="74" t="s">
        <v>1480</v>
      </c>
      <c r="J565" s="74" t="s">
        <v>60</v>
      </c>
      <c r="K565" s="74" t="s">
        <v>2413</v>
      </c>
      <c r="L565" s="74">
        <v>847010</v>
      </c>
      <c r="M565" s="74" t="s">
        <v>61</v>
      </c>
      <c r="N565" s="74">
        <v>200179</v>
      </c>
      <c r="O565" s="37" t="str">
        <f t="shared" si="26"/>
        <v>847.8470530.1.432120.000000.847010.200179</v>
      </c>
      <c r="P565" s="75" t="s">
        <v>2453</v>
      </c>
      <c r="Q565" s="74" t="s">
        <v>515</v>
      </c>
      <c r="R565" s="74">
        <v>1</v>
      </c>
      <c r="S565" s="74">
        <v>43500</v>
      </c>
      <c r="T565" s="74" t="s">
        <v>2635</v>
      </c>
      <c r="U565" s="76">
        <v>43500</v>
      </c>
      <c r="V565" s="74" t="s">
        <v>55</v>
      </c>
      <c r="W565" s="75" t="s">
        <v>56</v>
      </c>
      <c r="X565" s="77" t="s">
        <v>816</v>
      </c>
      <c r="Y565" s="70"/>
    </row>
    <row r="566" spans="1:25" s="39" customFormat="1" ht="14" customHeight="1" x14ac:dyDescent="0.35">
      <c r="A566" s="74" t="s">
        <v>161</v>
      </c>
      <c r="B566" s="74" t="s">
        <v>58</v>
      </c>
      <c r="C566" s="74" t="s">
        <v>47</v>
      </c>
      <c r="D566" s="74">
        <v>847</v>
      </c>
      <c r="E566" s="74">
        <v>8470530</v>
      </c>
      <c r="F566" s="74" t="s">
        <v>2412</v>
      </c>
      <c r="G566" s="74">
        <v>1</v>
      </c>
      <c r="H566" s="74">
        <v>432120</v>
      </c>
      <c r="I566" s="74" t="s">
        <v>1480</v>
      </c>
      <c r="J566" s="74" t="s">
        <v>60</v>
      </c>
      <c r="K566" s="74" t="s">
        <v>2413</v>
      </c>
      <c r="L566" s="74">
        <v>847010</v>
      </c>
      <c r="M566" s="74" t="s">
        <v>61</v>
      </c>
      <c r="N566" s="74">
        <v>200179</v>
      </c>
      <c r="O566" s="37" t="str">
        <f t="shared" si="26"/>
        <v>847.8470530.1.432120.000000.847010.200179</v>
      </c>
      <c r="P566" s="75" t="s">
        <v>2453</v>
      </c>
      <c r="Q566" s="74" t="s">
        <v>515</v>
      </c>
      <c r="R566" s="74">
        <v>1</v>
      </c>
      <c r="S566" s="74">
        <v>60000</v>
      </c>
      <c r="T566" s="74" t="s">
        <v>2636</v>
      </c>
      <c r="U566" s="76">
        <v>60000</v>
      </c>
      <c r="V566" s="74" t="s">
        <v>55</v>
      </c>
      <c r="W566" s="75" t="s">
        <v>56</v>
      </c>
      <c r="X566" s="77" t="s">
        <v>816</v>
      </c>
      <c r="Y566" s="70"/>
    </row>
    <row r="567" spans="1:25" s="39" customFormat="1" ht="14" customHeight="1" x14ac:dyDescent="0.35">
      <c r="A567" s="74" t="s">
        <v>161</v>
      </c>
      <c r="B567" s="74" t="s">
        <v>58</v>
      </c>
      <c r="C567" s="74" t="s">
        <v>47</v>
      </c>
      <c r="D567" s="74">
        <v>847</v>
      </c>
      <c r="E567" s="74">
        <v>8470530</v>
      </c>
      <c r="F567" s="74" t="s">
        <v>2412</v>
      </c>
      <c r="G567" s="74">
        <v>1</v>
      </c>
      <c r="H567" s="74">
        <v>432120</v>
      </c>
      <c r="I567" s="74" t="s">
        <v>1480</v>
      </c>
      <c r="J567" s="74" t="s">
        <v>60</v>
      </c>
      <c r="K567" s="74" t="s">
        <v>2413</v>
      </c>
      <c r="L567" s="74">
        <v>847010</v>
      </c>
      <c r="M567" s="74" t="s">
        <v>61</v>
      </c>
      <c r="N567" s="74">
        <v>200179</v>
      </c>
      <c r="O567" s="37" t="str">
        <f t="shared" si="26"/>
        <v>847.8470530.1.432120.000000.847010.200179</v>
      </c>
      <c r="P567" s="75" t="s">
        <v>2453</v>
      </c>
      <c r="Q567" s="74" t="s">
        <v>515</v>
      </c>
      <c r="R567" s="74">
        <v>1</v>
      </c>
      <c r="S567" s="74">
        <v>350000</v>
      </c>
      <c r="T567" s="74" t="s">
        <v>2637</v>
      </c>
      <c r="U567" s="76">
        <v>350000</v>
      </c>
      <c r="V567" s="74" t="s">
        <v>55</v>
      </c>
      <c r="W567" s="75" t="s">
        <v>56</v>
      </c>
      <c r="X567" s="77" t="s">
        <v>816</v>
      </c>
      <c r="Y567" s="70"/>
    </row>
    <row r="568" spans="1:25" s="39" customFormat="1" ht="14" customHeight="1" x14ac:dyDescent="0.35">
      <c r="A568" s="74" t="s">
        <v>161</v>
      </c>
      <c r="B568" s="74" t="s">
        <v>58</v>
      </c>
      <c r="C568" s="74" t="s">
        <v>47</v>
      </c>
      <c r="D568" s="74">
        <v>847</v>
      </c>
      <c r="E568" s="74">
        <v>8470530</v>
      </c>
      <c r="F568" s="74" t="s">
        <v>2412</v>
      </c>
      <c r="G568" s="74">
        <v>1</v>
      </c>
      <c r="H568" s="74">
        <v>432120</v>
      </c>
      <c r="I568" s="74" t="s">
        <v>1480</v>
      </c>
      <c r="J568" s="74" t="s">
        <v>60</v>
      </c>
      <c r="K568" s="74" t="s">
        <v>2417</v>
      </c>
      <c r="L568" s="74">
        <v>847015</v>
      </c>
      <c r="M568" s="74" t="s">
        <v>61</v>
      </c>
      <c r="N568" s="74">
        <v>200179</v>
      </c>
      <c r="O568" s="37" t="str">
        <f t="shared" si="26"/>
        <v>847.8470530.1.432120.000000.847015.200179</v>
      </c>
      <c r="P568" s="75"/>
      <c r="Q568" s="74" t="s">
        <v>62</v>
      </c>
      <c r="R568" s="74"/>
      <c r="S568" s="74"/>
      <c r="T568" s="74"/>
      <c r="U568" s="76">
        <v>0</v>
      </c>
      <c r="V568" s="74"/>
      <c r="W568" s="75"/>
      <c r="X568" s="77"/>
      <c r="Y568" s="70"/>
    </row>
    <row r="569" spans="1:25" s="39" customFormat="1" ht="14" customHeight="1" x14ac:dyDescent="0.35">
      <c r="A569" s="74" t="s">
        <v>161</v>
      </c>
      <c r="B569" s="74" t="s">
        <v>58</v>
      </c>
      <c r="C569" s="58" t="s">
        <v>47</v>
      </c>
      <c r="D569" s="74">
        <v>847</v>
      </c>
      <c r="E569" s="74">
        <v>8470530</v>
      </c>
      <c r="F569" s="74" t="s">
        <v>2412</v>
      </c>
      <c r="G569" s="74">
        <v>1</v>
      </c>
      <c r="H569" s="74">
        <v>432120</v>
      </c>
      <c r="I569" s="74" t="s">
        <v>1480</v>
      </c>
      <c r="J569" s="74" t="s">
        <v>60</v>
      </c>
      <c r="K569" s="74" t="s">
        <v>2093</v>
      </c>
      <c r="L569" s="74">
        <v>847020</v>
      </c>
      <c r="M569" s="74" t="s">
        <v>61</v>
      </c>
      <c r="N569" s="74">
        <v>200179</v>
      </c>
      <c r="O569" s="37" t="str">
        <f t="shared" si="26"/>
        <v>847.8470530.1.432120.000000.847020.200179</v>
      </c>
      <c r="P569" s="75" t="s">
        <v>2453</v>
      </c>
      <c r="Q569" s="74" t="s">
        <v>515</v>
      </c>
      <c r="R569" s="74">
        <v>1</v>
      </c>
      <c r="S569" s="74">
        <v>15393196</v>
      </c>
      <c r="T569" s="74" t="s">
        <v>2633</v>
      </c>
      <c r="U569" s="76">
        <v>15393196</v>
      </c>
      <c r="V569" s="74" t="s">
        <v>55</v>
      </c>
      <c r="W569" s="75" t="s">
        <v>56</v>
      </c>
      <c r="X569" s="77" t="s">
        <v>816</v>
      </c>
      <c r="Y569" s="70"/>
    </row>
    <row r="570" spans="1:25" s="39" customFormat="1" ht="14" customHeight="1" x14ac:dyDescent="0.35">
      <c r="A570" s="74" t="s">
        <v>161</v>
      </c>
      <c r="B570" s="74" t="s">
        <v>58</v>
      </c>
      <c r="C570" s="58" t="s">
        <v>47</v>
      </c>
      <c r="D570" s="74">
        <v>847</v>
      </c>
      <c r="E570" s="74">
        <v>8470530</v>
      </c>
      <c r="F570" s="74" t="s">
        <v>2412</v>
      </c>
      <c r="G570" s="74">
        <v>1</v>
      </c>
      <c r="H570" s="74">
        <v>432120</v>
      </c>
      <c r="I570" s="74" t="s">
        <v>1480</v>
      </c>
      <c r="J570" s="74" t="s">
        <v>60</v>
      </c>
      <c r="K570" s="74" t="s">
        <v>2093</v>
      </c>
      <c r="L570" s="74">
        <v>847020</v>
      </c>
      <c r="M570" s="74" t="s">
        <v>61</v>
      </c>
      <c r="N570" s="74">
        <v>200179</v>
      </c>
      <c r="O570" s="37" t="str">
        <f t="shared" si="26"/>
        <v>847.8470530.1.432120.000000.847020.200179</v>
      </c>
      <c r="P570" s="75" t="s">
        <v>2453</v>
      </c>
      <c r="Q570" s="74" t="s">
        <v>515</v>
      </c>
      <c r="R570" s="74">
        <v>1</v>
      </c>
      <c r="S570" s="74">
        <v>900000</v>
      </c>
      <c r="T570" s="74" t="s">
        <v>2445</v>
      </c>
      <c r="U570" s="76">
        <v>900000</v>
      </c>
      <c r="V570" s="74" t="s">
        <v>55</v>
      </c>
      <c r="W570" s="75" t="s">
        <v>56</v>
      </c>
      <c r="X570" s="77" t="s">
        <v>816</v>
      </c>
      <c r="Y570" s="70"/>
    </row>
    <row r="571" spans="1:25" s="39" customFormat="1" ht="14" customHeight="1" x14ac:dyDescent="0.35">
      <c r="A571" s="74" t="s">
        <v>46</v>
      </c>
      <c r="B571" s="74" t="s">
        <v>46</v>
      </c>
      <c r="C571" s="58" t="s">
        <v>47</v>
      </c>
      <c r="D571" s="74">
        <v>847</v>
      </c>
      <c r="E571" s="74">
        <v>8470530</v>
      </c>
      <c r="F571" s="74" t="s">
        <v>2412</v>
      </c>
      <c r="G571" s="74">
        <v>1</v>
      </c>
      <c r="H571" s="74">
        <v>432120</v>
      </c>
      <c r="I571" s="74" t="s">
        <v>1480</v>
      </c>
      <c r="J571" s="74" t="s">
        <v>60</v>
      </c>
      <c r="K571" s="74" t="s">
        <v>2093</v>
      </c>
      <c r="L571" s="74">
        <v>847020</v>
      </c>
      <c r="M571" s="74" t="s">
        <v>61</v>
      </c>
      <c r="N571" s="74">
        <v>200179</v>
      </c>
      <c r="O571" s="37" t="str">
        <f t="shared" si="26"/>
        <v>847.8470530.1.432120.000000.847020.200179</v>
      </c>
      <c r="P571" s="75" t="s">
        <v>2453</v>
      </c>
      <c r="Q571" s="74" t="s">
        <v>515</v>
      </c>
      <c r="R571" s="74">
        <v>1</v>
      </c>
      <c r="S571" s="74">
        <v>124000</v>
      </c>
      <c r="T571" s="74" t="s">
        <v>2446</v>
      </c>
      <c r="U571" s="76">
        <v>124000</v>
      </c>
      <c r="V571" s="74" t="s">
        <v>55</v>
      </c>
      <c r="W571" s="75" t="s">
        <v>56</v>
      </c>
      <c r="X571" s="77" t="s">
        <v>816</v>
      </c>
      <c r="Y571" s="70"/>
    </row>
    <row r="572" spans="1:25" s="39" customFormat="1" ht="14" customHeight="1" x14ac:dyDescent="0.35">
      <c r="A572" s="74" t="s">
        <v>161</v>
      </c>
      <c r="B572" s="74" t="s">
        <v>58</v>
      </c>
      <c r="C572" s="74" t="s">
        <v>47</v>
      </c>
      <c r="D572" s="74">
        <v>847</v>
      </c>
      <c r="E572" s="74">
        <v>8470530</v>
      </c>
      <c r="F572" s="74" t="s">
        <v>2412</v>
      </c>
      <c r="G572" s="74">
        <v>1</v>
      </c>
      <c r="H572" s="74">
        <v>432120</v>
      </c>
      <c r="I572" s="74" t="s">
        <v>1480</v>
      </c>
      <c r="J572" s="74" t="s">
        <v>60</v>
      </c>
      <c r="K572" s="74" t="s">
        <v>2093</v>
      </c>
      <c r="L572" s="74">
        <v>847020</v>
      </c>
      <c r="M572" s="74" t="s">
        <v>61</v>
      </c>
      <c r="N572" s="74">
        <v>200179</v>
      </c>
      <c r="O572" s="37" t="str">
        <f t="shared" si="26"/>
        <v>847.8470530.1.432120.000000.847020.200179</v>
      </c>
      <c r="P572" s="75" t="s">
        <v>2453</v>
      </c>
      <c r="Q572" s="74" t="s">
        <v>515</v>
      </c>
      <c r="R572" s="74">
        <v>1</v>
      </c>
      <c r="S572" s="74">
        <v>459999.99999999994</v>
      </c>
      <c r="T572" s="74" t="s">
        <v>2640</v>
      </c>
      <c r="U572" s="76">
        <v>459999.99999999994</v>
      </c>
      <c r="V572" s="74" t="s">
        <v>55</v>
      </c>
      <c r="W572" s="75" t="s">
        <v>56</v>
      </c>
      <c r="X572" s="77" t="s">
        <v>816</v>
      </c>
      <c r="Y572" s="70"/>
    </row>
    <row r="573" spans="1:25" s="39" customFormat="1" ht="14" customHeight="1" x14ac:dyDescent="0.35">
      <c r="A573" s="74" t="s">
        <v>161</v>
      </c>
      <c r="B573" s="74" t="s">
        <v>58</v>
      </c>
      <c r="C573" s="74" t="s">
        <v>47</v>
      </c>
      <c r="D573" s="74">
        <v>847</v>
      </c>
      <c r="E573" s="74">
        <v>8470530</v>
      </c>
      <c r="F573" s="74" t="s">
        <v>2412</v>
      </c>
      <c r="G573" s="74">
        <v>1</v>
      </c>
      <c r="H573" s="74">
        <v>432120</v>
      </c>
      <c r="I573" s="74" t="s">
        <v>1480</v>
      </c>
      <c r="J573" s="74" t="s">
        <v>60</v>
      </c>
      <c r="K573" s="74" t="s">
        <v>2093</v>
      </c>
      <c r="L573" s="74">
        <v>847020</v>
      </c>
      <c r="M573" s="74" t="s">
        <v>61</v>
      </c>
      <c r="N573" s="74">
        <v>200179</v>
      </c>
      <c r="O573" s="37" t="str">
        <f t="shared" si="26"/>
        <v>847.8470530.1.432120.000000.847020.200179</v>
      </c>
      <c r="P573" s="75" t="s">
        <v>2453</v>
      </c>
      <c r="Q573" s="74" t="s">
        <v>515</v>
      </c>
      <c r="R573" s="74">
        <v>1</v>
      </c>
      <c r="S573" s="74">
        <v>350000</v>
      </c>
      <c r="T573" s="74" t="s">
        <v>2641</v>
      </c>
      <c r="U573" s="76">
        <v>350000</v>
      </c>
      <c r="V573" s="74" t="s">
        <v>55</v>
      </c>
      <c r="W573" s="75" t="s">
        <v>56</v>
      </c>
      <c r="X573" s="77" t="s">
        <v>816</v>
      </c>
      <c r="Y573" s="70"/>
    </row>
    <row r="574" spans="1:25" s="39" customFormat="1" ht="14" customHeight="1" x14ac:dyDescent="0.35">
      <c r="A574" s="74" t="s">
        <v>161</v>
      </c>
      <c r="B574" s="74" t="s">
        <v>58</v>
      </c>
      <c r="C574" s="74" t="s">
        <v>47</v>
      </c>
      <c r="D574" s="74">
        <v>847</v>
      </c>
      <c r="E574" s="74">
        <v>8470530</v>
      </c>
      <c r="F574" s="74" t="s">
        <v>2412</v>
      </c>
      <c r="G574" s="74">
        <v>1</v>
      </c>
      <c r="H574" s="74">
        <v>432120</v>
      </c>
      <c r="I574" s="74" t="s">
        <v>1480</v>
      </c>
      <c r="J574" s="74" t="s">
        <v>60</v>
      </c>
      <c r="K574" s="74" t="s">
        <v>2093</v>
      </c>
      <c r="L574" s="74">
        <v>847020</v>
      </c>
      <c r="M574" s="74" t="s">
        <v>61</v>
      </c>
      <c r="N574" s="74">
        <v>200179</v>
      </c>
      <c r="O574" s="37" t="str">
        <f t="shared" si="26"/>
        <v>847.8470530.1.432120.000000.847020.200179</v>
      </c>
      <c r="P574" s="75" t="s">
        <v>2453</v>
      </c>
      <c r="Q574" s="74" t="s">
        <v>515</v>
      </c>
      <c r="R574" s="74">
        <v>1</v>
      </c>
      <c r="S574" s="74">
        <v>229999.99999999997</v>
      </c>
      <c r="T574" s="74" t="s">
        <v>2458</v>
      </c>
      <c r="U574" s="76">
        <v>229999.99999999997</v>
      </c>
      <c r="V574" s="74" t="s">
        <v>55</v>
      </c>
      <c r="W574" s="75" t="s">
        <v>56</v>
      </c>
      <c r="X574" s="77" t="s">
        <v>816</v>
      </c>
      <c r="Y574" s="70"/>
    </row>
    <row r="575" spans="1:25" s="39" customFormat="1" ht="14" customHeight="1" x14ac:dyDescent="0.35">
      <c r="A575" s="74" t="s">
        <v>161</v>
      </c>
      <c r="B575" s="74" t="s">
        <v>58</v>
      </c>
      <c r="C575" s="74" t="s">
        <v>47</v>
      </c>
      <c r="D575" s="74">
        <v>847</v>
      </c>
      <c r="E575" s="74">
        <v>8470530</v>
      </c>
      <c r="F575" s="74" t="s">
        <v>2412</v>
      </c>
      <c r="G575" s="74">
        <v>1</v>
      </c>
      <c r="H575" s="74">
        <v>432120</v>
      </c>
      <c r="I575" s="74" t="s">
        <v>1480</v>
      </c>
      <c r="J575" s="74" t="s">
        <v>60</v>
      </c>
      <c r="K575" s="74" t="s">
        <v>2429</v>
      </c>
      <c r="L575" s="74">
        <v>847030</v>
      </c>
      <c r="M575" s="74" t="s">
        <v>61</v>
      </c>
      <c r="N575" s="74">
        <v>200179</v>
      </c>
      <c r="O575" s="37" t="str">
        <f t="shared" si="26"/>
        <v>847.8470530.1.432120.000000.847030.200179</v>
      </c>
      <c r="P575" s="75" t="s">
        <v>2453</v>
      </c>
      <c r="Q575" s="74" t="s">
        <v>515</v>
      </c>
      <c r="R575" s="74">
        <v>1</v>
      </c>
      <c r="S575" s="74">
        <v>600000</v>
      </c>
      <c r="T575" s="74" t="s">
        <v>2643</v>
      </c>
      <c r="U575" s="76">
        <v>600000</v>
      </c>
      <c r="V575" s="74" t="s">
        <v>55</v>
      </c>
      <c r="W575" s="75" t="s">
        <v>56</v>
      </c>
      <c r="X575" s="77" t="s">
        <v>816</v>
      </c>
      <c r="Y575" s="70"/>
    </row>
    <row r="576" spans="1:25" s="39" customFormat="1" ht="14" customHeight="1" x14ac:dyDescent="0.35">
      <c r="A576" s="74" t="s">
        <v>161</v>
      </c>
      <c r="B576" s="74" t="s">
        <v>58</v>
      </c>
      <c r="C576" s="58" t="s">
        <v>47</v>
      </c>
      <c r="D576" s="74">
        <v>847</v>
      </c>
      <c r="E576" s="74">
        <v>8470530</v>
      </c>
      <c r="F576" s="74" t="s">
        <v>2412</v>
      </c>
      <c r="G576" s="74">
        <v>1</v>
      </c>
      <c r="H576" s="74">
        <v>432120</v>
      </c>
      <c r="I576" s="74" t="s">
        <v>1480</v>
      </c>
      <c r="J576" s="74" t="s">
        <v>60</v>
      </c>
      <c r="K576" s="74" t="s">
        <v>2429</v>
      </c>
      <c r="L576" s="74">
        <v>847030</v>
      </c>
      <c r="M576" s="74" t="s">
        <v>61</v>
      </c>
      <c r="N576" s="74">
        <v>200179</v>
      </c>
      <c r="O576" s="37" t="str">
        <f t="shared" si="26"/>
        <v>847.8470530.1.432120.000000.847030.200179</v>
      </c>
      <c r="P576" s="75" t="s">
        <v>2453</v>
      </c>
      <c r="Q576" s="74" t="s">
        <v>515</v>
      </c>
      <c r="R576" s="74">
        <v>1</v>
      </c>
      <c r="S576" s="74">
        <v>315252</v>
      </c>
      <c r="T576" s="74" t="s">
        <v>2644</v>
      </c>
      <c r="U576" s="76">
        <v>315252</v>
      </c>
      <c r="V576" s="74" t="s">
        <v>55</v>
      </c>
      <c r="W576" s="75" t="s">
        <v>56</v>
      </c>
      <c r="X576" s="77" t="s">
        <v>816</v>
      </c>
      <c r="Y576" s="70"/>
    </row>
    <row r="577" spans="1:25" s="39" customFormat="1" ht="14" customHeight="1" x14ac:dyDescent="0.35">
      <c r="A577" s="74" t="s">
        <v>161</v>
      </c>
      <c r="B577" s="74" t="s">
        <v>58</v>
      </c>
      <c r="C577" s="58" t="s">
        <v>47</v>
      </c>
      <c r="D577" s="74">
        <v>847</v>
      </c>
      <c r="E577" s="74">
        <v>8470530</v>
      </c>
      <c r="F577" s="74" t="s">
        <v>2412</v>
      </c>
      <c r="G577" s="74">
        <v>1</v>
      </c>
      <c r="H577" s="74">
        <v>432120</v>
      </c>
      <c r="I577" s="74" t="s">
        <v>1480</v>
      </c>
      <c r="J577" s="74" t="s">
        <v>60</v>
      </c>
      <c r="K577" s="74" t="s">
        <v>2429</v>
      </c>
      <c r="L577" s="74">
        <v>847030</v>
      </c>
      <c r="M577" s="74" t="s">
        <v>61</v>
      </c>
      <c r="N577" s="74">
        <v>200179</v>
      </c>
      <c r="O577" s="37" t="str">
        <f t="shared" si="26"/>
        <v>847.8470530.1.432120.000000.847030.200179</v>
      </c>
      <c r="P577" s="75" t="s">
        <v>2453</v>
      </c>
      <c r="Q577" s="74" t="s">
        <v>515</v>
      </c>
      <c r="R577" s="74">
        <v>1</v>
      </c>
      <c r="S577" s="74">
        <v>100000</v>
      </c>
      <c r="T577" s="74" t="s">
        <v>2645</v>
      </c>
      <c r="U577" s="76">
        <v>100000</v>
      </c>
      <c r="V577" s="74" t="s">
        <v>55</v>
      </c>
      <c r="W577" s="75" t="s">
        <v>56</v>
      </c>
      <c r="X577" s="77" t="s">
        <v>816</v>
      </c>
      <c r="Y577" s="70"/>
    </row>
    <row r="578" spans="1:25" s="39" customFormat="1" ht="14" customHeight="1" x14ac:dyDescent="0.35">
      <c r="A578" s="74" t="s">
        <v>161</v>
      </c>
      <c r="B578" s="74" t="s">
        <v>58</v>
      </c>
      <c r="C578" s="58" t="s">
        <v>47</v>
      </c>
      <c r="D578" s="74">
        <v>847</v>
      </c>
      <c r="E578" s="74">
        <v>8470530</v>
      </c>
      <c r="F578" s="74" t="s">
        <v>2412</v>
      </c>
      <c r="G578" s="74">
        <v>1</v>
      </c>
      <c r="H578" s="74">
        <v>432120</v>
      </c>
      <c r="I578" s="74" t="s">
        <v>1480</v>
      </c>
      <c r="J578" s="74" t="s">
        <v>60</v>
      </c>
      <c r="K578" s="74" t="s">
        <v>2429</v>
      </c>
      <c r="L578" s="74">
        <v>847030</v>
      </c>
      <c r="M578" s="74" t="s">
        <v>61</v>
      </c>
      <c r="N578" s="74">
        <v>200179</v>
      </c>
      <c r="O578" s="37" t="str">
        <f t="shared" si="26"/>
        <v>847.8470530.1.432120.000000.847030.200179</v>
      </c>
      <c r="P578" s="75" t="s">
        <v>2453</v>
      </c>
      <c r="Q578" s="74" t="s">
        <v>515</v>
      </c>
      <c r="R578" s="74">
        <v>1</v>
      </c>
      <c r="S578" s="74">
        <v>240000</v>
      </c>
      <c r="T578" s="74" t="s">
        <v>2464</v>
      </c>
      <c r="U578" s="76">
        <v>240000</v>
      </c>
      <c r="V578" s="74" t="s">
        <v>55</v>
      </c>
      <c r="W578" s="75" t="s">
        <v>56</v>
      </c>
      <c r="X578" s="77" t="s">
        <v>816</v>
      </c>
      <c r="Y578" s="70"/>
    </row>
    <row r="579" spans="1:25" s="39" customFormat="1" ht="14" customHeight="1" x14ac:dyDescent="0.35">
      <c r="A579" s="74" t="s">
        <v>161</v>
      </c>
      <c r="B579" s="74" t="s">
        <v>58</v>
      </c>
      <c r="C579" s="58" t="s">
        <v>47</v>
      </c>
      <c r="D579" s="74">
        <v>847</v>
      </c>
      <c r="E579" s="74">
        <v>8470530</v>
      </c>
      <c r="F579" s="74" t="s">
        <v>2412</v>
      </c>
      <c r="G579" s="74">
        <v>1</v>
      </c>
      <c r="H579" s="74">
        <v>432120</v>
      </c>
      <c r="I579" s="74" t="s">
        <v>1480</v>
      </c>
      <c r="J579" s="74" t="s">
        <v>60</v>
      </c>
      <c r="K579" s="74" t="s">
        <v>2429</v>
      </c>
      <c r="L579" s="74">
        <v>847030</v>
      </c>
      <c r="M579" s="74" t="s">
        <v>61</v>
      </c>
      <c r="N579" s="74">
        <v>200179</v>
      </c>
      <c r="O579" s="37" t="str">
        <f t="shared" ref="O579:O642" si="27">CONCATENATE(D579,".",E579,".",G579,".",H579,".",J579,".",L579,".",N579)</f>
        <v>847.8470530.1.432120.000000.847030.200179</v>
      </c>
      <c r="P579" s="75" t="s">
        <v>2453</v>
      </c>
      <c r="Q579" s="74" t="s">
        <v>515</v>
      </c>
      <c r="R579" s="74">
        <v>1</v>
      </c>
      <c r="S579" s="74">
        <v>480000</v>
      </c>
      <c r="T579" s="74" t="s">
        <v>2465</v>
      </c>
      <c r="U579" s="76">
        <v>480000</v>
      </c>
      <c r="V579" s="74" t="s">
        <v>55</v>
      </c>
      <c r="W579" s="75" t="s">
        <v>56</v>
      </c>
      <c r="X579" s="77" t="s">
        <v>816</v>
      </c>
      <c r="Y579" s="70"/>
    </row>
    <row r="580" spans="1:25" s="39" customFormat="1" ht="14" customHeight="1" x14ac:dyDescent="0.35">
      <c r="A580" s="74" t="s">
        <v>1535</v>
      </c>
      <c r="B580" s="74" t="s">
        <v>58</v>
      </c>
      <c r="C580" s="74" t="s">
        <v>47</v>
      </c>
      <c r="D580" s="74">
        <v>847</v>
      </c>
      <c r="E580" s="74">
        <v>8470530</v>
      </c>
      <c r="F580" s="74" t="s">
        <v>2412</v>
      </c>
      <c r="G580" s="74">
        <v>1</v>
      </c>
      <c r="H580" s="74">
        <v>432170</v>
      </c>
      <c r="I580" s="74" t="s">
        <v>1536</v>
      </c>
      <c r="J580" s="74" t="s">
        <v>60</v>
      </c>
      <c r="K580" s="74" t="s">
        <v>2413</v>
      </c>
      <c r="L580" s="74">
        <v>847010</v>
      </c>
      <c r="M580" s="74" t="s">
        <v>61</v>
      </c>
      <c r="N580" s="74">
        <v>200179</v>
      </c>
      <c r="O580" s="37" t="str">
        <f t="shared" si="27"/>
        <v>847.8470530.1.432170.000000.847010.200179</v>
      </c>
      <c r="P580" s="75" t="s">
        <v>1537</v>
      </c>
      <c r="Q580" s="74" t="s">
        <v>157</v>
      </c>
      <c r="R580" s="74">
        <v>1</v>
      </c>
      <c r="S580" s="74">
        <v>30000</v>
      </c>
      <c r="T580" s="74" t="s">
        <v>2466</v>
      </c>
      <c r="U580" s="76">
        <v>30000</v>
      </c>
      <c r="V580" s="74" t="s">
        <v>55</v>
      </c>
      <c r="W580" s="75" t="s">
        <v>56</v>
      </c>
      <c r="X580" s="77" t="s">
        <v>816</v>
      </c>
      <c r="Y580" s="70"/>
    </row>
    <row r="581" spans="1:25" s="39" customFormat="1" ht="14" customHeight="1" x14ac:dyDescent="0.35">
      <c r="A581" s="74" t="s">
        <v>161</v>
      </c>
      <c r="B581" s="74" t="s">
        <v>58</v>
      </c>
      <c r="C581" s="74" t="s">
        <v>47</v>
      </c>
      <c r="D581" s="74">
        <v>847</v>
      </c>
      <c r="E581" s="74">
        <v>8470530</v>
      </c>
      <c r="F581" s="74" t="s">
        <v>2412</v>
      </c>
      <c r="G581" s="74">
        <v>1</v>
      </c>
      <c r="H581" s="74">
        <v>432320</v>
      </c>
      <c r="I581" s="74" t="s">
        <v>2467</v>
      </c>
      <c r="J581" s="74" t="s">
        <v>60</v>
      </c>
      <c r="K581" s="74" t="s">
        <v>2413</v>
      </c>
      <c r="L581" s="74">
        <v>847010</v>
      </c>
      <c r="M581" s="74" t="s">
        <v>61</v>
      </c>
      <c r="N581" s="74">
        <v>200179</v>
      </c>
      <c r="O581" s="37" t="str">
        <f t="shared" si="27"/>
        <v>847.8470530.1.432320.000000.847010.200179</v>
      </c>
      <c r="P581" s="75" t="s">
        <v>2468</v>
      </c>
      <c r="Q581" s="74" t="s">
        <v>157</v>
      </c>
      <c r="R581" s="74">
        <v>1</v>
      </c>
      <c r="S581" s="74">
        <v>25000</v>
      </c>
      <c r="T581" s="74" t="s">
        <v>2469</v>
      </c>
      <c r="U581" s="76">
        <v>25000</v>
      </c>
      <c r="V581" s="74" t="s">
        <v>55</v>
      </c>
      <c r="W581" s="75" t="s">
        <v>56</v>
      </c>
      <c r="X581" s="77" t="s">
        <v>816</v>
      </c>
      <c r="Y581" s="70"/>
    </row>
    <row r="582" spans="1:25" s="39" customFormat="1" ht="14" customHeight="1" x14ac:dyDescent="0.35">
      <c r="A582" s="74" t="s">
        <v>161</v>
      </c>
      <c r="B582" s="74" t="s">
        <v>2474</v>
      </c>
      <c r="C582" s="74" t="s">
        <v>47</v>
      </c>
      <c r="D582" s="74">
        <v>847</v>
      </c>
      <c r="E582" s="74">
        <v>8470530</v>
      </c>
      <c r="F582" s="74" t="s">
        <v>2412</v>
      </c>
      <c r="G582" s="74">
        <v>1</v>
      </c>
      <c r="H582" s="74">
        <v>492200</v>
      </c>
      <c r="I582" s="74" t="s">
        <v>2475</v>
      </c>
      <c r="J582" s="74" t="s">
        <v>60</v>
      </c>
      <c r="K582" s="74" t="s">
        <v>50</v>
      </c>
      <c r="L582" s="74">
        <v>847001</v>
      </c>
      <c r="M582" s="74" t="s">
        <v>192</v>
      </c>
      <c r="N582" s="74">
        <v>300180</v>
      </c>
      <c r="O582" s="37" t="str">
        <f t="shared" si="27"/>
        <v>847.8470530.1.492200.000000.847001.300180</v>
      </c>
      <c r="P582" s="75"/>
      <c r="Q582" s="74" t="s">
        <v>62</v>
      </c>
      <c r="R582" s="74"/>
      <c r="S582" s="74"/>
      <c r="T582" s="74"/>
      <c r="U582" s="76">
        <v>0</v>
      </c>
      <c r="V582" s="74"/>
      <c r="W582" s="75"/>
      <c r="X582" s="77"/>
      <c r="Y582" s="70"/>
    </row>
    <row r="583" spans="1:25" s="39" customFormat="1" ht="14" customHeight="1" x14ac:dyDescent="0.35">
      <c r="A583" s="74" t="s">
        <v>161</v>
      </c>
      <c r="B583" s="74" t="s">
        <v>2474</v>
      </c>
      <c r="C583" s="74" t="s">
        <v>47</v>
      </c>
      <c r="D583" s="74">
        <v>847</v>
      </c>
      <c r="E583" s="74">
        <v>8470530</v>
      </c>
      <c r="F583" s="74" t="s">
        <v>2412</v>
      </c>
      <c r="G583" s="74">
        <v>1</v>
      </c>
      <c r="H583" s="74">
        <v>492200</v>
      </c>
      <c r="I583" s="74" t="s">
        <v>2475</v>
      </c>
      <c r="J583" s="74" t="s">
        <v>60</v>
      </c>
      <c r="K583" s="74" t="s">
        <v>2413</v>
      </c>
      <c r="L583" s="74">
        <v>847010</v>
      </c>
      <c r="M583" s="74" t="s">
        <v>192</v>
      </c>
      <c r="N583" s="74">
        <v>300180</v>
      </c>
      <c r="O583" s="37" t="str">
        <f t="shared" si="27"/>
        <v>847.8470530.1.492200.000000.847010.300180</v>
      </c>
      <c r="P583" s="75" t="s">
        <v>2477</v>
      </c>
      <c r="Q583" s="74" t="s">
        <v>515</v>
      </c>
      <c r="R583" s="74">
        <v>1</v>
      </c>
      <c r="S583" s="74">
        <v>3220000</v>
      </c>
      <c r="T583" s="74" t="s">
        <v>2650</v>
      </c>
      <c r="U583" s="76">
        <v>3220000</v>
      </c>
      <c r="V583" s="74" t="s">
        <v>55</v>
      </c>
      <c r="W583" s="75" t="s">
        <v>56</v>
      </c>
      <c r="X583" s="77" t="s">
        <v>816</v>
      </c>
      <c r="Y583" s="70"/>
    </row>
    <row r="584" spans="1:25" s="39" customFormat="1" ht="14" customHeight="1" x14ac:dyDescent="0.35">
      <c r="A584" s="74" t="s">
        <v>161</v>
      </c>
      <c r="B584" s="74" t="s">
        <v>2474</v>
      </c>
      <c r="C584" s="74" t="s">
        <v>47</v>
      </c>
      <c r="D584" s="74">
        <v>847</v>
      </c>
      <c r="E584" s="74">
        <v>8470530</v>
      </c>
      <c r="F584" s="74" t="s">
        <v>2412</v>
      </c>
      <c r="G584" s="74">
        <v>1</v>
      </c>
      <c r="H584" s="74">
        <v>492200</v>
      </c>
      <c r="I584" s="74" t="s">
        <v>2475</v>
      </c>
      <c r="J584" s="74" t="s">
        <v>60</v>
      </c>
      <c r="K584" s="74" t="s">
        <v>2413</v>
      </c>
      <c r="L584" s="74">
        <v>847010</v>
      </c>
      <c r="M584" s="74" t="s">
        <v>192</v>
      </c>
      <c r="N584" s="74">
        <v>300180</v>
      </c>
      <c r="O584" s="37" t="str">
        <f t="shared" si="27"/>
        <v>847.8470530.1.492200.000000.847010.300180</v>
      </c>
      <c r="P584" s="75" t="s">
        <v>2477</v>
      </c>
      <c r="Q584" s="74" t="s">
        <v>515</v>
      </c>
      <c r="R584" s="74">
        <v>1</v>
      </c>
      <c r="S584" s="74">
        <v>40000</v>
      </c>
      <c r="T584" s="74" t="s">
        <v>2651</v>
      </c>
      <c r="U584" s="76">
        <v>40000</v>
      </c>
      <c r="V584" s="74" t="s">
        <v>55</v>
      </c>
      <c r="W584" s="75" t="s">
        <v>56</v>
      </c>
      <c r="X584" s="77" t="s">
        <v>816</v>
      </c>
      <c r="Y584" s="70"/>
    </row>
    <row r="585" spans="1:25" s="39" customFormat="1" ht="14" customHeight="1" x14ac:dyDescent="0.35">
      <c r="A585" s="74" t="s">
        <v>161</v>
      </c>
      <c r="B585" s="74" t="s">
        <v>2474</v>
      </c>
      <c r="C585" s="74" t="s">
        <v>47</v>
      </c>
      <c r="D585" s="74">
        <v>847</v>
      </c>
      <c r="E585" s="74">
        <v>8470530</v>
      </c>
      <c r="F585" s="74" t="s">
        <v>2412</v>
      </c>
      <c r="G585" s="74">
        <v>1</v>
      </c>
      <c r="H585" s="74">
        <v>492200</v>
      </c>
      <c r="I585" s="74" t="s">
        <v>2475</v>
      </c>
      <c r="J585" s="74" t="s">
        <v>60</v>
      </c>
      <c r="K585" s="74" t="s">
        <v>2413</v>
      </c>
      <c r="L585" s="74">
        <v>847010</v>
      </c>
      <c r="M585" s="74" t="s">
        <v>192</v>
      </c>
      <c r="N585" s="74">
        <v>300180</v>
      </c>
      <c r="O585" s="37" t="str">
        <f t="shared" si="27"/>
        <v>847.8470530.1.492200.000000.847010.300180</v>
      </c>
      <c r="P585" s="75" t="s">
        <v>2477</v>
      </c>
      <c r="Q585" s="74" t="s">
        <v>515</v>
      </c>
      <c r="R585" s="74">
        <v>1</v>
      </c>
      <c r="S585" s="74">
        <v>120000</v>
      </c>
      <c r="T585" s="74" t="s">
        <v>2652</v>
      </c>
      <c r="U585" s="76">
        <v>120000</v>
      </c>
      <c r="V585" s="74" t="s">
        <v>55</v>
      </c>
      <c r="W585" s="75" t="s">
        <v>56</v>
      </c>
      <c r="X585" s="77" t="s">
        <v>816</v>
      </c>
      <c r="Y585" s="70"/>
    </row>
    <row r="586" spans="1:25" s="39" customFormat="1" ht="14" customHeight="1" x14ac:dyDescent="0.35">
      <c r="A586" s="74" t="s">
        <v>161</v>
      </c>
      <c r="B586" s="74" t="s">
        <v>2474</v>
      </c>
      <c r="C586" s="74" t="s">
        <v>47</v>
      </c>
      <c r="D586" s="74">
        <v>847</v>
      </c>
      <c r="E586" s="74">
        <v>8470530</v>
      </c>
      <c r="F586" s="74" t="s">
        <v>2412</v>
      </c>
      <c r="G586" s="74">
        <v>1</v>
      </c>
      <c r="H586" s="74">
        <v>492200</v>
      </c>
      <c r="I586" s="74" t="s">
        <v>2475</v>
      </c>
      <c r="J586" s="74" t="s">
        <v>60</v>
      </c>
      <c r="K586" s="74" t="s">
        <v>2413</v>
      </c>
      <c r="L586" s="74">
        <v>847010</v>
      </c>
      <c r="M586" s="74" t="s">
        <v>192</v>
      </c>
      <c r="N586" s="74">
        <v>300180</v>
      </c>
      <c r="O586" s="37" t="str">
        <f t="shared" si="27"/>
        <v>847.8470530.1.492200.000000.847010.300180</v>
      </c>
      <c r="P586" s="75" t="s">
        <v>2477</v>
      </c>
      <c r="Q586" s="74" t="s">
        <v>515</v>
      </c>
      <c r="R586" s="74">
        <v>1</v>
      </c>
      <c r="S586" s="74">
        <v>114999.99999999999</v>
      </c>
      <c r="T586" s="74" t="s">
        <v>2653</v>
      </c>
      <c r="U586" s="76">
        <v>114999.99999999999</v>
      </c>
      <c r="V586" s="74" t="s">
        <v>55</v>
      </c>
      <c r="W586" s="75" t="s">
        <v>56</v>
      </c>
      <c r="X586" s="77" t="s">
        <v>816</v>
      </c>
      <c r="Y586" s="70"/>
    </row>
    <row r="587" spans="1:25" s="39" customFormat="1" ht="14" customHeight="1" x14ac:dyDescent="0.35">
      <c r="A587" s="74" t="s">
        <v>161</v>
      </c>
      <c r="B587" s="74" t="s">
        <v>2474</v>
      </c>
      <c r="C587" s="74" t="s">
        <v>47</v>
      </c>
      <c r="D587" s="74">
        <v>847</v>
      </c>
      <c r="E587" s="74">
        <v>8470530</v>
      </c>
      <c r="F587" s="74" t="s">
        <v>2412</v>
      </c>
      <c r="G587" s="74">
        <v>1</v>
      </c>
      <c r="H587" s="74">
        <v>492200</v>
      </c>
      <c r="I587" s="74" t="s">
        <v>2475</v>
      </c>
      <c r="J587" s="74" t="s">
        <v>60</v>
      </c>
      <c r="K587" s="74" t="s">
        <v>2413</v>
      </c>
      <c r="L587" s="74">
        <v>847010</v>
      </c>
      <c r="M587" s="74" t="s">
        <v>192</v>
      </c>
      <c r="N587" s="74">
        <v>300180</v>
      </c>
      <c r="O587" s="37" t="str">
        <f t="shared" si="27"/>
        <v>847.8470530.1.492200.000000.847010.300180</v>
      </c>
      <c r="P587" s="75" t="s">
        <v>2477</v>
      </c>
      <c r="Q587" s="74" t="s">
        <v>515</v>
      </c>
      <c r="R587" s="74">
        <v>1</v>
      </c>
      <c r="S587" s="74">
        <v>114999.99999999999</v>
      </c>
      <c r="T587" s="74" t="s">
        <v>2490</v>
      </c>
      <c r="U587" s="76">
        <v>114999.99999999999</v>
      </c>
      <c r="V587" s="74" t="s">
        <v>55</v>
      </c>
      <c r="W587" s="75" t="s">
        <v>56</v>
      </c>
      <c r="X587" s="77" t="s">
        <v>816</v>
      </c>
      <c r="Y587" s="70"/>
    </row>
    <row r="588" spans="1:25" s="39" customFormat="1" ht="14" customHeight="1" x14ac:dyDescent="0.35">
      <c r="A588" s="74" t="s">
        <v>161</v>
      </c>
      <c r="B588" s="74" t="s">
        <v>2474</v>
      </c>
      <c r="C588" s="74" t="s">
        <v>47</v>
      </c>
      <c r="D588" s="74">
        <v>847</v>
      </c>
      <c r="E588" s="74">
        <v>8470530</v>
      </c>
      <c r="F588" s="74" t="s">
        <v>2412</v>
      </c>
      <c r="G588" s="74">
        <v>1</v>
      </c>
      <c r="H588" s="74">
        <v>492200</v>
      </c>
      <c r="I588" s="74" t="s">
        <v>2475</v>
      </c>
      <c r="J588" s="74" t="s">
        <v>60</v>
      </c>
      <c r="K588" s="74" t="s">
        <v>2413</v>
      </c>
      <c r="L588" s="74">
        <v>847010</v>
      </c>
      <c r="M588" s="74" t="s">
        <v>192</v>
      </c>
      <c r="N588" s="74">
        <v>300180</v>
      </c>
      <c r="O588" s="37" t="str">
        <f t="shared" si="27"/>
        <v>847.8470530.1.492200.000000.847010.300180</v>
      </c>
      <c r="P588" s="75" t="s">
        <v>2477</v>
      </c>
      <c r="Q588" s="74" t="s">
        <v>515</v>
      </c>
      <c r="R588" s="74">
        <v>1</v>
      </c>
      <c r="S588" s="74">
        <v>90000</v>
      </c>
      <c r="T588" s="74" t="s">
        <v>2654</v>
      </c>
      <c r="U588" s="76">
        <v>90000</v>
      </c>
      <c r="V588" s="74" t="s">
        <v>210</v>
      </c>
      <c r="W588" s="75" t="s">
        <v>197</v>
      </c>
      <c r="X588" s="77" t="s">
        <v>816</v>
      </c>
      <c r="Y588" s="70"/>
    </row>
    <row r="589" spans="1:25" s="39" customFormat="1" ht="14" customHeight="1" x14ac:dyDescent="0.35">
      <c r="A589" s="74" t="s">
        <v>161</v>
      </c>
      <c r="B589" s="74" t="s">
        <v>2474</v>
      </c>
      <c r="C589" s="74" t="s">
        <v>47</v>
      </c>
      <c r="D589" s="74">
        <v>847</v>
      </c>
      <c r="E589" s="74">
        <v>8470530</v>
      </c>
      <c r="F589" s="74" t="s">
        <v>2412</v>
      </c>
      <c r="G589" s="74">
        <v>1</v>
      </c>
      <c r="H589" s="74">
        <v>492200</v>
      </c>
      <c r="I589" s="74" t="s">
        <v>2475</v>
      </c>
      <c r="J589" s="74" t="s">
        <v>60</v>
      </c>
      <c r="K589" s="74" t="s">
        <v>2413</v>
      </c>
      <c r="L589" s="74">
        <v>847010</v>
      </c>
      <c r="M589" s="74" t="s">
        <v>192</v>
      </c>
      <c r="N589" s="74">
        <v>300180</v>
      </c>
      <c r="O589" s="37" t="str">
        <f t="shared" si="27"/>
        <v>847.8470530.1.492200.000000.847010.300180</v>
      </c>
      <c r="P589" s="75" t="s">
        <v>2477</v>
      </c>
      <c r="Q589" s="74" t="s">
        <v>515</v>
      </c>
      <c r="R589" s="74">
        <v>1</v>
      </c>
      <c r="S589" s="74">
        <v>900000</v>
      </c>
      <c r="T589" s="74" t="s">
        <v>2655</v>
      </c>
      <c r="U589" s="76">
        <v>900000</v>
      </c>
      <c r="V589" s="74" t="s">
        <v>210</v>
      </c>
      <c r="W589" s="75" t="s">
        <v>197</v>
      </c>
      <c r="X589" s="77" t="s">
        <v>816</v>
      </c>
      <c r="Y589" s="70"/>
    </row>
    <row r="590" spans="1:25" s="39" customFormat="1" ht="14" customHeight="1" x14ac:dyDescent="0.35">
      <c r="A590" s="74" t="s">
        <v>161</v>
      </c>
      <c r="B590" s="74" t="s">
        <v>2474</v>
      </c>
      <c r="C590" s="74" t="s">
        <v>47</v>
      </c>
      <c r="D590" s="74">
        <v>847</v>
      </c>
      <c r="E590" s="74">
        <v>8470530</v>
      </c>
      <c r="F590" s="74" t="s">
        <v>2412</v>
      </c>
      <c r="G590" s="74">
        <v>1</v>
      </c>
      <c r="H590" s="74">
        <v>492200</v>
      </c>
      <c r="I590" s="74" t="s">
        <v>2475</v>
      </c>
      <c r="J590" s="74" t="s">
        <v>60</v>
      </c>
      <c r="K590" s="74" t="s">
        <v>2413</v>
      </c>
      <c r="L590" s="74">
        <v>847010</v>
      </c>
      <c r="M590" s="74" t="s">
        <v>192</v>
      </c>
      <c r="N590" s="74">
        <v>300180</v>
      </c>
      <c r="O590" s="37" t="str">
        <f t="shared" si="27"/>
        <v>847.8470530.1.492200.000000.847010.300180</v>
      </c>
      <c r="P590" s="75" t="s">
        <v>2477</v>
      </c>
      <c r="Q590" s="74" t="s">
        <v>515</v>
      </c>
      <c r="R590" s="74">
        <v>1</v>
      </c>
      <c r="S590" s="74">
        <v>400000</v>
      </c>
      <c r="T590" s="74" t="s">
        <v>2637</v>
      </c>
      <c r="U590" s="76">
        <v>400000</v>
      </c>
      <c r="V590" s="74" t="s">
        <v>210</v>
      </c>
      <c r="W590" s="75" t="s">
        <v>197</v>
      </c>
      <c r="X590" s="77" t="s">
        <v>816</v>
      </c>
      <c r="Y590" s="70"/>
    </row>
    <row r="591" spans="1:25" s="39" customFormat="1" ht="14" customHeight="1" x14ac:dyDescent="0.35">
      <c r="A591" s="74" t="s">
        <v>161</v>
      </c>
      <c r="B591" s="74" t="s">
        <v>2474</v>
      </c>
      <c r="C591" s="74" t="s">
        <v>47</v>
      </c>
      <c r="D591" s="74">
        <v>847</v>
      </c>
      <c r="E591" s="74">
        <v>8470530</v>
      </c>
      <c r="F591" s="74" t="s">
        <v>2412</v>
      </c>
      <c r="G591" s="74">
        <v>1</v>
      </c>
      <c r="H591" s="74">
        <v>492200</v>
      </c>
      <c r="I591" s="74" t="s">
        <v>2475</v>
      </c>
      <c r="J591" s="74" t="s">
        <v>60</v>
      </c>
      <c r="K591" s="74" t="s">
        <v>2413</v>
      </c>
      <c r="L591" s="74">
        <v>847010</v>
      </c>
      <c r="M591" s="74" t="s">
        <v>192</v>
      </c>
      <c r="N591" s="74">
        <v>300180</v>
      </c>
      <c r="O591" s="37" t="str">
        <f t="shared" si="27"/>
        <v>847.8470530.1.492200.000000.847010.300180</v>
      </c>
      <c r="P591" s="75" t="s">
        <v>2477</v>
      </c>
      <c r="Q591" s="74" t="s">
        <v>515</v>
      </c>
      <c r="R591" s="74">
        <v>1</v>
      </c>
      <c r="S591" s="74"/>
      <c r="T591" s="74"/>
      <c r="U591" s="76">
        <v>0</v>
      </c>
      <c r="V591" s="74" t="s">
        <v>210</v>
      </c>
      <c r="W591" s="75" t="s">
        <v>197</v>
      </c>
      <c r="X591" s="77" t="s">
        <v>816</v>
      </c>
      <c r="Y591" s="70"/>
    </row>
    <row r="592" spans="1:25" s="39" customFormat="1" ht="14" customHeight="1" x14ac:dyDescent="0.35">
      <c r="A592" s="74" t="s">
        <v>161</v>
      </c>
      <c r="B592" s="74" t="s">
        <v>2474</v>
      </c>
      <c r="C592" s="74" t="s">
        <v>47</v>
      </c>
      <c r="D592" s="74">
        <v>847</v>
      </c>
      <c r="E592" s="74">
        <v>8470530</v>
      </c>
      <c r="F592" s="74" t="s">
        <v>2412</v>
      </c>
      <c r="G592" s="74">
        <v>1</v>
      </c>
      <c r="H592" s="74">
        <v>492200</v>
      </c>
      <c r="I592" s="74" t="s">
        <v>2475</v>
      </c>
      <c r="J592" s="74" t="s">
        <v>60</v>
      </c>
      <c r="K592" s="74" t="s">
        <v>2417</v>
      </c>
      <c r="L592" s="74">
        <v>847015</v>
      </c>
      <c r="M592" s="74" t="s">
        <v>192</v>
      </c>
      <c r="N592" s="74">
        <v>300180</v>
      </c>
      <c r="O592" s="37" t="str">
        <f t="shared" si="27"/>
        <v>847.8470530.1.492200.000000.847015.300180</v>
      </c>
      <c r="P592" s="75"/>
      <c r="Q592" s="74" t="s">
        <v>62</v>
      </c>
      <c r="R592" s="74"/>
      <c r="S592" s="74"/>
      <c r="T592" s="74"/>
      <c r="U592" s="76">
        <v>0</v>
      </c>
      <c r="V592" s="74"/>
      <c r="W592" s="75"/>
      <c r="X592" s="77"/>
      <c r="Y592" s="70"/>
    </row>
    <row r="593" spans="1:25" s="39" customFormat="1" ht="14" customHeight="1" x14ac:dyDescent="0.35">
      <c r="A593" s="74" t="s">
        <v>161</v>
      </c>
      <c r="B593" s="74" t="s">
        <v>2474</v>
      </c>
      <c r="C593" s="74" t="s">
        <v>47</v>
      </c>
      <c r="D593" s="74">
        <v>847</v>
      </c>
      <c r="E593" s="74">
        <v>8470530</v>
      </c>
      <c r="F593" s="74" t="s">
        <v>2412</v>
      </c>
      <c r="G593" s="74">
        <v>1</v>
      </c>
      <c r="H593" s="74">
        <v>492200</v>
      </c>
      <c r="I593" s="74" t="s">
        <v>2475</v>
      </c>
      <c r="J593" s="74" t="s">
        <v>60</v>
      </c>
      <c r="K593" s="74" t="s">
        <v>2093</v>
      </c>
      <c r="L593" s="74">
        <v>847020</v>
      </c>
      <c r="M593" s="74" t="s">
        <v>192</v>
      </c>
      <c r="N593" s="74">
        <v>300180</v>
      </c>
      <c r="O593" s="37" t="str">
        <f t="shared" si="27"/>
        <v>847.8470530.1.492200.000000.847020.300180</v>
      </c>
      <c r="P593" s="75"/>
      <c r="Q593" s="74" t="s">
        <v>62</v>
      </c>
      <c r="R593" s="74">
        <v>1</v>
      </c>
      <c r="S593" s="74">
        <v>1100000</v>
      </c>
      <c r="T593" s="74" t="s">
        <v>2658</v>
      </c>
      <c r="U593" s="76">
        <v>1100000</v>
      </c>
      <c r="V593" s="74" t="s">
        <v>210</v>
      </c>
      <c r="W593" s="75" t="s">
        <v>197</v>
      </c>
      <c r="X593" s="77" t="s">
        <v>816</v>
      </c>
      <c r="Y593" s="70"/>
    </row>
    <row r="594" spans="1:25" s="39" customFormat="1" ht="14" customHeight="1" x14ac:dyDescent="0.35">
      <c r="A594" s="74" t="s">
        <v>161</v>
      </c>
      <c r="B594" s="74" t="s">
        <v>2474</v>
      </c>
      <c r="C594" s="74" t="s">
        <v>47</v>
      </c>
      <c r="D594" s="74">
        <v>847</v>
      </c>
      <c r="E594" s="74">
        <v>8470530</v>
      </c>
      <c r="F594" s="74" t="s">
        <v>2412</v>
      </c>
      <c r="G594" s="74">
        <v>1</v>
      </c>
      <c r="H594" s="74">
        <v>492200</v>
      </c>
      <c r="I594" s="74" t="s">
        <v>2475</v>
      </c>
      <c r="J594" s="74" t="s">
        <v>60</v>
      </c>
      <c r="K594" s="74" t="s">
        <v>2093</v>
      </c>
      <c r="L594" s="74">
        <v>847020</v>
      </c>
      <c r="M594" s="74" t="s">
        <v>192</v>
      </c>
      <c r="N594" s="74">
        <v>300180</v>
      </c>
      <c r="O594" s="37" t="str">
        <f t="shared" si="27"/>
        <v>847.8470530.1.492200.000000.847020.300180</v>
      </c>
      <c r="P594" s="75" t="s">
        <v>2477</v>
      </c>
      <c r="Q594" s="74" t="s">
        <v>515</v>
      </c>
      <c r="R594" s="74">
        <v>1</v>
      </c>
      <c r="S594" s="74">
        <v>65000</v>
      </c>
      <c r="T594" s="74" t="s">
        <v>2659</v>
      </c>
      <c r="U594" s="76">
        <v>65000</v>
      </c>
      <c r="V594" s="74" t="s">
        <v>210</v>
      </c>
      <c r="W594" s="75" t="s">
        <v>197</v>
      </c>
      <c r="X594" s="77" t="s">
        <v>816</v>
      </c>
      <c r="Y594" s="70"/>
    </row>
    <row r="595" spans="1:25" s="39" customFormat="1" ht="14" customHeight="1" x14ac:dyDescent="0.35">
      <c r="A595" s="74" t="s">
        <v>161</v>
      </c>
      <c r="B595" s="74" t="s">
        <v>2474</v>
      </c>
      <c r="C595" s="74" t="s">
        <v>47</v>
      </c>
      <c r="D595" s="74">
        <v>847</v>
      </c>
      <c r="E595" s="74">
        <v>8470530</v>
      </c>
      <c r="F595" s="74" t="s">
        <v>2412</v>
      </c>
      <c r="G595" s="74">
        <v>1</v>
      </c>
      <c r="H595" s="74">
        <v>492200</v>
      </c>
      <c r="I595" s="74" t="s">
        <v>2475</v>
      </c>
      <c r="J595" s="74" t="s">
        <v>60</v>
      </c>
      <c r="K595" s="74" t="s">
        <v>2093</v>
      </c>
      <c r="L595" s="74">
        <v>847020</v>
      </c>
      <c r="M595" s="74" t="s">
        <v>192</v>
      </c>
      <c r="N595" s="74">
        <v>300180</v>
      </c>
      <c r="O595" s="37" t="str">
        <f t="shared" si="27"/>
        <v>847.8470530.1.492200.000000.847020.300180</v>
      </c>
      <c r="P595" s="75" t="s">
        <v>2477</v>
      </c>
      <c r="Q595" s="74" t="s">
        <v>515</v>
      </c>
      <c r="R595" s="74">
        <v>1</v>
      </c>
      <c r="S595" s="74">
        <v>75000</v>
      </c>
      <c r="T595" s="74" t="s">
        <v>2660</v>
      </c>
      <c r="U595" s="76">
        <v>75000</v>
      </c>
      <c r="V595" s="74" t="s">
        <v>210</v>
      </c>
      <c r="W595" s="75" t="s">
        <v>197</v>
      </c>
      <c r="X595" s="77" t="s">
        <v>816</v>
      </c>
      <c r="Y595" s="70"/>
    </row>
    <row r="596" spans="1:25" s="39" customFormat="1" ht="14" customHeight="1" x14ac:dyDescent="0.35">
      <c r="A596" s="74" t="s">
        <v>161</v>
      </c>
      <c r="B596" s="74" t="s">
        <v>2474</v>
      </c>
      <c r="C596" s="74" t="s">
        <v>47</v>
      </c>
      <c r="D596" s="74">
        <v>847</v>
      </c>
      <c r="E596" s="74">
        <v>8470530</v>
      </c>
      <c r="F596" s="74" t="s">
        <v>46</v>
      </c>
      <c r="G596" s="74">
        <v>1</v>
      </c>
      <c r="H596" s="74">
        <v>492200</v>
      </c>
      <c r="I596" s="74" t="s">
        <v>2475</v>
      </c>
      <c r="J596" s="74" t="s">
        <v>60</v>
      </c>
      <c r="K596" s="74" t="s">
        <v>2093</v>
      </c>
      <c r="L596" s="74">
        <v>847020</v>
      </c>
      <c r="M596" s="74" t="s">
        <v>192</v>
      </c>
      <c r="N596" s="74">
        <v>300180</v>
      </c>
      <c r="O596" s="37" t="str">
        <f t="shared" si="27"/>
        <v>847.8470530.1.492200.000000.847020.300180</v>
      </c>
      <c r="P596" s="75" t="s">
        <v>2477</v>
      </c>
      <c r="Q596" s="74" t="s">
        <v>515</v>
      </c>
      <c r="R596" s="74">
        <v>1</v>
      </c>
      <c r="S596" s="74">
        <v>60000</v>
      </c>
      <c r="T596" s="74" t="s">
        <v>2661</v>
      </c>
      <c r="U596" s="76">
        <v>60000</v>
      </c>
      <c r="V596" s="74" t="s">
        <v>210</v>
      </c>
      <c r="W596" s="75" t="s">
        <v>197</v>
      </c>
      <c r="X596" s="77" t="s">
        <v>816</v>
      </c>
      <c r="Y596" s="70"/>
    </row>
    <row r="597" spans="1:25" s="39" customFormat="1" ht="14" customHeight="1" x14ac:dyDescent="0.35">
      <c r="A597" s="74" t="s">
        <v>161</v>
      </c>
      <c r="B597" s="74" t="s">
        <v>2474</v>
      </c>
      <c r="C597" s="74" t="s">
        <v>47</v>
      </c>
      <c r="D597" s="74">
        <v>847</v>
      </c>
      <c r="E597" s="74">
        <v>8470530</v>
      </c>
      <c r="F597" s="74" t="s">
        <v>2412</v>
      </c>
      <c r="G597" s="74">
        <v>1</v>
      </c>
      <c r="H597" s="74">
        <v>492200</v>
      </c>
      <c r="I597" s="74" t="s">
        <v>2475</v>
      </c>
      <c r="J597" s="74" t="s">
        <v>60</v>
      </c>
      <c r="K597" s="74" t="s">
        <v>2093</v>
      </c>
      <c r="L597" s="74">
        <v>847020</v>
      </c>
      <c r="M597" s="74" t="s">
        <v>192</v>
      </c>
      <c r="N597" s="74">
        <v>300180</v>
      </c>
      <c r="O597" s="37" t="str">
        <f t="shared" si="27"/>
        <v>847.8470530.1.492200.000000.847020.300180</v>
      </c>
      <c r="P597" s="75" t="s">
        <v>2477</v>
      </c>
      <c r="Q597" s="74" t="s">
        <v>515</v>
      </c>
      <c r="R597" s="74">
        <v>1</v>
      </c>
      <c r="S597" s="74">
        <v>1300000</v>
      </c>
      <c r="T597" s="74" t="s">
        <v>2662</v>
      </c>
      <c r="U597" s="76">
        <v>1300000</v>
      </c>
      <c r="V597" s="74" t="s">
        <v>210</v>
      </c>
      <c r="W597" s="75" t="s">
        <v>197</v>
      </c>
      <c r="X597" s="77" t="s">
        <v>816</v>
      </c>
      <c r="Y597" s="70"/>
    </row>
    <row r="598" spans="1:25" s="39" customFormat="1" ht="14" customHeight="1" x14ac:dyDescent="0.35">
      <c r="A598" s="74" t="s">
        <v>161</v>
      </c>
      <c r="B598" s="74" t="s">
        <v>2474</v>
      </c>
      <c r="C598" s="74" t="s">
        <v>47</v>
      </c>
      <c r="D598" s="74">
        <v>847</v>
      </c>
      <c r="E598" s="74">
        <v>8470530</v>
      </c>
      <c r="F598" s="74" t="s">
        <v>2412</v>
      </c>
      <c r="G598" s="74">
        <v>1</v>
      </c>
      <c r="H598" s="74">
        <v>492200</v>
      </c>
      <c r="I598" s="74" t="s">
        <v>2475</v>
      </c>
      <c r="J598" s="74" t="s">
        <v>60</v>
      </c>
      <c r="K598" s="74" t="s">
        <v>2093</v>
      </c>
      <c r="L598" s="74">
        <v>847020</v>
      </c>
      <c r="M598" s="74" t="s">
        <v>192</v>
      </c>
      <c r="N598" s="74">
        <v>300180</v>
      </c>
      <c r="O598" s="37" t="str">
        <f t="shared" si="27"/>
        <v>847.8470530.1.492200.000000.847020.300180</v>
      </c>
      <c r="P598" s="75" t="s">
        <v>2477</v>
      </c>
      <c r="Q598" s="74" t="s">
        <v>515</v>
      </c>
      <c r="R598" s="74">
        <v>1</v>
      </c>
      <c r="S598" s="74">
        <v>190000</v>
      </c>
      <c r="T598" s="74" t="s">
        <v>2663</v>
      </c>
      <c r="U598" s="76">
        <v>190000</v>
      </c>
      <c r="V598" s="74" t="s">
        <v>210</v>
      </c>
      <c r="W598" s="75" t="s">
        <v>197</v>
      </c>
      <c r="X598" s="77" t="s">
        <v>816</v>
      </c>
      <c r="Y598" s="70"/>
    </row>
    <row r="599" spans="1:25" s="39" customFormat="1" ht="14" customHeight="1" x14ac:dyDescent="0.35">
      <c r="A599" s="74" t="s">
        <v>161</v>
      </c>
      <c r="B599" s="74" t="s">
        <v>2474</v>
      </c>
      <c r="C599" s="74" t="s">
        <v>47</v>
      </c>
      <c r="D599" s="74">
        <v>847</v>
      </c>
      <c r="E599" s="74">
        <v>8470530</v>
      </c>
      <c r="F599" s="74" t="s">
        <v>2412</v>
      </c>
      <c r="G599" s="74">
        <v>1</v>
      </c>
      <c r="H599" s="74">
        <v>492200</v>
      </c>
      <c r="I599" s="74" t="s">
        <v>2475</v>
      </c>
      <c r="J599" s="74" t="s">
        <v>60</v>
      </c>
      <c r="K599" s="74" t="s">
        <v>2093</v>
      </c>
      <c r="L599" s="74">
        <v>847020</v>
      </c>
      <c r="M599" s="74" t="s">
        <v>192</v>
      </c>
      <c r="N599" s="74">
        <v>300180</v>
      </c>
      <c r="O599" s="37" t="str">
        <f t="shared" si="27"/>
        <v>847.8470530.1.492200.000000.847020.300180</v>
      </c>
      <c r="P599" s="75" t="s">
        <v>2477</v>
      </c>
      <c r="Q599" s="74" t="s">
        <v>515</v>
      </c>
      <c r="R599" s="74">
        <v>1</v>
      </c>
      <c r="S599" s="74">
        <v>600000</v>
      </c>
      <c r="T599" s="74" t="s">
        <v>2664</v>
      </c>
      <c r="U599" s="76">
        <v>600000</v>
      </c>
      <c r="V599" s="74" t="s">
        <v>210</v>
      </c>
      <c r="W599" s="75" t="s">
        <v>197</v>
      </c>
      <c r="X599" s="77" t="s">
        <v>816</v>
      </c>
      <c r="Y599" s="70"/>
    </row>
    <row r="600" spans="1:25" s="39" customFormat="1" ht="14" customHeight="1" x14ac:dyDescent="0.35">
      <c r="A600" s="74" t="s">
        <v>161</v>
      </c>
      <c r="B600" s="74" t="s">
        <v>2474</v>
      </c>
      <c r="C600" s="74" t="s">
        <v>47</v>
      </c>
      <c r="D600" s="74">
        <v>847</v>
      </c>
      <c r="E600" s="74">
        <v>8470530</v>
      </c>
      <c r="F600" s="74" t="s">
        <v>2412</v>
      </c>
      <c r="G600" s="74">
        <v>1</v>
      </c>
      <c r="H600" s="74">
        <v>492200</v>
      </c>
      <c r="I600" s="74" t="s">
        <v>2475</v>
      </c>
      <c r="J600" s="74" t="s">
        <v>60</v>
      </c>
      <c r="K600" s="74" t="s">
        <v>2093</v>
      </c>
      <c r="L600" s="74">
        <v>847020</v>
      </c>
      <c r="M600" s="74" t="s">
        <v>192</v>
      </c>
      <c r="N600" s="74">
        <v>300180</v>
      </c>
      <c r="O600" s="37" t="str">
        <f t="shared" si="27"/>
        <v>847.8470530.1.492200.000000.847020.300180</v>
      </c>
      <c r="P600" s="75" t="s">
        <v>2477</v>
      </c>
      <c r="Q600" s="74" t="s">
        <v>515</v>
      </c>
      <c r="R600" s="74">
        <v>1</v>
      </c>
      <c r="S600" s="74">
        <v>300000</v>
      </c>
      <c r="T600" s="74" t="s">
        <v>2665</v>
      </c>
      <c r="U600" s="76">
        <v>300000</v>
      </c>
      <c r="V600" s="74" t="s">
        <v>210</v>
      </c>
      <c r="W600" s="75" t="s">
        <v>197</v>
      </c>
      <c r="X600" s="77" t="s">
        <v>816</v>
      </c>
      <c r="Y600" s="70"/>
    </row>
    <row r="601" spans="1:25" s="39" customFormat="1" ht="14" customHeight="1" x14ac:dyDescent="0.35">
      <c r="A601" s="74" t="s">
        <v>161</v>
      </c>
      <c r="B601" s="74" t="s">
        <v>2474</v>
      </c>
      <c r="C601" s="74" t="s">
        <v>47</v>
      </c>
      <c r="D601" s="74">
        <v>847</v>
      </c>
      <c r="E601" s="74">
        <v>8470530</v>
      </c>
      <c r="F601" s="74" t="s">
        <v>2412</v>
      </c>
      <c r="G601" s="74">
        <v>1</v>
      </c>
      <c r="H601" s="74">
        <v>492200</v>
      </c>
      <c r="I601" s="74" t="s">
        <v>2475</v>
      </c>
      <c r="J601" s="74" t="s">
        <v>60</v>
      </c>
      <c r="K601" s="74" t="s">
        <v>2093</v>
      </c>
      <c r="L601" s="74">
        <v>847020</v>
      </c>
      <c r="M601" s="74" t="s">
        <v>192</v>
      </c>
      <c r="N601" s="74">
        <v>300180</v>
      </c>
      <c r="O601" s="37" t="str">
        <f t="shared" si="27"/>
        <v>847.8470530.1.492200.000000.847020.300180</v>
      </c>
      <c r="P601" s="75" t="s">
        <v>2477</v>
      </c>
      <c r="Q601" s="74" t="s">
        <v>515</v>
      </c>
      <c r="R601" s="74">
        <v>1</v>
      </c>
      <c r="S601" s="74">
        <v>2100000</v>
      </c>
      <c r="T601" s="74" t="s">
        <v>2666</v>
      </c>
      <c r="U601" s="76">
        <v>2100000</v>
      </c>
      <c r="V601" s="74" t="s">
        <v>210</v>
      </c>
      <c r="W601" s="75" t="s">
        <v>197</v>
      </c>
      <c r="X601" s="77" t="s">
        <v>816</v>
      </c>
      <c r="Y601" s="70"/>
    </row>
    <row r="602" spans="1:25" s="39" customFormat="1" ht="14" customHeight="1" x14ac:dyDescent="0.35">
      <c r="A602" s="74">
        <v>0</v>
      </c>
      <c r="B602" s="74" t="s">
        <v>58</v>
      </c>
      <c r="C602" s="74" t="s">
        <v>47</v>
      </c>
      <c r="D602" s="74">
        <v>847</v>
      </c>
      <c r="E602" s="74">
        <v>8470530</v>
      </c>
      <c r="F602" s="74" t="s">
        <v>2412</v>
      </c>
      <c r="G602" s="74">
        <v>1</v>
      </c>
      <c r="H602" s="74">
        <v>495110</v>
      </c>
      <c r="I602" s="74" t="s">
        <v>213</v>
      </c>
      <c r="J602" s="74" t="s">
        <v>60</v>
      </c>
      <c r="K602" s="74" t="s">
        <v>50</v>
      </c>
      <c r="L602" s="74">
        <v>847001</v>
      </c>
      <c r="M602" s="74" t="s">
        <v>192</v>
      </c>
      <c r="N602" s="74">
        <v>300180</v>
      </c>
      <c r="O602" s="37" t="str">
        <f t="shared" si="27"/>
        <v>847.8470530.1.495110.000000.847001.300180</v>
      </c>
      <c r="P602" s="75" t="s">
        <v>2668</v>
      </c>
      <c r="Q602" s="74" t="s">
        <v>157</v>
      </c>
      <c r="R602" s="74">
        <v>1</v>
      </c>
      <c r="S602" s="74">
        <v>2200000</v>
      </c>
      <c r="T602" s="74" t="s">
        <v>2669</v>
      </c>
      <c r="U602" s="76">
        <v>2200000</v>
      </c>
      <c r="V602" s="74" t="s">
        <v>210</v>
      </c>
      <c r="W602" s="75" t="s">
        <v>197</v>
      </c>
      <c r="X602" s="77" t="s">
        <v>816</v>
      </c>
      <c r="Y602" s="70"/>
    </row>
    <row r="603" spans="1:25" s="39" customFormat="1" ht="14" customHeight="1" x14ac:dyDescent="0.35">
      <c r="A603" s="74" t="s">
        <v>161</v>
      </c>
      <c r="B603" s="74" t="s">
        <v>2474</v>
      </c>
      <c r="C603" s="74" t="s">
        <v>47</v>
      </c>
      <c r="D603" s="74">
        <v>847</v>
      </c>
      <c r="E603" s="74">
        <v>8470530</v>
      </c>
      <c r="F603" s="74" t="s">
        <v>2412</v>
      </c>
      <c r="G603" s="74">
        <v>1</v>
      </c>
      <c r="H603" s="74">
        <v>492200</v>
      </c>
      <c r="I603" s="74" t="s">
        <v>2475</v>
      </c>
      <c r="J603" s="74" t="s">
        <v>60</v>
      </c>
      <c r="K603" s="74" t="s">
        <v>2093</v>
      </c>
      <c r="L603" s="74">
        <v>847020</v>
      </c>
      <c r="M603" s="74" t="s">
        <v>192</v>
      </c>
      <c r="N603" s="74">
        <v>300180</v>
      </c>
      <c r="O603" s="37" t="str">
        <f t="shared" si="27"/>
        <v>847.8470530.1.492200.000000.847020.300180</v>
      </c>
      <c r="P603" s="75" t="s">
        <v>2477</v>
      </c>
      <c r="Q603" s="74" t="s">
        <v>515</v>
      </c>
      <c r="R603" s="74">
        <v>1</v>
      </c>
      <c r="S603" s="74">
        <v>4000000</v>
      </c>
      <c r="T603" s="74" t="s">
        <v>2670</v>
      </c>
      <c r="U603" s="76">
        <v>4000000</v>
      </c>
      <c r="V603" s="74" t="s">
        <v>210</v>
      </c>
      <c r="W603" s="75" t="s">
        <v>197</v>
      </c>
      <c r="X603" s="77" t="s">
        <v>816</v>
      </c>
      <c r="Y603" s="70"/>
    </row>
    <row r="604" spans="1:25" s="39" customFormat="1" ht="14" customHeight="1" x14ac:dyDescent="0.35">
      <c r="A604" s="74" t="s">
        <v>161</v>
      </c>
      <c r="B604" s="74" t="s">
        <v>2474</v>
      </c>
      <c r="C604" s="74" t="s">
        <v>47</v>
      </c>
      <c r="D604" s="74">
        <v>847</v>
      </c>
      <c r="E604" s="74">
        <v>8470530</v>
      </c>
      <c r="F604" s="74" t="s">
        <v>2412</v>
      </c>
      <c r="G604" s="74">
        <v>1</v>
      </c>
      <c r="H604" s="74">
        <v>492200</v>
      </c>
      <c r="I604" s="74" t="s">
        <v>2475</v>
      </c>
      <c r="J604" s="74" t="s">
        <v>60</v>
      </c>
      <c r="K604" s="74" t="s">
        <v>2093</v>
      </c>
      <c r="L604" s="74">
        <v>847020</v>
      </c>
      <c r="M604" s="74" t="s">
        <v>192</v>
      </c>
      <c r="N604" s="74">
        <v>300180</v>
      </c>
      <c r="O604" s="37" t="str">
        <f t="shared" si="27"/>
        <v>847.8470530.1.492200.000000.847020.300180</v>
      </c>
      <c r="P604" s="75" t="s">
        <v>2477</v>
      </c>
      <c r="Q604" s="74" t="s">
        <v>515</v>
      </c>
      <c r="R604" s="74"/>
      <c r="S604" s="74"/>
      <c r="T604" s="74"/>
      <c r="U604" s="76"/>
      <c r="V604" s="74"/>
      <c r="W604" s="75"/>
      <c r="X604" s="77"/>
      <c r="Y604" s="70"/>
    </row>
    <row r="605" spans="1:25" s="39" customFormat="1" ht="14" customHeight="1" x14ac:dyDescent="0.35">
      <c r="A605" s="74" t="s">
        <v>161</v>
      </c>
      <c r="B605" s="74" t="s">
        <v>2474</v>
      </c>
      <c r="C605" s="74" t="s">
        <v>47</v>
      </c>
      <c r="D605" s="74">
        <v>847</v>
      </c>
      <c r="E605" s="74">
        <v>8470530</v>
      </c>
      <c r="F605" s="74" t="s">
        <v>2412</v>
      </c>
      <c r="G605" s="74">
        <v>1</v>
      </c>
      <c r="H605" s="74">
        <v>492200</v>
      </c>
      <c r="I605" s="74" t="s">
        <v>2475</v>
      </c>
      <c r="J605" s="74" t="s">
        <v>60</v>
      </c>
      <c r="K605" s="74" t="s">
        <v>2093</v>
      </c>
      <c r="L605" s="74">
        <v>847020</v>
      </c>
      <c r="M605" s="74" t="s">
        <v>192</v>
      </c>
      <c r="N605" s="74">
        <v>300180</v>
      </c>
      <c r="O605" s="37" t="str">
        <f t="shared" si="27"/>
        <v>847.8470530.1.492200.000000.847020.300180</v>
      </c>
      <c r="P605" s="75" t="s">
        <v>2477</v>
      </c>
      <c r="Q605" s="74" t="s">
        <v>515</v>
      </c>
      <c r="R605" s="74"/>
      <c r="S605" s="74"/>
      <c r="T605" s="74"/>
      <c r="U605" s="76"/>
      <c r="V605" s="74"/>
      <c r="W605" s="75"/>
      <c r="X605" s="77"/>
      <c r="Y605" s="70"/>
    </row>
    <row r="606" spans="1:25" s="39" customFormat="1" ht="14" customHeight="1" x14ac:dyDescent="0.35">
      <c r="A606" s="74" t="s">
        <v>161</v>
      </c>
      <c r="B606" s="74" t="s">
        <v>2474</v>
      </c>
      <c r="C606" s="74" t="s">
        <v>47</v>
      </c>
      <c r="D606" s="74">
        <v>847</v>
      </c>
      <c r="E606" s="74">
        <v>8470530</v>
      </c>
      <c r="F606" s="74" t="s">
        <v>2412</v>
      </c>
      <c r="G606" s="74">
        <v>1</v>
      </c>
      <c r="H606" s="74">
        <v>492200</v>
      </c>
      <c r="I606" s="74" t="s">
        <v>2475</v>
      </c>
      <c r="J606" s="74" t="s">
        <v>60</v>
      </c>
      <c r="K606" s="74" t="s">
        <v>2093</v>
      </c>
      <c r="L606" s="74">
        <v>847020</v>
      </c>
      <c r="M606" s="74" t="s">
        <v>192</v>
      </c>
      <c r="N606" s="74">
        <v>300180</v>
      </c>
      <c r="O606" s="37" t="str">
        <f t="shared" si="27"/>
        <v>847.8470530.1.492200.000000.847020.300180</v>
      </c>
      <c r="P606" s="75" t="s">
        <v>2477</v>
      </c>
      <c r="Q606" s="74" t="s">
        <v>515</v>
      </c>
      <c r="R606" s="74"/>
      <c r="S606" s="74"/>
      <c r="T606" s="74"/>
      <c r="U606" s="76"/>
      <c r="V606" s="74"/>
      <c r="W606" s="75"/>
      <c r="X606" s="77"/>
      <c r="Y606" s="70"/>
    </row>
    <row r="607" spans="1:25" s="39" customFormat="1" ht="14" customHeight="1" x14ac:dyDescent="0.35">
      <c r="A607" s="74" t="s">
        <v>161</v>
      </c>
      <c r="B607" s="74" t="s">
        <v>2474</v>
      </c>
      <c r="C607" s="74" t="s">
        <v>47</v>
      </c>
      <c r="D607" s="74">
        <v>847</v>
      </c>
      <c r="E607" s="74">
        <v>8470530</v>
      </c>
      <c r="F607" s="74" t="s">
        <v>2412</v>
      </c>
      <c r="G607" s="74">
        <v>1</v>
      </c>
      <c r="H607" s="74">
        <v>492200</v>
      </c>
      <c r="I607" s="74" t="s">
        <v>2475</v>
      </c>
      <c r="J607" s="74" t="s">
        <v>60</v>
      </c>
      <c r="K607" s="74" t="s">
        <v>2093</v>
      </c>
      <c r="L607" s="74">
        <v>847020</v>
      </c>
      <c r="M607" s="74" t="s">
        <v>192</v>
      </c>
      <c r="N607" s="74">
        <v>300180</v>
      </c>
      <c r="O607" s="37" t="str">
        <f t="shared" si="27"/>
        <v>847.8470530.1.492200.000000.847020.300180</v>
      </c>
      <c r="P607" s="75" t="s">
        <v>2477</v>
      </c>
      <c r="Q607" s="74" t="s">
        <v>515</v>
      </c>
      <c r="R607" s="74"/>
      <c r="S607" s="74"/>
      <c r="T607" s="74"/>
      <c r="U607" s="76"/>
      <c r="V607" s="74"/>
      <c r="W607" s="75"/>
      <c r="X607" s="77"/>
      <c r="Y607" s="70"/>
    </row>
    <row r="608" spans="1:25" s="39" customFormat="1" ht="14" customHeight="1" x14ac:dyDescent="0.35">
      <c r="A608" s="74" t="s">
        <v>161</v>
      </c>
      <c r="B608" s="74" t="s">
        <v>2474</v>
      </c>
      <c r="C608" s="74" t="s">
        <v>47</v>
      </c>
      <c r="D608" s="74">
        <v>847</v>
      </c>
      <c r="E608" s="74">
        <v>8470530</v>
      </c>
      <c r="F608" s="74" t="s">
        <v>2412</v>
      </c>
      <c r="G608" s="74">
        <v>1</v>
      </c>
      <c r="H608" s="74">
        <v>492610</v>
      </c>
      <c r="I608" s="74" t="s">
        <v>2537</v>
      </c>
      <c r="J608" s="74" t="s">
        <v>60</v>
      </c>
      <c r="K608" s="74" t="s">
        <v>2413</v>
      </c>
      <c r="L608" s="74">
        <v>847010</v>
      </c>
      <c r="M608" s="74" t="s">
        <v>192</v>
      </c>
      <c r="N608" s="74">
        <v>300180</v>
      </c>
      <c r="O608" s="37" t="str">
        <f t="shared" si="27"/>
        <v>847.8470530.1.492610.000000.847010.300180</v>
      </c>
      <c r="P608" s="75"/>
      <c r="Q608" s="74" t="s">
        <v>62</v>
      </c>
      <c r="R608" s="74"/>
      <c r="S608" s="74"/>
      <c r="T608" s="74"/>
      <c r="U608" s="76">
        <v>0</v>
      </c>
      <c r="V608" s="74"/>
      <c r="W608" s="75"/>
      <c r="X608" s="77"/>
      <c r="Y608" s="70"/>
    </row>
    <row r="609" spans="1:25" s="39" customFormat="1" ht="14" customHeight="1" x14ac:dyDescent="0.35">
      <c r="A609" s="74" t="s">
        <v>161</v>
      </c>
      <c r="B609" s="74" t="s">
        <v>2474</v>
      </c>
      <c r="C609" s="74" t="s">
        <v>47</v>
      </c>
      <c r="D609" s="74">
        <v>847</v>
      </c>
      <c r="E609" s="74">
        <v>8470530</v>
      </c>
      <c r="F609" s="74" t="s">
        <v>2412</v>
      </c>
      <c r="G609" s="74">
        <v>1</v>
      </c>
      <c r="H609" s="74">
        <v>492610</v>
      </c>
      <c r="I609" s="74" t="s">
        <v>2537</v>
      </c>
      <c r="J609" s="74" t="s">
        <v>60</v>
      </c>
      <c r="K609" s="74" t="s">
        <v>2417</v>
      </c>
      <c r="L609" s="74">
        <v>847015</v>
      </c>
      <c r="M609" s="74" t="s">
        <v>192</v>
      </c>
      <c r="N609" s="74">
        <v>300180</v>
      </c>
      <c r="O609" s="37" t="str">
        <f t="shared" si="27"/>
        <v>847.8470530.1.492610.000000.847015.300180</v>
      </c>
      <c r="P609" s="75"/>
      <c r="Q609" s="74" t="s">
        <v>62</v>
      </c>
      <c r="R609" s="74"/>
      <c r="S609" s="74"/>
      <c r="T609" s="74"/>
      <c r="U609" s="76">
        <v>0</v>
      </c>
      <c r="V609" s="74"/>
      <c r="W609" s="75"/>
      <c r="X609" s="77"/>
      <c r="Y609" s="70"/>
    </row>
    <row r="610" spans="1:25" s="39" customFormat="1" ht="14" customHeight="1" x14ac:dyDescent="0.35">
      <c r="A610" s="74" t="s">
        <v>161</v>
      </c>
      <c r="B610" s="74" t="s">
        <v>2474</v>
      </c>
      <c r="C610" s="74" t="s">
        <v>47</v>
      </c>
      <c r="D610" s="74">
        <v>847</v>
      </c>
      <c r="E610" s="74">
        <v>8470530</v>
      </c>
      <c r="F610" s="74" t="s">
        <v>2412</v>
      </c>
      <c r="G610" s="74">
        <v>1</v>
      </c>
      <c r="H610" s="74">
        <v>492610</v>
      </c>
      <c r="I610" s="74" t="s">
        <v>2537</v>
      </c>
      <c r="J610" s="74" t="s">
        <v>60</v>
      </c>
      <c r="K610" s="74" t="s">
        <v>2093</v>
      </c>
      <c r="L610" s="74">
        <v>847020</v>
      </c>
      <c r="M610" s="74" t="s">
        <v>192</v>
      </c>
      <c r="N610" s="74">
        <v>300180</v>
      </c>
      <c r="O610" s="37" t="str">
        <f t="shared" si="27"/>
        <v>847.8470530.1.492610.000000.847020.300180</v>
      </c>
      <c r="P610" s="75" t="s">
        <v>2538</v>
      </c>
      <c r="Q610" s="74" t="s">
        <v>515</v>
      </c>
      <c r="R610" s="74">
        <v>1</v>
      </c>
      <c r="S610" s="74">
        <v>100000</v>
      </c>
      <c r="T610" s="74" t="s">
        <v>2549</v>
      </c>
      <c r="U610" s="76">
        <v>100000</v>
      </c>
      <c r="V610" s="74" t="s">
        <v>210</v>
      </c>
      <c r="W610" s="75" t="s">
        <v>197</v>
      </c>
      <c r="X610" s="77" t="s">
        <v>816</v>
      </c>
      <c r="Y610" s="70"/>
    </row>
    <row r="611" spans="1:25" s="39" customFormat="1" ht="14" customHeight="1" x14ac:dyDescent="0.35">
      <c r="A611" s="74">
        <v>0</v>
      </c>
      <c r="B611" s="74" t="s">
        <v>58</v>
      </c>
      <c r="C611" s="74" t="s">
        <v>47</v>
      </c>
      <c r="D611" s="74">
        <v>847</v>
      </c>
      <c r="E611" s="74">
        <v>8470540</v>
      </c>
      <c r="F611" s="74" t="s">
        <v>2557</v>
      </c>
      <c r="G611" s="74">
        <v>1</v>
      </c>
      <c r="H611" s="74">
        <v>413310</v>
      </c>
      <c r="I611" s="74" t="s">
        <v>2558</v>
      </c>
      <c r="J611" s="74" t="s">
        <v>60</v>
      </c>
      <c r="K611" s="74" t="s">
        <v>2413</v>
      </c>
      <c r="L611" s="74">
        <v>847010</v>
      </c>
      <c r="M611" s="74" t="s">
        <v>2674</v>
      </c>
      <c r="N611" s="37">
        <v>100180</v>
      </c>
      <c r="O611" s="37" t="str">
        <f t="shared" si="27"/>
        <v>847.8470540.1.413310.000000.847010.100180</v>
      </c>
      <c r="P611" s="75" t="s">
        <v>2559</v>
      </c>
      <c r="Q611" s="74" t="s">
        <v>1423</v>
      </c>
      <c r="R611" s="74">
        <v>1</v>
      </c>
      <c r="S611" s="74">
        <v>953248</v>
      </c>
      <c r="T611" s="74" t="s">
        <v>2675</v>
      </c>
      <c r="U611" s="76">
        <v>953248</v>
      </c>
      <c r="V611" s="74" t="s">
        <v>55</v>
      </c>
      <c r="W611" s="75" t="s">
        <v>56</v>
      </c>
      <c r="X611" s="77" t="s">
        <v>816</v>
      </c>
      <c r="Y611" s="70" t="s">
        <v>2676</v>
      </c>
    </row>
    <row r="612" spans="1:25" s="39" customFormat="1" ht="14" customHeight="1" x14ac:dyDescent="0.35">
      <c r="A612" s="74">
        <v>0</v>
      </c>
      <c r="B612" s="74" t="s">
        <v>58</v>
      </c>
      <c r="C612" s="74" t="s">
        <v>47</v>
      </c>
      <c r="D612" s="74">
        <v>847</v>
      </c>
      <c r="E612" s="74">
        <v>8470540</v>
      </c>
      <c r="F612" s="74" t="s">
        <v>2557</v>
      </c>
      <c r="G612" s="74">
        <v>1</v>
      </c>
      <c r="H612" s="74">
        <v>413310</v>
      </c>
      <c r="I612" s="74" t="s">
        <v>2558</v>
      </c>
      <c r="J612" s="74" t="s">
        <v>60</v>
      </c>
      <c r="K612" s="74" t="s">
        <v>2413</v>
      </c>
      <c r="L612" s="74" t="s">
        <v>2418</v>
      </c>
      <c r="M612" s="74" t="s">
        <v>2674</v>
      </c>
      <c r="N612" s="37">
        <v>100180</v>
      </c>
      <c r="O612" s="37" t="str">
        <f t="shared" si="27"/>
        <v>847.8470540.1.413310.000000.847010.100180</v>
      </c>
      <c r="P612" s="75" t="s">
        <v>2559</v>
      </c>
      <c r="Q612" s="74" t="s">
        <v>1423</v>
      </c>
      <c r="R612" s="74">
        <v>1</v>
      </c>
      <c r="S612" s="74">
        <v>421800</v>
      </c>
      <c r="T612" s="74" t="s">
        <v>2677</v>
      </c>
      <c r="U612" s="76">
        <v>421800</v>
      </c>
      <c r="V612" s="74" t="s">
        <v>55</v>
      </c>
      <c r="W612" s="75" t="s">
        <v>56</v>
      </c>
      <c r="X612" s="77" t="s">
        <v>816</v>
      </c>
      <c r="Y612" s="70" t="s">
        <v>2676</v>
      </c>
    </row>
    <row r="613" spans="1:25" s="39" customFormat="1" ht="14" customHeight="1" x14ac:dyDescent="0.35">
      <c r="A613" s="74">
        <v>0</v>
      </c>
      <c r="B613" s="74" t="s">
        <v>58</v>
      </c>
      <c r="C613" s="74" t="s">
        <v>47</v>
      </c>
      <c r="D613" s="74">
        <v>847</v>
      </c>
      <c r="E613" s="74">
        <v>8470540</v>
      </c>
      <c r="F613" s="74" t="s">
        <v>2557</v>
      </c>
      <c r="G613" s="74">
        <v>1</v>
      </c>
      <c r="H613" s="74">
        <v>413310</v>
      </c>
      <c r="I613" s="74" t="s">
        <v>2558</v>
      </c>
      <c r="J613" s="74" t="s">
        <v>60</v>
      </c>
      <c r="K613" s="74" t="s">
        <v>2413</v>
      </c>
      <c r="L613" s="74" t="s">
        <v>2418</v>
      </c>
      <c r="M613" s="74" t="s">
        <v>2674</v>
      </c>
      <c r="N613" s="37">
        <v>100180</v>
      </c>
      <c r="O613" s="37" t="str">
        <f t="shared" si="27"/>
        <v>847.8470540.1.413310.000000.847010.100180</v>
      </c>
      <c r="P613" s="75" t="s">
        <v>2559</v>
      </c>
      <c r="Q613" s="74" t="s">
        <v>1423</v>
      </c>
      <c r="R613" s="74">
        <v>1</v>
      </c>
      <c r="S613" s="74">
        <v>190000</v>
      </c>
      <c r="T613" s="74" t="s">
        <v>2678</v>
      </c>
      <c r="U613" s="76">
        <v>190000</v>
      </c>
      <c r="V613" s="74" t="s">
        <v>55</v>
      </c>
      <c r="W613" s="75" t="s">
        <v>56</v>
      </c>
      <c r="X613" s="77" t="s">
        <v>816</v>
      </c>
      <c r="Y613" s="70" t="s">
        <v>2676</v>
      </c>
    </row>
    <row r="614" spans="1:25" s="39" customFormat="1" ht="14" customHeight="1" x14ac:dyDescent="0.35">
      <c r="A614" s="74">
        <v>0</v>
      </c>
      <c r="B614" s="74" t="s">
        <v>58</v>
      </c>
      <c r="C614" s="74" t="s">
        <v>47</v>
      </c>
      <c r="D614" s="74">
        <v>847</v>
      </c>
      <c r="E614" s="74">
        <v>8470540</v>
      </c>
      <c r="F614" s="74" t="s">
        <v>2557</v>
      </c>
      <c r="G614" s="74">
        <v>1</v>
      </c>
      <c r="H614" s="74">
        <v>413310</v>
      </c>
      <c r="I614" s="74" t="s">
        <v>2558</v>
      </c>
      <c r="J614" s="74" t="s">
        <v>60</v>
      </c>
      <c r="K614" s="74" t="s">
        <v>2413</v>
      </c>
      <c r="L614" s="74" t="s">
        <v>2418</v>
      </c>
      <c r="M614" s="74" t="s">
        <v>2674</v>
      </c>
      <c r="N614" s="37">
        <v>100180</v>
      </c>
      <c r="O614" s="37" t="str">
        <f t="shared" si="27"/>
        <v>847.8470540.1.413310.000000.847010.100180</v>
      </c>
      <c r="P614" s="75" t="s">
        <v>2559</v>
      </c>
      <c r="Q614" s="74" t="s">
        <v>1423</v>
      </c>
      <c r="R614" s="74">
        <v>1</v>
      </c>
      <c r="S614" s="74">
        <v>447260</v>
      </c>
      <c r="T614" s="74" t="s">
        <v>2566</v>
      </c>
      <c r="U614" s="76">
        <v>447260</v>
      </c>
      <c r="V614" s="74" t="s">
        <v>55</v>
      </c>
      <c r="W614" s="75" t="s">
        <v>56</v>
      </c>
      <c r="X614" s="77" t="s">
        <v>816</v>
      </c>
      <c r="Y614" s="70" t="s">
        <v>2676</v>
      </c>
    </row>
    <row r="615" spans="1:25" s="39" customFormat="1" ht="14" customHeight="1" x14ac:dyDescent="0.35">
      <c r="A615" s="74" t="s">
        <v>189</v>
      </c>
      <c r="B615" s="74" t="s">
        <v>58</v>
      </c>
      <c r="C615" s="74" t="s">
        <v>47</v>
      </c>
      <c r="D615" s="74">
        <v>847</v>
      </c>
      <c r="E615" s="74">
        <v>8470540</v>
      </c>
      <c r="F615" s="74" t="s">
        <v>2557</v>
      </c>
      <c r="G615" s="74">
        <v>1</v>
      </c>
      <c r="H615" s="74">
        <v>422900</v>
      </c>
      <c r="I615" s="74" t="s">
        <v>1139</v>
      </c>
      <c r="J615" s="74" t="s">
        <v>60</v>
      </c>
      <c r="K615" s="74" t="s">
        <v>2413</v>
      </c>
      <c r="L615" s="74" t="s">
        <v>2418</v>
      </c>
      <c r="M615" s="74" t="s">
        <v>61</v>
      </c>
      <c r="N615" s="74">
        <v>200179</v>
      </c>
      <c r="O615" s="37" t="str">
        <f t="shared" si="27"/>
        <v>847.8470540.1.422900.000000.847010.200179</v>
      </c>
      <c r="P615" s="75" t="s">
        <v>2567</v>
      </c>
      <c r="Q615" s="74" t="s">
        <v>1109</v>
      </c>
      <c r="R615" s="74">
        <v>1</v>
      </c>
      <c r="S615" s="74">
        <v>900000</v>
      </c>
      <c r="T615" s="74" t="s">
        <v>2568</v>
      </c>
      <c r="U615" s="76">
        <v>900000</v>
      </c>
      <c r="V615" s="74" t="s">
        <v>55</v>
      </c>
      <c r="W615" s="75" t="s">
        <v>56</v>
      </c>
      <c r="X615" s="77" t="s">
        <v>816</v>
      </c>
      <c r="Y615" s="70"/>
    </row>
    <row r="616" spans="1:25" s="39" customFormat="1" ht="14" customHeight="1" x14ac:dyDescent="0.35">
      <c r="A616" s="74" t="s">
        <v>161</v>
      </c>
      <c r="B616" s="74" t="s">
        <v>58</v>
      </c>
      <c r="C616" s="74" t="s">
        <v>47</v>
      </c>
      <c r="D616" s="74">
        <v>847</v>
      </c>
      <c r="E616" s="74">
        <v>8470540</v>
      </c>
      <c r="F616" s="74" t="s">
        <v>2557</v>
      </c>
      <c r="G616" s="74">
        <v>1</v>
      </c>
      <c r="H616" s="74">
        <v>426800</v>
      </c>
      <c r="I616" s="74" t="s">
        <v>2552</v>
      </c>
      <c r="J616" s="74" t="s">
        <v>60</v>
      </c>
      <c r="K616" s="74" t="s">
        <v>2413</v>
      </c>
      <c r="L616" s="74">
        <v>847010</v>
      </c>
      <c r="M616" s="74" t="s">
        <v>61</v>
      </c>
      <c r="N616" s="74">
        <v>200179</v>
      </c>
      <c r="O616" s="37" t="str">
        <f t="shared" si="27"/>
        <v>847.8470540.1.426800.000000.847010.200179</v>
      </c>
      <c r="P616" s="75" t="s">
        <v>2569</v>
      </c>
      <c r="Q616" s="74" t="s">
        <v>68</v>
      </c>
      <c r="R616" s="74">
        <v>1</v>
      </c>
      <c r="S616" s="74">
        <v>10000</v>
      </c>
      <c r="T616" s="74" t="s">
        <v>2570</v>
      </c>
      <c r="U616" s="76">
        <v>10000</v>
      </c>
      <c r="V616" s="74" t="s">
        <v>55</v>
      </c>
      <c r="W616" s="75" t="s">
        <v>56</v>
      </c>
      <c r="X616" s="77" t="s">
        <v>816</v>
      </c>
      <c r="Y616" s="70"/>
    </row>
    <row r="617" spans="1:25" s="39" customFormat="1" ht="14" customHeight="1" x14ac:dyDescent="0.35">
      <c r="A617" s="74" t="s">
        <v>71</v>
      </c>
      <c r="B617" s="74" t="s">
        <v>58</v>
      </c>
      <c r="C617" s="74" t="s">
        <v>47</v>
      </c>
      <c r="D617" s="74">
        <v>847</v>
      </c>
      <c r="E617" s="74">
        <v>8470540</v>
      </c>
      <c r="F617" s="74" t="s">
        <v>2557</v>
      </c>
      <c r="G617" s="74">
        <v>1</v>
      </c>
      <c r="H617" s="74">
        <v>426900</v>
      </c>
      <c r="I617" s="74" t="s">
        <v>1080</v>
      </c>
      <c r="J617" s="74" t="s">
        <v>60</v>
      </c>
      <c r="K617" s="74" t="s">
        <v>2413</v>
      </c>
      <c r="L617" s="74">
        <v>847010</v>
      </c>
      <c r="M617" s="74" t="s">
        <v>61</v>
      </c>
      <c r="N617" s="74">
        <v>200179</v>
      </c>
      <c r="O617" s="37" t="str">
        <f t="shared" si="27"/>
        <v>847.8470540.1.426900.000000.847010.200179</v>
      </c>
      <c r="P617" s="75" t="s">
        <v>2571</v>
      </c>
      <c r="Q617" s="74" t="s">
        <v>157</v>
      </c>
      <c r="R617" s="74">
        <v>1</v>
      </c>
      <c r="S617" s="74">
        <v>30000</v>
      </c>
      <c r="T617" s="74" t="s">
        <v>2572</v>
      </c>
      <c r="U617" s="76">
        <v>30000</v>
      </c>
      <c r="V617" s="74" t="s">
        <v>55</v>
      </c>
      <c r="W617" s="75" t="s">
        <v>56</v>
      </c>
      <c r="X617" s="77" t="s">
        <v>816</v>
      </c>
      <c r="Y617" s="70"/>
    </row>
    <row r="618" spans="1:25" s="39" customFormat="1" ht="14" customHeight="1" x14ac:dyDescent="0.35">
      <c r="A618" s="74" t="s">
        <v>161</v>
      </c>
      <c r="B618" s="74" t="s">
        <v>58</v>
      </c>
      <c r="C618" s="74" t="s">
        <v>47</v>
      </c>
      <c r="D618" s="74">
        <v>847</v>
      </c>
      <c r="E618" s="74">
        <v>8470540</v>
      </c>
      <c r="F618" s="74" t="s">
        <v>2557</v>
      </c>
      <c r="G618" s="74">
        <v>1</v>
      </c>
      <c r="H618" s="74">
        <v>428111</v>
      </c>
      <c r="I618" s="74" t="s">
        <v>1478</v>
      </c>
      <c r="J618" s="74" t="s">
        <v>60</v>
      </c>
      <c r="K618" s="74" t="s">
        <v>2413</v>
      </c>
      <c r="L618" s="74">
        <v>847010</v>
      </c>
      <c r="M618" s="74" t="s">
        <v>61</v>
      </c>
      <c r="N618" s="74">
        <v>200179</v>
      </c>
      <c r="O618" s="37" t="str">
        <f t="shared" si="27"/>
        <v>847.8470540.1.428111.000000.847010.200179</v>
      </c>
      <c r="P618" s="75" t="s">
        <v>2573</v>
      </c>
      <c r="Q618" s="74" t="s">
        <v>2574</v>
      </c>
      <c r="R618" s="74">
        <v>1</v>
      </c>
      <c r="S618" s="74">
        <v>9664500</v>
      </c>
      <c r="T618" s="74" t="s">
        <v>2575</v>
      </c>
      <c r="U618" s="76">
        <v>9664500</v>
      </c>
      <c r="V618" s="74" t="s">
        <v>55</v>
      </c>
      <c r="W618" s="75" t="s">
        <v>56</v>
      </c>
      <c r="X618" s="77" t="s">
        <v>816</v>
      </c>
      <c r="Y618" s="70"/>
    </row>
    <row r="619" spans="1:25" s="39" customFormat="1" ht="14" customHeight="1" x14ac:dyDescent="0.35">
      <c r="A619" s="74" t="s">
        <v>161</v>
      </c>
      <c r="B619" s="74" t="s">
        <v>58</v>
      </c>
      <c r="C619" s="74" t="s">
        <v>47</v>
      </c>
      <c r="D619" s="74">
        <v>847</v>
      </c>
      <c r="E619" s="74">
        <v>8470540</v>
      </c>
      <c r="F619" s="74" t="s">
        <v>2557</v>
      </c>
      <c r="G619" s="74">
        <v>1</v>
      </c>
      <c r="H619" s="74">
        <v>428111</v>
      </c>
      <c r="I619" s="74" t="s">
        <v>1478</v>
      </c>
      <c r="J619" s="74" t="s">
        <v>60</v>
      </c>
      <c r="K619" s="74" t="s">
        <v>2417</v>
      </c>
      <c r="L619" s="74">
        <v>847015</v>
      </c>
      <c r="M619" s="74" t="s">
        <v>61</v>
      </c>
      <c r="N619" s="74">
        <v>200179</v>
      </c>
      <c r="O619" s="37" t="str">
        <f t="shared" si="27"/>
        <v>847.8470540.1.428111.000000.847015.200179</v>
      </c>
      <c r="P619" s="75" t="s">
        <v>2576</v>
      </c>
      <c r="Q619" s="74" t="s">
        <v>2574</v>
      </c>
      <c r="R619" s="74">
        <v>1</v>
      </c>
      <c r="S619" s="74">
        <v>4615084</v>
      </c>
      <c r="T619" s="74" t="s">
        <v>2575</v>
      </c>
      <c r="U619" s="76">
        <v>4615084</v>
      </c>
      <c r="V619" s="74" t="s">
        <v>55</v>
      </c>
      <c r="W619" s="75" t="s">
        <v>56</v>
      </c>
      <c r="X619" s="77" t="s">
        <v>816</v>
      </c>
      <c r="Y619" s="70"/>
    </row>
    <row r="620" spans="1:25" s="39" customFormat="1" ht="14" customHeight="1" x14ac:dyDescent="0.35">
      <c r="A620" s="74" t="s">
        <v>161</v>
      </c>
      <c r="B620" s="74" t="s">
        <v>58</v>
      </c>
      <c r="C620" s="74" t="s">
        <v>47</v>
      </c>
      <c r="D620" s="74">
        <v>847</v>
      </c>
      <c r="E620" s="74">
        <v>8470540</v>
      </c>
      <c r="F620" s="74" t="s">
        <v>2557</v>
      </c>
      <c r="G620" s="74">
        <v>1</v>
      </c>
      <c r="H620" s="74">
        <v>428111</v>
      </c>
      <c r="I620" s="74" t="s">
        <v>1478</v>
      </c>
      <c r="J620" s="74" t="s">
        <v>60</v>
      </c>
      <c r="K620" s="74" t="s">
        <v>2093</v>
      </c>
      <c r="L620" s="74">
        <v>847020</v>
      </c>
      <c r="M620" s="74" t="s">
        <v>61</v>
      </c>
      <c r="N620" s="74">
        <v>200179</v>
      </c>
      <c r="O620" s="37" t="str">
        <f t="shared" si="27"/>
        <v>847.8470540.1.428111.000000.847020.200179</v>
      </c>
      <c r="P620" s="75" t="s">
        <v>2576</v>
      </c>
      <c r="Q620" s="74" t="s">
        <v>2574</v>
      </c>
      <c r="R620" s="74">
        <v>1</v>
      </c>
      <c r="S620" s="74">
        <v>3976000</v>
      </c>
      <c r="T620" s="74" t="s">
        <v>2575</v>
      </c>
      <c r="U620" s="76">
        <v>3976000</v>
      </c>
      <c r="V620" s="74" t="s">
        <v>55</v>
      </c>
      <c r="W620" s="75" t="s">
        <v>56</v>
      </c>
      <c r="X620" s="77" t="s">
        <v>816</v>
      </c>
      <c r="Y620" s="70"/>
    </row>
    <row r="621" spans="1:25" s="39" customFormat="1" ht="14" customHeight="1" x14ac:dyDescent="0.35">
      <c r="A621" s="74" t="s">
        <v>161</v>
      </c>
      <c r="B621" s="74" t="s">
        <v>58</v>
      </c>
      <c r="C621" s="74" t="s">
        <v>47</v>
      </c>
      <c r="D621" s="74">
        <v>847</v>
      </c>
      <c r="E621" s="74">
        <v>8470540</v>
      </c>
      <c r="F621" s="74" t="s">
        <v>2557</v>
      </c>
      <c r="G621" s="74">
        <v>1</v>
      </c>
      <c r="H621" s="74">
        <v>428111</v>
      </c>
      <c r="I621" s="74" t="s">
        <v>1478</v>
      </c>
      <c r="J621" s="74" t="s">
        <v>60</v>
      </c>
      <c r="K621" s="74" t="s">
        <v>2429</v>
      </c>
      <c r="L621" s="74">
        <v>847030</v>
      </c>
      <c r="M621" s="74" t="s">
        <v>61</v>
      </c>
      <c r="N621" s="74">
        <v>200179</v>
      </c>
      <c r="O621" s="37" t="str">
        <f t="shared" si="27"/>
        <v>847.8470540.1.428111.000000.847030.200179</v>
      </c>
      <c r="P621" s="75" t="s">
        <v>2577</v>
      </c>
      <c r="Q621" s="74" t="s">
        <v>62</v>
      </c>
      <c r="R621" s="74">
        <v>1</v>
      </c>
      <c r="S621" s="74">
        <v>442627</v>
      </c>
      <c r="T621" s="74" t="s">
        <v>2575</v>
      </c>
      <c r="U621" s="76">
        <v>442627</v>
      </c>
      <c r="V621" s="74" t="s">
        <v>55</v>
      </c>
      <c r="W621" s="75" t="s">
        <v>56</v>
      </c>
      <c r="X621" s="77" t="s">
        <v>816</v>
      </c>
      <c r="Y621" s="70"/>
    </row>
    <row r="622" spans="1:25" s="39" customFormat="1" ht="14" customHeight="1" x14ac:dyDescent="0.35">
      <c r="A622" s="74" t="s">
        <v>161</v>
      </c>
      <c r="B622" s="74" t="s">
        <v>58</v>
      </c>
      <c r="C622" s="74" t="s">
        <v>47</v>
      </c>
      <c r="D622" s="74">
        <v>847</v>
      </c>
      <c r="E622" s="74">
        <v>8470540</v>
      </c>
      <c r="F622" s="74" t="s">
        <v>2557</v>
      </c>
      <c r="G622" s="74">
        <v>1</v>
      </c>
      <c r="H622" s="74">
        <v>428112</v>
      </c>
      <c r="I622" s="74" t="s">
        <v>1479</v>
      </c>
      <c r="J622" s="74" t="s">
        <v>60</v>
      </c>
      <c r="K622" s="74" t="s">
        <v>2413</v>
      </c>
      <c r="L622" s="74">
        <v>847010</v>
      </c>
      <c r="M622" s="74" t="s">
        <v>61</v>
      </c>
      <c r="N622" s="74">
        <v>200179</v>
      </c>
      <c r="O622" s="37" t="str">
        <f t="shared" si="27"/>
        <v>847.8470540.1.428112.000000.847010.200179</v>
      </c>
      <c r="P622" s="75" t="s">
        <v>2578</v>
      </c>
      <c r="Q622" s="74" t="s">
        <v>515</v>
      </c>
      <c r="R622" s="74">
        <v>1</v>
      </c>
      <c r="S622" s="74">
        <v>1500000</v>
      </c>
      <c r="T622" s="74" t="s">
        <v>2579</v>
      </c>
      <c r="U622" s="76">
        <v>1500000</v>
      </c>
      <c r="V622" s="74" t="s">
        <v>55</v>
      </c>
      <c r="W622" s="75" t="s">
        <v>56</v>
      </c>
      <c r="X622" s="77" t="s">
        <v>816</v>
      </c>
      <c r="Y622" s="70"/>
    </row>
    <row r="623" spans="1:25" s="39" customFormat="1" ht="14" customHeight="1" x14ac:dyDescent="0.35">
      <c r="A623" s="74" t="s">
        <v>161</v>
      </c>
      <c r="B623" s="74" t="s">
        <v>58</v>
      </c>
      <c r="C623" s="74" t="s">
        <v>47</v>
      </c>
      <c r="D623" s="74">
        <v>847</v>
      </c>
      <c r="E623" s="74">
        <v>8470540</v>
      </c>
      <c r="F623" s="74" t="s">
        <v>2557</v>
      </c>
      <c r="G623" s="74">
        <v>1</v>
      </c>
      <c r="H623" s="74">
        <v>428112</v>
      </c>
      <c r="I623" s="74" t="s">
        <v>1479</v>
      </c>
      <c r="J623" s="74" t="s">
        <v>60</v>
      </c>
      <c r="K623" s="74" t="s">
        <v>2417</v>
      </c>
      <c r="L623" s="74">
        <v>847015</v>
      </c>
      <c r="M623" s="74" t="s">
        <v>61</v>
      </c>
      <c r="N623" s="74">
        <v>200179</v>
      </c>
      <c r="O623" s="37" t="str">
        <f t="shared" si="27"/>
        <v>847.8470540.1.428112.000000.847015.200179</v>
      </c>
      <c r="P623" s="75" t="s">
        <v>2580</v>
      </c>
      <c r="Q623" s="74" t="s">
        <v>515</v>
      </c>
      <c r="R623" s="74">
        <v>1</v>
      </c>
      <c r="S623" s="74">
        <v>1681399</v>
      </c>
      <c r="T623" s="74" t="s">
        <v>2579</v>
      </c>
      <c r="U623" s="76">
        <v>1681399</v>
      </c>
      <c r="V623" s="74" t="s">
        <v>55</v>
      </c>
      <c r="W623" s="75" t="s">
        <v>56</v>
      </c>
      <c r="X623" s="77" t="s">
        <v>816</v>
      </c>
      <c r="Y623" s="70"/>
    </row>
    <row r="624" spans="1:25" s="39" customFormat="1" ht="14" customHeight="1" x14ac:dyDescent="0.35">
      <c r="A624" s="74" t="s">
        <v>161</v>
      </c>
      <c r="B624" s="74" t="s">
        <v>58</v>
      </c>
      <c r="C624" s="74" t="s">
        <v>47</v>
      </c>
      <c r="D624" s="74">
        <v>847</v>
      </c>
      <c r="E624" s="74">
        <v>8470540</v>
      </c>
      <c r="F624" s="74" t="s">
        <v>2557</v>
      </c>
      <c r="G624" s="74">
        <v>1</v>
      </c>
      <c r="H624" s="74">
        <v>428112</v>
      </c>
      <c r="I624" s="74" t="s">
        <v>1479</v>
      </c>
      <c r="J624" s="74" t="s">
        <v>60</v>
      </c>
      <c r="K624" s="74" t="s">
        <v>2093</v>
      </c>
      <c r="L624" s="74">
        <v>847020</v>
      </c>
      <c r="M624" s="74" t="s">
        <v>61</v>
      </c>
      <c r="N624" s="74">
        <v>200179</v>
      </c>
      <c r="O624" s="37" t="str">
        <f t="shared" si="27"/>
        <v>847.8470540.1.428112.000000.847020.200179</v>
      </c>
      <c r="P624" s="75" t="s">
        <v>2581</v>
      </c>
      <c r="Q624" s="74" t="s">
        <v>62</v>
      </c>
      <c r="R624" s="74">
        <v>1</v>
      </c>
      <c r="S624" s="74">
        <v>1873450</v>
      </c>
      <c r="T624" s="74" t="s">
        <v>2579</v>
      </c>
      <c r="U624" s="76">
        <v>1873450</v>
      </c>
      <c r="V624" s="74" t="s">
        <v>55</v>
      </c>
      <c r="W624" s="75" t="s">
        <v>56</v>
      </c>
      <c r="X624" s="77" t="s">
        <v>816</v>
      </c>
      <c r="Y624" s="70"/>
    </row>
    <row r="625" spans="1:25" s="39" customFormat="1" ht="14" customHeight="1" x14ac:dyDescent="0.35">
      <c r="A625" s="74" t="s">
        <v>161</v>
      </c>
      <c r="B625" s="74" t="s">
        <v>58</v>
      </c>
      <c r="C625" s="74" t="s">
        <v>47</v>
      </c>
      <c r="D625" s="74">
        <v>847</v>
      </c>
      <c r="E625" s="74">
        <v>8470540</v>
      </c>
      <c r="F625" s="74" t="s">
        <v>2557</v>
      </c>
      <c r="G625" s="74">
        <v>1</v>
      </c>
      <c r="H625" s="74">
        <v>428112</v>
      </c>
      <c r="I625" s="74" t="s">
        <v>1479</v>
      </c>
      <c r="J625" s="74" t="s">
        <v>60</v>
      </c>
      <c r="K625" s="74" t="s">
        <v>2429</v>
      </c>
      <c r="L625" s="74">
        <v>847030</v>
      </c>
      <c r="M625" s="74" t="s">
        <v>61</v>
      </c>
      <c r="N625" s="74">
        <v>200179</v>
      </c>
      <c r="O625" s="37" t="str">
        <f t="shared" si="27"/>
        <v>847.8470540.1.428112.000000.847030.200179</v>
      </c>
      <c r="P625" s="75" t="s">
        <v>2578</v>
      </c>
      <c r="Q625" s="74" t="s">
        <v>515</v>
      </c>
      <c r="R625" s="74">
        <v>1</v>
      </c>
      <c r="S625" s="74">
        <v>153570</v>
      </c>
      <c r="T625" s="74" t="s">
        <v>2579</v>
      </c>
      <c r="U625" s="76">
        <v>153570</v>
      </c>
      <c r="V625" s="74" t="s">
        <v>55</v>
      </c>
      <c r="W625" s="75" t="s">
        <v>56</v>
      </c>
      <c r="X625" s="77" t="s">
        <v>816</v>
      </c>
      <c r="Y625" s="70"/>
    </row>
    <row r="626" spans="1:25" s="39" customFormat="1" ht="14" customHeight="1" x14ac:dyDescent="0.35">
      <c r="A626" s="74" t="s">
        <v>189</v>
      </c>
      <c r="B626" s="74" t="s">
        <v>58</v>
      </c>
      <c r="C626" s="74" t="s">
        <v>47</v>
      </c>
      <c r="D626" s="74">
        <v>847</v>
      </c>
      <c r="E626" s="74">
        <v>8470540</v>
      </c>
      <c r="F626" s="74" t="s">
        <v>2557</v>
      </c>
      <c r="G626" s="74">
        <v>1</v>
      </c>
      <c r="H626" s="74">
        <v>429900</v>
      </c>
      <c r="I626" s="74" t="s">
        <v>2359</v>
      </c>
      <c r="J626" s="74" t="s">
        <v>60</v>
      </c>
      <c r="K626" s="74" t="s">
        <v>2413</v>
      </c>
      <c r="L626" s="74">
        <v>847010</v>
      </c>
      <c r="M626" s="74" t="s">
        <v>61</v>
      </c>
      <c r="N626" s="74">
        <v>200179</v>
      </c>
      <c r="O626" s="37" t="str">
        <f t="shared" si="27"/>
        <v>847.8470540.1.429900.000000.847010.200179</v>
      </c>
      <c r="P626" s="75" t="s">
        <v>2361</v>
      </c>
      <c r="Q626" s="74" t="s">
        <v>1418</v>
      </c>
      <c r="R626" s="74">
        <v>1</v>
      </c>
      <c r="S626" s="74">
        <v>44000</v>
      </c>
      <c r="T626" s="74" t="s">
        <v>2582</v>
      </c>
      <c r="U626" s="76">
        <v>44000</v>
      </c>
      <c r="V626" s="74" t="s">
        <v>55</v>
      </c>
      <c r="W626" s="75" t="s">
        <v>56</v>
      </c>
      <c r="X626" s="77" t="s">
        <v>816</v>
      </c>
      <c r="Y626" s="70"/>
    </row>
    <row r="627" spans="1:25" s="39" customFormat="1" ht="14" customHeight="1" x14ac:dyDescent="0.35">
      <c r="A627" s="74" t="s">
        <v>189</v>
      </c>
      <c r="B627" s="74" t="s">
        <v>58</v>
      </c>
      <c r="C627" s="58" t="s">
        <v>47</v>
      </c>
      <c r="D627" s="74">
        <v>847</v>
      </c>
      <c r="E627" s="74">
        <v>8470540</v>
      </c>
      <c r="F627" s="74" t="s">
        <v>2557</v>
      </c>
      <c r="G627" s="74">
        <v>1</v>
      </c>
      <c r="H627" s="74">
        <v>429900</v>
      </c>
      <c r="I627" s="74" t="s">
        <v>2359</v>
      </c>
      <c r="J627" s="74" t="s">
        <v>60</v>
      </c>
      <c r="K627" s="74" t="s">
        <v>2413</v>
      </c>
      <c r="L627" s="74">
        <v>847010</v>
      </c>
      <c r="M627" s="74" t="s">
        <v>61</v>
      </c>
      <c r="N627" s="74">
        <v>200179</v>
      </c>
      <c r="O627" s="37" t="str">
        <f t="shared" si="27"/>
        <v>847.8470540.1.429900.000000.847010.200179</v>
      </c>
      <c r="P627" s="75" t="s">
        <v>2361</v>
      </c>
      <c r="Q627" s="74" t="s">
        <v>1418</v>
      </c>
      <c r="R627" s="74">
        <v>1</v>
      </c>
      <c r="S627" s="74">
        <v>4000</v>
      </c>
      <c r="T627" s="74" t="s">
        <v>2583</v>
      </c>
      <c r="U627" s="76">
        <v>4000</v>
      </c>
      <c r="V627" s="74"/>
      <c r="W627" s="75"/>
      <c r="X627" s="77"/>
      <c r="Y627" s="70"/>
    </row>
    <row r="628" spans="1:25" s="39" customFormat="1" ht="14" customHeight="1" x14ac:dyDescent="0.35">
      <c r="A628" s="74" t="s">
        <v>161</v>
      </c>
      <c r="B628" s="74" t="s">
        <v>58</v>
      </c>
      <c r="C628" s="74" t="s">
        <v>47</v>
      </c>
      <c r="D628" s="74">
        <v>847</v>
      </c>
      <c r="E628" s="74">
        <v>8470540</v>
      </c>
      <c r="F628" s="74" t="s">
        <v>2557</v>
      </c>
      <c r="G628" s="74">
        <v>1</v>
      </c>
      <c r="H628" s="74">
        <v>430330</v>
      </c>
      <c r="I628" s="74" t="s">
        <v>2553</v>
      </c>
      <c r="J628" s="74" t="s">
        <v>60</v>
      </c>
      <c r="K628" s="74" t="s">
        <v>2413</v>
      </c>
      <c r="L628" s="74">
        <v>847010</v>
      </c>
      <c r="M628" s="74" t="s">
        <v>61</v>
      </c>
      <c r="N628" s="74">
        <v>200179</v>
      </c>
      <c r="O628" s="37" t="str">
        <f t="shared" si="27"/>
        <v>847.8470540.1.430330.000000.847010.200179</v>
      </c>
      <c r="P628" s="75" t="s">
        <v>2584</v>
      </c>
      <c r="Q628" s="74" t="s">
        <v>269</v>
      </c>
      <c r="R628" s="74">
        <v>1</v>
      </c>
      <c r="S628" s="74">
        <v>1100004</v>
      </c>
      <c r="T628" s="74" t="s">
        <v>2585</v>
      </c>
      <c r="U628" s="76">
        <v>1100004</v>
      </c>
      <c r="V628" s="74" t="s">
        <v>55</v>
      </c>
      <c r="W628" s="75" t="s">
        <v>56</v>
      </c>
      <c r="X628" s="77" t="s">
        <v>816</v>
      </c>
      <c r="Y628" s="70"/>
    </row>
    <row r="629" spans="1:25" s="39" customFormat="1" ht="14" customHeight="1" x14ac:dyDescent="0.35">
      <c r="A629" s="74" t="s">
        <v>161</v>
      </c>
      <c r="B629" s="74" t="s">
        <v>58</v>
      </c>
      <c r="C629" s="74" t="s">
        <v>47</v>
      </c>
      <c r="D629" s="74">
        <v>847</v>
      </c>
      <c r="E629" s="74">
        <v>8470540</v>
      </c>
      <c r="F629" s="74" t="s">
        <v>2557</v>
      </c>
      <c r="G629" s="74">
        <v>1</v>
      </c>
      <c r="H629" s="74">
        <v>430330</v>
      </c>
      <c r="I629" s="74" t="s">
        <v>2553</v>
      </c>
      <c r="J629" s="74" t="s">
        <v>60</v>
      </c>
      <c r="K629" s="74" t="s">
        <v>2413</v>
      </c>
      <c r="L629" s="74">
        <v>847010</v>
      </c>
      <c r="M629" s="74" t="s">
        <v>61</v>
      </c>
      <c r="N629" s="74">
        <v>200179</v>
      </c>
      <c r="O629" s="37" t="str">
        <f t="shared" si="27"/>
        <v>847.8470540.1.430330.000000.847010.200179</v>
      </c>
      <c r="P629" s="75" t="s">
        <v>2584</v>
      </c>
      <c r="Q629" s="74" t="s">
        <v>269</v>
      </c>
      <c r="R629" s="74">
        <v>1</v>
      </c>
      <c r="S629" s="74">
        <v>770120.77</v>
      </c>
      <c r="T629" s="74" t="s">
        <v>2586</v>
      </c>
      <c r="U629" s="76">
        <v>770120.77</v>
      </c>
      <c r="V629" s="74" t="s">
        <v>55</v>
      </c>
      <c r="W629" s="75" t="s">
        <v>56</v>
      </c>
      <c r="X629" s="77" t="s">
        <v>816</v>
      </c>
      <c r="Y629" s="70"/>
    </row>
    <row r="630" spans="1:25" s="39" customFormat="1" ht="14" customHeight="1" x14ac:dyDescent="0.35">
      <c r="A630" s="74" t="s">
        <v>161</v>
      </c>
      <c r="B630" s="74" t="s">
        <v>58</v>
      </c>
      <c r="C630" s="74" t="s">
        <v>47</v>
      </c>
      <c r="D630" s="74">
        <v>847</v>
      </c>
      <c r="E630" s="74">
        <v>8470540</v>
      </c>
      <c r="F630" s="74" t="s">
        <v>2557</v>
      </c>
      <c r="G630" s="74">
        <v>1</v>
      </c>
      <c r="H630" s="74">
        <v>432540</v>
      </c>
      <c r="I630" s="74" t="s">
        <v>2554</v>
      </c>
      <c r="J630" s="74" t="s">
        <v>60</v>
      </c>
      <c r="K630" s="74" t="s">
        <v>2413</v>
      </c>
      <c r="L630" s="74">
        <v>847010</v>
      </c>
      <c r="M630" s="74" t="s">
        <v>61</v>
      </c>
      <c r="N630" s="74">
        <v>200179</v>
      </c>
      <c r="O630" s="37" t="str">
        <f t="shared" si="27"/>
        <v>847.8470540.1.432540.000000.847010.200179</v>
      </c>
      <c r="P630" s="75" t="s">
        <v>2693</v>
      </c>
      <c r="Q630" s="74" t="s">
        <v>2588</v>
      </c>
      <c r="R630" s="74">
        <v>1</v>
      </c>
      <c r="S630" s="74">
        <v>140000</v>
      </c>
      <c r="T630" s="74" t="s">
        <v>2589</v>
      </c>
      <c r="U630" s="76">
        <v>140000</v>
      </c>
      <c r="V630" s="74" t="s">
        <v>55</v>
      </c>
      <c r="W630" s="75" t="s">
        <v>56</v>
      </c>
      <c r="X630" s="77" t="s">
        <v>816</v>
      </c>
      <c r="Y630" s="70"/>
    </row>
    <row r="631" spans="1:25" s="39" customFormat="1" ht="14" customHeight="1" x14ac:dyDescent="0.35">
      <c r="A631" s="74" t="s">
        <v>189</v>
      </c>
      <c r="B631" s="74" t="s">
        <v>58</v>
      </c>
      <c r="C631" s="74" t="s">
        <v>47</v>
      </c>
      <c r="D631" s="74">
        <v>847</v>
      </c>
      <c r="E631" s="74">
        <v>8470540</v>
      </c>
      <c r="F631" s="74" t="s">
        <v>2557</v>
      </c>
      <c r="G631" s="74">
        <v>1</v>
      </c>
      <c r="H631" s="74">
        <v>435410</v>
      </c>
      <c r="I631" s="74" t="s">
        <v>2590</v>
      </c>
      <c r="J631" s="74" t="s">
        <v>60</v>
      </c>
      <c r="K631" s="74" t="s">
        <v>2093</v>
      </c>
      <c r="L631" s="74">
        <v>847020</v>
      </c>
      <c r="M631" s="74" t="s">
        <v>61</v>
      </c>
      <c r="N631" s="74">
        <v>200179</v>
      </c>
      <c r="O631" s="37" t="str">
        <f t="shared" si="27"/>
        <v>847.8470540.1.435410.000000.847020.200179</v>
      </c>
      <c r="P631" s="75" t="s">
        <v>2591</v>
      </c>
      <c r="Q631" s="74" t="s">
        <v>157</v>
      </c>
      <c r="R631" s="74">
        <v>1</v>
      </c>
      <c r="S631" s="74">
        <v>840000</v>
      </c>
      <c r="T631" s="74" t="s">
        <v>2592</v>
      </c>
      <c r="U631" s="76">
        <v>840000</v>
      </c>
      <c r="V631" s="74" t="s">
        <v>55</v>
      </c>
      <c r="W631" s="75" t="s">
        <v>56</v>
      </c>
      <c r="X631" s="77" t="s">
        <v>816</v>
      </c>
      <c r="Y631" s="70"/>
    </row>
    <row r="632" spans="1:25" s="39" customFormat="1" ht="14" customHeight="1" x14ac:dyDescent="0.35">
      <c r="A632" s="74" t="s">
        <v>161</v>
      </c>
      <c r="B632" s="74" t="s">
        <v>58</v>
      </c>
      <c r="C632" s="74" t="s">
        <v>47</v>
      </c>
      <c r="D632" s="74">
        <v>847</v>
      </c>
      <c r="E632" s="74">
        <v>8470540</v>
      </c>
      <c r="F632" s="74" t="s">
        <v>2557</v>
      </c>
      <c r="G632" s="74">
        <v>1</v>
      </c>
      <c r="H632" s="74">
        <v>435740</v>
      </c>
      <c r="I632" s="74" t="s">
        <v>2593</v>
      </c>
      <c r="J632" s="74" t="s">
        <v>60</v>
      </c>
      <c r="K632" s="74" t="s">
        <v>2413</v>
      </c>
      <c r="L632" s="74">
        <v>847010</v>
      </c>
      <c r="M632" s="74" t="s">
        <v>61</v>
      </c>
      <c r="N632" s="74">
        <v>200179</v>
      </c>
      <c r="O632" s="37" t="str">
        <f t="shared" si="27"/>
        <v>847.8470540.1.435740.000000.847010.200179</v>
      </c>
      <c r="P632" s="75" t="s">
        <v>2594</v>
      </c>
      <c r="Q632" s="74" t="s">
        <v>2595</v>
      </c>
      <c r="R632" s="74">
        <v>1</v>
      </c>
      <c r="S632" s="74">
        <v>336000</v>
      </c>
      <c r="T632" s="74" t="s">
        <v>2596</v>
      </c>
      <c r="U632" s="76">
        <v>336000</v>
      </c>
      <c r="V632" s="74" t="s">
        <v>55</v>
      </c>
      <c r="W632" s="75" t="s">
        <v>56</v>
      </c>
      <c r="X632" s="77" t="s">
        <v>816</v>
      </c>
      <c r="Y632" s="70"/>
    </row>
    <row r="633" spans="1:25" s="39" customFormat="1" ht="14" customHeight="1" x14ac:dyDescent="0.35">
      <c r="A633" s="74" t="s">
        <v>161</v>
      </c>
      <c r="B633" s="74" t="s">
        <v>58</v>
      </c>
      <c r="C633" s="74" t="s">
        <v>47</v>
      </c>
      <c r="D633" s="74">
        <v>847</v>
      </c>
      <c r="E633" s="74">
        <v>8470540</v>
      </c>
      <c r="F633" s="74" t="s">
        <v>2557</v>
      </c>
      <c r="G633" s="74">
        <v>1</v>
      </c>
      <c r="H633" s="74">
        <v>426250</v>
      </c>
      <c r="I633" s="74" t="s">
        <v>2442</v>
      </c>
      <c r="J633" s="74" t="s">
        <v>60</v>
      </c>
      <c r="K633" s="74" t="s">
        <v>2413</v>
      </c>
      <c r="L633" s="74">
        <v>847010</v>
      </c>
      <c r="M633" s="74" t="s">
        <v>61</v>
      </c>
      <c r="N633" s="74">
        <v>200179</v>
      </c>
      <c r="O633" s="37" t="str">
        <f t="shared" si="27"/>
        <v>847.8470540.1.426250.000000.847010.200179</v>
      </c>
      <c r="P633" s="75" t="s">
        <v>2597</v>
      </c>
      <c r="Q633" s="74" t="s">
        <v>269</v>
      </c>
      <c r="R633" s="74">
        <v>1</v>
      </c>
      <c r="S633" s="74">
        <v>50000</v>
      </c>
      <c r="T633" s="74" t="s">
        <v>2598</v>
      </c>
      <c r="U633" s="76">
        <v>50000</v>
      </c>
      <c r="V633" s="74" t="s">
        <v>55</v>
      </c>
      <c r="W633" s="75" t="s">
        <v>56</v>
      </c>
      <c r="X633" s="77" t="s">
        <v>816</v>
      </c>
      <c r="Y633" s="70"/>
    </row>
    <row r="634" spans="1:25" s="39" customFormat="1" ht="14" customHeight="1" x14ac:dyDescent="0.35">
      <c r="A634" s="74" t="s">
        <v>189</v>
      </c>
      <c r="B634" s="74" t="s">
        <v>58</v>
      </c>
      <c r="C634" s="74" t="s">
        <v>47</v>
      </c>
      <c r="D634" s="74">
        <v>847</v>
      </c>
      <c r="E634" s="74">
        <v>8470540</v>
      </c>
      <c r="F634" s="74" t="s">
        <v>2557</v>
      </c>
      <c r="G634" s="74">
        <v>1</v>
      </c>
      <c r="H634" s="74">
        <v>436110</v>
      </c>
      <c r="I634" s="74" t="s">
        <v>190</v>
      </c>
      <c r="J634" s="74" t="s">
        <v>60</v>
      </c>
      <c r="K634" s="74" t="s">
        <v>2413</v>
      </c>
      <c r="L634" s="74">
        <v>847010</v>
      </c>
      <c r="M634" s="74" t="s">
        <v>61</v>
      </c>
      <c r="N634" s="74">
        <v>200179</v>
      </c>
      <c r="O634" s="37" t="str">
        <f t="shared" si="27"/>
        <v>847.8470540.1.436110.000000.847010.200179</v>
      </c>
      <c r="P634" s="75" t="s">
        <v>488</v>
      </c>
      <c r="Q634" s="74" t="s">
        <v>157</v>
      </c>
      <c r="R634" s="74">
        <v>1</v>
      </c>
      <c r="S634" s="74">
        <v>85700</v>
      </c>
      <c r="T634" s="74" t="s">
        <v>2599</v>
      </c>
      <c r="U634" s="76">
        <v>85700</v>
      </c>
      <c r="V634" s="74" t="s">
        <v>55</v>
      </c>
      <c r="W634" s="75" t="s">
        <v>56</v>
      </c>
      <c r="X634" s="77" t="s">
        <v>816</v>
      </c>
      <c r="Y634" s="70"/>
    </row>
    <row r="635" spans="1:25" s="39" customFormat="1" ht="14" customHeight="1" x14ac:dyDescent="0.35">
      <c r="A635" s="74" t="s">
        <v>222</v>
      </c>
      <c r="B635" s="74" t="s">
        <v>58</v>
      </c>
      <c r="C635" s="74" t="s">
        <v>2711</v>
      </c>
      <c r="D635" s="74">
        <v>847</v>
      </c>
      <c r="E635" s="74">
        <v>8470110</v>
      </c>
      <c r="F635" s="74" t="s">
        <v>2712</v>
      </c>
      <c r="G635" s="74">
        <v>1</v>
      </c>
      <c r="H635" s="74">
        <v>420550</v>
      </c>
      <c r="I635" s="74" t="s">
        <v>225</v>
      </c>
      <c r="J635" s="74" t="s">
        <v>60</v>
      </c>
      <c r="K635" s="74" t="s">
        <v>50</v>
      </c>
      <c r="L635" s="74">
        <v>847001</v>
      </c>
      <c r="M635" s="74" t="s">
        <v>61</v>
      </c>
      <c r="N635" s="74">
        <v>200179</v>
      </c>
      <c r="O635" s="37" t="str">
        <f t="shared" si="27"/>
        <v>847.8470110.1.420550.000000.847001.200179</v>
      </c>
      <c r="P635" s="75" t="s">
        <v>227</v>
      </c>
      <c r="Q635" s="74" t="s">
        <v>157</v>
      </c>
      <c r="R635" s="74">
        <v>1</v>
      </c>
      <c r="S635" s="74">
        <v>100000</v>
      </c>
      <c r="T635" s="74" t="s">
        <v>2714</v>
      </c>
      <c r="U635" s="76">
        <v>100000</v>
      </c>
      <c r="V635" s="74" t="s">
        <v>210</v>
      </c>
      <c r="W635" s="75" t="s">
        <v>197</v>
      </c>
      <c r="X635" s="77" t="s">
        <v>237</v>
      </c>
      <c r="Y635" s="70"/>
    </row>
    <row r="636" spans="1:25" s="39" customFormat="1" ht="14" customHeight="1" x14ac:dyDescent="0.35">
      <c r="A636" s="74" t="s">
        <v>222</v>
      </c>
      <c r="B636" s="74" t="s">
        <v>58</v>
      </c>
      <c r="C636" s="74" t="s">
        <v>2711</v>
      </c>
      <c r="D636" s="74">
        <v>847</v>
      </c>
      <c r="E636" s="74">
        <v>8470110</v>
      </c>
      <c r="F636" s="74" t="s">
        <v>2712</v>
      </c>
      <c r="G636" s="74">
        <v>1</v>
      </c>
      <c r="H636" s="74">
        <v>420570</v>
      </c>
      <c r="I636" s="74" t="s">
        <v>231</v>
      </c>
      <c r="J636" s="74" t="s">
        <v>60</v>
      </c>
      <c r="K636" s="74" t="s">
        <v>50</v>
      </c>
      <c r="L636" s="74">
        <v>847001</v>
      </c>
      <c r="M636" s="74" t="s">
        <v>61</v>
      </c>
      <c r="N636" s="74">
        <v>200179</v>
      </c>
      <c r="O636" s="37" t="str">
        <f t="shared" si="27"/>
        <v>847.8470110.1.420570.000000.847001.200179</v>
      </c>
      <c r="P636" s="75" t="s">
        <v>233</v>
      </c>
      <c r="Q636" s="74" t="s">
        <v>234</v>
      </c>
      <c r="R636" s="74">
        <v>1</v>
      </c>
      <c r="S636" s="74">
        <v>5000000</v>
      </c>
      <c r="T636" s="74" t="s">
        <v>2364</v>
      </c>
      <c r="U636" s="76">
        <v>5000000</v>
      </c>
      <c r="V636" s="74" t="s">
        <v>210</v>
      </c>
      <c r="W636" s="75" t="s">
        <v>197</v>
      </c>
      <c r="X636" s="77" t="s">
        <v>237</v>
      </c>
      <c r="Y636" s="70"/>
    </row>
    <row r="637" spans="1:25" s="39" customFormat="1" ht="14" customHeight="1" x14ac:dyDescent="0.35">
      <c r="A637" s="74" t="s">
        <v>71</v>
      </c>
      <c r="B637" s="74" t="s">
        <v>1010</v>
      </c>
      <c r="C637" s="74" t="s">
        <v>2711</v>
      </c>
      <c r="D637" s="74">
        <v>847</v>
      </c>
      <c r="E637" s="74">
        <v>8470110</v>
      </c>
      <c r="F637" s="74" t="s">
        <v>2712</v>
      </c>
      <c r="G637" s="74">
        <v>1</v>
      </c>
      <c r="H637" s="74">
        <v>421000</v>
      </c>
      <c r="I637" s="74" t="s">
        <v>1011</v>
      </c>
      <c r="J637" s="74" t="s">
        <v>60</v>
      </c>
      <c r="K637" s="74" t="s">
        <v>50</v>
      </c>
      <c r="L637" s="74">
        <v>847001</v>
      </c>
      <c r="M637" s="74" t="s">
        <v>61</v>
      </c>
      <c r="N637" s="74">
        <v>200179</v>
      </c>
      <c r="O637" s="37" t="str">
        <f t="shared" si="27"/>
        <v>847.8470110.1.421000.000000.847001.200179</v>
      </c>
      <c r="P637" s="75" t="s">
        <v>1013</v>
      </c>
      <c r="Q637" s="74" t="s">
        <v>269</v>
      </c>
      <c r="R637" s="74">
        <v>1</v>
      </c>
      <c r="S637" s="74">
        <v>200000</v>
      </c>
      <c r="T637" s="74" t="s">
        <v>2718</v>
      </c>
      <c r="U637" s="76">
        <v>200000</v>
      </c>
      <c r="V637" s="74" t="s">
        <v>210</v>
      </c>
      <c r="W637" s="75" t="s">
        <v>197</v>
      </c>
      <c r="X637" s="77" t="s">
        <v>365</v>
      </c>
      <c r="Y637" s="70"/>
    </row>
    <row r="638" spans="1:25" s="39" customFormat="1" ht="14" customHeight="1" x14ac:dyDescent="0.35">
      <c r="A638" s="74" t="s">
        <v>245</v>
      </c>
      <c r="B638" s="74" t="s">
        <v>246</v>
      </c>
      <c r="C638" s="74" t="s">
        <v>2711</v>
      </c>
      <c r="D638" s="74">
        <v>847</v>
      </c>
      <c r="E638" s="74">
        <v>8470110</v>
      </c>
      <c r="F638" s="74" t="s">
        <v>2712</v>
      </c>
      <c r="G638" s="74">
        <v>1</v>
      </c>
      <c r="H638" s="74">
        <v>425510</v>
      </c>
      <c r="I638" s="74" t="s">
        <v>247</v>
      </c>
      <c r="J638" s="74" t="s">
        <v>60</v>
      </c>
      <c r="K638" s="74" t="s">
        <v>50</v>
      </c>
      <c r="L638" s="74">
        <v>847001</v>
      </c>
      <c r="M638" s="74" t="s">
        <v>61</v>
      </c>
      <c r="N638" s="74">
        <v>200179</v>
      </c>
      <c r="O638" s="37" t="str">
        <f t="shared" si="27"/>
        <v>847.8470110.1.425510.000000.847001.200179</v>
      </c>
      <c r="P638" s="75" t="s">
        <v>344</v>
      </c>
      <c r="Q638" s="74" t="s">
        <v>256</v>
      </c>
      <c r="R638" s="74">
        <v>1</v>
      </c>
      <c r="S638" s="74">
        <v>300000</v>
      </c>
      <c r="T638" s="74" t="s">
        <v>2720</v>
      </c>
      <c r="U638" s="76">
        <v>300000</v>
      </c>
      <c r="V638" s="74" t="s">
        <v>55</v>
      </c>
      <c r="W638" s="75" t="s">
        <v>56</v>
      </c>
      <c r="X638" s="77" t="s">
        <v>379</v>
      </c>
      <c r="Y638" s="70"/>
    </row>
    <row r="639" spans="1:25" s="39" customFormat="1" ht="14" customHeight="1" x14ac:dyDescent="0.35">
      <c r="A639" s="74" t="s">
        <v>245</v>
      </c>
      <c r="B639" s="74" t="s">
        <v>58</v>
      </c>
      <c r="C639" s="74" t="s">
        <v>2711</v>
      </c>
      <c r="D639" s="74">
        <v>847</v>
      </c>
      <c r="E639" s="74">
        <v>8470110</v>
      </c>
      <c r="F639" s="74" t="s">
        <v>2712</v>
      </c>
      <c r="G639" s="74">
        <v>1</v>
      </c>
      <c r="H639" s="74">
        <v>425550</v>
      </c>
      <c r="I639" s="74" t="s">
        <v>253</v>
      </c>
      <c r="J639" s="74" t="s">
        <v>60</v>
      </c>
      <c r="K639" s="74" t="s">
        <v>50</v>
      </c>
      <c r="L639" s="74">
        <v>847001</v>
      </c>
      <c r="M639" s="74" t="s">
        <v>61</v>
      </c>
      <c r="N639" s="74">
        <v>200179</v>
      </c>
      <c r="O639" s="37" t="str">
        <f t="shared" si="27"/>
        <v>847.8470110.1.425550.000000.847001.200179</v>
      </c>
      <c r="P639" s="75" t="s">
        <v>255</v>
      </c>
      <c r="Q639" s="74" t="s">
        <v>256</v>
      </c>
      <c r="R639" s="74">
        <v>1</v>
      </c>
      <c r="S639" s="74">
        <v>300000</v>
      </c>
      <c r="T639" s="74" t="s">
        <v>2722</v>
      </c>
      <c r="U639" s="76">
        <v>300000</v>
      </c>
      <c r="V639" s="74" t="s">
        <v>55</v>
      </c>
      <c r="W639" s="75" t="s">
        <v>56</v>
      </c>
      <c r="X639" s="77" t="s">
        <v>379</v>
      </c>
      <c r="Y639" s="70"/>
    </row>
    <row r="640" spans="1:25" s="39" customFormat="1" ht="14" customHeight="1" x14ac:dyDescent="0.35">
      <c r="A640" s="74" t="s">
        <v>189</v>
      </c>
      <c r="B640" s="74" t="s">
        <v>265</v>
      </c>
      <c r="C640" s="74" t="s">
        <v>2711</v>
      </c>
      <c r="D640" s="74">
        <v>847</v>
      </c>
      <c r="E640" s="74">
        <v>8470110</v>
      </c>
      <c r="F640" s="74" t="s">
        <v>2712</v>
      </c>
      <c r="G640" s="74">
        <v>1</v>
      </c>
      <c r="H640" s="74">
        <v>425900</v>
      </c>
      <c r="I640" s="74" t="s">
        <v>266</v>
      </c>
      <c r="J640" s="74" t="s">
        <v>60</v>
      </c>
      <c r="K640" s="74" t="s">
        <v>50</v>
      </c>
      <c r="L640" s="74">
        <v>847001</v>
      </c>
      <c r="M640" s="74" t="s">
        <v>61</v>
      </c>
      <c r="N640" s="74">
        <v>200179</v>
      </c>
      <c r="O640" s="37" t="str">
        <f t="shared" si="27"/>
        <v>847.8470110.1.425900.000000.847001.200179</v>
      </c>
      <c r="P640" s="75" t="s">
        <v>268</v>
      </c>
      <c r="Q640" s="74" t="s">
        <v>269</v>
      </c>
      <c r="R640" s="74">
        <v>1</v>
      </c>
      <c r="S640" s="74">
        <v>50000</v>
      </c>
      <c r="T640" s="74" t="s">
        <v>2724</v>
      </c>
      <c r="U640" s="76">
        <v>50000</v>
      </c>
      <c r="V640" s="74" t="s">
        <v>55</v>
      </c>
      <c r="W640" s="75" t="s">
        <v>56</v>
      </c>
      <c r="X640" s="77" t="s">
        <v>379</v>
      </c>
      <c r="Y640" s="70"/>
    </row>
    <row r="641" spans="1:25" s="39" customFormat="1" ht="14" customHeight="1" x14ac:dyDescent="0.35">
      <c r="A641" s="74" t="s">
        <v>153</v>
      </c>
      <c r="B641" s="74" t="s">
        <v>58</v>
      </c>
      <c r="C641" s="74" t="s">
        <v>2711</v>
      </c>
      <c r="D641" s="74">
        <v>847</v>
      </c>
      <c r="E641" s="74">
        <v>8470110</v>
      </c>
      <c r="F641" s="74" t="s">
        <v>2712</v>
      </c>
      <c r="G641" s="74">
        <v>1</v>
      </c>
      <c r="H641" s="74">
        <v>428090</v>
      </c>
      <c r="I641" s="74" t="s">
        <v>154</v>
      </c>
      <c r="J641" s="74" t="s">
        <v>60</v>
      </c>
      <c r="K641" s="74" t="s">
        <v>50</v>
      </c>
      <c r="L641" s="74">
        <v>847001</v>
      </c>
      <c r="M641" s="74" t="s">
        <v>61</v>
      </c>
      <c r="N641" s="74">
        <v>200179</v>
      </c>
      <c r="O641" s="37" t="str">
        <f t="shared" si="27"/>
        <v>847.8470110.1.428090.000000.847001.200179</v>
      </c>
      <c r="P641" s="75" t="s">
        <v>156</v>
      </c>
      <c r="Q641" s="74" t="s">
        <v>157</v>
      </c>
      <c r="R641" s="74">
        <v>1</v>
      </c>
      <c r="S641" s="74">
        <v>1000000</v>
      </c>
      <c r="T641" s="74" t="s">
        <v>2358</v>
      </c>
      <c r="U641" s="76">
        <v>1000000</v>
      </c>
      <c r="V641" s="74" t="s">
        <v>210</v>
      </c>
      <c r="W641" s="75" t="s">
        <v>197</v>
      </c>
      <c r="X641" s="77" t="s">
        <v>237</v>
      </c>
      <c r="Y641" s="70"/>
    </row>
    <row r="642" spans="1:25" s="39" customFormat="1" ht="14" customHeight="1" x14ac:dyDescent="0.35">
      <c r="A642" s="74" t="s">
        <v>1242</v>
      </c>
      <c r="B642" s="74" t="s">
        <v>58</v>
      </c>
      <c r="C642" s="74" t="s">
        <v>2711</v>
      </c>
      <c r="D642" s="74">
        <v>847</v>
      </c>
      <c r="E642" s="74">
        <v>8470110</v>
      </c>
      <c r="F642" s="74" t="s">
        <v>2712</v>
      </c>
      <c r="G642" s="74">
        <v>1</v>
      </c>
      <c r="H642" s="74">
        <v>428400</v>
      </c>
      <c r="I642" s="74" t="s">
        <v>2726</v>
      </c>
      <c r="J642" s="74" t="s">
        <v>60</v>
      </c>
      <c r="K642" s="74" t="s">
        <v>50</v>
      </c>
      <c r="L642" s="74">
        <v>847001</v>
      </c>
      <c r="M642" s="74" t="s">
        <v>61</v>
      </c>
      <c r="N642" s="74">
        <v>200179</v>
      </c>
      <c r="O642" s="37" t="str">
        <f t="shared" si="27"/>
        <v>847.8470110.1.428400.000000.847001.200179</v>
      </c>
      <c r="P642" s="75" t="s">
        <v>2728</v>
      </c>
      <c r="Q642" s="74" t="s">
        <v>2729</v>
      </c>
      <c r="R642" s="74">
        <v>1</v>
      </c>
      <c r="S642" s="74">
        <v>50000</v>
      </c>
      <c r="T642" s="74" t="s">
        <v>2730</v>
      </c>
      <c r="U642" s="76">
        <v>50000</v>
      </c>
      <c r="V642" s="74" t="s">
        <v>210</v>
      </c>
      <c r="W642" s="75" t="s">
        <v>197</v>
      </c>
      <c r="X642" s="77" t="s">
        <v>237</v>
      </c>
      <c r="Y642" s="70"/>
    </row>
    <row r="643" spans="1:25" s="39" customFormat="1" ht="14" customHeight="1" x14ac:dyDescent="0.35">
      <c r="A643" s="74" t="s">
        <v>245</v>
      </c>
      <c r="B643" s="74" t="s">
        <v>246</v>
      </c>
      <c r="C643" s="74" t="s">
        <v>2711</v>
      </c>
      <c r="D643" s="74">
        <v>847</v>
      </c>
      <c r="E643" s="74">
        <v>8470110</v>
      </c>
      <c r="F643" s="74" t="s">
        <v>2712</v>
      </c>
      <c r="G643" s="74">
        <v>1</v>
      </c>
      <c r="H643" s="74">
        <v>428640</v>
      </c>
      <c r="I643" s="74" t="s">
        <v>279</v>
      </c>
      <c r="J643" s="74" t="s">
        <v>60</v>
      </c>
      <c r="K643" s="74" t="s">
        <v>50</v>
      </c>
      <c r="L643" s="74">
        <v>847001</v>
      </c>
      <c r="M643" s="74" t="s">
        <v>61</v>
      </c>
      <c r="N643" s="74">
        <v>200179</v>
      </c>
      <c r="O643" s="37" t="str">
        <f t="shared" ref="O643:O658" si="28">CONCATENATE(D643,".",E643,".",G643,".",H643,".",J643,".",L643,".",N643)</f>
        <v>847.8470110.1.428640.000000.847001.200179</v>
      </c>
      <c r="P643" s="75" t="s">
        <v>1452</v>
      </c>
      <c r="Q643" s="74" t="s">
        <v>269</v>
      </c>
      <c r="R643" s="74">
        <v>1</v>
      </c>
      <c r="S643" s="74">
        <v>50000</v>
      </c>
      <c r="T643" s="74" t="s">
        <v>2732</v>
      </c>
      <c r="U643" s="76">
        <v>50000</v>
      </c>
      <c r="V643" s="74" t="s">
        <v>55</v>
      </c>
      <c r="W643" s="75" t="s">
        <v>56</v>
      </c>
      <c r="X643" s="77" t="s">
        <v>379</v>
      </c>
      <c r="Y643" s="70"/>
    </row>
    <row r="644" spans="1:25" s="39" customFormat="1" ht="14" customHeight="1" x14ac:dyDescent="0.35">
      <c r="A644" s="74" t="s">
        <v>189</v>
      </c>
      <c r="B644" s="74" t="s">
        <v>58</v>
      </c>
      <c r="C644" s="74" t="s">
        <v>2711</v>
      </c>
      <c r="D644" s="74">
        <v>847</v>
      </c>
      <c r="E644" s="74">
        <v>8470120</v>
      </c>
      <c r="F644" s="74" t="s">
        <v>2733</v>
      </c>
      <c r="G644" s="74">
        <v>1</v>
      </c>
      <c r="H644" s="74">
        <v>420120</v>
      </c>
      <c r="I644" s="74" t="s">
        <v>2734</v>
      </c>
      <c r="J644" s="74" t="s">
        <v>60</v>
      </c>
      <c r="K644" s="74" t="s">
        <v>50</v>
      </c>
      <c r="L644" s="74">
        <v>847001</v>
      </c>
      <c r="M644" s="74" t="s">
        <v>61</v>
      </c>
      <c r="N644" s="74">
        <v>200179</v>
      </c>
      <c r="O644" s="37" t="str">
        <f t="shared" si="28"/>
        <v>847.8470120.1.420120.000000.847001.200179</v>
      </c>
      <c r="P644" s="75" t="s">
        <v>2736</v>
      </c>
      <c r="Q644" s="74" t="s">
        <v>157</v>
      </c>
      <c r="R644" s="74">
        <v>7</v>
      </c>
      <c r="S644" s="74">
        <v>70000</v>
      </c>
      <c r="T644" s="74" t="s">
        <v>2737</v>
      </c>
      <c r="U644" s="76">
        <v>490000</v>
      </c>
      <c r="V644" s="74" t="s">
        <v>55</v>
      </c>
      <c r="W644" s="75" t="s">
        <v>56</v>
      </c>
      <c r="X644" s="77" t="s">
        <v>348</v>
      </c>
      <c r="Y644" s="70"/>
    </row>
    <row r="645" spans="1:25" s="39" customFormat="1" ht="14" customHeight="1" x14ac:dyDescent="0.35">
      <c r="A645" s="74" t="s">
        <v>189</v>
      </c>
      <c r="B645" s="74" t="s">
        <v>58</v>
      </c>
      <c r="C645" s="74" t="s">
        <v>2711</v>
      </c>
      <c r="D645" s="74">
        <v>847</v>
      </c>
      <c r="E645" s="74">
        <v>8470120</v>
      </c>
      <c r="F645" s="74" t="s">
        <v>2733</v>
      </c>
      <c r="G645" s="74">
        <v>1</v>
      </c>
      <c r="H645" s="74">
        <v>420120</v>
      </c>
      <c r="I645" s="74" t="s">
        <v>694</v>
      </c>
      <c r="J645" s="74" t="s">
        <v>60</v>
      </c>
      <c r="K645" s="74" t="s">
        <v>50</v>
      </c>
      <c r="L645" s="74">
        <v>847001</v>
      </c>
      <c r="M645" s="74" t="s">
        <v>61</v>
      </c>
      <c r="N645" s="74">
        <v>200179</v>
      </c>
      <c r="O645" s="37" t="str">
        <f t="shared" si="28"/>
        <v>847.8470120.1.420120.000000.847001.200179</v>
      </c>
      <c r="P645" s="75" t="s">
        <v>274</v>
      </c>
      <c r="Q645" s="74" t="s">
        <v>157</v>
      </c>
      <c r="R645" s="74">
        <v>1</v>
      </c>
      <c r="S645" s="74">
        <v>24889</v>
      </c>
      <c r="T645" s="74" t="s">
        <v>2780</v>
      </c>
      <c r="U645" s="76">
        <v>24889</v>
      </c>
      <c r="V645" s="74" t="s">
        <v>55</v>
      </c>
      <c r="W645" s="75" t="s">
        <v>56</v>
      </c>
      <c r="X645" s="77" t="s">
        <v>816</v>
      </c>
      <c r="Y645" s="70"/>
    </row>
    <row r="646" spans="1:25" s="39" customFormat="1" ht="14" customHeight="1" x14ac:dyDescent="0.35">
      <c r="A646" s="74" t="s">
        <v>71</v>
      </c>
      <c r="B646" s="74" t="s">
        <v>1010</v>
      </c>
      <c r="C646" s="74" t="s">
        <v>2711</v>
      </c>
      <c r="D646" s="74">
        <v>847</v>
      </c>
      <c r="E646" s="74">
        <v>8470121</v>
      </c>
      <c r="F646" s="74" t="s">
        <v>2744</v>
      </c>
      <c r="G646" s="74">
        <v>1</v>
      </c>
      <c r="H646" s="74">
        <v>421000</v>
      </c>
      <c r="I646" s="74" t="s">
        <v>1011</v>
      </c>
      <c r="J646" s="74" t="s">
        <v>60</v>
      </c>
      <c r="K646" s="74" t="s">
        <v>50</v>
      </c>
      <c r="L646" s="74">
        <v>847001</v>
      </c>
      <c r="M646" s="74" t="s">
        <v>61</v>
      </c>
      <c r="N646" s="74">
        <v>200179</v>
      </c>
      <c r="O646" s="37" t="str">
        <f t="shared" si="28"/>
        <v>847.8470121.1.421000.000000.847001.200179</v>
      </c>
      <c r="P646" s="75" t="s">
        <v>2746</v>
      </c>
      <c r="Q646" s="74" t="s">
        <v>1109</v>
      </c>
      <c r="R646" s="74">
        <v>2</v>
      </c>
      <c r="S646" s="74">
        <v>27500</v>
      </c>
      <c r="T646" s="74" t="s">
        <v>2747</v>
      </c>
      <c r="U646" s="76">
        <v>55000</v>
      </c>
      <c r="V646" s="74" t="s">
        <v>55</v>
      </c>
      <c r="W646" s="75" t="s">
        <v>56</v>
      </c>
      <c r="X646" s="77" t="s">
        <v>816</v>
      </c>
      <c r="Y646" s="70"/>
    </row>
    <row r="647" spans="1:25" s="39" customFormat="1" ht="14" customHeight="1" x14ac:dyDescent="0.35">
      <c r="A647" s="74" t="s">
        <v>189</v>
      </c>
      <c r="B647" s="74" t="s">
        <v>265</v>
      </c>
      <c r="C647" s="74" t="s">
        <v>2711</v>
      </c>
      <c r="D647" s="74">
        <v>847</v>
      </c>
      <c r="E647" s="74">
        <v>8470121</v>
      </c>
      <c r="F647" s="74" t="s">
        <v>2744</v>
      </c>
      <c r="G647" s="74">
        <v>1</v>
      </c>
      <c r="H647" s="74">
        <v>425900</v>
      </c>
      <c r="I647" s="74" t="s">
        <v>266</v>
      </c>
      <c r="J647" s="74" t="s">
        <v>60</v>
      </c>
      <c r="K647" s="74" t="s">
        <v>50</v>
      </c>
      <c r="L647" s="74">
        <v>847001</v>
      </c>
      <c r="M647" s="74" t="s">
        <v>61</v>
      </c>
      <c r="N647" s="74">
        <v>200179</v>
      </c>
      <c r="O647" s="37" t="str">
        <f t="shared" si="28"/>
        <v>847.8470121.1.425900.000000.847001.200179</v>
      </c>
      <c r="P647" s="75" t="s">
        <v>268</v>
      </c>
      <c r="Q647" s="74" t="s">
        <v>269</v>
      </c>
      <c r="R647" s="74">
        <v>5</v>
      </c>
      <c r="S647" s="74">
        <v>3300</v>
      </c>
      <c r="T647" s="74" t="s">
        <v>2751</v>
      </c>
      <c r="U647" s="76">
        <v>16500</v>
      </c>
      <c r="V647" s="74" t="s">
        <v>55</v>
      </c>
      <c r="W647" s="75" t="s">
        <v>56</v>
      </c>
      <c r="X647" s="77" t="s">
        <v>816</v>
      </c>
      <c r="Y647" s="70"/>
    </row>
    <row r="648" spans="1:25" s="39" customFormat="1" ht="14" customHeight="1" x14ac:dyDescent="0.35">
      <c r="A648" s="74" t="s">
        <v>71</v>
      </c>
      <c r="B648" s="74" t="s">
        <v>1010</v>
      </c>
      <c r="C648" s="74" t="s">
        <v>2711</v>
      </c>
      <c r="D648" s="74">
        <v>847</v>
      </c>
      <c r="E648" s="74">
        <v>8470121</v>
      </c>
      <c r="F648" s="74" t="s">
        <v>2744</v>
      </c>
      <c r="G648" s="74">
        <v>1</v>
      </c>
      <c r="H648" s="74">
        <v>421000</v>
      </c>
      <c r="I648" s="74" t="s">
        <v>1011</v>
      </c>
      <c r="J648" s="74" t="s">
        <v>60</v>
      </c>
      <c r="K648" s="74" t="s">
        <v>50</v>
      </c>
      <c r="L648" s="74">
        <v>847001</v>
      </c>
      <c r="M648" s="74" t="s">
        <v>61</v>
      </c>
      <c r="N648" s="74">
        <v>200179</v>
      </c>
      <c r="O648" s="37" t="str">
        <f t="shared" si="28"/>
        <v>847.8470121.1.421000.000000.847001.200179</v>
      </c>
      <c r="P648" s="75" t="s">
        <v>2753</v>
      </c>
      <c r="Q648" s="74" t="s">
        <v>1109</v>
      </c>
      <c r="R648" s="74">
        <v>5</v>
      </c>
      <c r="S648" s="74">
        <v>22000</v>
      </c>
      <c r="T648" s="74" t="s">
        <v>2754</v>
      </c>
      <c r="U648" s="76">
        <v>110000</v>
      </c>
      <c r="V648" s="74" t="s">
        <v>55</v>
      </c>
      <c r="W648" s="75" t="s">
        <v>56</v>
      </c>
      <c r="X648" s="77" t="s">
        <v>816</v>
      </c>
      <c r="Y648" s="70"/>
    </row>
    <row r="649" spans="1:25" s="39" customFormat="1" ht="14" customHeight="1" x14ac:dyDescent="0.35">
      <c r="A649" s="74" t="s">
        <v>222</v>
      </c>
      <c r="B649" s="74" t="s">
        <v>238</v>
      </c>
      <c r="C649" s="74" t="s">
        <v>2711</v>
      </c>
      <c r="D649" s="74">
        <v>847</v>
      </c>
      <c r="E649" s="74">
        <v>8470121</v>
      </c>
      <c r="F649" s="74" t="s">
        <v>2744</v>
      </c>
      <c r="G649" s="74">
        <v>1</v>
      </c>
      <c r="H649" s="74">
        <v>421700</v>
      </c>
      <c r="I649" s="74" t="s">
        <v>2438</v>
      </c>
      <c r="J649" s="74" t="s">
        <v>60</v>
      </c>
      <c r="K649" s="74" t="s">
        <v>50</v>
      </c>
      <c r="L649" s="74">
        <v>847001</v>
      </c>
      <c r="M649" s="74" t="s">
        <v>61</v>
      </c>
      <c r="N649" s="74">
        <v>200179</v>
      </c>
      <c r="O649" s="37" t="str">
        <f t="shared" si="28"/>
        <v>847.8470121.1.421700.000000.847001.200179</v>
      </c>
      <c r="P649" s="75" t="s">
        <v>1017</v>
      </c>
      <c r="Q649" s="74" t="s">
        <v>157</v>
      </c>
      <c r="R649" s="74">
        <v>2</v>
      </c>
      <c r="S649" s="74">
        <v>82500</v>
      </c>
      <c r="T649" s="74" t="s">
        <v>2754</v>
      </c>
      <c r="U649" s="76">
        <v>165000</v>
      </c>
      <c r="V649" s="74" t="s">
        <v>55</v>
      </c>
      <c r="W649" s="75" t="s">
        <v>56</v>
      </c>
      <c r="X649" s="77" t="s">
        <v>816</v>
      </c>
      <c r="Y649" s="70"/>
    </row>
    <row r="650" spans="1:25" s="39" customFormat="1" ht="14" customHeight="1" x14ac:dyDescent="0.35">
      <c r="A650" s="74" t="s">
        <v>63</v>
      </c>
      <c r="B650" s="74" t="s">
        <v>64</v>
      </c>
      <c r="C650" s="74" t="s">
        <v>2711</v>
      </c>
      <c r="D650" s="74">
        <v>847</v>
      </c>
      <c r="E650" s="74">
        <v>8470121</v>
      </c>
      <c r="F650" s="74" t="s">
        <v>2744</v>
      </c>
      <c r="G650" s="74">
        <v>1</v>
      </c>
      <c r="H650" s="74">
        <v>426610</v>
      </c>
      <c r="I650" s="74" t="s">
        <v>694</v>
      </c>
      <c r="J650" s="74" t="s">
        <v>60</v>
      </c>
      <c r="K650" s="74" t="s">
        <v>50</v>
      </c>
      <c r="L650" s="74">
        <v>847001</v>
      </c>
      <c r="M650" s="74" t="s">
        <v>61</v>
      </c>
      <c r="N650" s="74">
        <v>200179</v>
      </c>
      <c r="O650" s="37" t="str">
        <f t="shared" si="28"/>
        <v>847.8470121.1.426610.000000.847001.200179</v>
      </c>
      <c r="P650" s="75" t="s">
        <v>274</v>
      </c>
      <c r="Q650" s="74" t="s">
        <v>157</v>
      </c>
      <c r="R650" s="74">
        <v>1</v>
      </c>
      <c r="S650" s="74">
        <v>165000</v>
      </c>
      <c r="T650" s="74" t="s">
        <v>2757</v>
      </c>
      <c r="U650" s="76">
        <v>165000</v>
      </c>
      <c r="V650" s="74" t="s">
        <v>55</v>
      </c>
      <c r="W650" s="75" t="s">
        <v>56</v>
      </c>
      <c r="X650" s="77" t="s">
        <v>816</v>
      </c>
      <c r="Y650" s="70"/>
    </row>
    <row r="651" spans="1:25" s="39" customFormat="1" ht="14" customHeight="1" x14ac:dyDescent="0.35">
      <c r="A651" s="74" t="s">
        <v>189</v>
      </c>
      <c r="B651" s="74" t="s">
        <v>1264</v>
      </c>
      <c r="C651" s="74" t="s">
        <v>2711</v>
      </c>
      <c r="D651" s="74">
        <v>847</v>
      </c>
      <c r="E651" s="74">
        <v>8470150</v>
      </c>
      <c r="F651" s="74" t="s">
        <v>2759</v>
      </c>
      <c r="G651" s="74">
        <v>1</v>
      </c>
      <c r="H651" s="74">
        <v>420900</v>
      </c>
      <c r="I651" s="74" t="s">
        <v>1266</v>
      </c>
      <c r="J651" s="74" t="s">
        <v>60</v>
      </c>
      <c r="K651" s="74" t="s">
        <v>50</v>
      </c>
      <c r="L651" s="74">
        <v>847001</v>
      </c>
      <c r="M651" s="74" t="s">
        <v>61</v>
      </c>
      <c r="N651" s="74">
        <v>200179</v>
      </c>
      <c r="O651" s="37" t="str">
        <f t="shared" si="28"/>
        <v>847.8470150.1.420900.000000.847001.200179</v>
      </c>
      <c r="P651" s="75" t="s">
        <v>2761</v>
      </c>
      <c r="Q651" s="74" t="s">
        <v>2762</v>
      </c>
      <c r="R651" s="74">
        <v>1</v>
      </c>
      <c r="S651" s="74">
        <v>20000</v>
      </c>
      <c r="T651" s="74" t="s">
        <v>2763</v>
      </c>
      <c r="U651" s="76">
        <v>20000</v>
      </c>
      <c r="V651" s="74" t="s">
        <v>55</v>
      </c>
      <c r="W651" s="75" t="s">
        <v>56</v>
      </c>
      <c r="X651" s="77" t="s">
        <v>816</v>
      </c>
      <c r="Y651" s="70"/>
    </row>
    <row r="652" spans="1:25" s="39" customFormat="1" ht="14" customHeight="1" x14ac:dyDescent="0.35">
      <c r="A652" s="74" t="s">
        <v>189</v>
      </c>
      <c r="B652" s="74" t="s">
        <v>1264</v>
      </c>
      <c r="C652" s="74" t="s">
        <v>2711</v>
      </c>
      <c r="D652" s="74">
        <v>847</v>
      </c>
      <c r="E652" s="74">
        <v>8470150</v>
      </c>
      <c r="F652" s="74" t="s">
        <v>2759</v>
      </c>
      <c r="G652" s="74">
        <v>1</v>
      </c>
      <c r="H652" s="74">
        <v>420900</v>
      </c>
      <c r="I652" s="74" t="s">
        <v>1266</v>
      </c>
      <c r="J652" s="74" t="s">
        <v>60</v>
      </c>
      <c r="K652" s="74" t="s">
        <v>50</v>
      </c>
      <c r="L652" s="74">
        <v>847001</v>
      </c>
      <c r="M652" s="74" t="s">
        <v>61</v>
      </c>
      <c r="N652" s="74">
        <v>200179</v>
      </c>
      <c r="O652" s="37" t="str">
        <f t="shared" si="28"/>
        <v>847.8470150.1.420900.000000.847001.200179</v>
      </c>
      <c r="P652" s="75" t="s">
        <v>2765</v>
      </c>
      <c r="Q652" s="74" t="s">
        <v>2766</v>
      </c>
      <c r="R652" s="74">
        <v>1</v>
      </c>
      <c r="S652" s="74">
        <v>300000</v>
      </c>
      <c r="T652" s="74" t="s">
        <v>2767</v>
      </c>
      <c r="U652" s="76">
        <v>300000</v>
      </c>
      <c r="V652" s="74" t="s">
        <v>55</v>
      </c>
      <c r="W652" s="75" t="s">
        <v>56</v>
      </c>
      <c r="X652" s="77" t="s">
        <v>816</v>
      </c>
      <c r="Y652" s="70"/>
    </row>
    <row r="653" spans="1:25" s="39" customFormat="1" ht="14" customHeight="1" x14ac:dyDescent="0.35">
      <c r="A653" s="74" t="s">
        <v>222</v>
      </c>
      <c r="B653" s="74" t="s">
        <v>58</v>
      </c>
      <c r="C653" s="74" t="s">
        <v>2711</v>
      </c>
      <c r="D653" s="74">
        <v>847</v>
      </c>
      <c r="E653" s="74">
        <v>8470150</v>
      </c>
      <c r="F653" s="74" t="s">
        <v>2759</v>
      </c>
      <c r="G653" s="74">
        <v>1</v>
      </c>
      <c r="H653" s="74">
        <v>427710</v>
      </c>
      <c r="I653" s="74" t="s">
        <v>1090</v>
      </c>
      <c r="J653" s="74" t="s">
        <v>60</v>
      </c>
      <c r="K653" s="74" t="s">
        <v>50</v>
      </c>
      <c r="L653" s="74" t="s">
        <v>51</v>
      </c>
      <c r="M653" s="74" t="s">
        <v>61</v>
      </c>
      <c r="N653" s="74">
        <v>200179</v>
      </c>
      <c r="O653" s="37" t="str">
        <f t="shared" si="28"/>
        <v>847.8470150.1.427710.000000.847001.200179</v>
      </c>
      <c r="P653" s="75" t="s">
        <v>1092</v>
      </c>
      <c r="Q653" s="74" t="s">
        <v>157</v>
      </c>
      <c r="R653" s="74">
        <v>1</v>
      </c>
      <c r="S653" s="74">
        <v>25000</v>
      </c>
      <c r="T653" s="74" t="s">
        <v>2769</v>
      </c>
      <c r="U653" s="76">
        <v>25000</v>
      </c>
      <c r="V653" s="74" t="s">
        <v>55</v>
      </c>
      <c r="W653" s="75" t="s">
        <v>56</v>
      </c>
      <c r="X653" s="77" t="s">
        <v>816</v>
      </c>
      <c r="Y653" s="70"/>
    </row>
    <row r="654" spans="1:25" s="39" customFormat="1" ht="14" customHeight="1" x14ac:dyDescent="0.35">
      <c r="A654" s="74" t="s">
        <v>245</v>
      </c>
      <c r="B654" s="74" t="s">
        <v>58</v>
      </c>
      <c r="C654" s="74" t="s">
        <v>2711</v>
      </c>
      <c r="D654" s="74">
        <v>847</v>
      </c>
      <c r="E654" s="74">
        <v>8470160</v>
      </c>
      <c r="F654" s="74" t="s">
        <v>2770</v>
      </c>
      <c r="G654" s="74">
        <v>1</v>
      </c>
      <c r="H654" s="74">
        <v>425550</v>
      </c>
      <c r="I654" s="74" t="s">
        <v>253</v>
      </c>
      <c r="J654" s="74" t="s">
        <v>60</v>
      </c>
      <c r="K654" s="74" t="s">
        <v>50</v>
      </c>
      <c r="L654" s="74">
        <v>847001</v>
      </c>
      <c r="M654" s="74" t="s">
        <v>61</v>
      </c>
      <c r="N654" s="74">
        <v>200179</v>
      </c>
      <c r="O654" s="37" t="str">
        <f t="shared" si="28"/>
        <v>847.8470160.1.425550.000000.847001.200179</v>
      </c>
      <c r="P654" s="75" t="s">
        <v>255</v>
      </c>
      <c r="Q654" s="74" t="s">
        <v>62</v>
      </c>
      <c r="R654" s="74">
        <v>2</v>
      </c>
      <c r="S654" s="74">
        <v>50000</v>
      </c>
      <c r="T654" s="74" t="s">
        <v>2781</v>
      </c>
      <c r="U654" s="76">
        <v>100000</v>
      </c>
      <c r="V654" s="74" t="s">
        <v>210</v>
      </c>
      <c r="W654" s="75" t="s">
        <v>197</v>
      </c>
      <c r="X654" s="77" t="s">
        <v>365</v>
      </c>
      <c r="Y654" s="70"/>
    </row>
    <row r="655" spans="1:25" s="39" customFormat="1" ht="14" customHeight="1" x14ac:dyDescent="0.35">
      <c r="A655" s="74" t="s">
        <v>245</v>
      </c>
      <c r="B655" s="74" t="s">
        <v>246</v>
      </c>
      <c r="C655" s="74" t="s">
        <v>2711</v>
      </c>
      <c r="D655" s="74">
        <v>847</v>
      </c>
      <c r="E655" s="74">
        <v>8470160</v>
      </c>
      <c r="F655" s="74" t="s">
        <v>2770</v>
      </c>
      <c r="G655" s="74">
        <v>1</v>
      </c>
      <c r="H655" s="74">
        <v>428640</v>
      </c>
      <c r="I655" s="74" t="s">
        <v>279</v>
      </c>
      <c r="J655" s="74" t="s">
        <v>60</v>
      </c>
      <c r="K655" s="74" t="s">
        <v>50</v>
      </c>
      <c r="L655" s="74">
        <v>847001</v>
      </c>
      <c r="M655" s="74" t="s">
        <v>61</v>
      </c>
      <c r="N655" s="74">
        <v>200179</v>
      </c>
      <c r="O655" s="37" t="str">
        <f t="shared" si="28"/>
        <v>847.8470160.1.428640.000000.847001.200179</v>
      </c>
      <c r="P655" s="75" t="s">
        <v>1452</v>
      </c>
      <c r="Q655" s="74" t="s">
        <v>62</v>
      </c>
      <c r="R655" s="74">
        <v>100</v>
      </c>
      <c r="S655" s="74">
        <v>1000</v>
      </c>
      <c r="T655" s="74" t="s">
        <v>2775</v>
      </c>
      <c r="U655" s="76">
        <v>100000</v>
      </c>
      <c r="V655" s="74" t="s">
        <v>55</v>
      </c>
      <c r="W655" s="75" t="s">
        <v>56</v>
      </c>
      <c r="X655" s="77" t="s">
        <v>379</v>
      </c>
      <c r="Y655" s="70"/>
    </row>
    <row r="656" spans="1:25" s="39" customFormat="1" ht="14" customHeight="1" x14ac:dyDescent="0.35">
      <c r="A656" s="74" t="s">
        <v>153</v>
      </c>
      <c r="B656" s="74" t="s">
        <v>58</v>
      </c>
      <c r="C656" s="74" t="s">
        <v>2711</v>
      </c>
      <c r="D656" s="74">
        <v>847</v>
      </c>
      <c r="E656" s="74">
        <v>8470160</v>
      </c>
      <c r="F656" s="74" t="s">
        <v>2770</v>
      </c>
      <c r="G656" s="74">
        <v>1</v>
      </c>
      <c r="H656" s="74">
        <v>428090</v>
      </c>
      <c r="I656" s="74" t="s">
        <v>154</v>
      </c>
      <c r="J656" s="74" t="s">
        <v>60</v>
      </c>
      <c r="K656" s="74" t="s">
        <v>50</v>
      </c>
      <c r="L656" s="74">
        <v>847001</v>
      </c>
      <c r="M656" s="74" t="s">
        <v>61</v>
      </c>
      <c r="N656" s="74">
        <v>200179</v>
      </c>
      <c r="O656" s="37" t="str">
        <f t="shared" si="28"/>
        <v>847.8470160.1.428090.000000.847001.200179</v>
      </c>
      <c r="P656" s="75" t="s">
        <v>156</v>
      </c>
      <c r="Q656" s="74" t="s">
        <v>62</v>
      </c>
      <c r="R656" s="74">
        <v>2</v>
      </c>
      <c r="S656" s="74">
        <v>50000</v>
      </c>
      <c r="T656" s="74" t="s">
        <v>2782</v>
      </c>
      <c r="U656" s="76">
        <v>100000</v>
      </c>
      <c r="V656" s="74" t="s">
        <v>210</v>
      </c>
      <c r="W656" s="75" t="s">
        <v>197</v>
      </c>
      <c r="X656" s="77" t="s">
        <v>365</v>
      </c>
      <c r="Y656" s="70"/>
    </row>
    <row r="657" spans="1:25" s="39" customFormat="1" ht="14" customHeight="1" x14ac:dyDescent="0.35">
      <c r="A657" s="74" t="s">
        <v>189</v>
      </c>
      <c r="B657" s="74" t="s">
        <v>58</v>
      </c>
      <c r="C657" s="74" t="s">
        <v>2711</v>
      </c>
      <c r="D657" s="74">
        <v>847</v>
      </c>
      <c r="E657" s="74">
        <v>8470160</v>
      </c>
      <c r="F657" s="74" t="s">
        <v>2770</v>
      </c>
      <c r="G657" s="74">
        <v>1</v>
      </c>
      <c r="H657" s="74">
        <v>425900</v>
      </c>
      <c r="I657" s="74" t="s">
        <v>266</v>
      </c>
      <c r="J657" s="74" t="s">
        <v>60</v>
      </c>
      <c r="K657" s="74" t="s">
        <v>50</v>
      </c>
      <c r="L657" s="74">
        <v>847001</v>
      </c>
      <c r="M657" s="74" t="s">
        <v>61</v>
      </c>
      <c r="N657" s="74">
        <v>200179</v>
      </c>
      <c r="O657" s="37" t="str">
        <f t="shared" si="28"/>
        <v>847.8470160.1.425900.000000.847001.200179</v>
      </c>
      <c r="P657" s="75" t="s">
        <v>268</v>
      </c>
      <c r="Q657" s="74" t="s">
        <v>62</v>
      </c>
      <c r="R657" s="74">
        <v>6</v>
      </c>
      <c r="S657" s="74">
        <v>300000</v>
      </c>
      <c r="T657" s="74" t="s">
        <v>2779</v>
      </c>
      <c r="U657" s="76">
        <v>1800000</v>
      </c>
      <c r="V657" s="74" t="s">
        <v>210</v>
      </c>
      <c r="W657" s="75" t="s">
        <v>56</v>
      </c>
      <c r="X657" s="77" t="s">
        <v>365</v>
      </c>
      <c r="Y657" s="70"/>
    </row>
    <row r="658" spans="1:25" ht="14" customHeight="1" x14ac:dyDescent="0.35">
      <c r="A658" s="58" t="s">
        <v>46</v>
      </c>
      <c r="B658" s="58" t="s">
        <v>46</v>
      </c>
      <c r="C658" s="58" t="s">
        <v>1000</v>
      </c>
      <c r="D658" s="58">
        <v>847</v>
      </c>
      <c r="E658" s="58">
        <v>8471305</v>
      </c>
      <c r="F658" s="58" t="s">
        <v>1001</v>
      </c>
      <c r="G658" s="58">
        <v>1</v>
      </c>
      <c r="H658" s="58">
        <v>425100</v>
      </c>
      <c r="I658" s="58" t="s">
        <v>1146</v>
      </c>
      <c r="J658" s="58" t="s">
        <v>60</v>
      </c>
      <c r="K658" s="58" t="s">
        <v>50</v>
      </c>
      <c r="L658" s="58">
        <v>847001</v>
      </c>
      <c r="M658" s="58" t="s">
        <v>61</v>
      </c>
      <c r="N658" s="58">
        <v>200179</v>
      </c>
      <c r="O658" s="37" t="str">
        <f t="shared" si="28"/>
        <v>847.8471305.1.425100.000000.847001.200179</v>
      </c>
      <c r="P658" s="59" t="s">
        <v>1148</v>
      </c>
      <c r="Q658" s="58" t="s">
        <v>157</v>
      </c>
      <c r="R658" s="58">
        <v>1</v>
      </c>
      <c r="S658" s="58">
        <v>315000</v>
      </c>
      <c r="T658" s="58" t="s">
        <v>1149</v>
      </c>
      <c r="U658" s="60">
        <v>315000</v>
      </c>
      <c r="V658" s="58" t="s">
        <v>56</v>
      </c>
      <c r="W658" s="59" t="s">
        <v>384</v>
      </c>
      <c r="X658" s="61"/>
      <c r="Y658" s="54">
        <f t="shared" si="24"/>
        <v>0</v>
      </c>
    </row>
    <row r="659" spans="1:25" ht="14" customHeight="1" x14ac:dyDescent="0.35">
      <c r="A659" s="58" t="s">
        <v>222</v>
      </c>
      <c r="B659" s="58" t="s">
        <v>58</v>
      </c>
      <c r="C659" s="58" t="s">
        <v>1209</v>
      </c>
      <c r="D659" s="58">
        <v>847</v>
      </c>
      <c r="E659" s="58">
        <v>8471160</v>
      </c>
      <c r="F659" s="58" t="s">
        <v>3036</v>
      </c>
      <c r="G659" s="58">
        <v>1</v>
      </c>
      <c r="H659" s="58">
        <v>432209</v>
      </c>
      <c r="I659" s="58" t="s">
        <v>393</v>
      </c>
      <c r="J659" s="58" t="s">
        <v>60</v>
      </c>
      <c r="K659" s="58" t="s">
        <v>50</v>
      </c>
      <c r="L659" s="58">
        <v>847001</v>
      </c>
      <c r="M659" s="58" t="s">
        <v>61</v>
      </c>
      <c r="N659" s="58">
        <v>200179</v>
      </c>
      <c r="O659" s="74" t="s">
        <v>2896</v>
      </c>
      <c r="P659" s="59" t="s">
        <v>288</v>
      </c>
      <c r="Q659" s="58" t="s">
        <v>157</v>
      </c>
      <c r="R659" s="58">
        <v>19356997</v>
      </c>
      <c r="S659" s="58">
        <v>1</v>
      </c>
      <c r="T659" s="58" t="s">
        <v>3444</v>
      </c>
      <c r="U659" s="60">
        <v>19356997</v>
      </c>
      <c r="V659" s="58" t="s">
        <v>55</v>
      </c>
      <c r="W659" s="59" t="s">
        <v>56</v>
      </c>
      <c r="X659" s="61" t="s">
        <v>816</v>
      </c>
      <c r="Y659" s="54"/>
    </row>
    <row r="660" spans="1:25" ht="14" customHeight="1" x14ac:dyDescent="0.35">
      <c r="A660" s="58" t="s">
        <v>222</v>
      </c>
      <c r="B660" s="58" t="s">
        <v>220</v>
      </c>
      <c r="C660" s="58" t="s">
        <v>1209</v>
      </c>
      <c r="D660" s="58">
        <v>847</v>
      </c>
      <c r="E660" s="58">
        <v>8471160</v>
      </c>
      <c r="F660" s="58" t="s">
        <v>3036</v>
      </c>
      <c r="G660" s="58">
        <v>1</v>
      </c>
      <c r="H660" s="58">
        <v>435508</v>
      </c>
      <c r="I660" s="58" t="s">
        <v>405</v>
      </c>
      <c r="J660" s="58" t="s">
        <v>60</v>
      </c>
      <c r="K660" s="58" t="s">
        <v>50</v>
      </c>
      <c r="L660" s="58">
        <v>847001</v>
      </c>
      <c r="M660" s="58" t="s">
        <v>61</v>
      </c>
      <c r="N660" s="58">
        <v>200179</v>
      </c>
      <c r="O660" s="74" t="s">
        <v>2897</v>
      </c>
      <c r="P660" s="59" t="s">
        <v>407</v>
      </c>
      <c r="Q660" s="58" t="s">
        <v>157</v>
      </c>
      <c r="R660" s="58">
        <v>15451013</v>
      </c>
      <c r="S660" s="58">
        <v>1</v>
      </c>
      <c r="T660" s="58" t="s">
        <v>3444</v>
      </c>
      <c r="U660" s="60">
        <v>15451013</v>
      </c>
      <c r="V660" s="58" t="s">
        <v>55</v>
      </c>
      <c r="W660" s="59" t="s">
        <v>56</v>
      </c>
      <c r="X660" s="61" t="s">
        <v>816</v>
      </c>
      <c r="Y660" s="54"/>
    </row>
    <row r="661" spans="1:25" ht="14" customHeight="1" x14ac:dyDescent="0.35">
      <c r="A661" s="58" t="s">
        <v>161</v>
      </c>
      <c r="B661" s="58" t="s">
        <v>2474</v>
      </c>
      <c r="C661" s="58" t="s">
        <v>1209</v>
      </c>
      <c r="D661" s="58">
        <v>847</v>
      </c>
      <c r="E661" s="58">
        <v>8471160</v>
      </c>
      <c r="F661" s="58" t="s">
        <v>3036</v>
      </c>
      <c r="G661" s="58">
        <v>1</v>
      </c>
      <c r="H661" s="58">
        <v>492200</v>
      </c>
      <c r="I661" s="58" t="s">
        <v>2475</v>
      </c>
      <c r="J661" s="58" t="s">
        <v>60</v>
      </c>
      <c r="K661" s="58" t="s">
        <v>50</v>
      </c>
      <c r="L661" s="58">
        <v>847001</v>
      </c>
      <c r="M661" s="58" t="s">
        <v>192</v>
      </c>
      <c r="N661" s="58">
        <v>300180</v>
      </c>
      <c r="O661" s="74" t="s">
        <v>2898</v>
      </c>
      <c r="P661" s="59"/>
      <c r="Q661" s="58" t="s">
        <v>62</v>
      </c>
      <c r="R661" s="58"/>
      <c r="S661" s="58"/>
      <c r="T661" s="58"/>
      <c r="U661" s="60">
        <v>0</v>
      </c>
      <c r="V661" s="58"/>
      <c r="W661" s="59"/>
      <c r="X661" s="61"/>
      <c r="Y661" s="54"/>
    </row>
    <row r="662" spans="1:25" ht="14" customHeight="1" x14ac:dyDescent="0.35">
      <c r="A662" s="58" t="s">
        <v>161</v>
      </c>
      <c r="B662" s="58" t="s">
        <v>220</v>
      </c>
      <c r="C662" s="58" t="s">
        <v>1209</v>
      </c>
      <c r="D662" s="58">
        <v>847</v>
      </c>
      <c r="E662" s="58">
        <v>8471160</v>
      </c>
      <c r="F662" s="58" t="s">
        <v>3036</v>
      </c>
      <c r="G662" s="58">
        <v>1</v>
      </c>
      <c r="H662" s="58">
        <v>492316</v>
      </c>
      <c r="I662" s="58" t="s">
        <v>221</v>
      </c>
      <c r="J662" s="58" t="s">
        <v>60</v>
      </c>
      <c r="K662" s="58" t="s">
        <v>50</v>
      </c>
      <c r="L662" s="58">
        <v>847001</v>
      </c>
      <c r="M662" s="58" t="s">
        <v>192</v>
      </c>
      <c r="N662" s="58">
        <v>300180</v>
      </c>
      <c r="O662" s="74" t="s">
        <v>2899</v>
      </c>
      <c r="P662" s="59" t="s">
        <v>969</v>
      </c>
      <c r="Q662" s="58" t="s">
        <v>157</v>
      </c>
      <c r="R662" s="58">
        <v>88763226</v>
      </c>
      <c r="S662" s="58">
        <v>1</v>
      </c>
      <c r="T662" s="58" t="s">
        <v>3445</v>
      </c>
      <c r="U662" s="60">
        <v>88763226</v>
      </c>
      <c r="V662" s="58" t="s">
        <v>210</v>
      </c>
      <c r="W662" s="59" t="s">
        <v>197</v>
      </c>
      <c r="X662" s="61" t="s">
        <v>816</v>
      </c>
      <c r="Y662" s="54"/>
    </row>
    <row r="663" spans="1:25" ht="14" customHeight="1" x14ac:dyDescent="0.35">
      <c r="A663" s="58" t="s">
        <v>161</v>
      </c>
      <c r="B663" s="58" t="s">
        <v>58</v>
      </c>
      <c r="C663" s="58" t="s">
        <v>1209</v>
      </c>
      <c r="D663" s="58">
        <v>847</v>
      </c>
      <c r="E663" s="58">
        <v>8471160</v>
      </c>
      <c r="F663" s="58" t="s">
        <v>3036</v>
      </c>
      <c r="G663" s="58">
        <v>1</v>
      </c>
      <c r="H663" s="58">
        <v>422100</v>
      </c>
      <c r="I663" s="58" t="s">
        <v>1021</v>
      </c>
      <c r="J663" s="58" t="s">
        <v>60</v>
      </c>
      <c r="K663" s="58">
        <v>0</v>
      </c>
      <c r="L663" s="58">
        <v>847001</v>
      </c>
      <c r="M663" s="58" t="s">
        <v>61</v>
      </c>
      <c r="N663" s="58">
        <v>200179</v>
      </c>
      <c r="O663" s="74" t="s">
        <v>2996</v>
      </c>
      <c r="P663" s="59"/>
      <c r="Q663" s="58" t="s">
        <v>62</v>
      </c>
      <c r="R663" s="58"/>
      <c r="S663" s="58"/>
      <c r="T663" s="58"/>
      <c r="U663" s="60">
        <v>0</v>
      </c>
      <c r="V663" s="58"/>
      <c r="W663" s="59"/>
      <c r="X663" s="61"/>
      <c r="Y663" s="54"/>
    </row>
    <row r="664" spans="1:25" ht="14" customHeight="1" x14ac:dyDescent="0.35">
      <c r="A664" s="58" t="s">
        <v>161</v>
      </c>
      <c r="B664" s="58" t="s">
        <v>58</v>
      </c>
      <c r="C664" s="58" t="s">
        <v>1209</v>
      </c>
      <c r="D664" s="58">
        <v>847</v>
      </c>
      <c r="E664" s="58">
        <v>8471160</v>
      </c>
      <c r="F664" s="58" t="s">
        <v>3036</v>
      </c>
      <c r="G664" s="58">
        <v>1</v>
      </c>
      <c r="H664" s="58">
        <v>430330</v>
      </c>
      <c r="I664" s="58" t="s">
        <v>2553</v>
      </c>
      <c r="J664" s="58" t="s">
        <v>60</v>
      </c>
      <c r="K664" s="58">
        <v>0</v>
      </c>
      <c r="L664" s="58">
        <v>847001</v>
      </c>
      <c r="M664" s="58" t="s">
        <v>61</v>
      </c>
      <c r="N664" s="58">
        <v>200179</v>
      </c>
      <c r="O664" s="74" t="s">
        <v>2943</v>
      </c>
      <c r="P664" s="59"/>
      <c r="Q664" s="58" t="s">
        <v>62</v>
      </c>
      <c r="R664" s="58"/>
      <c r="S664" s="58"/>
      <c r="T664" s="58"/>
      <c r="U664" s="60">
        <v>0</v>
      </c>
      <c r="V664" s="58"/>
      <c r="W664" s="59"/>
      <c r="X664" s="61"/>
      <c r="Y664" s="54"/>
    </row>
    <row r="665" spans="1:25" ht="14" customHeight="1" x14ac:dyDescent="0.35">
      <c r="A665" s="58"/>
      <c r="B665" s="58"/>
      <c r="C665" s="58"/>
      <c r="D665" s="58"/>
      <c r="E665" s="58"/>
      <c r="F665" s="58"/>
      <c r="G665" s="58"/>
      <c r="H665" s="58"/>
      <c r="I665" s="58"/>
      <c r="J665" s="58"/>
      <c r="K665" s="58"/>
      <c r="L665" s="58"/>
      <c r="M665" s="58"/>
      <c r="N665" s="58"/>
      <c r="O665" s="74"/>
      <c r="P665" s="59"/>
      <c r="Q665" s="58"/>
      <c r="R665" s="58"/>
      <c r="S665" s="58"/>
      <c r="T665" s="58"/>
      <c r="U665" s="60"/>
      <c r="V665" s="58"/>
      <c r="W665" s="59"/>
      <c r="X665" s="61"/>
      <c r="Y665" s="54"/>
    </row>
    <row r="666" spans="1:25" ht="14" customHeight="1" x14ac:dyDescent="0.35">
      <c r="A666" s="58"/>
      <c r="B666" s="58"/>
      <c r="C666" s="58"/>
      <c r="D666" s="58"/>
      <c r="E666" s="58"/>
      <c r="F666" s="58"/>
      <c r="G666" s="58"/>
      <c r="H666" s="58"/>
      <c r="I666" s="58"/>
      <c r="J666" s="58"/>
      <c r="K666" s="58"/>
      <c r="L666" s="58"/>
      <c r="M666" s="58"/>
      <c r="N666" s="58"/>
      <c r="O666" s="74"/>
      <c r="P666" s="59"/>
      <c r="Q666" s="58"/>
      <c r="R666" s="58"/>
      <c r="S666" s="58"/>
      <c r="T666" s="58"/>
      <c r="U666" s="60"/>
      <c r="V666" s="58"/>
      <c r="W666" s="59"/>
      <c r="X666" s="61"/>
      <c r="Y666" s="54"/>
    </row>
    <row r="667" spans="1:25" ht="14" customHeight="1" x14ac:dyDescent="0.35">
      <c r="A667" s="58"/>
      <c r="B667" s="58"/>
      <c r="C667" s="58"/>
      <c r="D667" s="58"/>
      <c r="E667" s="58"/>
      <c r="F667" s="58"/>
      <c r="G667" s="58"/>
      <c r="H667" s="58"/>
      <c r="I667" s="58"/>
      <c r="J667" s="58"/>
      <c r="K667" s="58"/>
      <c r="L667" s="58"/>
      <c r="M667" s="58"/>
      <c r="N667" s="58"/>
      <c r="O667" s="74"/>
      <c r="P667" s="59"/>
      <c r="Q667" s="58"/>
      <c r="R667" s="58"/>
      <c r="S667" s="58"/>
      <c r="T667" s="58"/>
      <c r="U667" s="60"/>
      <c r="V667" s="58"/>
      <c r="W667" s="59"/>
      <c r="X667" s="61"/>
      <c r="Y667" s="54"/>
    </row>
    <row r="668" spans="1:25" ht="14" customHeight="1" x14ac:dyDescent="0.35">
      <c r="A668" s="58"/>
      <c r="B668" s="58"/>
      <c r="C668" s="58"/>
      <c r="D668" s="58"/>
      <c r="E668" s="58"/>
      <c r="F668" s="58"/>
      <c r="G668" s="58"/>
      <c r="H668" s="58"/>
      <c r="I668" s="58"/>
      <c r="J668" s="58"/>
      <c r="K668" s="58"/>
      <c r="L668" s="58"/>
      <c r="M668" s="58"/>
      <c r="N668" s="58"/>
      <c r="O668" s="74"/>
      <c r="P668" s="59"/>
      <c r="Q668" s="58"/>
      <c r="R668" s="58"/>
      <c r="S668" s="58"/>
      <c r="T668" s="58"/>
      <c r="U668" s="60"/>
      <c r="V668" s="58"/>
      <c r="W668" s="59"/>
      <c r="X668" s="61"/>
      <c r="Y668" s="54"/>
    </row>
    <row r="669" spans="1:25" ht="14" customHeight="1" x14ac:dyDescent="0.35">
      <c r="A669" s="58"/>
      <c r="B669" s="58"/>
      <c r="C669" s="58"/>
      <c r="D669" s="58"/>
      <c r="E669" s="58"/>
      <c r="F669" s="58"/>
      <c r="G669" s="58"/>
      <c r="H669" s="58"/>
      <c r="I669" s="58"/>
      <c r="J669" s="58"/>
      <c r="K669" s="58"/>
      <c r="L669" s="58"/>
      <c r="M669" s="58"/>
      <c r="N669" s="58"/>
      <c r="O669" s="74"/>
      <c r="P669" s="59"/>
      <c r="Q669" s="58"/>
      <c r="R669" s="58"/>
      <c r="S669" s="58"/>
      <c r="T669" s="58"/>
      <c r="U669" s="60"/>
      <c r="V669" s="58"/>
      <c r="W669" s="59"/>
      <c r="X669" s="61"/>
      <c r="Y669" s="54"/>
    </row>
    <row r="670" spans="1:25" ht="14" customHeight="1" x14ac:dyDescent="0.35">
      <c r="A670" s="58"/>
      <c r="B670" s="58"/>
      <c r="C670" s="58"/>
      <c r="D670" s="58"/>
      <c r="E670" s="58"/>
      <c r="F670" s="58"/>
      <c r="G670" s="58"/>
      <c r="H670" s="58"/>
      <c r="I670" s="58"/>
      <c r="J670" s="58"/>
      <c r="K670" s="58"/>
      <c r="L670" s="58"/>
      <c r="M670" s="58"/>
      <c r="N670" s="58"/>
      <c r="O670" s="74"/>
      <c r="P670" s="59"/>
      <c r="Q670" s="58"/>
      <c r="R670" s="58"/>
      <c r="S670" s="58"/>
      <c r="T670" s="58"/>
      <c r="U670" s="60"/>
      <c r="V670" s="58"/>
      <c r="W670" s="59"/>
      <c r="X670" s="61"/>
      <c r="Y670" s="54"/>
    </row>
    <row r="671" spans="1:25" ht="14" customHeight="1" x14ac:dyDescent="0.35">
      <c r="A671" s="58"/>
      <c r="B671" s="58"/>
      <c r="C671" s="58"/>
      <c r="D671" s="58"/>
      <c r="E671" s="58"/>
      <c r="F671" s="58"/>
      <c r="G671" s="58"/>
      <c r="H671" s="58"/>
      <c r="I671" s="58"/>
      <c r="J671" s="58"/>
      <c r="K671" s="58"/>
      <c r="L671" s="58"/>
      <c r="M671" s="58"/>
      <c r="N671" s="58"/>
      <c r="O671" s="74"/>
      <c r="P671" s="59"/>
      <c r="Q671" s="58"/>
      <c r="R671" s="58"/>
      <c r="S671" s="58"/>
      <c r="T671" s="58"/>
      <c r="U671" s="60"/>
      <c r="V671" s="58"/>
      <c r="W671" s="59"/>
      <c r="X671" s="61"/>
      <c r="Y671" s="54"/>
    </row>
    <row r="672" spans="1:25" ht="14" customHeight="1" x14ac:dyDescent="0.35">
      <c r="A672" s="58"/>
      <c r="B672" s="58"/>
      <c r="C672" s="58"/>
      <c r="D672" s="58"/>
      <c r="E672" s="58"/>
      <c r="F672" s="58"/>
      <c r="G672" s="58"/>
      <c r="H672" s="58"/>
      <c r="I672" s="58"/>
      <c r="J672" s="58"/>
      <c r="K672" s="58"/>
      <c r="L672" s="58"/>
      <c r="M672" s="58"/>
      <c r="N672" s="58"/>
      <c r="O672" s="74"/>
      <c r="P672" s="59"/>
      <c r="Q672" s="58"/>
      <c r="R672" s="58"/>
      <c r="S672" s="58"/>
      <c r="T672" s="58"/>
      <c r="U672" s="60"/>
      <c r="V672" s="58"/>
      <c r="W672" s="59"/>
      <c r="X672" s="61"/>
      <c r="Y672" s="54"/>
    </row>
    <row r="673" spans="1:25" ht="14" customHeight="1" x14ac:dyDescent="0.35">
      <c r="A673" s="58"/>
      <c r="B673" s="58"/>
      <c r="C673" s="58"/>
      <c r="D673" s="58"/>
      <c r="E673" s="58"/>
      <c r="F673" s="58"/>
      <c r="G673" s="58"/>
      <c r="H673" s="58"/>
      <c r="I673" s="58"/>
      <c r="J673" s="58"/>
      <c r="K673" s="58"/>
      <c r="L673" s="58"/>
      <c r="M673" s="58"/>
      <c r="N673" s="58"/>
      <c r="O673" s="74"/>
      <c r="P673" s="59"/>
      <c r="Q673" s="58"/>
      <c r="R673" s="58"/>
      <c r="S673" s="58"/>
      <c r="T673" s="58"/>
      <c r="U673" s="60"/>
      <c r="V673" s="58"/>
      <c r="W673" s="59"/>
      <c r="X673" s="61"/>
      <c r="Y673" s="54"/>
    </row>
    <row r="674" spans="1:25" ht="14" customHeight="1" x14ac:dyDescent="0.35">
      <c r="U674" s="54"/>
      <c r="Y674" s="54">
        <f>SUM(Y2:Y658)</f>
        <v>-10.5</v>
      </c>
    </row>
    <row r="677" spans="1:25" ht="14" customHeight="1" x14ac:dyDescent="0.35">
      <c r="C677" s="40"/>
      <c r="D677" s="40"/>
      <c r="E677" s="40"/>
    </row>
    <row r="678" spans="1:25" ht="14" customHeight="1" x14ac:dyDescent="0.35">
      <c r="C678" s="54"/>
      <c r="E678" s="40">
        <f>D677-E677</f>
        <v>0</v>
      </c>
    </row>
    <row r="681" spans="1:25" ht="14" customHeight="1" x14ac:dyDescent="0.35">
      <c r="A681" t="s">
        <v>1731</v>
      </c>
      <c r="B681" s="40">
        <v>269827855.2216</v>
      </c>
      <c r="C681" s="57" t="s">
        <v>1735</v>
      </c>
      <c r="D681" t="s">
        <v>1737</v>
      </c>
    </row>
    <row r="682" spans="1:25" ht="14" customHeight="1" x14ac:dyDescent="0.35">
      <c r="A682" t="s">
        <v>1732</v>
      </c>
      <c r="B682" s="56">
        <f>C682+D682</f>
        <v>118418231.90000001</v>
      </c>
      <c r="C682" s="40">
        <v>28350198.899999999</v>
      </c>
      <c r="D682" s="40">
        <v>90068033</v>
      </c>
    </row>
    <row r="683" spans="1:25" ht="14" customHeight="1" x14ac:dyDescent="0.35">
      <c r="A683" t="s">
        <v>1733</v>
      </c>
      <c r="B683" s="40">
        <v>440278168.01214182</v>
      </c>
      <c r="C683" s="40">
        <v>28350198.899999999</v>
      </c>
      <c r="D683" s="40">
        <v>90068033</v>
      </c>
    </row>
    <row r="684" spans="1:25" ht="14" customHeight="1" x14ac:dyDescent="0.35">
      <c r="A684" t="s">
        <v>1734</v>
      </c>
      <c r="B684" s="54">
        <f>A693</f>
        <v>210471914.4093</v>
      </c>
      <c r="C684" s="54">
        <f>C682-C683</f>
        <v>0</v>
      </c>
      <c r="D684" s="54">
        <f>D682-D683</f>
        <v>0</v>
      </c>
    </row>
    <row r="685" spans="1:25" ht="14" customHeight="1" x14ac:dyDescent="0.35">
      <c r="B685" s="54">
        <f>SUM(B681:B684)</f>
        <v>1038996169.5430418</v>
      </c>
    </row>
    <row r="686" spans="1:25" ht="14" customHeight="1" x14ac:dyDescent="0.35">
      <c r="B686" s="54"/>
    </row>
    <row r="687" spans="1:25" ht="14" customHeight="1" x14ac:dyDescent="0.35">
      <c r="B687" s="54">
        <f>B685-U674</f>
        <v>1038996169.5430418</v>
      </c>
      <c r="C687" s="40">
        <v>440275303.01214182</v>
      </c>
    </row>
    <row r="688" spans="1:25" ht="14" customHeight="1" x14ac:dyDescent="0.35">
      <c r="C688" s="54">
        <f>B683-C687</f>
        <v>2865</v>
      </c>
    </row>
    <row r="689" spans="1:1" ht="14" customHeight="1" x14ac:dyDescent="0.35">
      <c r="A689">
        <v>10521389</v>
      </c>
    </row>
    <row r="690" spans="1:1" ht="14" customHeight="1" x14ac:dyDescent="0.35">
      <c r="A690" s="40">
        <v>25049954</v>
      </c>
    </row>
    <row r="691" spans="1:1" ht="14" customHeight="1" x14ac:dyDescent="0.35">
      <c r="A691" s="40">
        <v>50344219.999300003</v>
      </c>
    </row>
    <row r="692" spans="1:1" ht="14" customHeight="1" x14ac:dyDescent="0.35">
      <c r="A692">
        <v>124556351.41</v>
      </c>
    </row>
    <row r="693" spans="1:1" ht="14" customHeight="1" x14ac:dyDescent="0.35">
      <c r="A693" s="54">
        <f>SUM(A689:A692)</f>
        <v>210471914.4093</v>
      </c>
    </row>
  </sheetData>
  <autoFilter ref="A1:X674"/>
  <dataValidations count="1">
    <dataValidation type="whole" operator="greaterThan" allowBlank="1" showInputMessage="1" showErrorMessage="1" sqref="R201:S202 U201:U202">
      <formul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6">
        <x14:dataValidation type="list" allowBlank="1" showInputMessage="1" showErrorMessage="1">
          <x14:formula1>
            <xm:f>'Y:\BUDGETS\2023 Budget\alanood work\[consolidated academic &amp; student service -continuing education v.3.xlsx]Account Codes'!#REF!</xm:f>
          </x14:formula1>
          <xm:sqref>H229:I232</xm:sqref>
        </x14:dataValidation>
        <x14:dataValidation type="list" allowBlank="1" showInputMessage="1" showErrorMessage="1">
          <x14:formula1>
            <xm:f>'Y:\BUDGETS\2023 Budget\alanood work\[consolidated academic &amp; student service -continuing education v.3.xlsx]Other '!#REF!</xm:f>
          </x14:formula1>
          <xm:sqref>K229:K232 V229:V232</xm:sqref>
        </x14:dataValidation>
        <x14:dataValidation type="list" allowBlank="1" showInputMessage="1" showErrorMessage="1" error="Click the drop box and select the appropriate value">
          <x14:formula1>
            <xm:f>'Y:\BUDGETS\2023 Budget\alanood work\[consolidated academic &amp; student service -continuing education v.3.xlsx]Other '!#REF!</xm:f>
          </x14:formula1>
          <xm:sqref>W229:W232</xm:sqref>
        </x14:dataValidation>
        <x14:dataValidation type="list" allowBlank="1" showInputMessage="1" showErrorMessage="1">
          <x14:formula1>
            <xm:f>'Y:\BUDGETS\2023 Budget\alanood work\student success\[Budget Template 2023 to 2025- 8471240 Student Success.xlsx]Other '!#REF!</xm:f>
          </x14:formula1>
          <xm:sqref>V233:V259 K233:K259</xm:sqref>
        </x14:dataValidation>
        <x14:dataValidation type="list" allowBlank="1" showInputMessage="1" showErrorMessage="1" error="Click the drop box and select the appropriate value">
          <x14:formula1>
            <xm:f>'Y:\BUDGETS\2023 Budget\alanood work\student success\[Budget Template 2023 to 2025- 8471240 Student Success.xlsx]Other '!#REF!</xm:f>
          </x14:formula1>
          <xm:sqref>W233:W259</xm:sqref>
        </x14:dataValidation>
        <x14:dataValidation type="list" allowBlank="1" showInputMessage="1" showErrorMessage="1">
          <x14:formula1>
            <xm:f>'Y:\BUDGETS\2023 Budget\alanood work\student success\[Budget Template 2023 to 2025- 8471240 Student Success.xlsx]Strategic Objectives 2023'!#REF!</xm:f>
          </x14:formula1>
          <xm:sqref>X233:X259</xm:sqref>
        </x14:dataValidation>
        <x14:dataValidation type="list" allowBlank="1" showInputMessage="1" showErrorMessage="1">
          <x14:formula1>
            <xm:f>'Y:\BUDGETS\2023 Budget\alanood work\student success\[Budget Template 2023 to 2025- 8471240 Student Success.xlsx]Account Codes'!#REF!</xm:f>
          </x14:formula1>
          <xm:sqref>H233:I259</xm:sqref>
        </x14:dataValidation>
        <x14:dataValidation type="list" errorStyle="information" showInputMessage="1" showErrorMessage="1">
          <x14:formula1>
            <xm:f>'Y:\BUDGETS\2023 Budget\alanood work\student service\[Budget Template 2023 to 2025- 8471260 Student Life.xlsx]Budget Drivers'!#REF!</xm:f>
          </x14:formula1>
          <xm:sqref>P295</xm:sqref>
        </x14:dataValidation>
        <x14:dataValidation type="list" errorStyle="information" showInputMessage="1" showErrorMessage="1">
          <x14:formula1>
            <xm:f>'Y:\BUDGETS\2023 Budget\alanood work\registrar\[Budget Template 2023 to 2025- 8471220 Registrar.xlsx]Budget Drivers'!#REF!</xm:f>
          </x14:formula1>
          <xm:sqref>P296:P301</xm:sqref>
        </x14:dataValidation>
        <x14:dataValidation type="list" allowBlank="1" showInputMessage="1" showErrorMessage="1" error="Click the drop box and select the appropriate value">
          <x14:formula1>
            <xm:f>'Y:\BUDGETS\2023 Budget\alanood work\registrar\[Budget Template 2023 to 2025- 8471220 Registrar.xlsx]Other '!#REF!</xm:f>
          </x14:formula1>
          <xm:sqref>W296:W301</xm:sqref>
        </x14:dataValidation>
        <x14:dataValidation type="list" allowBlank="1" showInputMessage="1" showErrorMessage="1">
          <x14:formula1>
            <xm:f>'Y:\BUDGETS\2023 Budget\alanood work\registrar\[Budget Template 2023 to 2025- 8471220 Registrar.xlsx]Strategic Objectives 2023'!#REF!</xm:f>
          </x14:formula1>
          <xm:sqref>X296:X301</xm:sqref>
        </x14:dataValidation>
        <x14:dataValidation type="list" allowBlank="1" showInputMessage="1" showErrorMessage="1">
          <x14:formula1>
            <xm:f>'Y:\BUDGETS\2023 Budget\alanood work\registrar\[Budget Template 2023 to 2025- 8471220 Registrar.xlsx]Other '!#REF!</xm:f>
          </x14:formula1>
          <xm:sqref>K296:K301 V296:V301</xm:sqref>
        </x14:dataValidation>
        <x14:dataValidation type="list" allowBlank="1" showInputMessage="1" showErrorMessage="1">
          <x14:formula1>
            <xm:f>'Y:\BUDGETS\2023 Budget\alanood work\registrar\[Budget Template 2023 to 2025- 8471220 Registrar.xlsx]Account Codes'!#REF!</xm:f>
          </x14:formula1>
          <xm:sqref>H296:I301</xm:sqref>
        </x14:dataValidation>
        <x14:dataValidation type="list" errorStyle="information" showInputMessage="1" showErrorMessage="1">
          <x14:formula1>
            <xm:f>'Y:\BUDGETS\2023 Budget\alanood work\library\[Library -  Budget Proposal 2023 to 2025.xlsx]Budget Drivers'!#REF!</xm:f>
          </x14:formula1>
          <xm:sqref>P302:P305</xm:sqref>
        </x14:dataValidation>
        <x14:dataValidation type="list" allowBlank="1" showInputMessage="1" showErrorMessage="1" error="Click the drop box and select the appropriate value">
          <x14:formula1>
            <xm:f>'Y:\BUDGETS\2023 Budget\alanood work\library\[Library -  Budget Proposal 2023 to 2025.xlsx]Other '!#REF!</xm:f>
          </x14:formula1>
          <xm:sqref>W302:W305</xm:sqref>
        </x14:dataValidation>
        <x14:dataValidation type="list" allowBlank="1" showInputMessage="1" showErrorMessage="1">
          <x14:formula1>
            <xm:f>'Y:\BUDGETS\2023 Budget\alanood work\library\[Library -  Budget Proposal 2023 to 2025.xlsx]Strategic Objectives 2023'!#REF!</xm:f>
          </x14:formula1>
          <xm:sqref>X302:X305</xm:sqref>
        </x14:dataValidation>
        <x14:dataValidation type="list" allowBlank="1" showInputMessage="1" showErrorMessage="1">
          <x14:formula1>
            <xm:f>'Y:\BUDGETS\2023 Budget\alanood work\library\[Library -  Budget Proposal 2023 to 2025.xlsx]Other '!#REF!</xm:f>
          </x14:formula1>
          <xm:sqref>K302:K305 V302:V305</xm:sqref>
        </x14:dataValidation>
        <x14:dataValidation type="list" allowBlank="1" showInputMessage="1" showErrorMessage="1">
          <x14:formula1>
            <xm:f>'Y:\BUDGETS\2023 Budget\alanood work\library\[Library -  Budget Proposal 2023 to 2025.xlsx]Account Codes'!#REF!</xm:f>
          </x14:formula1>
          <xm:sqref>H302:I305</xm:sqref>
        </x14:dataValidation>
        <x14:dataValidation type="list" allowBlank="1" showInputMessage="1" showErrorMessage="1">
          <x14:formula1>
            <xm:f>'Y:\BUDGETS\2023 Budget\alanood work\enrollment\[Budget 2022 to 2025- 8471230_ Enrollment Department_1 June 2022.xlsx]Account Codes'!#REF!</xm:f>
          </x14:formula1>
          <xm:sqref>H306:I310</xm:sqref>
        </x14:dataValidation>
        <x14:dataValidation type="list" errorStyle="information" showInputMessage="1" showErrorMessage="1">
          <x14:formula1>
            <xm:f>'Y:\BUDGETS\2023 Budget\alanood work\enrollment\[Budget 2022 to 2025- 8471230_ Enrollment Department_1 June 2022.xlsx]Budget Drivers'!#REF!</xm:f>
          </x14:formula1>
          <xm:sqref>P306:P310</xm:sqref>
        </x14:dataValidation>
        <x14:dataValidation type="list" allowBlank="1" showInputMessage="1" showErrorMessage="1" error="Click the drop box and select the appropriate value">
          <x14:formula1>
            <xm:f>'Y:\BUDGETS\2023 Budget\alanood work\enrollment\[Budget 2022 to 2025- 8471230_ Enrollment Department_1 June 2022.xlsx]Other '!#REF!</xm:f>
          </x14:formula1>
          <xm:sqref>W306:W310</xm:sqref>
        </x14:dataValidation>
        <x14:dataValidation type="list" allowBlank="1" showInputMessage="1" showErrorMessage="1">
          <x14:formula1>
            <xm:f>'Y:\BUDGETS\2023 Budget\alanood work\enrollment\[Budget 2022 to 2025- 8471230_ Enrollment Department_1 June 2022.xlsx]Strategic Objectives 2023'!#REF!</xm:f>
          </x14:formula1>
          <xm:sqref>X306:X310</xm:sqref>
        </x14:dataValidation>
        <x14:dataValidation type="list" allowBlank="1" showInputMessage="1" showErrorMessage="1">
          <x14:formula1>
            <xm:f>'Y:\BUDGETS\2023 Budget\alanood work\enrollment\[Budget 2022 to 2025- 8471230_ Enrollment Department_1 June 2022.xlsx]Other '!#REF!</xm:f>
          </x14:formula1>
          <xm:sqref>K306:K310 V306:V310</xm:sqref>
        </x14:dataValidation>
        <x14:dataValidation type="list" errorStyle="information" showInputMessage="1" showErrorMessage="1">
          <x14:formula1>
            <xm:f>'Y:\BUDGETS\2023 Budget\alanood work\CTL\[Copy of Budget Template 2023 to 2025- 8471280  Center for Teaching  Learning_updated 30May.xlsx]Budget Drivers'!#REF!</xm:f>
          </x14:formula1>
          <xm:sqref>P311:P313 P315:P323</xm:sqref>
        </x14:dataValidation>
        <x14:dataValidation type="list" allowBlank="1" showInputMessage="1" showErrorMessage="1">
          <x14:formula1>
            <xm:f>'Y:\BUDGETS\2023 Budget\alanood work\CTL\[Copy of Budget Template 2023 to 2025- 8471280  Center for Teaching  Learning_updated 30May.xlsx]Other '!#REF!</xm:f>
          </x14:formula1>
          <xm:sqref>V311:V323 K311:K323</xm:sqref>
        </x14:dataValidation>
        <x14:dataValidation type="list" allowBlank="1" showInputMessage="1" showErrorMessage="1" error="Click the drop box and select the appropriate value">
          <x14:formula1>
            <xm:f>'Y:\BUDGETS\2023 Budget\alanood work\CTL\[Copy of Budget Template 2023 to 2025- 8471280  Center for Teaching  Learning_updated 30May.xlsx]Other '!#REF!</xm:f>
          </x14:formula1>
          <xm:sqref>W311:W323</xm:sqref>
        </x14:dataValidation>
        <x14:dataValidation type="list" allowBlank="1" showInputMessage="1" showErrorMessage="1">
          <x14:formula1>
            <xm:f>'Y:\BUDGETS\2023 Budget\alanood work\CTL\[Copy of Budget Template 2023 to 2025- 8471280  Center for Teaching  Learning_updated 30May.xlsx]Strategic Objectives 2023'!#REF!</xm:f>
          </x14:formula1>
          <xm:sqref>X311:X323</xm:sqref>
        </x14:dataValidation>
        <x14:dataValidation type="list" allowBlank="1" showInputMessage="1" showErrorMessage="1">
          <x14:formula1>
            <xm:f>'Y:\BUDGETS\2023 Budget\alanood work\CTL\[Copy of Budget Template 2023 to 2025- 8471280  Center for Teaching  Learning_updated 30May.xlsx]Account Codes'!#REF!</xm:f>
          </x14:formula1>
          <xm:sqref>H311:I323</xm:sqref>
        </x14:dataValidation>
        <x14:dataValidation type="list" errorStyle="information" showInputMessage="1" showErrorMessage="1">
          <x14:formula1>
            <xm:f>'Y:\BUDGETS\2023 Budget\alanood work\career services\[Budget Template 2023 to 2025- 8471250 Career Services updated v.1 no hidden columns.xlsx]Budget Drivers'!#REF!</xm:f>
          </x14:formula1>
          <xm:sqref>P324:P331</xm:sqref>
        </x14:dataValidation>
        <x14:dataValidation type="list" allowBlank="1" showInputMessage="1" showErrorMessage="1" error="Click the drop box and select the appropriate value">
          <x14:formula1>
            <xm:f>'Y:\BUDGETS\2023 Budget\alanood work\career services\[Budget Template 2023 to 2025- 8471250 Career Services updated v.1 no hidden columns.xlsx]Other '!#REF!</xm:f>
          </x14:formula1>
          <xm:sqref>W324:W331</xm:sqref>
        </x14:dataValidation>
        <x14:dataValidation type="list" allowBlank="1" showInputMessage="1" showErrorMessage="1">
          <x14:formula1>
            <xm:f>'Y:\BUDGETS\2023 Budget\alanood work\career services\[Budget Template 2023 to 2025- 8471250 Career Services updated v.1 no hidden columns.xlsx]Strategic Objectives 2023'!#REF!</xm:f>
          </x14:formula1>
          <xm:sqref>X324:X331</xm:sqref>
        </x14:dataValidation>
        <x14:dataValidation type="list" allowBlank="1" showInputMessage="1" showErrorMessage="1">
          <x14:formula1>
            <xm:f>'Y:\BUDGETS\2023 Budget\alanood work\career services\[Budget Template 2023 to 2025- 8471250 Career Services updated v.1 no hidden columns.xlsx]Other '!#REF!</xm:f>
          </x14:formula1>
          <xm:sqref>K324:K331 V324:V331</xm:sqref>
        </x14:dataValidation>
        <x14:dataValidation type="list" allowBlank="1" showInputMessage="1" showErrorMessage="1">
          <x14:formula1>
            <xm:f>'Y:\BUDGETS\2023 Budget\alanood work\career services\[Budget Template 2023 to 2025- 8471250 Career Services updated v.1 no hidden columns.xlsx]Account Codes'!#REF!</xm:f>
          </x14:formula1>
          <xm:sqref>H324:I331</xm:sqref>
        </x14:dataValidation>
        <x14:dataValidation type="list" errorStyle="information" showInputMessage="1" showErrorMessage="1">
          <x14:formula1>
            <xm:f>'Y:\BUDGETS\2023 Budget\alanood work\continuing education\[Budget Template 2023 to 2025 8471010.KUST - Continuing Education Office v.1.xlsx]Budget Drivers'!#REF!</xm:f>
          </x14:formula1>
          <xm:sqref>P332:P337 P230 P232 P245 P314 P267:P274</xm:sqref>
        </x14:dataValidation>
        <x14:dataValidation type="list" allowBlank="1" showInputMessage="1" showErrorMessage="1">
          <x14:formula1>
            <xm:f>'Y:\BUDGETS\2023 Budget\alanood work\continuing education\[Budget Template 2023 to 2025 8471010.KUST - Continuing Education Office v.1.xlsx]Other '!#REF!</xm:f>
          </x14:formula1>
          <xm:sqref>V332:V337 K332:K337</xm:sqref>
        </x14:dataValidation>
        <x14:dataValidation type="list" allowBlank="1" showInputMessage="1" showErrorMessage="1" error="Click the drop box and select the appropriate value">
          <x14:formula1>
            <xm:f>'Y:\BUDGETS\2023 Budget\alanood work\continuing education\[Budget Template 2023 to 2025 8471010.KUST - Continuing Education Office v.1.xlsx]Other '!#REF!</xm:f>
          </x14:formula1>
          <xm:sqref>W332:W337</xm:sqref>
        </x14:dataValidation>
        <x14:dataValidation type="list" allowBlank="1" showInputMessage="1" showErrorMessage="1">
          <x14:formula1>
            <xm:f>'Y:\BUDGETS\2023 Budget\alanood work\continuing education\[Budget Template 2023 to 2025 8471010.KUST - Continuing Education Office v.1.xlsx]Strategic Objectives 2023'!#REF!</xm:f>
          </x14:formula1>
          <xm:sqref>X332:X337</xm:sqref>
        </x14:dataValidation>
        <x14:dataValidation type="list" allowBlank="1" showInputMessage="1" showErrorMessage="1">
          <x14:formula1>
            <xm:f>'Y:\BUDGETS\2023 Budget\alanood work\continuing education\[Budget Template 2023 to 2025 8471010.KUST - Continuing Education Office v.1.xlsx]Account Codes'!#REF!</xm:f>
          </x14:formula1>
          <xm:sqref>H332:I337</xm:sqref>
        </x14:dataValidation>
        <x14:dataValidation type="list" allowBlank="1" showInputMessage="1" showErrorMessage="1">
          <x14:formula1>
            <xm:f>'Y:\BUDGETS\2023 Budget\alanood work\student service\[Budget Template 2023 to 2025- 8471260 Student Life.xlsx]Other '!#REF!</xm:f>
          </x14:formula1>
          <xm:sqref>V260:V295 K260:K295</xm:sqref>
        </x14:dataValidation>
        <x14:dataValidation type="list" allowBlank="1" showInputMessage="1" showErrorMessage="1" error="Click the drop box and select the appropriate value">
          <x14:formula1>
            <xm:f>'Y:\BUDGETS\2023 Budget\alanood work\student service\[Budget Template 2023 to 2025- 8471260 Student Life.xlsx]Other '!#REF!</xm:f>
          </x14:formula1>
          <xm:sqref>W260:W295</xm:sqref>
        </x14:dataValidation>
        <x14:dataValidation type="list" allowBlank="1" showInputMessage="1" showErrorMessage="1">
          <x14:formula1>
            <xm:f>'Y:\BUDGETS\2023 Budget\alanood work\student service\[Budget Template 2023 to 2025- 8471260 Student Life.xlsx]Strategic Objectives 2023'!#REF!</xm:f>
          </x14:formula1>
          <xm:sqref>X260:X295</xm:sqref>
        </x14:dataValidation>
        <x14:dataValidation type="list" errorStyle="information" showInputMessage="1" showErrorMessage="1">
          <x14:formula1>
            <xm:f>'C:\Users\ku459\AppData\Local\Temp\Rar$DIa14176.32111\[Y23 - Y25 Budget Request - 8470230 Graduate Studies.xlsx]Budget Drivers'!#REF!</xm:f>
          </x14:formula1>
          <xm:sqref>P338:P673</xm:sqref>
        </x14:dataValidation>
        <x14:dataValidation type="list" allowBlank="1" showInputMessage="1" showErrorMessage="1">
          <x14:formula1>
            <xm:f>'C:\Users\ku459\AppData\Local\Temp\Rar$DIa14176.32111\[Y23 - Y25 Budget Request - 8470230 Graduate Studies.xlsx]Strategic Objectives 2023'!#REF!</xm:f>
          </x14:formula1>
          <xm:sqref>X338:X673</xm:sqref>
        </x14:dataValidation>
        <x14:dataValidation type="list" allowBlank="1" showInputMessage="1" showErrorMessage="1" error="Click the drop box and select the appropriate value">
          <x14:formula1>
            <xm:f>'C:\Users\ku459\AppData\Local\Temp\Rar$DIa14176.32111\[Y23 - Y25 Budget Request - 8470230 Graduate Studies.xlsx]Other '!#REF!</xm:f>
          </x14:formula1>
          <xm:sqref>W338:W673</xm:sqref>
        </x14:dataValidation>
        <x14:dataValidation type="list" allowBlank="1" showInputMessage="1" showErrorMessage="1">
          <x14:formula1>
            <xm:f>'C:\Users\ku459\AppData\Local\Temp\Rar$DIa14176.32111\[Y23 - Y25 Budget Request - 8470230 Graduate Studies.xlsx]Other '!#REF!</xm:f>
          </x14:formula1>
          <xm:sqref>K338:K673 V338:V673</xm:sqref>
        </x14:dataValidation>
        <x14:dataValidation type="list" allowBlank="1" showInputMessage="1" showErrorMessage="1">
          <x14:formula1>
            <xm:f>'C:\Users\ku459\AppData\Local\Temp\Rar$DIa14176.32111\[Y23 - Y25 Budget Request - 8470230 Graduate Studies.xlsx]Account Codes'!#REF!</xm:f>
          </x14:formula1>
          <xm:sqref>H338:I673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Y655"/>
  <sheetViews>
    <sheetView topLeftCell="N1" zoomScale="80" zoomScaleNormal="80" workbookViewId="0">
      <pane ySplit="1" topLeftCell="A607" activePane="bottomLeft" state="frozen"/>
      <selection pane="bottomLeft" activeCell="A628" sqref="A628"/>
    </sheetView>
  </sheetViews>
  <sheetFormatPr defaultRowHeight="16" customHeight="1" x14ac:dyDescent="0.35"/>
  <cols>
    <col min="1" max="1" width="24.1796875" bestFit="1" customWidth="1"/>
    <col min="2" max="2" width="38.36328125" bestFit="1" customWidth="1"/>
    <col min="3" max="3" width="33.453125" bestFit="1" customWidth="1"/>
    <col min="4" max="4" width="14.36328125" style="8" bestFit="1" customWidth="1"/>
    <col min="7" max="7" width="10.81640625" style="66" bestFit="1" customWidth="1"/>
    <col min="8" max="8" width="12.26953125" bestFit="1" customWidth="1"/>
    <col min="9" max="9" width="71.1796875" bestFit="1" customWidth="1"/>
    <col min="10" max="10" width="7.36328125" bestFit="1" customWidth="1"/>
    <col min="11" max="11" width="18.453125" bestFit="1" customWidth="1"/>
    <col min="12" max="12" width="8" bestFit="1" customWidth="1"/>
    <col min="13" max="13" width="19.1796875" bestFit="1" customWidth="1"/>
    <col min="14" max="14" width="11.7265625" bestFit="1" customWidth="1"/>
    <col min="15" max="15" width="45.81640625" customWidth="1"/>
    <col min="16" max="16" width="56.7265625" customWidth="1"/>
    <col min="17" max="17" width="14.90625" customWidth="1"/>
    <col min="18" max="18" width="24.81640625" bestFit="1" customWidth="1"/>
    <col min="19" max="19" width="13.90625" bestFit="1" customWidth="1"/>
    <col min="20" max="20" width="21.453125" customWidth="1"/>
    <col min="21" max="21" width="17" customWidth="1"/>
    <col min="22" max="22" width="23.453125" bestFit="1" customWidth="1"/>
    <col min="24" max="24" width="95.6328125" customWidth="1"/>
  </cols>
  <sheetData>
    <row r="1" spans="1:24" ht="16" customHeight="1" x14ac:dyDescent="0.35">
      <c r="A1" s="63" t="s">
        <v>0</v>
      </c>
      <c r="B1" s="63" t="s">
        <v>1</v>
      </c>
      <c r="C1" s="63" t="s">
        <v>2</v>
      </c>
      <c r="D1" s="64" t="s">
        <v>3</v>
      </c>
      <c r="E1" s="63" t="s">
        <v>4</v>
      </c>
      <c r="F1" s="63" t="s">
        <v>5</v>
      </c>
      <c r="G1" s="65" t="s">
        <v>6</v>
      </c>
      <c r="H1" s="63" t="s">
        <v>7</v>
      </c>
      <c r="I1" s="63" t="s">
        <v>8</v>
      </c>
      <c r="J1" s="63" t="s">
        <v>9</v>
      </c>
      <c r="K1" s="63" t="s">
        <v>10</v>
      </c>
      <c r="L1" s="63" t="s">
        <v>11</v>
      </c>
      <c r="M1" s="63" t="s">
        <v>12</v>
      </c>
      <c r="N1" s="63" t="s">
        <v>13</v>
      </c>
      <c r="O1" s="63" t="s">
        <v>14</v>
      </c>
      <c r="P1" s="63" t="s">
        <v>18</v>
      </c>
      <c r="Q1" s="63" t="s">
        <v>19</v>
      </c>
      <c r="R1" s="63" t="s">
        <v>20</v>
      </c>
      <c r="S1" s="63" t="s">
        <v>21</v>
      </c>
      <c r="T1" s="63" t="s">
        <v>22</v>
      </c>
      <c r="U1" s="63" t="s">
        <v>313</v>
      </c>
      <c r="V1" s="63" t="s">
        <v>24</v>
      </c>
      <c r="W1" s="63" t="s">
        <v>25</v>
      </c>
      <c r="X1" s="63" t="s">
        <v>45</v>
      </c>
    </row>
    <row r="2" spans="1:24" s="39" customFormat="1" ht="16" customHeight="1" x14ac:dyDescent="0.35">
      <c r="A2" s="37" t="s">
        <v>46</v>
      </c>
      <c r="B2" s="37" t="s">
        <v>46</v>
      </c>
      <c r="C2" s="37" t="s">
        <v>47</v>
      </c>
      <c r="D2" s="78">
        <v>847</v>
      </c>
      <c r="E2" s="37">
        <v>8470810</v>
      </c>
      <c r="F2" s="37" t="s">
        <v>48</v>
      </c>
      <c r="G2" s="79">
        <v>1</v>
      </c>
      <c r="H2" s="37" t="s">
        <v>1740</v>
      </c>
      <c r="I2" s="37" t="s">
        <v>49</v>
      </c>
      <c r="J2" s="37" t="s">
        <v>60</v>
      </c>
      <c r="K2" s="37" t="s">
        <v>50</v>
      </c>
      <c r="L2" s="37">
        <v>847001</v>
      </c>
      <c r="M2" s="37" t="s">
        <v>61</v>
      </c>
      <c r="N2" s="37">
        <v>100180</v>
      </c>
      <c r="O2" s="37" t="str">
        <f>CONCATENATE(D2,".",E2,".",G2,".",H2,".",J2,".",L2,".",N2)</f>
        <v>847.8470810.1.413328.000000.847001.100180</v>
      </c>
      <c r="P2" s="37" t="s">
        <v>52</v>
      </c>
      <c r="Q2" s="37" t="s">
        <v>62</v>
      </c>
      <c r="R2" s="37">
        <v>12</v>
      </c>
      <c r="S2" s="37">
        <v>850000</v>
      </c>
      <c r="T2" s="37" t="s">
        <v>54</v>
      </c>
      <c r="U2" s="37">
        <v>10200000</v>
      </c>
      <c r="V2" s="37" t="s">
        <v>55</v>
      </c>
      <c r="W2" s="37" t="s">
        <v>56</v>
      </c>
      <c r="X2" s="37" t="s">
        <v>70</v>
      </c>
    </row>
    <row r="3" spans="1:24" s="39" customFormat="1" ht="16" customHeight="1" x14ac:dyDescent="0.35">
      <c r="A3" s="37" t="s">
        <v>63</v>
      </c>
      <c r="B3" s="37" t="s">
        <v>64</v>
      </c>
      <c r="C3" s="37" t="s">
        <v>47</v>
      </c>
      <c r="D3" s="78">
        <v>847</v>
      </c>
      <c r="E3" s="37">
        <v>8470810</v>
      </c>
      <c r="F3" s="37" t="s">
        <v>48</v>
      </c>
      <c r="G3" s="79">
        <v>1</v>
      </c>
      <c r="H3" s="37" t="s">
        <v>1741</v>
      </c>
      <c r="I3" s="37" t="s">
        <v>65</v>
      </c>
      <c r="J3" s="37" t="s">
        <v>60</v>
      </c>
      <c r="K3" s="37" t="s">
        <v>50</v>
      </c>
      <c r="L3" s="37">
        <v>847001</v>
      </c>
      <c r="M3" s="37" t="s">
        <v>61</v>
      </c>
      <c r="N3" s="37">
        <v>200179</v>
      </c>
      <c r="O3" s="37" t="str">
        <f t="shared" ref="O3:O66" si="0">CONCATENATE(D3,".",E3,".",G3,".",H3,".",J3,".",L3,".",N3)</f>
        <v>847.8470810.1.420811.000000.847001.200179</v>
      </c>
      <c r="P3" s="37" t="s">
        <v>67</v>
      </c>
      <c r="Q3" s="37" t="s">
        <v>68</v>
      </c>
      <c r="R3" s="37">
        <v>12</v>
      </c>
      <c r="S3" s="38">
        <v>3947977</v>
      </c>
      <c r="T3" s="37" t="s">
        <v>69</v>
      </c>
      <c r="U3" s="38">
        <v>47375724</v>
      </c>
      <c r="V3" s="37" t="s">
        <v>55</v>
      </c>
      <c r="W3" s="37" t="s">
        <v>56</v>
      </c>
      <c r="X3" s="37" t="s">
        <v>70</v>
      </c>
    </row>
    <row r="4" spans="1:24" s="39" customFormat="1" ht="16" customHeight="1" x14ac:dyDescent="0.35">
      <c r="A4" s="37" t="s">
        <v>63</v>
      </c>
      <c r="B4" s="37" t="s">
        <v>64</v>
      </c>
      <c r="C4" s="37" t="s">
        <v>47</v>
      </c>
      <c r="D4" s="78">
        <v>847</v>
      </c>
      <c r="E4" s="37">
        <v>8470810</v>
      </c>
      <c r="F4" s="37" t="s">
        <v>297</v>
      </c>
      <c r="G4" s="79">
        <v>1</v>
      </c>
      <c r="H4" s="37" t="s">
        <v>380</v>
      </c>
      <c r="I4" s="37" t="s">
        <v>74</v>
      </c>
      <c r="J4" s="37" t="s">
        <v>60</v>
      </c>
      <c r="K4" s="37" t="s">
        <v>50</v>
      </c>
      <c r="L4" s="37">
        <v>847001</v>
      </c>
      <c r="M4" s="37" t="s">
        <v>61</v>
      </c>
      <c r="N4" s="37">
        <v>200179</v>
      </c>
      <c r="O4" s="37" t="str">
        <f t="shared" si="0"/>
        <v>847.8470810.1.426610.000000.847001.200179</v>
      </c>
      <c r="P4" s="37" t="s">
        <v>75</v>
      </c>
      <c r="Q4" s="37" t="s">
        <v>76</v>
      </c>
      <c r="R4" s="37">
        <v>1</v>
      </c>
      <c r="S4" s="37">
        <v>9390501</v>
      </c>
      <c r="T4" s="37" t="s">
        <v>299</v>
      </c>
      <c r="U4" s="37">
        <v>9390501</v>
      </c>
      <c r="V4" s="37" t="s">
        <v>55</v>
      </c>
      <c r="W4" s="37" t="s">
        <v>56</v>
      </c>
      <c r="X4" s="37" t="s">
        <v>70</v>
      </c>
    </row>
    <row r="5" spans="1:24" s="39" customFormat="1" ht="16" customHeight="1" x14ac:dyDescent="0.35">
      <c r="A5" s="37" t="s">
        <v>63</v>
      </c>
      <c r="B5" s="37" t="s">
        <v>58</v>
      </c>
      <c r="C5" s="37" t="s">
        <v>47</v>
      </c>
      <c r="D5" s="78">
        <v>847</v>
      </c>
      <c r="E5" s="37">
        <v>8470810</v>
      </c>
      <c r="F5" s="37" t="s">
        <v>48</v>
      </c>
      <c r="G5" s="79">
        <v>1</v>
      </c>
      <c r="H5" s="37" t="s">
        <v>1742</v>
      </c>
      <c r="I5" s="37" t="s">
        <v>141</v>
      </c>
      <c r="J5" s="37" t="s">
        <v>60</v>
      </c>
      <c r="K5" s="37" t="s">
        <v>50</v>
      </c>
      <c r="L5" s="37">
        <v>847001</v>
      </c>
      <c r="M5" s="37" t="s">
        <v>61</v>
      </c>
      <c r="N5" s="37">
        <v>200179</v>
      </c>
      <c r="O5" s="37" t="str">
        <f t="shared" si="0"/>
        <v>847.8470810.1.427810.000000.847001.200179</v>
      </c>
      <c r="P5" s="37" t="s">
        <v>143</v>
      </c>
      <c r="Q5" s="37" t="s">
        <v>68</v>
      </c>
      <c r="R5" s="37">
        <v>12</v>
      </c>
      <c r="S5" s="37">
        <v>60000</v>
      </c>
      <c r="T5" s="37" t="s">
        <v>300</v>
      </c>
      <c r="U5" s="37">
        <v>720000</v>
      </c>
      <c r="V5" s="37" t="s">
        <v>55</v>
      </c>
      <c r="W5" s="37" t="s">
        <v>56</v>
      </c>
      <c r="X5" s="37" t="s">
        <v>70</v>
      </c>
    </row>
    <row r="6" spans="1:24" s="39" customFormat="1" ht="16" customHeight="1" x14ac:dyDescent="0.35">
      <c r="A6" s="37" t="s">
        <v>63</v>
      </c>
      <c r="B6" s="37" t="s">
        <v>58</v>
      </c>
      <c r="C6" s="37" t="s">
        <v>47</v>
      </c>
      <c r="D6" s="78">
        <v>847</v>
      </c>
      <c r="E6" s="37">
        <v>8470810</v>
      </c>
      <c r="F6" s="37" t="s">
        <v>48</v>
      </c>
      <c r="G6" s="79">
        <v>1</v>
      </c>
      <c r="H6" s="37" t="s">
        <v>1743</v>
      </c>
      <c r="I6" s="37" t="s">
        <v>148</v>
      </c>
      <c r="J6" s="37" t="s">
        <v>60</v>
      </c>
      <c r="K6" s="37" t="s">
        <v>50</v>
      </c>
      <c r="L6" s="37">
        <v>847001</v>
      </c>
      <c r="M6" s="37" t="s">
        <v>61</v>
      </c>
      <c r="N6" s="37">
        <v>200179</v>
      </c>
      <c r="O6" s="37" t="str">
        <f t="shared" si="0"/>
        <v>847.8470810.1.427850.000000.847001.200179</v>
      </c>
      <c r="P6" s="37" t="s">
        <v>150</v>
      </c>
      <c r="Q6" s="37" t="s">
        <v>68</v>
      </c>
      <c r="R6" s="37">
        <v>12</v>
      </c>
      <c r="S6" s="37">
        <v>171169</v>
      </c>
      <c r="T6" s="37" t="s">
        <v>151</v>
      </c>
      <c r="U6" s="37">
        <v>2054028</v>
      </c>
      <c r="V6" s="37" t="s">
        <v>55</v>
      </c>
      <c r="W6" s="37" t="s">
        <v>56</v>
      </c>
      <c r="X6" s="37" t="s">
        <v>70</v>
      </c>
    </row>
    <row r="7" spans="1:24" s="39" customFormat="1" ht="16" customHeight="1" x14ac:dyDescent="0.35">
      <c r="A7" s="37" t="s">
        <v>153</v>
      </c>
      <c r="B7" s="37" t="s">
        <v>58</v>
      </c>
      <c r="C7" s="37" t="s">
        <v>47</v>
      </c>
      <c r="D7" s="78">
        <v>847</v>
      </c>
      <c r="E7" s="37">
        <v>8470810</v>
      </c>
      <c r="F7" s="37" t="s">
        <v>48</v>
      </c>
      <c r="G7" s="79">
        <v>1</v>
      </c>
      <c r="H7" s="37" t="s">
        <v>385</v>
      </c>
      <c r="I7" s="37" t="s">
        <v>154</v>
      </c>
      <c r="J7" s="37" t="s">
        <v>60</v>
      </c>
      <c r="K7" s="37" t="s">
        <v>50</v>
      </c>
      <c r="L7" s="37">
        <v>847001</v>
      </c>
      <c r="M7" s="37" t="s">
        <v>61</v>
      </c>
      <c r="N7" s="37">
        <v>200179</v>
      </c>
      <c r="O7" s="37" t="str">
        <f t="shared" si="0"/>
        <v>847.8470810.1.428090.000000.847001.200179</v>
      </c>
      <c r="P7" s="37" t="s">
        <v>156</v>
      </c>
      <c r="Q7" s="37" t="s">
        <v>157</v>
      </c>
      <c r="R7" s="37">
        <v>10</v>
      </c>
      <c r="S7" s="37">
        <v>40000</v>
      </c>
      <c r="T7" s="37" t="s">
        <v>301</v>
      </c>
      <c r="U7" s="37">
        <v>400000</v>
      </c>
      <c r="V7" s="37" t="s">
        <v>55</v>
      </c>
      <c r="W7" s="37" t="s">
        <v>56</v>
      </c>
      <c r="X7" s="37" t="s">
        <v>70</v>
      </c>
    </row>
    <row r="8" spans="1:24" s="39" customFormat="1" ht="16" customHeight="1" x14ac:dyDescent="0.35">
      <c r="A8" s="37" t="s">
        <v>161</v>
      </c>
      <c r="B8" s="37" t="s">
        <v>64</v>
      </c>
      <c r="C8" s="37" t="s">
        <v>47</v>
      </c>
      <c r="D8" s="78">
        <v>847</v>
      </c>
      <c r="E8" s="37">
        <v>8470810</v>
      </c>
      <c r="F8" s="37" t="s">
        <v>48</v>
      </c>
      <c r="G8" s="79">
        <v>1</v>
      </c>
      <c r="H8" s="37" t="s">
        <v>1744</v>
      </c>
      <c r="I8" s="37" t="s">
        <v>162</v>
      </c>
      <c r="J8" s="37" t="s">
        <v>60</v>
      </c>
      <c r="K8" s="37" t="s">
        <v>50</v>
      </c>
      <c r="L8" s="37">
        <v>847001</v>
      </c>
      <c r="M8" s="37" t="s">
        <v>61</v>
      </c>
      <c r="N8" s="37">
        <v>200179</v>
      </c>
      <c r="O8" s="37" t="str">
        <f t="shared" si="0"/>
        <v>847.8470810.1.430250.000000.847001.200179</v>
      </c>
      <c r="P8" s="37" t="s">
        <v>164</v>
      </c>
      <c r="Q8" s="37" t="s">
        <v>157</v>
      </c>
      <c r="R8" s="37">
        <v>1516</v>
      </c>
      <c r="S8" s="37">
        <v>1550</v>
      </c>
      <c r="T8" s="37" t="s">
        <v>165</v>
      </c>
      <c r="U8" s="37">
        <v>2349800</v>
      </c>
      <c r="V8" s="37" t="s">
        <v>55</v>
      </c>
      <c r="W8" s="37" t="s">
        <v>56</v>
      </c>
      <c r="X8" s="37" t="s">
        <v>70</v>
      </c>
    </row>
    <row r="9" spans="1:24" s="39" customFormat="1" ht="16" customHeight="1" x14ac:dyDescent="0.35">
      <c r="A9" s="37" t="s">
        <v>63</v>
      </c>
      <c r="B9" s="37" t="s">
        <v>64</v>
      </c>
      <c r="C9" s="37" t="s">
        <v>47</v>
      </c>
      <c r="D9" s="78">
        <v>847</v>
      </c>
      <c r="E9" s="37">
        <v>8470810</v>
      </c>
      <c r="F9" s="37" t="s">
        <v>48</v>
      </c>
      <c r="G9" s="79">
        <v>1</v>
      </c>
      <c r="H9" s="37" t="s">
        <v>1745</v>
      </c>
      <c r="I9" s="37" t="s">
        <v>167</v>
      </c>
      <c r="J9" s="37" t="s">
        <v>60</v>
      </c>
      <c r="K9" s="37" t="s">
        <v>50</v>
      </c>
      <c r="L9" s="37">
        <v>847001</v>
      </c>
      <c r="M9" s="37" t="s">
        <v>61</v>
      </c>
      <c r="N9" s="37">
        <v>200179</v>
      </c>
      <c r="O9" s="37" t="str">
        <f t="shared" si="0"/>
        <v>847.8470810.1.432205.000000.847001.200179</v>
      </c>
      <c r="P9" s="37" t="s">
        <v>173</v>
      </c>
      <c r="Q9" s="37" t="s">
        <v>76</v>
      </c>
      <c r="R9" s="37">
        <v>1</v>
      </c>
      <c r="S9" s="37">
        <v>2376600</v>
      </c>
      <c r="T9" s="37" t="s">
        <v>302</v>
      </c>
      <c r="U9" s="37">
        <v>2376600</v>
      </c>
      <c r="V9" s="37" t="s">
        <v>55</v>
      </c>
      <c r="W9" s="37" t="s">
        <v>56</v>
      </c>
      <c r="X9" s="37" t="s">
        <v>70</v>
      </c>
    </row>
    <row r="10" spans="1:24" s="39" customFormat="1" ht="16" customHeight="1" x14ac:dyDescent="0.35">
      <c r="A10" s="37" t="s">
        <v>63</v>
      </c>
      <c r="B10" s="37" t="s">
        <v>58</v>
      </c>
      <c r="C10" s="37" t="s">
        <v>47</v>
      </c>
      <c r="D10" s="78">
        <v>847</v>
      </c>
      <c r="E10" s="37">
        <v>8470810</v>
      </c>
      <c r="F10" s="37" t="s">
        <v>48</v>
      </c>
      <c r="G10" s="79">
        <v>1</v>
      </c>
      <c r="H10" s="37" t="s">
        <v>1746</v>
      </c>
      <c r="I10" s="37" t="s">
        <v>184</v>
      </c>
      <c r="J10" s="37" t="s">
        <v>60</v>
      </c>
      <c r="K10" s="37" t="s">
        <v>50</v>
      </c>
      <c r="L10" s="37">
        <v>847001</v>
      </c>
      <c r="M10" s="37" t="s">
        <v>61</v>
      </c>
      <c r="N10" s="37">
        <v>200179</v>
      </c>
      <c r="O10" s="37" t="str">
        <f t="shared" si="0"/>
        <v>847.8470810.1.432226.000000.847001.200179</v>
      </c>
      <c r="P10" s="37" t="s">
        <v>186</v>
      </c>
      <c r="Q10" s="37" t="s">
        <v>68</v>
      </c>
      <c r="R10" s="37">
        <v>12</v>
      </c>
      <c r="S10" s="37">
        <v>48000</v>
      </c>
      <c r="T10" s="37" t="s">
        <v>187</v>
      </c>
      <c r="U10" s="37">
        <v>576000</v>
      </c>
      <c r="V10" s="37" t="s">
        <v>55</v>
      </c>
      <c r="W10" s="37" t="s">
        <v>56</v>
      </c>
      <c r="X10" s="37" t="s">
        <v>70</v>
      </c>
    </row>
    <row r="11" spans="1:24" s="39" customFormat="1" ht="16" customHeight="1" x14ac:dyDescent="0.35">
      <c r="A11" s="37" t="s">
        <v>63</v>
      </c>
      <c r="B11" s="37" t="s">
        <v>64</v>
      </c>
      <c r="C11" s="37" t="s">
        <v>47</v>
      </c>
      <c r="D11" s="78">
        <v>847</v>
      </c>
      <c r="E11" s="37">
        <v>8470810</v>
      </c>
      <c r="F11" s="37" t="s">
        <v>48</v>
      </c>
      <c r="G11" s="79">
        <v>1</v>
      </c>
      <c r="H11" s="37" t="s">
        <v>1747</v>
      </c>
      <c r="I11" s="37" t="s">
        <v>191</v>
      </c>
      <c r="J11" s="37" t="s">
        <v>60</v>
      </c>
      <c r="K11" s="37" t="s">
        <v>50</v>
      </c>
      <c r="L11" s="37">
        <v>847001</v>
      </c>
      <c r="M11" s="37" t="s">
        <v>192</v>
      </c>
      <c r="N11" s="37">
        <v>300180</v>
      </c>
      <c r="O11" s="37" t="str">
        <f t="shared" si="0"/>
        <v>847.8470810.1.492310.000000.847001.300180</v>
      </c>
      <c r="P11" s="37" t="s">
        <v>194</v>
      </c>
      <c r="Q11" s="37" t="s">
        <v>195</v>
      </c>
      <c r="R11" s="37">
        <v>1</v>
      </c>
      <c r="S11" s="37">
        <v>340000</v>
      </c>
      <c r="T11" s="37" t="s">
        <v>303</v>
      </c>
      <c r="U11" s="37">
        <v>340000</v>
      </c>
      <c r="V11" s="37" t="s">
        <v>55</v>
      </c>
      <c r="W11" s="37" t="s">
        <v>56</v>
      </c>
      <c r="X11" s="37" t="s">
        <v>70</v>
      </c>
    </row>
    <row r="12" spans="1:24" s="39" customFormat="1" ht="16" customHeight="1" x14ac:dyDescent="0.35">
      <c r="A12" s="37" t="s">
        <v>63</v>
      </c>
      <c r="B12" s="37" t="s">
        <v>64</v>
      </c>
      <c r="C12" s="37" t="s">
        <v>47</v>
      </c>
      <c r="D12" s="78">
        <v>847</v>
      </c>
      <c r="E12" s="37">
        <v>8470810</v>
      </c>
      <c r="F12" s="37" t="s">
        <v>48</v>
      </c>
      <c r="G12" s="79">
        <v>1</v>
      </c>
      <c r="H12" s="37" t="s">
        <v>1748</v>
      </c>
      <c r="I12" s="37" t="s">
        <v>198</v>
      </c>
      <c r="J12" s="37" t="s">
        <v>60</v>
      </c>
      <c r="K12" s="37" t="s">
        <v>50</v>
      </c>
      <c r="L12" s="37">
        <v>847001</v>
      </c>
      <c r="M12" s="37" t="s">
        <v>192</v>
      </c>
      <c r="N12" s="37">
        <v>300180</v>
      </c>
      <c r="O12" s="37" t="str">
        <f t="shared" si="0"/>
        <v>847.8470810.1.492352.000000.847001.300180</v>
      </c>
      <c r="P12" s="37" t="s">
        <v>200</v>
      </c>
      <c r="Q12" s="37" t="s">
        <v>201</v>
      </c>
      <c r="R12" s="37">
        <v>1</v>
      </c>
      <c r="S12" s="37">
        <v>1164000</v>
      </c>
      <c r="T12" s="37" t="s">
        <v>314</v>
      </c>
      <c r="U12" s="37">
        <v>1164000</v>
      </c>
      <c r="V12" s="37" t="s">
        <v>55</v>
      </c>
      <c r="W12" s="37" t="s">
        <v>56</v>
      </c>
      <c r="X12" s="37" t="s">
        <v>70</v>
      </c>
    </row>
    <row r="13" spans="1:24" s="39" customFormat="1" ht="16" customHeight="1" x14ac:dyDescent="0.35">
      <c r="A13" s="37" t="s">
        <v>63</v>
      </c>
      <c r="B13" s="37" t="s">
        <v>64</v>
      </c>
      <c r="C13" s="37" t="s">
        <v>47</v>
      </c>
      <c r="D13" s="78">
        <v>847</v>
      </c>
      <c r="E13" s="37">
        <v>8470810</v>
      </c>
      <c r="F13" s="37" t="s">
        <v>48</v>
      </c>
      <c r="G13" s="79">
        <v>1</v>
      </c>
      <c r="H13" s="37" t="s">
        <v>1749</v>
      </c>
      <c r="I13" s="37" t="s">
        <v>206</v>
      </c>
      <c r="J13" s="37" t="s">
        <v>60</v>
      </c>
      <c r="K13" s="37" t="s">
        <v>50</v>
      </c>
      <c r="L13" s="37">
        <v>847001</v>
      </c>
      <c r="M13" s="37" t="s">
        <v>192</v>
      </c>
      <c r="N13" s="37">
        <v>300180</v>
      </c>
      <c r="O13" s="37" t="str">
        <f t="shared" si="0"/>
        <v>847.8470810.1.492356.000000.847001.300180</v>
      </c>
      <c r="P13" s="37" t="s">
        <v>208</v>
      </c>
      <c r="Q13" s="37" t="s">
        <v>201</v>
      </c>
      <c r="R13" s="37">
        <v>1</v>
      </c>
      <c r="S13" s="37">
        <v>1200000</v>
      </c>
      <c r="T13" s="37" t="s">
        <v>315</v>
      </c>
      <c r="U13" s="37">
        <v>1200000</v>
      </c>
      <c r="V13" s="37" t="s">
        <v>210</v>
      </c>
      <c r="W13" s="37" t="s">
        <v>56</v>
      </c>
      <c r="X13" s="37" t="s">
        <v>70</v>
      </c>
    </row>
    <row r="14" spans="1:24" s="39" customFormat="1" ht="16" customHeight="1" x14ac:dyDescent="0.35">
      <c r="A14" s="37" t="s">
        <v>63</v>
      </c>
      <c r="B14" s="37" t="s">
        <v>64</v>
      </c>
      <c r="C14" s="37" t="s">
        <v>47</v>
      </c>
      <c r="D14" s="78">
        <v>847</v>
      </c>
      <c r="E14" s="37">
        <v>8470810</v>
      </c>
      <c r="F14" s="37" t="s">
        <v>48</v>
      </c>
      <c r="G14" s="79">
        <v>1</v>
      </c>
      <c r="H14" s="37" t="s">
        <v>1750</v>
      </c>
      <c r="I14" s="37" t="s">
        <v>214</v>
      </c>
      <c r="J14" s="37" t="s">
        <v>60</v>
      </c>
      <c r="K14" s="37" t="s">
        <v>50</v>
      </c>
      <c r="L14" s="37">
        <v>847001</v>
      </c>
      <c r="M14" s="37" t="s">
        <v>192</v>
      </c>
      <c r="N14" s="37">
        <v>300180</v>
      </c>
      <c r="O14" s="37" t="str">
        <f t="shared" si="0"/>
        <v>847.8470810.1.495113.000000.847001.300180</v>
      </c>
      <c r="P14" s="37" t="s">
        <v>215</v>
      </c>
      <c r="Q14" s="37" t="s">
        <v>157</v>
      </c>
      <c r="R14" s="37">
        <v>1</v>
      </c>
      <c r="S14" s="37">
        <v>800000</v>
      </c>
      <c r="T14" s="37" t="s">
        <v>306</v>
      </c>
      <c r="U14" s="37">
        <v>800000</v>
      </c>
      <c r="V14" s="37" t="s">
        <v>55</v>
      </c>
      <c r="W14" s="37" t="s">
        <v>56</v>
      </c>
      <c r="X14" s="37" t="s">
        <v>70</v>
      </c>
    </row>
    <row r="15" spans="1:24" s="39" customFormat="1" ht="16" customHeight="1" x14ac:dyDescent="0.35">
      <c r="A15" s="37" t="s">
        <v>222</v>
      </c>
      <c r="B15" s="37" t="s">
        <v>58</v>
      </c>
      <c r="C15" s="37" t="s">
        <v>223</v>
      </c>
      <c r="D15" s="78">
        <v>847</v>
      </c>
      <c r="E15" s="37">
        <v>8470220</v>
      </c>
      <c r="F15" s="37" t="s">
        <v>224</v>
      </c>
      <c r="G15" s="79">
        <v>1</v>
      </c>
      <c r="H15" s="37" t="s">
        <v>336</v>
      </c>
      <c r="I15" s="37" t="s">
        <v>225</v>
      </c>
      <c r="J15" s="37" t="s">
        <v>60</v>
      </c>
      <c r="K15" s="37" t="s">
        <v>50</v>
      </c>
      <c r="L15" s="37">
        <v>847001</v>
      </c>
      <c r="M15" s="37" t="s">
        <v>61</v>
      </c>
      <c r="N15" s="37">
        <v>200179</v>
      </c>
      <c r="O15" s="37" t="str">
        <f t="shared" si="0"/>
        <v>847.8470220.1.420550.000000.847001.200179</v>
      </c>
      <c r="P15" s="37" t="s">
        <v>227</v>
      </c>
      <c r="Q15" s="37"/>
      <c r="R15" s="37">
        <v>145</v>
      </c>
      <c r="S15" s="37">
        <v>3480</v>
      </c>
      <c r="T15" s="37" t="s">
        <v>316</v>
      </c>
      <c r="U15" s="37">
        <v>504600</v>
      </c>
      <c r="V15" s="37" t="s">
        <v>55</v>
      </c>
      <c r="W15" s="37" t="s">
        <v>56</v>
      </c>
      <c r="X15" s="37" t="s">
        <v>230</v>
      </c>
    </row>
    <row r="16" spans="1:24" s="39" customFormat="1" ht="16" customHeight="1" x14ac:dyDescent="0.35">
      <c r="A16" s="37" t="s">
        <v>222</v>
      </c>
      <c r="B16" s="37" t="s">
        <v>58</v>
      </c>
      <c r="C16" s="37" t="s">
        <v>223</v>
      </c>
      <c r="D16" s="78">
        <v>847</v>
      </c>
      <c r="E16" s="37">
        <v>8470220</v>
      </c>
      <c r="F16" s="37" t="s">
        <v>224</v>
      </c>
      <c r="G16" s="79">
        <v>1</v>
      </c>
      <c r="H16" s="37" t="s">
        <v>604</v>
      </c>
      <c r="I16" s="37" t="s">
        <v>231</v>
      </c>
      <c r="J16" s="37" t="s">
        <v>60</v>
      </c>
      <c r="K16" s="37" t="s">
        <v>50</v>
      </c>
      <c r="L16" s="37">
        <v>847001</v>
      </c>
      <c r="M16" s="37" t="s">
        <v>61</v>
      </c>
      <c r="N16" s="37">
        <v>200179</v>
      </c>
      <c r="O16" s="37" t="str">
        <f t="shared" si="0"/>
        <v>847.8470220.1.420570.000000.847001.200179</v>
      </c>
      <c r="P16" s="37" t="s">
        <v>233</v>
      </c>
      <c r="Q16" s="37" t="s">
        <v>234</v>
      </c>
      <c r="R16" s="37">
        <v>1</v>
      </c>
      <c r="S16" s="37">
        <v>3600000</v>
      </c>
      <c r="T16" s="37" t="s">
        <v>235</v>
      </c>
      <c r="U16" s="37">
        <v>3600000</v>
      </c>
      <c r="V16" s="37" t="s">
        <v>55</v>
      </c>
      <c r="W16" s="37" t="s">
        <v>56</v>
      </c>
      <c r="X16" s="37" t="s">
        <v>237</v>
      </c>
    </row>
    <row r="17" spans="1:24" s="39" customFormat="1" ht="16" customHeight="1" x14ac:dyDescent="0.35">
      <c r="A17" s="37" t="s">
        <v>222</v>
      </c>
      <c r="B17" s="37" t="s">
        <v>238</v>
      </c>
      <c r="C17" s="37" t="s">
        <v>223</v>
      </c>
      <c r="D17" s="78">
        <v>847</v>
      </c>
      <c r="E17" s="37">
        <v>8470220</v>
      </c>
      <c r="F17" s="37" t="s">
        <v>224</v>
      </c>
      <c r="G17" s="79">
        <v>1</v>
      </c>
      <c r="H17" s="37" t="s">
        <v>610</v>
      </c>
      <c r="I17" s="37" t="s">
        <v>239</v>
      </c>
      <c r="J17" s="37" t="s">
        <v>60</v>
      </c>
      <c r="K17" s="37" t="s">
        <v>50</v>
      </c>
      <c r="L17" s="37">
        <v>847001</v>
      </c>
      <c r="M17" s="37" t="s">
        <v>61</v>
      </c>
      <c r="N17" s="37">
        <v>200179</v>
      </c>
      <c r="O17" s="37" t="str">
        <f t="shared" si="0"/>
        <v>847.8470220.1.421700.000000.847001.200179</v>
      </c>
      <c r="P17" s="37" t="s">
        <v>241</v>
      </c>
      <c r="Q17" s="37" t="s">
        <v>157</v>
      </c>
      <c r="R17" s="37">
        <v>1</v>
      </c>
      <c r="S17" s="37">
        <v>1</v>
      </c>
      <c r="T17" s="37" t="s">
        <v>317</v>
      </c>
      <c r="U17" s="37">
        <v>1</v>
      </c>
      <c r="V17" s="37" t="s">
        <v>55</v>
      </c>
      <c r="W17" s="37" t="s">
        <v>197</v>
      </c>
      <c r="X17" s="37" t="s">
        <v>244</v>
      </c>
    </row>
    <row r="18" spans="1:24" s="39" customFormat="1" ht="16" customHeight="1" x14ac:dyDescent="0.35">
      <c r="A18" s="37" t="s">
        <v>245</v>
      </c>
      <c r="B18" s="37" t="s">
        <v>246</v>
      </c>
      <c r="C18" s="37" t="s">
        <v>223</v>
      </c>
      <c r="D18" s="78">
        <v>847</v>
      </c>
      <c r="E18" s="37">
        <v>8470220</v>
      </c>
      <c r="F18" s="37" t="s">
        <v>224</v>
      </c>
      <c r="G18" s="79">
        <v>1</v>
      </c>
      <c r="H18" s="37" t="s">
        <v>342</v>
      </c>
      <c r="I18" s="37" t="s">
        <v>247</v>
      </c>
      <c r="J18" s="37" t="s">
        <v>60</v>
      </c>
      <c r="K18" s="37" t="s">
        <v>50</v>
      </c>
      <c r="L18" s="37">
        <v>847001</v>
      </c>
      <c r="M18" s="37" t="s">
        <v>61</v>
      </c>
      <c r="N18" s="37">
        <v>200179</v>
      </c>
      <c r="O18" s="37" t="str">
        <f t="shared" si="0"/>
        <v>847.8470220.1.425510.000000.847001.200179</v>
      </c>
      <c r="P18" s="37" t="s">
        <v>249</v>
      </c>
      <c r="Q18" s="37" t="s">
        <v>250</v>
      </c>
      <c r="R18" s="37">
        <v>5</v>
      </c>
      <c r="S18" s="37">
        <v>24000</v>
      </c>
      <c r="T18" s="37" t="s">
        <v>318</v>
      </c>
      <c r="U18" s="37">
        <v>120000</v>
      </c>
      <c r="V18" s="37" t="s">
        <v>55</v>
      </c>
      <c r="W18" s="37" t="s">
        <v>56</v>
      </c>
      <c r="X18" s="37" t="s">
        <v>252</v>
      </c>
    </row>
    <row r="19" spans="1:24" s="39" customFormat="1" ht="16" customHeight="1" x14ac:dyDescent="0.35">
      <c r="A19" s="37" t="s">
        <v>245</v>
      </c>
      <c r="B19" s="37" t="s">
        <v>58</v>
      </c>
      <c r="C19" s="37" t="s">
        <v>223</v>
      </c>
      <c r="D19" s="78">
        <v>847</v>
      </c>
      <c r="E19" s="37">
        <v>8470220</v>
      </c>
      <c r="F19" s="37" t="s">
        <v>224</v>
      </c>
      <c r="G19" s="79">
        <v>1</v>
      </c>
      <c r="H19" s="37" t="s">
        <v>1751</v>
      </c>
      <c r="I19" s="37" t="s">
        <v>253</v>
      </c>
      <c r="J19" s="37" t="s">
        <v>60</v>
      </c>
      <c r="K19" s="37" t="s">
        <v>50</v>
      </c>
      <c r="L19" s="37">
        <v>847001</v>
      </c>
      <c r="M19" s="37" t="s">
        <v>61</v>
      </c>
      <c r="N19" s="37">
        <v>200179</v>
      </c>
      <c r="O19" s="37" t="str">
        <f t="shared" si="0"/>
        <v>847.8470220.1.425550.000000.847001.200179</v>
      </c>
      <c r="P19" s="37" t="s">
        <v>255</v>
      </c>
      <c r="Q19" s="37" t="s">
        <v>256</v>
      </c>
      <c r="R19" s="37">
        <v>5</v>
      </c>
      <c r="S19" s="37">
        <v>24000</v>
      </c>
      <c r="T19" s="37" t="s">
        <v>257</v>
      </c>
      <c r="U19" s="37">
        <v>120000</v>
      </c>
      <c r="V19" s="37" t="s">
        <v>55</v>
      </c>
      <c r="W19" s="37" t="s">
        <v>56</v>
      </c>
      <c r="X19" s="37" t="s">
        <v>252</v>
      </c>
    </row>
    <row r="20" spans="1:24" s="39" customFormat="1" ht="16" customHeight="1" x14ac:dyDescent="0.35">
      <c r="A20" s="37" t="s">
        <v>258</v>
      </c>
      <c r="B20" s="37" t="s">
        <v>58</v>
      </c>
      <c r="C20" s="37" t="s">
        <v>223</v>
      </c>
      <c r="D20" s="78">
        <v>847</v>
      </c>
      <c r="E20" s="37">
        <v>8470220</v>
      </c>
      <c r="F20" s="37" t="s">
        <v>224</v>
      </c>
      <c r="G20" s="79">
        <v>1</v>
      </c>
      <c r="H20" s="37" t="s">
        <v>1752</v>
      </c>
      <c r="I20" s="37" t="s">
        <v>259</v>
      </c>
      <c r="J20" s="37" t="s">
        <v>60</v>
      </c>
      <c r="K20" s="37" t="s">
        <v>50</v>
      </c>
      <c r="L20" s="37">
        <v>847001</v>
      </c>
      <c r="M20" s="37" t="s">
        <v>61</v>
      </c>
      <c r="N20" s="37">
        <v>200179</v>
      </c>
      <c r="O20" s="37" t="str">
        <f t="shared" si="0"/>
        <v>847.8470220.1.425740.000000.847001.200179</v>
      </c>
      <c r="P20" s="37" t="s">
        <v>261</v>
      </c>
      <c r="Q20" s="37" t="s">
        <v>262</v>
      </c>
      <c r="R20" s="37">
        <v>26</v>
      </c>
      <c r="S20" s="37">
        <v>166155</v>
      </c>
      <c r="T20" s="37" t="s">
        <v>319</v>
      </c>
      <c r="U20" s="37">
        <v>4320030</v>
      </c>
      <c r="V20" s="37" t="s">
        <v>55</v>
      </c>
      <c r="W20" s="37" t="s">
        <v>56</v>
      </c>
      <c r="X20" s="37" t="s">
        <v>264</v>
      </c>
    </row>
    <row r="21" spans="1:24" s="39" customFormat="1" ht="16" customHeight="1" x14ac:dyDescent="0.35">
      <c r="A21" s="37" t="s">
        <v>189</v>
      </c>
      <c r="B21" s="37" t="s">
        <v>265</v>
      </c>
      <c r="C21" s="37" t="s">
        <v>223</v>
      </c>
      <c r="D21" s="78">
        <v>847</v>
      </c>
      <c r="E21" s="37">
        <v>8470220</v>
      </c>
      <c r="F21" s="37" t="s">
        <v>224</v>
      </c>
      <c r="G21" s="79">
        <v>1</v>
      </c>
      <c r="H21" s="37" t="s">
        <v>375</v>
      </c>
      <c r="I21" s="37" t="s">
        <v>266</v>
      </c>
      <c r="J21" s="37" t="s">
        <v>60</v>
      </c>
      <c r="K21" s="37" t="s">
        <v>50</v>
      </c>
      <c r="L21" s="37">
        <v>847001</v>
      </c>
      <c r="M21" s="37" t="s">
        <v>61</v>
      </c>
      <c r="N21" s="37">
        <v>200179</v>
      </c>
      <c r="O21" s="37" t="str">
        <f t="shared" si="0"/>
        <v>847.8470220.1.425900.000000.847001.200179</v>
      </c>
      <c r="P21" s="37" t="s">
        <v>268</v>
      </c>
      <c r="Q21" s="37" t="s">
        <v>269</v>
      </c>
      <c r="R21" s="37">
        <v>12</v>
      </c>
      <c r="S21" s="37">
        <v>12801</v>
      </c>
      <c r="T21" s="37" t="s">
        <v>270</v>
      </c>
      <c r="U21" s="37">
        <v>153612</v>
      </c>
      <c r="V21" s="37" t="s">
        <v>55</v>
      </c>
      <c r="W21" s="37" t="s">
        <v>56</v>
      </c>
      <c r="X21" s="37" t="s">
        <v>272</v>
      </c>
    </row>
    <row r="22" spans="1:24" s="39" customFormat="1" ht="16" customHeight="1" x14ac:dyDescent="0.35">
      <c r="A22" s="37" t="s">
        <v>63</v>
      </c>
      <c r="B22" s="37" t="s">
        <v>64</v>
      </c>
      <c r="C22" s="37" t="s">
        <v>223</v>
      </c>
      <c r="D22" s="78">
        <v>847</v>
      </c>
      <c r="E22" s="37">
        <v>8470220</v>
      </c>
      <c r="F22" s="37" t="s">
        <v>224</v>
      </c>
      <c r="G22" s="79">
        <v>1</v>
      </c>
      <c r="H22" s="37" t="s">
        <v>380</v>
      </c>
      <c r="I22" s="37" t="s">
        <v>74</v>
      </c>
      <c r="J22" s="37" t="s">
        <v>60</v>
      </c>
      <c r="K22" s="37" t="s">
        <v>50</v>
      </c>
      <c r="L22" s="37">
        <v>847001</v>
      </c>
      <c r="M22" s="37" t="s">
        <v>61</v>
      </c>
      <c r="N22" s="37">
        <v>200179</v>
      </c>
      <c r="O22" s="37" t="str">
        <f t="shared" si="0"/>
        <v>847.8470220.1.426610.000000.847001.200179</v>
      </c>
      <c r="P22" s="37" t="s">
        <v>274</v>
      </c>
      <c r="Q22" s="37" t="s">
        <v>157</v>
      </c>
      <c r="R22" s="37">
        <v>1</v>
      </c>
      <c r="S22" s="37">
        <v>55000</v>
      </c>
      <c r="T22" s="37" t="s">
        <v>320</v>
      </c>
      <c r="U22" s="37">
        <v>55000</v>
      </c>
      <c r="V22" s="37" t="s">
        <v>55</v>
      </c>
      <c r="W22" s="37" t="s">
        <v>197</v>
      </c>
      <c r="X22" s="37" t="s">
        <v>70</v>
      </c>
    </row>
    <row r="23" spans="1:24" s="39" customFormat="1" ht="16" customHeight="1" x14ac:dyDescent="0.35">
      <c r="A23" s="37" t="s">
        <v>153</v>
      </c>
      <c r="B23" s="37" t="s">
        <v>58</v>
      </c>
      <c r="C23" s="37" t="s">
        <v>223</v>
      </c>
      <c r="D23" s="78">
        <v>847</v>
      </c>
      <c r="E23" s="37">
        <v>8470220</v>
      </c>
      <c r="F23" s="37" t="s">
        <v>224</v>
      </c>
      <c r="G23" s="79">
        <v>1</v>
      </c>
      <c r="H23" s="37" t="s">
        <v>385</v>
      </c>
      <c r="I23" s="37" t="s">
        <v>154</v>
      </c>
      <c r="J23" s="37" t="s">
        <v>60</v>
      </c>
      <c r="K23" s="37" t="s">
        <v>50</v>
      </c>
      <c r="L23" s="37">
        <v>847001</v>
      </c>
      <c r="M23" s="37" t="s">
        <v>61</v>
      </c>
      <c r="N23" s="37">
        <v>200179</v>
      </c>
      <c r="O23" s="37" t="str">
        <f t="shared" si="0"/>
        <v>847.8470220.1.428090.000000.847001.200179</v>
      </c>
      <c r="P23" s="37" t="s">
        <v>156</v>
      </c>
      <c r="Q23" s="37" t="s">
        <v>157</v>
      </c>
      <c r="R23" s="37">
        <v>8</v>
      </c>
      <c r="S23" s="37">
        <v>48000</v>
      </c>
      <c r="T23" s="37" t="s">
        <v>321</v>
      </c>
      <c r="U23" s="37">
        <v>384000</v>
      </c>
      <c r="V23" s="37" t="s">
        <v>210</v>
      </c>
      <c r="W23" s="37" t="s">
        <v>197</v>
      </c>
      <c r="X23" s="37" t="s">
        <v>237</v>
      </c>
    </row>
    <row r="24" spans="1:24" s="39" customFormat="1" ht="16" customHeight="1" x14ac:dyDescent="0.35">
      <c r="A24" s="37" t="s">
        <v>245</v>
      </c>
      <c r="B24" s="37" t="s">
        <v>246</v>
      </c>
      <c r="C24" s="37" t="s">
        <v>223</v>
      </c>
      <c r="D24" s="78">
        <v>847</v>
      </c>
      <c r="E24" s="37">
        <v>8470220</v>
      </c>
      <c r="F24" s="37" t="s">
        <v>224</v>
      </c>
      <c r="G24" s="79">
        <v>1</v>
      </c>
      <c r="H24" s="37" t="s">
        <v>643</v>
      </c>
      <c r="I24" s="37" t="s">
        <v>279</v>
      </c>
      <c r="J24" s="37" t="s">
        <v>60</v>
      </c>
      <c r="K24" s="37" t="s">
        <v>50</v>
      </c>
      <c r="L24" s="37">
        <v>847001</v>
      </c>
      <c r="M24" s="37" t="s">
        <v>61</v>
      </c>
      <c r="N24" s="37">
        <v>200179</v>
      </c>
      <c r="O24" s="37" t="str">
        <f t="shared" si="0"/>
        <v>847.8470220.1.428640.000000.847001.200179</v>
      </c>
      <c r="P24" s="37" t="s">
        <v>281</v>
      </c>
      <c r="Q24" s="37" t="s">
        <v>269</v>
      </c>
      <c r="R24" s="37">
        <v>1</v>
      </c>
      <c r="S24" s="37">
        <v>2400000</v>
      </c>
      <c r="T24" s="37" t="s">
        <v>282</v>
      </c>
      <c r="U24" s="37">
        <v>2400000</v>
      </c>
      <c r="V24" s="37" t="s">
        <v>55</v>
      </c>
      <c r="W24" s="37" t="s">
        <v>197</v>
      </c>
      <c r="X24" s="37" t="s">
        <v>272</v>
      </c>
    </row>
    <row r="25" spans="1:24" s="39" customFormat="1" ht="16" customHeight="1" x14ac:dyDescent="0.35">
      <c r="A25" s="37" t="s">
        <v>63</v>
      </c>
      <c r="B25" s="37" t="s">
        <v>64</v>
      </c>
      <c r="C25" s="37" t="s">
        <v>223</v>
      </c>
      <c r="D25" s="78">
        <v>847</v>
      </c>
      <c r="E25" s="37">
        <v>8470220</v>
      </c>
      <c r="F25" s="37" t="s">
        <v>224</v>
      </c>
      <c r="G25" s="79">
        <v>1</v>
      </c>
      <c r="H25" s="37" t="s">
        <v>1745</v>
      </c>
      <c r="I25" s="37" t="s">
        <v>167</v>
      </c>
      <c r="J25" s="37" t="s">
        <v>60</v>
      </c>
      <c r="K25" s="37" t="s">
        <v>50</v>
      </c>
      <c r="L25" s="37">
        <v>847001</v>
      </c>
      <c r="M25" s="37" t="s">
        <v>61</v>
      </c>
      <c r="N25" s="37">
        <v>200179</v>
      </c>
      <c r="O25" s="37" t="str">
        <f t="shared" si="0"/>
        <v>847.8470220.1.432205.000000.847001.200179</v>
      </c>
      <c r="P25" s="37" t="s">
        <v>173</v>
      </c>
      <c r="Q25" s="37" t="s">
        <v>76</v>
      </c>
      <c r="R25" s="37">
        <v>6</v>
      </c>
      <c r="S25" s="37">
        <v>12000</v>
      </c>
      <c r="T25" s="37" t="s">
        <v>285</v>
      </c>
      <c r="U25" s="37">
        <v>72000</v>
      </c>
      <c r="V25" s="37" t="s">
        <v>55</v>
      </c>
      <c r="W25" s="37" t="s">
        <v>197</v>
      </c>
      <c r="X25" s="37" t="s">
        <v>70</v>
      </c>
    </row>
    <row r="26" spans="1:24" s="39" customFormat="1" ht="16" customHeight="1" x14ac:dyDescent="0.35">
      <c r="A26" s="37" t="s">
        <v>161</v>
      </c>
      <c r="B26" s="37" t="s">
        <v>220</v>
      </c>
      <c r="C26" s="37" t="s">
        <v>223</v>
      </c>
      <c r="D26" s="78">
        <v>847</v>
      </c>
      <c r="E26" s="37">
        <v>8470220</v>
      </c>
      <c r="F26" s="37" t="s">
        <v>224</v>
      </c>
      <c r="G26" s="79">
        <v>1</v>
      </c>
      <c r="H26" s="37" t="s">
        <v>420</v>
      </c>
      <c r="I26" s="37" t="s">
        <v>221</v>
      </c>
      <c r="J26" s="37" t="s">
        <v>60</v>
      </c>
      <c r="K26" s="37" t="s">
        <v>50</v>
      </c>
      <c r="L26" s="37">
        <v>847001</v>
      </c>
      <c r="M26" s="37" t="s">
        <v>192</v>
      </c>
      <c r="N26" s="37">
        <v>300180</v>
      </c>
      <c r="O26" s="37" t="str">
        <f t="shared" si="0"/>
        <v>847.8470220.1.492316.000000.847001.300180</v>
      </c>
      <c r="P26" s="37" t="s">
        <v>288</v>
      </c>
      <c r="Q26" s="37" t="s">
        <v>157</v>
      </c>
      <c r="R26" s="37">
        <v>1</v>
      </c>
      <c r="S26" s="37">
        <v>360000</v>
      </c>
      <c r="T26" s="37" t="s">
        <v>289</v>
      </c>
      <c r="U26" s="37">
        <v>360000</v>
      </c>
      <c r="V26" s="37" t="s">
        <v>210</v>
      </c>
      <c r="W26" s="37" t="s">
        <v>56</v>
      </c>
      <c r="X26" s="37" t="s">
        <v>70</v>
      </c>
    </row>
    <row r="27" spans="1:24" s="39" customFormat="1" ht="16" customHeight="1" x14ac:dyDescent="0.35">
      <c r="A27" s="37" t="s">
        <v>46</v>
      </c>
      <c r="B27" s="37" t="s">
        <v>46</v>
      </c>
      <c r="C27" s="37" t="s">
        <v>223</v>
      </c>
      <c r="D27" s="78">
        <v>847</v>
      </c>
      <c r="E27" s="37">
        <v>8470220</v>
      </c>
      <c r="F27" s="37" t="s">
        <v>224</v>
      </c>
      <c r="G27" s="79">
        <v>1</v>
      </c>
      <c r="H27" s="37" t="s">
        <v>1753</v>
      </c>
      <c r="I27" s="37" t="s">
        <v>291</v>
      </c>
      <c r="J27" s="37" t="s">
        <v>60</v>
      </c>
      <c r="K27" s="37" t="s">
        <v>50</v>
      </c>
      <c r="L27" s="37">
        <v>847001</v>
      </c>
      <c r="M27" s="37" t="s">
        <v>61</v>
      </c>
      <c r="N27" s="37">
        <v>200179</v>
      </c>
      <c r="O27" s="37" t="str">
        <f t="shared" si="0"/>
        <v>847.8470220.1.436120.000000.847001.200179</v>
      </c>
      <c r="P27" s="37" t="s">
        <v>292</v>
      </c>
      <c r="Q27" s="37" t="s">
        <v>157</v>
      </c>
      <c r="R27" s="37">
        <v>6</v>
      </c>
      <c r="S27" s="37">
        <v>1200</v>
      </c>
      <c r="T27" s="37" t="s">
        <v>293</v>
      </c>
      <c r="U27" s="37">
        <v>7200</v>
      </c>
      <c r="V27" s="37" t="s">
        <v>55</v>
      </c>
      <c r="W27" s="37" t="s">
        <v>56</v>
      </c>
      <c r="X27" s="37" t="s">
        <v>295</v>
      </c>
    </row>
    <row r="28" spans="1:24" s="39" customFormat="1" ht="16" customHeight="1" x14ac:dyDescent="0.35">
      <c r="A28" s="21" t="s">
        <v>222</v>
      </c>
      <c r="B28" s="21" t="s">
        <v>58</v>
      </c>
      <c r="C28" s="21" t="s">
        <v>334</v>
      </c>
      <c r="D28" s="78">
        <v>847</v>
      </c>
      <c r="E28" s="21">
        <v>8470305</v>
      </c>
      <c r="F28" s="21" t="s">
        <v>598</v>
      </c>
      <c r="G28" s="79">
        <v>1</v>
      </c>
      <c r="H28" s="37" t="s">
        <v>336</v>
      </c>
      <c r="I28" s="21" t="s">
        <v>225</v>
      </c>
      <c r="J28" s="37" t="s">
        <v>60</v>
      </c>
      <c r="K28" s="21" t="s">
        <v>50</v>
      </c>
      <c r="L28" s="21">
        <v>847001</v>
      </c>
      <c r="M28" s="21" t="s">
        <v>61</v>
      </c>
      <c r="N28" s="21">
        <v>200179</v>
      </c>
      <c r="O28" s="37" t="str">
        <f t="shared" si="0"/>
        <v>847.8470305.1.420550.000000.847001.200179</v>
      </c>
      <c r="P28" s="21" t="s">
        <v>227</v>
      </c>
      <c r="Q28" s="21" t="s">
        <v>157</v>
      </c>
      <c r="R28" s="23">
        <v>2</v>
      </c>
      <c r="S28" s="23">
        <v>50000</v>
      </c>
      <c r="T28" s="23" t="s">
        <v>600</v>
      </c>
      <c r="U28" s="24">
        <f>R28*S28</f>
        <v>100000</v>
      </c>
      <c r="V28" s="21" t="s">
        <v>55</v>
      </c>
      <c r="W28" s="21" t="s">
        <v>56</v>
      </c>
      <c r="X28" s="21" t="s">
        <v>230</v>
      </c>
    </row>
    <row r="29" spans="1:24" s="39" customFormat="1" ht="16" customHeight="1" x14ac:dyDescent="0.35">
      <c r="A29" s="21" t="s">
        <v>222</v>
      </c>
      <c r="B29" s="21" t="s">
        <v>58</v>
      </c>
      <c r="C29" s="21" t="s">
        <v>334</v>
      </c>
      <c r="D29" s="78">
        <v>847</v>
      </c>
      <c r="E29" s="21">
        <v>8470305</v>
      </c>
      <c r="F29" s="21" t="s">
        <v>598</v>
      </c>
      <c r="G29" s="79">
        <v>1</v>
      </c>
      <c r="H29" s="37" t="s">
        <v>604</v>
      </c>
      <c r="I29" s="21" t="s">
        <v>231</v>
      </c>
      <c r="J29" s="37" t="s">
        <v>60</v>
      </c>
      <c r="K29" s="21" t="s">
        <v>50</v>
      </c>
      <c r="L29" s="21">
        <v>847001</v>
      </c>
      <c r="M29" s="21" t="s">
        <v>61</v>
      </c>
      <c r="N29" s="21">
        <v>200179</v>
      </c>
      <c r="O29" s="37" t="str">
        <f t="shared" si="0"/>
        <v>847.8470305.1.420570.000000.847001.200179</v>
      </c>
      <c r="P29" s="21" t="s">
        <v>606</v>
      </c>
      <c r="Q29" s="21" t="s">
        <v>607</v>
      </c>
      <c r="R29" s="21">
        <v>3</v>
      </c>
      <c r="S29" s="21">
        <v>5000</v>
      </c>
      <c r="T29" s="21" t="s">
        <v>608</v>
      </c>
      <c r="U29" s="24">
        <f t="shared" ref="U29:U92" si="1">R29*S29</f>
        <v>15000</v>
      </c>
      <c r="V29" s="21" t="s">
        <v>55</v>
      </c>
      <c r="W29" s="21" t="s">
        <v>56</v>
      </c>
      <c r="X29" s="21" t="s">
        <v>237</v>
      </c>
    </row>
    <row r="30" spans="1:24" s="39" customFormat="1" ht="16" customHeight="1" x14ac:dyDescent="0.35">
      <c r="A30" s="21" t="s">
        <v>222</v>
      </c>
      <c r="B30" s="21" t="s">
        <v>238</v>
      </c>
      <c r="C30" s="21" t="s">
        <v>334</v>
      </c>
      <c r="D30" s="78">
        <v>847</v>
      </c>
      <c r="E30" s="21">
        <v>8470305</v>
      </c>
      <c r="F30" s="21" t="s">
        <v>598</v>
      </c>
      <c r="G30" s="79">
        <v>1</v>
      </c>
      <c r="H30" s="37" t="s">
        <v>610</v>
      </c>
      <c r="I30" s="21" t="s">
        <v>239</v>
      </c>
      <c r="J30" s="37" t="s">
        <v>60</v>
      </c>
      <c r="K30" s="21" t="s">
        <v>50</v>
      </c>
      <c r="L30" s="21">
        <v>847001</v>
      </c>
      <c r="M30" s="21" t="s">
        <v>61</v>
      </c>
      <c r="N30" s="21">
        <v>200179</v>
      </c>
      <c r="O30" s="37" t="str">
        <f t="shared" si="0"/>
        <v>847.8470305.1.421700.000000.847001.200179</v>
      </c>
      <c r="P30" s="21" t="s">
        <v>241</v>
      </c>
      <c r="Q30" s="21" t="s">
        <v>157</v>
      </c>
      <c r="R30" s="21">
        <v>1</v>
      </c>
      <c r="S30" s="21">
        <v>150000</v>
      </c>
      <c r="T30" s="21" t="s">
        <v>973</v>
      </c>
      <c r="U30" s="24">
        <f t="shared" si="1"/>
        <v>150000</v>
      </c>
      <c r="V30" s="21" t="s">
        <v>55</v>
      </c>
      <c r="W30" s="21" t="s">
        <v>197</v>
      </c>
      <c r="X30" s="21" t="s">
        <v>230</v>
      </c>
    </row>
    <row r="31" spans="1:24" s="39" customFormat="1" ht="16" customHeight="1" x14ac:dyDescent="0.35">
      <c r="A31" s="21" t="s">
        <v>245</v>
      </c>
      <c r="B31" s="21" t="s">
        <v>246</v>
      </c>
      <c r="C31" s="21" t="s">
        <v>334</v>
      </c>
      <c r="D31" s="78">
        <v>847</v>
      </c>
      <c r="E31" s="21">
        <v>8470305</v>
      </c>
      <c r="F31" s="21" t="s">
        <v>598</v>
      </c>
      <c r="G31" s="79">
        <v>1</v>
      </c>
      <c r="H31" s="37" t="s">
        <v>342</v>
      </c>
      <c r="I31" s="21" t="s">
        <v>247</v>
      </c>
      <c r="J31" s="37" t="s">
        <v>60</v>
      </c>
      <c r="K31" s="21" t="s">
        <v>50</v>
      </c>
      <c r="L31" s="21">
        <v>847001</v>
      </c>
      <c r="M31" s="21" t="s">
        <v>61</v>
      </c>
      <c r="N31" s="21">
        <v>200179</v>
      </c>
      <c r="O31" s="37" t="str">
        <f t="shared" si="0"/>
        <v>847.8470305.1.425510.000000.847001.200179</v>
      </c>
      <c r="P31" s="21" t="s">
        <v>615</v>
      </c>
      <c r="Q31" s="21" t="s">
        <v>616</v>
      </c>
      <c r="R31" s="21">
        <v>6</v>
      </c>
      <c r="S31" s="21">
        <v>10000</v>
      </c>
      <c r="T31" s="21" t="s">
        <v>617</v>
      </c>
      <c r="U31" s="24">
        <f t="shared" si="1"/>
        <v>60000</v>
      </c>
      <c r="V31" s="21" t="s">
        <v>55</v>
      </c>
      <c r="W31" s="21" t="s">
        <v>56</v>
      </c>
      <c r="X31" s="21" t="s">
        <v>618</v>
      </c>
    </row>
    <row r="32" spans="1:24" s="39" customFormat="1" ht="16" customHeight="1" x14ac:dyDescent="0.35">
      <c r="A32" s="21" t="s">
        <v>258</v>
      </c>
      <c r="B32" s="21" t="s">
        <v>58</v>
      </c>
      <c r="C32" s="21" t="s">
        <v>334</v>
      </c>
      <c r="D32" s="78">
        <v>847</v>
      </c>
      <c r="E32" s="21">
        <v>8470305</v>
      </c>
      <c r="F32" s="21" t="s">
        <v>598</v>
      </c>
      <c r="G32" s="79">
        <v>1</v>
      </c>
      <c r="H32" s="37" t="s">
        <v>358</v>
      </c>
      <c r="I32" s="21" t="s">
        <v>359</v>
      </c>
      <c r="J32" s="37" t="s">
        <v>60</v>
      </c>
      <c r="K32" s="21" t="s">
        <v>50</v>
      </c>
      <c r="L32" s="21">
        <v>847001</v>
      </c>
      <c r="M32" s="21" t="s">
        <v>61</v>
      </c>
      <c r="N32" s="21">
        <v>200179</v>
      </c>
      <c r="O32" s="37" t="str">
        <f t="shared" si="0"/>
        <v>847.8470305.1.425763.000000.847001.200179</v>
      </c>
      <c r="P32" s="21" t="s">
        <v>361</v>
      </c>
      <c r="Q32" s="21" t="s">
        <v>68</v>
      </c>
      <c r="R32" s="21">
        <v>6</v>
      </c>
      <c r="S32" s="21">
        <v>20000</v>
      </c>
      <c r="T32" s="21" t="s">
        <v>628</v>
      </c>
      <c r="U32" s="24">
        <f t="shared" si="1"/>
        <v>120000</v>
      </c>
      <c r="V32" s="21" t="s">
        <v>55</v>
      </c>
      <c r="W32" s="21" t="s">
        <v>56</v>
      </c>
      <c r="X32" s="21" t="s">
        <v>230</v>
      </c>
    </row>
    <row r="33" spans="1:24" s="39" customFormat="1" ht="16" customHeight="1" x14ac:dyDescent="0.35">
      <c r="A33" s="21" t="s">
        <v>222</v>
      </c>
      <c r="B33" s="21" t="s">
        <v>58</v>
      </c>
      <c r="C33" s="21" t="s">
        <v>334</v>
      </c>
      <c r="D33" s="78">
        <v>847</v>
      </c>
      <c r="E33" s="21">
        <v>8470305</v>
      </c>
      <c r="F33" s="21" t="s">
        <v>598</v>
      </c>
      <c r="G33" s="79">
        <v>1</v>
      </c>
      <c r="H33" s="37" t="s">
        <v>366</v>
      </c>
      <c r="I33" s="21" t="s">
        <v>367</v>
      </c>
      <c r="J33" s="37" t="s">
        <v>60</v>
      </c>
      <c r="K33" s="21" t="s">
        <v>50</v>
      </c>
      <c r="L33" s="21">
        <v>847001</v>
      </c>
      <c r="M33" s="21" t="s">
        <v>61</v>
      </c>
      <c r="N33" s="21">
        <v>200179</v>
      </c>
      <c r="O33" s="37" t="str">
        <f t="shared" si="0"/>
        <v>847.8470305.1.425770.000000.847001.200179</v>
      </c>
      <c r="P33" s="21" t="s">
        <v>369</v>
      </c>
      <c r="Q33" s="21" t="s">
        <v>157</v>
      </c>
      <c r="R33" s="21">
        <v>55</v>
      </c>
      <c r="S33" s="21">
        <v>20000</v>
      </c>
      <c r="T33" s="21" t="s">
        <v>631</v>
      </c>
      <c r="U33" s="24">
        <f t="shared" si="1"/>
        <v>1100000</v>
      </c>
      <c r="V33" s="21" t="s">
        <v>55</v>
      </c>
      <c r="W33" s="21" t="s">
        <v>56</v>
      </c>
      <c r="X33" s="21" t="s">
        <v>480</v>
      </c>
    </row>
    <row r="34" spans="1:24" s="39" customFormat="1" ht="16" customHeight="1" x14ac:dyDescent="0.35">
      <c r="A34" s="21" t="s">
        <v>189</v>
      </c>
      <c r="B34" s="21" t="s">
        <v>265</v>
      </c>
      <c r="C34" s="21" t="s">
        <v>334</v>
      </c>
      <c r="D34" s="78">
        <v>847</v>
      </c>
      <c r="E34" s="21">
        <v>8470305</v>
      </c>
      <c r="F34" s="21" t="s">
        <v>598</v>
      </c>
      <c r="G34" s="79">
        <v>1</v>
      </c>
      <c r="H34" s="37" t="s">
        <v>375</v>
      </c>
      <c r="I34" s="21" t="s">
        <v>266</v>
      </c>
      <c r="J34" s="37" t="s">
        <v>60</v>
      </c>
      <c r="K34" s="21" t="s">
        <v>50</v>
      </c>
      <c r="L34" s="21">
        <v>847001</v>
      </c>
      <c r="M34" s="21" t="s">
        <v>61</v>
      </c>
      <c r="N34" s="21">
        <v>200179</v>
      </c>
      <c r="O34" s="37" t="str">
        <f t="shared" si="0"/>
        <v>847.8470305.1.425900.000000.847001.200179</v>
      </c>
      <c r="P34" s="21" t="s">
        <v>268</v>
      </c>
      <c r="Q34" s="21" t="s">
        <v>269</v>
      </c>
      <c r="R34" s="21">
        <v>3</v>
      </c>
      <c r="S34" s="21">
        <v>10000</v>
      </c>
      <c r="T34" s="21" t="s">
        <v>634</v>
      </c>
      <c r="U34" s="24">
        <f t="shared" si="1"/>
        <v>30000</v>
      </c>
      <c r="V34" s="21" t="s">
        <v>55</v>
      </c>
      <c r="W34" s="21" t="s">
        <v>56</v>
      </c>
      <c r="X34" s="21" t="s">
        <v>636</v>
      </c>
    </row>
    <row r="35" spans="1:24" s="39" customFormat="1" ht="16" customHeight="1" x14ac:dyDescent="0.35">
      <c r="A35" s="21" t="s">
        <v>63</v>
      </c>
      <c r="B35" s="21" t="s">
        <v>64</v>
      </c>
      <c r="C35" s="21" t="s">
        <v>334</v>
      </c>
      <c r="D35" s="78">
        <v>847</v>
      </c>
      <c r="E35" s="21">
        <v>8470305</v>
      </c>
      <c r="F35" s="21" t="s">
        <v>598</v>
      </c>
      <c r="G35" s="79">
        <v>1</v>
      </c>
      <c r="H35" s="37" t="s">
        <v>380</v>
      </c>
      <c r="I35" s="21" t="s">
        <v>74</v>
      </c>
      <c r="J35" s="37" t="s">
        <v>60</v>
      </c>
      <c r="K35" s="21" t="s">
        <v>50</v>
      </c>
      <c r="L35" s="21">
        <v>847001</v>
      </c>
      <c r="M35" s="21" t="s">
        <v>61</v>
      </c>
      <c r="N35" s="21">
        <v>200179</v>
      </c>
      <c r="O35" s="37" t="str">
        <f t="shared" si="0"/>
        <v>847.8470305.1.426610.000000.847001.200179</v>
      </c>
      <c r="P35" s="21" t="s">
        <v>75</v>
      </c>
      <c r="Q35" s="21" t="s">
        <v>76</v>
      </c>
      <c r="R35" s="21">
        <v>1</v>
      </c>
      <c r="S35" s="21">
        <v>120000</v>
      </c>
      <c r="T35" s="21" t="s">
        <v>638</v>
      </c>
      <c r="U35" s="24">
        <f t="shared" si="1"/>
        <v>120000</v>
      </c>
      <c r="V35" s="21" t="s">
        <v>55</v>
      </c>
      <c r="W35" s="21" t="s">
        <v>56</v>
      </c>
      <c r="X35" s="21" t="s">
        <v>230</v>
      </c>
    </row>
    <row r="36" spans="1:24" s="39" customFormat="1" ht="16" customHeight="1" x14ac:dyDescent="0.35">
      <c r="A36" s="21" t="s">
        <v>153</v>
      </c>
      <c r="B36" s="21" t="s">
        <v>58</v>
      </c>
      <c r="C36" s="21" t="s">
        <v>334</v>
      </c>
      <c r="D36" s="78">
        <v>847</v>
      </c>
      <c r="E36" s="21">
        <v>8470305</v>
      </c>
      <c r="F36" s="21" t="s">
        <v>598</v>
      </c>
      <c r="G36" s="79">
        <v>1</v>
      </c>
      <c r="H36" s="37" t="s">
        <v>385</v>
      </c>
      <c r="I36" s="21" t="s">
        <v>154</v>
      </c>
      <c r="J36" s="37" t="s">
        <v>60</v>
      </c>
      <c r="K36" s="21" t="s">
        <v>50</v>
      </c>
      <c r="L36" s="21">
        <v>847001</v>
      </c>
      <c r="M36" s="21" t="s">
        <v>61</v>
      </c>
      <c r="N36" s="21">
        <v>200179</v>
      </c>
      <c r="O36" s="37" t="str">
        <f t="shared" si="0"/>
        <v>847.8470305.1.428090.000000.847001.200179</v>
      </c>
      <c r="P36" s="21" t="s">
        <v>156</v>
      </c>
      <c r="Q36" s="21" t="s">
        <v>157</v>
      </c>
      <c r="R36" s="21">
        <v>3</v>
      </c>
      <c r="S36" s="21">
        <v>20000</v>
      </c>
      <c r="T36" s="21" t="s">
        <v>641</v>
      </c>
      <c r="U36" s="24">
        <f t="shared" si="1"/>
        <v>60000</v>
      </c>
      <c r="V36" s="21" t="s">
        <v>55</v>
      </c>
      <c r="W36" s="21" t="s">
        <v>56</v>
      </c>
      <c r="X36" s="21" t="s">
        <v>237</v>
      </c>
    </row>
    <row r="37" spans="1:24" s="39" customFormat="1" ht="16" customHeight="1" x14ac:dyDescent="0.35">
      <c r="A37" s="21" t="s">
        <v>245</v>
      </c>
      <c r="B37" s="21" t="s">
        <v>246</v>
      </c>
      <c r="C37" s="21" t="s">
        <v>334</v>
      </c>
      <c r="D37" s="78">
        <v>847</v>
      </c>
      <c r="E37" s="21">
        <v>8470305</v>
      </c>
      <c r="F37" s="21" t="s">
        <v>598</v>
      </c>
      <c r="G37" s="79">
        <v>1</v>
      </c>
      <c r="H37" s="37" t="s">
        <v>643</v>
      </c>
      <c r="I37" s="21" t="s">
        <v>279</v>
      </c>
      <c r="J37" s="37" t="s">
        <v>60</v>
      </c>
      <c r="K37" s="21" t="s">
        <v>50</v>
      </c>
      <c r="L37" s="21">
        <v>847001</v>
      </c>
      <c r="M37" s="21" t="s">
        <v>61</v>
      </c>
      <c r="N37" s="21">
        <v>200179</v>
      </c>
      <c r="O37" s="37" t="str">
        <f t="shared" si="0"/>
        <v>847.8470305.1.428640.000000.847001.200179</v>
      </c>
      <c r="P37" s="21" t="s">
        <v>645</v>
      </c>
      <c r="Q37" s="21" t="s">
        <v>269</v>
      </c>
      <c r="R37" s="21">
        <v>20</v>
      </c>
      <c r="S37" s="21">
        <v>1500</v>
      </c>
      <c r="T37" s="21" t="s">
        <v>646</v>
      </c>
      <c r="U37" s="24">
        <f t="shared" si="1"/>
        <v>30000</v>
      </c>
      <c r="V37" s="21" t="s">
        <v>55</v>
      </c>
      <c r="W37" s="21" t="s">
        <v>56</v>
      </c>
      <c r="X37" s="21" t="s">
        <v>252</v>
      </c>
    </row>
    <row r="38" spans="1:24" s="39" customFormat="1" ht="16" customHeight="1" x14ac:dyDescent="0.35">
      <c r="A38" s="21" t="s">
        <v>222</v>
      </c>
      <c r="B38" s="21" t="s">
        <v>58</v>
      </c>
      <c r="C38" s="21" t="s">
        <v>334</v>
      </c>
      <c r="D38" s="78">
        <v>847</v>
      </c>
      <c r="E38" s="21">
        <v>8470305</v>
      </c>
      <c r="F38" s="21" t="s">
        <v>598</v>
      </c>
      <c r="G38" s="79">
        <v>1</v>
      </c>
      <c r="H38" s="37" t="s">
        <v>392</v>
      </c>
      <c r="I38" s="21" t="s">
        <v>393</v>
      </c>
      <c r="J38" s="37" t="s">
        <v>60</v>
      </c>
      <c r="K38" s="21" t="s">
        <v>50</v>
      </c>
      <c r="L38" s="21">
        <v>847001</v>
      </c>
      <c r="M38" s="21" t="s">
        <v>61</v>
      </c>
      <c r="N38" s="21">
        <v>200179</v>
      </c>
      <c r="O38" s="37" t="str">
        <f t="shared" si="0"/>
        <v>847.8470305.1.432209.000000.847001.200179</v>
      </c>
      <c r="P38" s="21" t="s">
        <v>288</v>
      </c>
      <c r="Q38" s="21" t="s">
        <v>157</v>
      </c>
      <c r="R38" s="21">
        <v>60</v>
      </c>
      <c r="S38" s="21">
        <v>4950</v>
      </c>
      <c r="T38" s="21" t="s">
        <v>649</v>
      </c>
      <c r="U38" s="24">
        <f t="shared" si="1"/>
        <v>297000</v>
      </c>
      <c r="V38" s="21" t="s">
        <v>55</v>
      </c>
      <c r="W38" s="21" t="s">
        <v>56</v>
      </c>
      <c r="X38" s="21" t="s">
        <v>230</v>
      </c>
    </row>
    <row r="39" spans="1:24" s="39" customFormat="1" ht="16" customHeight="1" x14ac:dyDescent="0.35">
      <c r="A39" s="21" t="s">
        <v>222</v>
      </c>
      <c r="B39" s="21" t="s">
        <v>58</v>
      </c>
      <c r="C39" s="21" t="s">
        <v>334</v>
      </c>
      <c r="D39" s="78">
        <v>847</v>
      </c>
      <c r="E39" s="21">
        <v>8470305</v>
      </c>
      <c r="F39" s="21" t="s">
        <v>598</v>
      </c>
      <c r="G39" s="79">
        <v>1</v>
      </c>
      <c r="H39" s="37" t="s">
        <v>398</v>
      </c>
      <c r="I39" s="21" t="s">
        <v>399</v>
      </c>
      <c r="J39" s="37" t="s">
        <v>60</v>
      </c>
      <c r="K39" s="21" t="s">
        <v>50</v>
      </c>
      <c r="L39" s="21">
        <v>847001</v>
      </c>
      <c r="M39" s="21" t="s">
        <v>61</v>
      </c>
      <c r="N39" s="21">
        <v>200179</v>
      </c>
      <c r="O39" s="37" t="str">
        <f t="shared" si="0"/>
        <v>847.8470305.1.435350.000000.847001.200179</v>
      </c>
      <c r="P39" s="21" t="s">
        <v>401</v>
      </c>
      <c r="Q39" s="21" t="s">
        <v>157</v>
      </c>
      <c r="R39" s="21">
        <v>80</v>
      </c>
      <c r="S39" s="21">
        <v>3937.5</v>
      </c>
      <c r="T39" s="21" t="s">
        <v>659</v>
      </c>
      <c r="U39" s="24">
        <f t="shared" si="1"/>
        <v>315000</v>
      </c>
      <c r="V39" s="21" t="s">
        <v>55</v>
      </c>
      <c r="W39" s="21" t="s">
        <v>56</v>
      </c>
      <c r="X39" s="21" t="s">
        <v>480</v>
      </c>
    </row>
    <row r="40" spans="1:24" s="39" customFormat="1" ht="16" customHeight="1" x14ac:dyDescent="0.35">
      <c r="A40" s="21" t="s">
        <v>222</v>
      </c>
      <c r="B40" s="21" t="s">
        <v>220</v>
      </c>
      <c r="C40" s="21" t="s">
        <v>334</v>
      </c>
      <c r="D40" s="78">
        <v>847</v>
      </c>
      <c r="E40" s="21">
        <v>8470305</v>
      </c>
      <c r="F40" s="21" t="s">
        <v>598</v>
      </c>
      <c r="G40" s="79">
        <v>1</v>
      </c>
      <c r="H40" s="37" t="s">
        <v>404</v>
      </c>
      <c r="I40" s="21" t="s">
        <v>405</v>
      </c>
      <c r="J40" s="37" t="s">
        <v>60</v>
      </c>
      <c r="K40" s="21" t="s">
        <v>50</v>
      </c>
      <c r="L40" s="21">
        <v>847001</v>
      </c>
      <c r="M40" s="21" t="s">
        <v>61</v>
      </c>
      <c r="N40" s="21">
        <v>200179</v>
      </c>
      <c r="O40" s="37" t="str">
        <f t="shared" si="0"/>
        <v>847.8470305.1.435508.000000.847001.200179</v>
      </c>
      <c r="P40" s="21" t="s">
        <v>407</v>
      </c>
      <c r="Q40" s="21" t="s">
        <v>157</v>
      </c>
      <c r="R40" s="21">
        <v>2</v>
      </c>
      <c r="S40" s="21">
        <v>60000</v>
      </c>
      <c r="T40" s="21" t="s">
        <v>663</v>
      </c>
      <c r="U40" s="24">
        <f t="shared" si="1"/>
        <v>120000</v>
      </c>
      <c r="V40" s="21" t="s">
        <v>55</v>
      </c>
      <c r="W40" s="21" t="s">
        <v>56</v>
      </c>
      <c r="X40" s="21" t="s">
        <v>70</v>
      </c>
    </row>
    <row r="41" spans="1:24" s="39" customFormat="1" ht="16" customHeight="1" x14ac:dyDescent="0.35">
      <c r="A41" s="21" t="s">
        <v>222</v>
      </c>
      <c r="B41" s="21" t="s">
        <v>58</v>
      </c>
      <c r="C41" s="21" t="s">
        <v>334</v>
      </c>
      <c r="D41" s="78">
        <v>847</v>
      </c>
      <c r="E41" s="21">
        <v>8470305</v>
      </c>
      <c r="F41" s="21" t="s">
        <v>598</v>
      </c>
      <c r="G41" s="79">
        <v>1</v>
      </c>
      <c r="H41" s="37" t="s">
        <v>415</v>
      </c>
      <c r="I41" s="21" t="s">
        <v>416</v>
      </c>
      <c r="J41" s="37" t="s">
        <v>60</v>
      </c>
      <c r="K41" s="21" t="s">
        <v>50</v>
      </c>
      <c r="L41" s="21">
        <v>847001</v>
      </c>
      <c r="M41" s="21" t="s">
        <v>61</v>
      </c>
      <c r="N41" s="21">
        <v>200179</v>
      </c>
      <c r="O41" s="37" t="str">
        <f t="shared" si="0"/>
        <v>847.8470305.1.436600.000000.847001.200179</v>
      </c>
      <c r="P41" s="21" t="s">
        <v>418</v>
      </c>
      <c r="Q41" s="21" t="s">
        <v>157</v>
      </c>
      <c r="R41" s="21">
        <v>2</v>
      </c>
      <c r="S41" s="21">
        <v>20000</v>
      </c>
      <c r="T41" s="21" t="s">
        <v>665</v>
      </c>
      <c r="U41" s="24">
        <f t="shared" si="1"/>
        <v>40000</v>
      </c>
      <c r="V41" s="21" t="s">
        <v>55</v>
      </c>
      <c r="W41" s="21" t="s">
        <v>56</v>
      </c>
      <c r="X41" s="21" t="s">
        <v>70</v>
      </c>
    </row>
    <row r="42" spans="1:24" s="39" customFormat="1" ht="16" customHeight="1" x14ac:dyDescent="0.35">
      <c r="A42" s="21" t="s">
        <v>258</v>
      </c>
      <c r="B42" s="21" t="s">
        <v>58</v>
      </c>
      <c r="C42" s="21" t="s">
        <v>334</v>
      </c>
      <c r="D42" s="78">
        <v>847</v>
      </c>
      <c r="E42" s="21">
        <v>8470305</v>
      </c>
      <c r="F42" s="21" t="s">
        <v>598</v>
      </c>
      <c r="G42" s="79">
        <v>1</v>
      </c>
      <c r="H42" s="37" t="s">
        <v>619</v>
      </c>
      <c r="I42" s="21" t="s">
        <v>620</v>
      </c>
      <c r="J42" s="37" t="s">
        <v>60</v>
      </c>
      <c r="K42" s="21" t="s">
        <v>50</v>
      </c>
      <c r="L42" s="21">
        <v>847001</v>
      </c>
      <c r="M42" s="21" t="s">
        <v>61</v>
      </c>
      <c r="N42" s="21">
        <v>200179</v>
      </c>
      <c r="O42" s="37" t="str">
        <f t="shared" si="0"/>
        <v>847.8470305.1.425720.000000.847001.200179</v>
      </c>
      <c r="P42" s="21" t="s">
        <v>622</v>
      </c>
      <c r="Q42" s="21" t="s">
        <v>623</v>
      </c>
      <c r="R42" s="21">
        <v>2</v>
      </c>
      <c r="S42" s="21">
        <v>20000</v>
      </c>
      <c r="T42" s="21" t="s">
        <v>624</v>
      </c>
      <c r="U42" s="24">
        <f t="shared" si="1"/>
        <v>40000</v>
      </c>
      <c r="V42" s="21" t="s">
        <v>55</v>
      </c>
      <c r="W42" s="21" t="s">
        <v>56</v>
      </c>
      <c r="X42" s="21" t="s">
        <v>365</v>
      </c>
    </row>
    <row r="43" spans="1:24" s="39" customFormat="1" ht="16" customHeight="1" x14ac:dyDescent="0.35">
      <c r="A43" s="21" t="s">
        <v>222</v>
      </c>
      <c r="B43" s="21" t="s">
        <v>58</v>
      </c>
      <c r="C43" s="21" t="s">
        <v>334</v>
      </c>
      <c r="D43" s="78">
        <v>847</v>
      </c>
      <c r="E43" s="21">
        <v>8470310</v>
      </c>
      <c r="F43" s="21" t="s">
        <v>335</v>
      </c>
      <c r="G43" s="79">
        <v>1</v>
      </c>
      <c r="H43" s="37" t="s">
        <v>336</v>
      </c>
      <c r="I43" s="21" t="s">
        <v>225</v>
      </c>
      <c r="J43" s="37" t="s">
        <v>60</v>
      </c>
      <c r="K43" s="21" t="s">
        <v>50</v>
      </c>
      <c r="L43" s="21">
        <v>847001</v>
      </c>
      <c r="M43" s="21" t="s">
        <v>61</v>
      </c>
      <c r="N43" s="21">
        <v>200179</v>
      </c>
      <c r="O43" s="37" t="str">
        <f t="shared" si="0"/>
        <v>847.8470310.1.420550.000000.847001.200179</v>
      </c>
      <c r="P43" s="21" t="s">
        <v>338</v>
      </c>
      <c r="Q43" s="21" t="s">
        <v>157</v>
      </c>
      <c r="R43" s="21">
        <v>2</v>
      </c>
      <c r="S43" s="21">
        <v>10000</v>
      </c>
      <c r="T43" s="21" t="s">
        <v>339</v>
      </c>
      <c r="U43" s="24">
        <f t="shared" si="1"/>
        <v>20000</v>
      </c>
      <c r="V43" s="21" t="s">
        <v>55</v>
      </c>
      <c r="W43" s="21" t="s">
        <v>56</v>
      </c>
      <c r="X43" s="21" t="s">
        <v>230</v>
      </c>
    </row>
    <row r="44" spans="1:24" s="39" customFormat="1" ht="16" customHeight="1" x14ac:dyDescent="0.35">
      <c r="A44" s="21" t="s">
        <v>245</v>
      </c>
      <c r="B44" s="21" t="s">
        <v>246</v>
      </c>
      <c r="C44" s="21" t="s">
        <v>334</v>
      </c>
      <c r="D44" s="78">
        <v>847</v>
      </c>
      <c r="E44" s="21">
        <v>8470310</v>
      </c>
      <c r="F44" s="21" t="s">
        <v>335</v>
      </c>
      <c r="G44" s="79">
        <v>1</v>
      </c>
      <c r="H44" s="37" t="s">
        <v>342</v>
      </c>
      <c r="I44" s="21" t="s">
        <v>247</v>
      </c>
      <c r="J44" s="37" t="s">
        <v>60</v>
      </c>
      <c r="K44" s="21" t="s">
        <v>50</v>
      </c>
      <c r="L44" s="21">
        <v>847001</v>
      </c>
      <c r="M44" s="21" t="s">
        <v>61</v>
      </c>
      <c r="N44" s="21">
        <v>200179</v>
      </c>
      <c r="O44" s="37" t="str">
        <f t="shared" si="0"/>
        <v>847.8470310.1.425510.000000.847001.200179</v>
      </c>
      <c r="P44" s="21" t="s">
        <v>344</v>
      </c>
      <c r="Q44" s="21" t="s">
        <v>256</v>
      </c>
      <c r="R44" s="21">
        <v>3</v>
      </c>
      <c r="S44" s="21">
        <v>10000</v>
      </c>
      <c r="T44" s="21" t="s">
        <v>345</v>
      </c>
      <c r="U44" s="24">
        <f t="shared" si="1"/>
        <v>30000</v>
      </c>
      <c r="V44" s="21" t="s">
        <v>55</v>
      </c>
      <c r="W44" s="21" t="s">
        <v>56</v>
      </c>
      <c r="X44" s="21" t="s">
        <v>348</v>
      </c>
    </row>
    <row r="45" spans="1:24" s="39" customFormat="1" ht="16" customHeight="1" x14ac:dyDescent="0.35">
      <c r="A45" s="21" t="s">
        <v>258</v>
      </c>
      <c r="B45" s="21" t="s">
        <v>350</v>
      </c>
      <c r="C45" s="21" t="s">
        <v>334</v>
      </c>
      <c r="D45" s="78">
        <v>847</v>
      </c>
      <c r="E45" s="21">
        <v>8470310</v>
      </c>
      <c r="F45" s="21" t="s">
        <v>335</v>
      </c>
      <c r="G45" s="79">
        <v>1</v>
      </c>
      <c r="H45" s="37" t="s">
        <v>351</v>
      </c>
      <c r="I45" s="21" t="s">
        <v>352</v>
      </c>
      <c r="J45" s="37" t="s">
        <v>60</v>
      </c>
      <c r="K45" s="21" t="s">
        <v>50</v>
      </c>
      <c r="L45" s="21">
        <v>847001</v>
      </c>
      <c r="M45" s="21" t="s">
        <v>61</v>
      </c>
      <c r="N45" s="21">
        <v>200179</v>
      </c>
      <c r="O45" s="37" t="str">
        <f t="shared" si="0"/>
        <v>847.8470310.1.425760.000000.847001.200179</v>
      </c>
      <c r="P45" s="21" t="s">
        <v>354</v>
      </c>
      <c r="Q45" s="21" t="s">
        <v>262</v>
      </c>
      <c r="R45" s="21">
        <v>15</v>
      </c>
      <c r="S45" s="21">
        <v>10000</v>
      </c>
      <c r="T45" s="21" t="s">
        <v>355</v>
      </c>
      <c r="U45" s="24">
        <f t="shared" si="1"/>
        <v>150000</v>
      </c>
      <c r="V45" s="21" t="s">
        <v>55</v>
      </c>
      <c r="W45" s="21" t="s">
        <v>56</v>
      </c>
      <c r="X45" s="21" t="s">
        <v>348</v>
      </c>
    </row>
    <row r="46" spans="1:24" s="39" customFormat="1" ht="16" customHeight="1" x14ac:dyDescent="0.35">
      <c r="A46" s="21" t="s">
        <v>258</v>
      </c>
      <c r="B46" s="21" t="s">
        <v>58</v>
      </c>
      <c r="C46" s="21" t="s">
        <v>334</v>
      </c>
      <c r="D46" s="78">
        <v>847</v>
      </c>
      <c r="E46" s="21">
        <v>8470310</v>
      </c>
      <c r="F46" s="21" t="s">
        <v>335</v>
      </c>
      <c r="G46" s="79">
        <v>1</v>
      </c>
      <c r="H46" s="37" t="s">
        <v>358</v>
      </c>
      <c r="I46" s="21" t="s">
        <v>359</v>
      </c>
      <c r="J46" s="37" t="s">
        <v>60</v>
      </c>
      <c r="K46" s="21" t="s">
        <v>50</v>
      </c>
      <c r="L46" s="21">
        <v>847001</v>
      </c>
      <c r="M46" s="21" t="s">
        <v>61</v>
      </c>
      <c r="N46" s="21">
        <v>200179</v>
      </c>
      <c r="O46" s="37" t="str">
        <f t="shared" si="0"/>
        <v>847.8470310.1.425763.000000.847001.200179</v>
      </c>
      <c r="P46" s="21" t="s">
        <v>361</v>
      </c>
      <c r="Q46" s="21" t="s">
        <v>68</v>
      </c>
      <c r="R46" s="21">
        <v>12</v>
      </c>
      <c r="S46" s="21">
        <v>30000</v>
      </c>
      <c r="T46" s="21" t="s">
        <v>362</v>
      </c>
      <c r="U46" s="24">
        <f t="shared" si="1"/>
        <v>360000</v>
      </c>
      <c r="V46" s="21" t="s">
        <v>55</v>
      </c>
      <c r="W46" s="21" t="s">
        <v>56</v>
      </c>
      <c r="X46" s="21" t="s">
        <v>365</v>
      </c>
    </row>
    <row r="47" spans="1:24" s="39" customFormat="1" ht="16" customHeight="1" x14ac:dyDescent="0.35">
      <c r="A47" s="21" t="s">
        <v>222</v>
      </c>
      <c r="B47" s="21" t="s">
        <v>58</v>
      </c>
      <c r="C47" s="21" t="s">
        <v>334</v>
      </c>
      <c r="D47" s="78">
        <v>847</v>
      </c>
      <c r="E47" s="21">
        <v>8470310</v>
      </c>
      <c r="F47" s="21" t="s">
        <v>335</v>
      </c>
      <c r="G47" s="79">
        <v>1</v>
      </c>
      <c r="H47" s="37" t="s">
        <v>366</v>
      </c>
      <c r="I47" s="21" t="s">
        <v>367</v>
      </c>
      <c r="J47" s="37" t="s">
        <v>60</v>
      </c>
      <c r="K47" s="21" t="s">
        <v>50</v>
      </c>
      <c r="L47" s="21">
        <v>847001</v>
      </c>
      <c r="M47" s="21" t="s">
        <v>61</v>
      </c>
      <c r="N47" s="21">
        <v>200179</v>
      </c>
      <c r="O47" s="37" t="str">
        <f t="shared" si="0"/>
        <v>847.8470310.1.425770.000000.847001.200179</v>
      </c>
      <c r="P47" s="21" t="s">
        <v>369</v>
      </c>
      <c r="Q47" s="21" t="s">
        <v>157</v>
      </c>
      <c r="R47" s="21">
        <v>17</v>
      </c>
      <c r="S47" s="21">
        <v>20000</v>
      </c>
      <c r="T47" s="21" t="s">
        <v>370</v>
      </c>
      <c r="U47" s="24">
        <f t="shared" si="1"/>
        <v>340000</v>
      </c>
      <c r="V47" s="21" t="s">
        <v>55</v>
      </c>
      <c r="W47" s="21" t="s">
        <v>56</v>
      </c>
      <c r="X47" s="21" t="s">
        <v>348</v>
      </c>
    </row>
    <row r="48" spans="1:24" s="39" customFormat="1" ht="16" customHeight="1" x14ac:dyDescent="0.35">
      <c r="A48" s="21" t="s">
        <v>189</v>
      </c>
      <c r="B48" s="21" t="s">
        <v>265</v>
      </c>
      <c r="C48" s="21" t="s">
        <v>334</v>
      </c>
      <c r="D48" s="78">
        <v>847</v>
      </c>
      <c r="E48" s="21">
        <v>8470310</v>
      </c>
      <c r="F48" s="21" t="s">
        <v>335</v>
      </c>
      <c r="G48" s="79">
        <v>1</v>
      </c>
      <c r="H48" s="37" t="s">
        <v>375</v>
      </c>
      <c r="I48" s="21" t="s">
        <v>266</v>
      </c>
      <c r="J48" s="37" t="s">
        <v>60</v>
      </c>
      <c r="K48" s="21" t="s">
        <v>50</v>
      </c>
      <c r="L48" s="21">
        <v>847001</v>
      </c>
      <c r="M48" s="21" t="s">
        <v>61</v>
      </c>
      <c r="N48" s="21">
        <v>200179</v>
      </c>
      <c r="O48" s="37" t="str">
        <f t="shared" si="0"/>
        <v>847.8470310.1.425900.000000.847001.200179</v>
      </c>
      <c r="P48" s="21" t="s">
        <v>268</v>
      </c>
      <c r="Q48" s="21" t="s">
        <v>269</v>
      </c>
      <c r="R48" s="21">
        <v>17</v>
      </c>
      <c r="S48" s="21">
        <v>500</v>
      </c>
      <c r="T48" s="21" t="s">
        <v>377</v>
      </c>
      <c r="U48" s="24">
        <f t="shared" si="1"/>
        <v>8500</v>
      </c>
      <c r="V48" s="21" t="s">
        <v>55</v>
      </c>
      <c r="W48" s="21" t="s">
        <v>56</v>
      </c>
      <c r="X48" s="21" t="s">
        <v>379</v>
      </c>
    </row>
    <row r="49" spans="1:24" s="39" customFormat="1" ht="16" customHeight="1" x14ac:dyDescent="0.35">
      <c r="A49" s="21" t="s">
        <v>63</v>
      </c>
      <c r="B49" s="21" t="s">
        <v>64</v>
      </c>
      <c r="C49" s="21" t="s">
        <v>334</v>
      </c>
      <c r="D49" s="78">
        <v>847</v>
      </c>
      <c r="E49" s="21">
        <v>8470310</v>
      </c>
      <c r="F49" s="21" t="s">
        <v>335</v>
      </c>
      <c r="G49" s="79">
        <v>1</v>
      </c>
      <c r="H49" s="37" t="s">
        <v>380</v>
      </c>
      <c r="I49" s="21" t="s">
        <v>74</v>
      </c>
      <c r="J49" s="37" t="s">
        <v>60</v>
      </c>
      <c r="K49" s="21" t="s">
        <v>50</v>
      </c>
      <c r="L49" s="21">
        <v>847001</v>
      </c>
      <c r="M49" s="21" t="s">
        <v>61</v>
      </c>
      <c r="N49" s="21">
        <v>200179</v>
      </c>
      <c r="O49" s="37" t="str">
        <f t="shared" si="0"/>
        <v>847.8470310.1.426610.000000.847001.200179</v>
      </c>
      <c r="P49" s="21" t="s">
        <v>274</v>
      </c>
      <c r="Q49" s="21" t="s">
        <v>157</v>
      </c>
      <c r="R49" s="21">
        <v>1</v>
      </c>
      <c r="S49" s="21">
        <v>10000</v>
      </c>
      <c r="T49" s="21" t="s">
        <v>382</v>
      </c>
      <c r="U49" s="24">
        <f t="shared" si="1"/>
        <v>10000</v>
      </c>
      <c r="V49" s="21" t="s">
        <v>55</v>
      </c>
      <c r="W49" s="21" t="s">
        <v>56</v>
      </c>
      <c r="X49" s="21" t="s">
        <v>384</v>
      </c>
    </row>
    <row r="50" spans="1:24" s="39" customFormat="1" ht="16" customHeight="1" x14ac:dyDescent="0.35">
      <c r="A50" s="21" t="s">
        <v>153</v>
      </c>
      <c r="B50" s="21" t="s">
        <v>58</v>
      </c>
      <c r="C50" s="21" t="s">
        <v>334</v>
      </c>
      <c r="D50" s="78">
        <v>847</v>
      </c>
      <c r="E50" s="21">
        <v>8470310</v>
      </c>
      <c r="F50" s="21" t="s">
        <v>335</v>
      </c>
      <c r="G50" s="79">
        <v>1</v>
      </c>
      <c r="H50" s="37" t="s">
        <v>385</v>
      </c>
      <c r="I50" s="21" t="s">
        <v>154</v>
      </c>
      <c r="J50" s="37" t="s">
        <v>60</v>
      </c>
      <c r="K50" s="21" t="s">
        <v>50</v>
      </c>
      <c r="L50" s="21">
        <v>847001</v>
      </c>
      <c r="M50" s="21" t="s">
        <v>61</v>
      </c>
      <c r="N50" s="21">
        <v>200179</v>
      </c>
      <c r="O50" s="37" t="str">
        <f t="shared" si="0"/>
        <v>847.8470310.1.428090.000000.847001.200179</v>
      </c>
      <c r="P50" s="21" t="s">
        <v>387</v>
      </c>
      <c r="Q50" s="21" t="s">
        <v>157</v>
      </c>
      <c r="R50" s="21">
        <v>17</v>
      </c>
      <c r="S50" s="21">
        <v>20000</v>
      </c>
      <c r="T50" s="21" t="s">
        <v>388</v>
      </c>
      <c r="U50" s="24">
        <f t="shared" si="1"/>
        <v>340000</v>
      </c>
      <c r="V50" s="21" t="s">
        <v>55</v>
      </c>
      <c r="W50" s="21" t="s">
        <v>56</v>
      </c>
      <c r="X50" s="21" t="s">
        <v>391</v>
      </c>
    </row>
    <row r="51" spans="1:24" s="39" customFormat="1" ht="16" customHeight="1" x14ac:dyDescent="0.35">
      <c r="A51" s="21" t="s">
        <v>222</v>
      </c>
      <c r="B51" s="21" t="s">
        <v>58</v>
      </c>
      <c r="C51" s="21" t="s">
        <v>334</v>
      </c>
      <c r="D51" s="78">
        <v>847</v>
      </c>
      <c r="E51" s="21">
        <v>8470310</v>
      </c>
      <c r="F51" s="21" t="s">
        <v>335</v>
      </c>
      <c r="G51" s="79">
        <v>1</v>
      </c>
      <c r="H51" s="37" t="s">
        <v>392</v>
      </c>
      <c r="I51" s="21" t="s">
        <v>393</v>
      </c>
      <c r="J51" s="37" t="s">
        <v>60</v>
      </c>
      <c r="K51" s="21" t="s">
        <v>50</v>
      </c>
      <c r="L51" s="21">
        <v>847001</v>
      </c>
      <c r="M51" s="21" t="s">
        <v>61</v>
      </c>
      <c r="N51" s="21">
        <v>200179</v>
      </c>
      <c r="O51" s="37" t="str">
        <f t="shared" si="0"/>
        <v>847.8470310.1.432209.000000.847001.200179</v>
      </c>
      <c r="P51" s="21" t="s">
        <v>288</v>
      </c>
      <c r="Q51" s="21" t="s">
        <v>157</v>
      </c>
      <c r="R51" s="21">
        <v>17</v>
      </c>
      <c r="S51" s="21">
        <v>5000</v>
      </c>
      <c r="T51" s="21" t="s">
        <v>395</v>
      </c>
      <c r="U51" s="24">
        <f t="shared" si="1"/>
        <v>85000</v>
      </c>
      <c r="V51" s="21" t="s">
        <v>55</v>
      </c>
      <c r="W51" s="21" t="s">
        <v>56</v>
      </c>
      <c r="X51" s="21" t="s">
        <v>384</v>
      </c>
    </row>
    <row r="52" spans="1:24" s="39" customFormat="1" ht="16" customHeight="1" x14ac:dyDescent="0.35">
      <c r="A52" s="21" t="s">
        <v>222</v>
      </c>
      <c r="B52" s="21" t="s">
        <v>58</v>
      </c>
      <c r="C52" s="21" t="s">
        <v>334</v>
      </c>
      <c r="D52" s="78">
        <v>847</v>
      </c>
      <c r="E52" s="21">
        <v>8470310</v>
      </c>
      <c r="F52" s="21" t="s">
        <v>335</v>
      </c>
      <c r="G52" s="79">
        <v>1</v>
      </c>
      <c r="H52" s="37" t="s">
        <v>398</v>
      </c>
      <c r="I52" s="21" t="s">
        <v>399</v>
      </c>
      <c r="J52" s="37" t="s">
        <v>60</v>
      </c>
      <c r="K52" s="21" t="s">
        <v>50</v>
      </c>
      <c r="L52" s="21">
        <v>847001</v>
      </c>
      <c r="M52" s="21" t="s">
        <v>61</v>
      </c>
      <c r="N52" s="21">
        <v>200179</v>
      </c>
      <c r="O52" s="37" t="str">
        <f t="shared" si="0"/>
        <v>847.8470310.1.435350.000000.847001.200179</v>
      </c>
      <c r="P52" s="21" t="s">
        <v>401</v>
      </c>
      <c r="Q52" s="21" t="s">
        <v>157</v>
      </c>
      <c r="R52" s="21">
        <v>17</v>
      </c>
      <c r="S52" s="21">
        <v>13000</v>
      </c>
      <c r="T52" s="21" t="s">
        <v>402</v>
      </c>
      <c r="U52" s="24">
        <f t="shared" si="1"/>
        <v>221000</v>
      </c>
      <c r="V52" s="21" t="s">
        <v>55</v>
      </c>
      <c r="W52" s="21" t="s">
        <v>56</v>
      </c>
      <c r="X52" s="21" t="s">
        <v>384</v>
      </c>
    </row>
    <row r="53" spans="1:24" s="39" customFormat="1" ht="16" customHeight="1" x14ac:dyDescent="0.35">
      <c r="A53" s="21" t="s">
        <v>222</v>
      </c>
      <c r="B53" s="21" t="s">
        <v>220</v>
      </c>
      <c r="C53" s="21" t="s">
        <v>334</v>
      </c>
      <c r="D53" s="78">
        <v>847</v>
      </c>
      <c r="E53" s="21">
        <v>8470310</v>
      </c>
      <c r="F53" s="21" t="s">
        <v>335</v>
      </c>
      <c r="G53" s="79">
        <v>1</v>
      </c>
      <c r="H53" s="37" t="s">
        <v>404</v>
      </c>
      <c r="I53" s="21" t="s">
        <v>405</v>
      </c>
      <c r="J53" s="37" t="s">
        <v>60</v>
      </c>
      <c r="K53" s="21" t="s">
        <v>50</v>
      </c>
      <c r="L53" s="21">
        <v>847001</v>
      </c>
      <c r="M53" s="21" t="s">
        <v>61</v>
      </c>
      <c r="N53" s="21">
        <v>200179</v>
      </c>
      <c r="O53" s="37" t="str">
        <f t="shared" si="0"/>
        <v>847.8470310.1.435508.000000.847001.200179</v>
      </c>
      <c r="P53" s="21" t="s">
        <v>407</v>
      </c>
      <c r="Q53" s="21" t="s">
        <v>157</v>
      </c>
      <c r="R53" s="21">
        <v>17</v>
      </c>
      <c r="S53" s="21">
        <v>17000</v>
      </c>
      <c r="T53" s="21" t="s">
        <v>408</v>
      </c>
      <c r="U53" s="24">
        <f t="shared" si="1"/>
        <v>289000</v>
      </c>
      <c r="V53" s="21" t="s">
        <v>55</v>
      </c>
      <c r="W53" s="21" t="s">
        <v>56</v>
      </c>
      <c r="X53" s="21" t="s">
        <v>384</v>
      </c>
    </row>
    <row r="54" spans="1:24" s="39" customFormat="1" ht="16" customHeight="1" x14ac:dyDescent="0.35">
      <c r="A54" s="21" t="s">
        <v>189</v>
      </c>
      <c r="B54" s="21" t="s">
        <v>58</v>
      </c>
      <c r="C54" s="21" t="s">
        <v>334</v>
      </c>
      <c r="D54" s="78">
        <v>847</v>
      </c>
      <c r="E54" s="21">
        <v>8470310</v>
      </c>
      <c r="F54" s="21" t="s">
        <v>335</v>
      </c>
      <c r="G54" s="79">
        <v>1</v>
      </c>
      <c r="H54" s="37" t="s">
        <v>409</v>
      </c>
      <c r="I54" s="21" t="s">
        <v>190</v>
      </c>
      <c r="J54" s="37" t="s">
        <v>60</v>
      </c>
      <c r="K54" s="21" t="s">
        <v>50</v>
      </c>
      <c r="L54" s="21">
        <v>847001</v>
      </c>
      <c r="M54" s="21" t="s">
        <v>61</v>
      </c>
      <c r="N54" s="21">
        <v>200179</v>
      </c>
      <c r="O54" s="37" t="str">
        <f t="shared" si="0"/>
        <v>847.8470310.1.436110.000000.847001.200179</v>
      </c>
      <c r="P54" s="21" t="s">
        <v>411</v>
      </c>
      <c r="Q54" s="21" t="s">
        <v>157</v>
      </c>
      <c r="R54" s="21">
        <v>17</v>
      </c>
      <c r="S54" s="21">
        <v>300</v>
      </c>
      <c r="T54" s="21" t="s">
        <v>412</v>
      </c>
      <c r="U54" s="24">
        <f t="shared" si="1"/>
        <v>5100</v>
      </c>
      <c r="V54" s="21" t="s">
        <v>55</v>
      </c>
      <c r="W54" s="21" t="s">
        <v>56</v>
      </c>
      <c r="X54" s="21" t="s">
        <v>414</v>
      </c>
    </row>
    <row r="55" spans="1:24" s="39" customFormat="1" ht="16" customHeight="1" x14ac:dyDescent="0.35">
      <c r="A55" s="21" t="s">
        <v>222</v>
      </c>
      <c r="B55" s="21" t="s">
        <v>58</v>
      </c>
      <c r="C55" s="21" t="s">
        <v>334</v>
      </c>
      <c r="D55" s="78">
        <v>847</v>
      </c>
      <c r="E55" s="21">
        <v>8470310</v>
      </c>
      <c r="F55" s="21" t="s">
        <v>335</v>
      </c>
      <c r="G55" s="79">
        <v>1</v>
      </c>
      <c r="H55" s="37" t="s">
        <v>415</v>
      </c>
      <c r="I55" s="21" t="s">
        <v>416</v>
      </c>
      <c r="J55" s="37" t="s">
        <v>60</v>
      </c>
      <c r="K55" s="21" t="s">
        <v>50</v>
      </c>
      <c r="L55" s="21">
        <v>847001</v>
      </c>
      <c r="M55" s="21" t="s">
        <v>61</v>
      </c>
      <c r="N55" s="21">
        <v>200179</v>
      </c>
      <c r="O55" s="37" t="str">
        <f t="shared" si="0"/>
        <v>847.8470310.1.436600.000000.847001.200179</v>
      </c>
      <c r="P55" s="21" t="s">
        <v>418</v>
      </c>
      <c r="Q55" s="21" t="s">
        <v>157</v>
      </c>
      <c r="R55" s="21">
        <v>17</v>
      </c>
      <c r="S55" s="21">
        <v>350</v>
      </c>
      <c r="T55" s="21" t="s">
        <v>419</v>
      </c>
      <c r="U55" s="24">
        <f t="shared" si="1"/>
        <v>5950</v>
      </c>
      <c r="V55" s="21" t="s">
        <v>55</v>
      </c>
      <c r="W55" s="21" t="s">
        <v>56</v>
      </c>
      <c r="X55" s="21" t="s">
        <v>414</v>
      </c>
    </row>
    <row r="56" spans="1:24" s="39" customFormat="1" ht="16" customHeight="1" x14ac:dyDescent="0.35">
      <c r="A56" s="21" t="s">
        <v>161</v>
      </c>
      <c r="B56" s="21" t="s">
        <v>220</v>
      </c>
      <c r="C56" s="21" t="s">
        <v>334</v>
      </c>
      <c r="D56" s="78">
        <v>847</v>
      </c>
      <c r="E56" s="21">
        <v>8470310</v>
      </c>
      <c r="F56" s="21" t="s">
        <v>335</v>
      </c>
      <c r="G56" s="79">
        <v>1</v>
      </c>
      <c r="H56" s="37" t="s">
        <v>420</v>
      </c>
      <c r="I56" s="21" t="s">
        <v>221</v>
      </c>
      <c r="J56" s="37" t="s">
        <v>60</v>
      </c>
      <c r="K56" s="21" t="s">
        <v>50</v>
      </c>
      <c r="L56" s="21">
        <v>847001</v>
      </c>
      <c r="M56" s="21" t="s">
        <v>192</v>
      </c>
      <c r="N56" s="21">
        <v>300180</v>
      </c>
      <c r="O56" s="37" t="str">
        <f t="shared" si="0"/>
        <v>847.8470310.1.492316.000000.847001.300180</v>
      </c>
      <c r="P56" s="21" t="s">
        <v>422</v>
      </c>
      <c r="Q56" s="21" t="s">
        <v>157</v>
      </c>
      <c r="R56" s="21">
        <v>1</v>
      </c>
      <c r="S56" s="21">
        <v>2750000</v>
      </c>
      <c r="T56" s="21" t="s">
        <v>925</v>
      </c>
      <c r="U56" s="24">
        <f t="shared" si="1"/>
        <v>2750000</v>
      </c>
      <c r="V56" s="21" t="s">
        <v>55</v>
      </c>
      <c r="W56" s="21" t="s">
        <v>197</v>
      </c>
      <c r="X56" s="21" t="s">
        <v>384</v>
      </c>
    </row>
    <row r="57" spans="1:24" s="39" customFormat="1" ht="16" customHeight="1" x14ac:dyDescent="0.35">
      <c r="A57" s="21" t="s">
        <v>222</v>
      </c>
      <c r="B57" s="21" t="s">
        <v>58</v>
      </c>
      <c r="C57" s="21" t="s">
        <v>334</v>
      </c>
      <c r="D57" s="78">
        <v>847</v>
      </c>
      <c r="E57" s="21">
        <v>8470320</v>
      </c>
      <c r="F57" s="21" t="s">
        <v>507</v>
      </c>
      <c r="G57" s="79">
        <v>1</v>
      </c>
      <c r="H57" s="37" t="s">
        <v>336</v>
      </c>
      <c r="I57" s="21" t="s">
        <v>225</v>
      </c>
      <c r="J57" s="37" t="s">
        <v>60</v>
      </c>
      <c r="K57" s="21" t="s">
        <v>50</v>
      </c>
      <c r="L57" s="21">
        <v>847001</v>
      </c>
      <c r="M57" s="21" t="s">
        <v>61</v>
      </c>
      <c r="N57" s="21">
        <v>200179</v>
      </c>
      <c r="O57" s="37" t="str">
        <f t="shared" si="0"/>
        <v>847.8470320.1.420550.000000.847001.200179</v>
      </c>
      <c r="P57" s="21" t="s">
        <v>227</v>
      </c>
      <c r="Q57" s="21" t="s">
        <v>157</v>
      </c>
      <c r="R57" s="21">
        <v>1</v>
      </c>
      <c r="S57" s="21">
        <v>60000</v>
      </c>
      <c r="T57" s="21" t="s">
        <v>509</v>
      </c>
      <c r="U57" s="24">
        <f t="shared" si="1"/>
        <v>60000</v>
      </c>
      <c r="V57" s="21" t="s">
        <v>55</v>
      </c>
      <c r="W57" s="21" t="s">
        <v>56</v>
      </c>
      <c r="X57" s="21" t="s">
        <v>230</v>
      </c>
    </row>
    <row r="58" spans="1:24" s="39" customFormat="1" ht="16" customHeight="1" x14ac:dyDescent="0.35">
      <c r="A58" s="21" t="s">
        <v>245</v>
      </c>
      <c r="B58" s="21" t="s">
        <v>246</v>
      </c>
      <c r="C58" s="21" t="s">
        <v>334</v>
      </c>
      <c r="D58" s="78">
        <v>847</v>
      </c>
      <c r="E58" s="21">
        <v>8470320</v>
      </c>
      <c r="F58" s="21" t="s">
        <v>507</v>
      </c>
      <c r="G58" s="79">
        <v>1</v>
      </c>
      <c r="H58" s="37" t="s">
        <v>342</v>
      </c>
      <c r="I58" s="21" t="s">
        <v>247</v>
      </c>
      <c r="J58" s="37" t="s">
        <v>60</v>
      </c>
      <c r="K58" s="21" t="s">
        <v>50</v>
      </c>
      <c r="L58" s="21">
        <v>847001</v>
      </c>
      <c r="M58" s="21" t="s">
        <v>61</v>
      </c>
      <c r="N58" s="21">
        <v>200179</v>
      </c>
      <c r="O58" s="37" t="str">
        <f t="shared" si="0"/>
        <v>847.8470320.1.425510.000000.847001.200179</v>
      </c>
      <c r="P58" s="21" t="s">
        <v>514</v>
      </c>
      <c r="Q58" s="21" t="s">
        <v>515</v>
      </c>
      <c r="R58" s="21">
        <v>5</v>
      </c>
      <c r="S58" s="21">
        <v>6000</v>
      </c>
      <c r="T58" s="21" t="s">
        <v>516</v>
      </c>
      <c r="U58" s="24">
        <f t="shared" si="1"/>
        <v>30000</v>
      </c>
      <c r="V58" s="21" t="s">
        <v>55</v>
      </c>
      <c r="W58" s="21" t="s">
        <v>56</v>
      </c>
      <c r="X58" s="21" t="s">
        <v>230</v>
      </c>
    </row>
    <row r="59" spans="1:24" s="39" customFormat="1" ht="16" customHeight="1" x14ac:dyDescent="0.35">
      <c r="A59" s="21" t="s">
        <v>258</v>
      </c>
      <c r="B59" s="21" t="s">
        <v>350</v>
      </c>
      <c r="C59" s="21" t="s">
        <v>334</v>
      </c>
      <c r="D59" s="78">
        <v>847</v>
      </c>
      <c r="E59" s="21">
        <v>8470320</v>
      </c>
      <c r="F59" s="21" t="s">
        <v>507</v>
      </c>
      <c r="G59" s="79">
        <v>1</v>
      </c>
      <c r="H59" s="37" t="s">
        <v>351</v>
      </c>
      <c r="I59" s="21" t="s">
        <v>352</v>
      </c>
      <c r="J59" s="37" t="s">
        <v>60</v>
      </c>
      <c r="K59" s="21" t="s">
        <v>50</v>
      </c>
      <c r="L59" s="21">
        <v>847001</v>
      </c>
      <c r="M59" s="21" t="s">
        <v>61</v>
      </c>
      <c r="N59" s="21">
        <v>200179</v>
      </c>
      <c r="O59" s="37" t="str">
        <f t="shared" si="0"/>
        <v>847.8470320.1.425760.000000.847001.200179</v>
      </c>
      <c r="P59" s="21" t="s">
        <v>354</v>
      </c>
      <c r="Q59" s="21" t="s">
        <v>262</v>
      </c>
      <c r="R59" s="21">
        <v>2</v>
      </c>
      <c r="S59" s="21">
        <v>12500</v>
      </c>
      <c r="T59" s="21" t="s">
        <v>518</v>
      </c>
      <c r="U59" s="24">
        <f t="shared" si="1"/>
        <v>25000</v>
      </c>
      <c r="V59" s="21" t="s">
        <v>55</v>
      </c>
      <c r="W59" s="21" t="s">
        <v>56</v>
      </c>
      <c r="X59" s="21" t="s">
        <v>379</v>
      </c>
    </row>
    <row r="60" spans="1:24" s="39" customFormat="1" ht="16" customHeight="1" x14ac:dyDescent="0.35">
      <c r="A60" s="21" t="s">
        <v>258</v>
      </c>
      <c r="B60" s="21" t="s">
        <v>58</v>
      </c>
      <c r="C60" s="21" t="s">
        <v>334</v>
      </c>
      <c r="D60" s="78">
        <v>847</v>
      </c>
      <c r="E60" s="21">
        <v>8470320</v>
      </c>
      <c r="F60" s="21" t="s">
        <v>507</v>
      </c>
      <c r="G60" s="79">
        <v>1</v>
      </c>
      <c r="H60" s="37" t="s">
        <v>358</v>
      </c>
      <c r="I60" s="21" t="s">
        <v>359</v>
      </c>
      <c r="J60" s="37" t="s">
        <v>60</v>
      </c>
      <c r="K60" s="21" t="s">
        <v>50</v>
      </c>
      <c r="L60" s="21">
        <v>847001</v>
      </c>
      <c r="M60" s="21" t="s">
        <v>61</v>
      </c>
      <c r="N60" s="21">
        <v>200179</v>
      </c>
      <c r="O60" s="37" t="str">
        <f t="shared" si="0"/>
        <v>847.8470320.1.425763.000000.847001.200179</v>
      </c>
      <c r="P60" s="21" t="s">
        <v>361</v>
      </c>
      <c r="Q60" s="21" t="s">
        <v>68</v>
      </c>
      <c r="R60" s="21">
        <v>12</v>
      </c>
      <c r="S60" s="21">
        <v>10000</v>
      </c>
      <c r="T60" s="21" t="s">
        <v>521</v>
      </c>
      <c r="U60" s="24">
        <f t="shared" si="1"/>
        <v>120000</v>
      </c>
      <c r="V60" s="21" t="s">
        <v>55</v>
      </c>
      <c r="W60" s="21" t="s">
        <v>56</v>
      </c>
      <c r="X60" s="21" t="s">
        <v>230</v>
      </c>
    </row>
    <row r="61" spans="1:24" s="39" customFormat="1" ht="16" customHeight="1" x14ac:dyDescent="0.35">
      <c r="A61" s="21" t="s">
        <v>222</v>
      </c>
      <c r="B61" s="21" t="s">
        <v>58</v>
      </c>
      <c r="C61" s="21" t="s">
        <v>334</v>
      </c>
      <c r="D61" s="78">
        <v>847</v>
      </c>
      <c r="E61" s="21">
        <v>8470320</v>
      </c>
      <c r="F61" s="21" t="s">
        <v>507</v>
      </c>
      <c r="G61" s="79">
        <v>1</v>
      </c>
      <c r="H61" s="37" t="s">
        <v>366</v>
      </c>
      <c r="I61" s="21" t="s">
        <v>367</v>
      </c>
      <c r="J61" s="37" t="s">
        <v>60</v>
      </c>
      <c r="K61" s="21" t="s">
        <v>50</v>
      </c>
      <c r="L61" s="21">
        <v>847001</v>
      </c>
      <c r="M61" s="21" t="s">
        <v>61</v>
      </c>
      <c r="N61" s="21">
        <v>200179</v>
      </c>
      <c r="O61" s="37" t="str">
        <f t="shared" si="0"/>
        <v>847.8470320.1.425770.000000.847001.200179</v>
      </c>
      <c r="P61" s="21" t="s">
        <v>369</v>
      </c>
      <c r="Q61" s="21" t="s">
        <v>157</v>
      </c>
      <c r="R61" s="21">
        <v>30</v>
      </c>
      <c r="S61" s="21">
        <v>15000</v>
      </c>
      <c r="T61" s="21" t="s">
        <v>523</v>
      </c>
      <c r="U61" s="24">
        <f t="shared" si="1"/>
        <v>450000</v>
      </c>
      <c r="V61" s="21" t="s">
        <v>55</v>
      </c>
      <c r="W61" s="21" t="s">
        <v>56</v>
      </c>
      <c r="X61" s="21" t="s">
        <v>230</v>
      </c>
    </row>
    <row r="62" spans="1:24" s="39" customFormat="1" ht="16" customHeight="1" x14ac:dyDescent="0.35">
      <c r="A62" s="21" t="s">
        <v>189</v>
      </c>
      <c r="B62" s="21" t="s">
        <v>265</v>
      </c>
      <c r="C62" s="21" t="s">
        <v>334</v>
      </c>
      <c r="D62" s="78">
        <v>847</v>
      </c>
      <c r="E62" s="21">
        <v>8470320</v>
      </c>
      <c r="F62" s="21" t="s">
        <v>507</v>
      </c>
      <c r="G62" s="79">
        <v>1</v>
      </c>
      <c r="H62" s="37" t="s">
        <v>375</v>
      </c>
      <c r="I62" s="21" t="s">
        <v>266</v>
      </c>
      <c r="J62" s="37" t="s">
        <v>60</v>
      </c>
      <c r="K62" s="21" t="s">
        <v>50</v>
      </c>
      <c r="L62" s="21">
        <v>847001</v>
      </c>
      <c r="M62" s="21" t="s">
        <v>61</v>
      </c>
      <c r="N62" s="21">
        <v>200179</v>
      </c>
      <c r="O62" s="37" t="str">
        <f t="shared" si="0"/>
        <v>847.8470320.1.425900.000000.847001.200179</v>
      </c>
      <c r="P62" s="21" t="s">
        <v>268</v>
      </c>
      <c r="Q62" s="21" t="s">
        <v>269</v>
      </c>
      <c r="R62" s="21">
        <v>10</v>
      </c>
      <c r="S62" s="21">
        <v>2500</v>
      </c>
      <c r="T62" s="21" t="s">
        <v>525</v>
      </c>
      <c r="U62" s="24">
        <f t="shared" si="1"/>
        <v>25000</v>
      </c>
      <c r="V62" s="21" t="s">
        <v>55</v>
      </c>
      <c r="W62" s="21" t="s">
        <v>56</v>
      </c>
      <c r="X62" s="21" t="s">
        <v>230</v>
      </c>
    </row>
    <row r="63" spans="1:24" s="39" customFormat="1" ht="16" customHeight="1" x14ac:dyDescent="0.35">
      <c r="A63" s="21" t="s">
        <v>63</v>
      </c>
      <c r="B63" s="21" t="s">
        <v>64</v>
      </c>
      <c r="C63" s="21" t="s">
        <v>334</v>
      </c>
      <c r="D63" s="78">
        <v>847</v>
      </c>
      <c r="E63" s="21">
        <v>8470320</v>
      </c>
      <c r="F63" s="21" t="s">
        <v>507</v>
      </c>
      <c r="G63" s="79">
        <v>1</v>
      </c>
      <c r="H63" s="37" t="s">
        <v>380</v>
      </c>
      <c r="I63" s="21" t="s">
        <v>74</v>
      </c>
      <c r="J63" s="37" t="s">
        <v>60</v>
      </c>
      <c r="K63" s="21" t="s">
        <v>50</v>
      </c>
      <c r="L63" s="21">
        <v>847001</v>
      </c>
      <c r="M63" s="21" t="s">
        <v>61</v>
      </c>
      <c r="N63" s="21">
        <v>200179</v>
      </c>
      <c r="O63" s="37" t="str">
        <f t="shared" si="0"/>
        <v>847.8470320.1.426610.000000.847001.200179</v>
      </c>
      <c r="P63" s="21" t="s">
        <v>274</v>
      </c>
      <c r="Q63" s="21" t="s">
        <v>157</v>
      </c>
      <c r="R63" s="21">
        <v>1</v>
      </c>
      <c r="S63" s="21">
        <v>120000</v>
      </c>
      <c r="T63" s="21" t="s">
        <v>527</v>
      </c>
      <c r="U63" s="24">
        <f t="shared" si="1"/>
        <v>120000</v>
      </c>
      <c r="V63" s="21" t="s">
        <v>55</v>
      </c>
      <c r="W63" s="21" t="s">
        <v>56</v>
      </c>
      <c r="X63" s="21" t="s">
        <v>230</v>
      </c>
    </row>
    <row r="64" spans="1:24" s="39" customFormat="1" ht="16" customHeight="1" x14ac:dyDescent="0.35">
      <c r="A64" s="21" t="s">
        <v>153</v>
      </c>
      <c r="B64" s="21" t="s">
        <v>58</v>
      </c>
      <c r="C64" s="21" t="s">
        <v>334</v>
      </c>
      <c r="D64" s="78">
        <v>847</v>
      </c>
      <c r="E64" s="21">
        <v>8470320</v>
      </c>
      <c r="F64" s="21" t="s">
        <v>507</v>
      </c>
      <c r="G64" s="79">
        <v>1</v>
      </c>
      <c r="H64" s="37" t="s">
        <v>385</v>
      </c>
      <c r="I64" s="21" t="s">
        <v>154</v>
      </c>
      <c r="J64" s="37" t="s">
        <v>60</v>
      </c>
      <c r="K64" s="21" t="s">
        <v>50</v>
      </c>
      <c r="L64" s="21">
        <v>847001</v>
      </c>
      <c r="M64" s="21" t="s">
        <v>61</v>
      </c>
      <c r="N64" s="21">
        <v>200179</v>
      </c>
      <c r="O64" s="37" t="str">
        <f t="shared" si="0"/>
        <v>847.8470320.1.428090.000000.847001.200179</v>
      </c>
      <c r="P64" s="21" t="s">
        <v>156</v>
      </c>
      <c r="Q64" s="21" t="s">
        <v>157</v>
      </c>
      <c r="R64" s="21">
        <v>1</v>
      </c>
      <c r="S64" s="21">
        <v>35000</v>
      </c>
      <c r="T64" s="21" t="s">
        <v>529</v>
      </c>
      <c r="U64" s="24">
        <f t="shared" si="1"/>
        <v>35000</v>
      </c>
      <c r="V64" s="21" t="s">
        <v>55</v>
      </c>
      <c r="W64" s="21" t="s">
        <v>56</v>
      </c>
      <c r="X64" s="21" t="s">
        <v>230</v>
      </c>
    </row>
    <row r="65" spans="1:24" s="39" customFormat="1" ht="16" customHeight="1" x14ac:dyDescent="0.35">
      <c r="A65" s="21" t="s">
        <v>222</v>
      </c>
      <c r="B65" s="21" t="s">
        <v>58</v>
      </c>
      <c r="C65" s="21" t="s">
        <v>334</v>
      </c>
      <c r="D65" s="78">
        <v>847</v>
      </c>
      <c r="E65" s="21">
        <v>8470320</v>
      </c>
      <c r="F65" s="21" t="s">
        <v>507</v>
      </c>
      <c r="G65" s="79">
        <v>1</v>
      </c>
      <c r="H65" s="37" t="s">
        <v>398</v>
      </c>
      <c r="I65" s="21" t="s">
        <v>399</v>
      </c>
      <c r="J65" s="37" t="s">
        <v>60</v>
      </c>
      <c r="K65" s="21" t="s">
        <v>50</v>
      </c>
      <c r="L65" s="21">
        <v>847001</v>
      </c>
      <c r="M65" s="21" t="s">
        <v>61</v>
      </c>
      <c r="N65" s="21">
        <v>200179</v>
      </c>
      <c r="O65" s="37" t="str">
        <f t="shared" si="0"/>
        <v>847.8470320.1.435350.000000.847001.200179</v>
      </c>
      <c r="P65" s="21" t="s">
        <v>401</v>
      </c>
      <c r="Q65" s="21" t="s">
        <v>157</v>
      </c>
      <c r="R65" s="21">
        <v>10</v>
      </c>
      <c r="S65" s="21">
        <v>6000</v>
      </c>
      <c r="T65" s="21" t="s">
        <v>531</v>
      </c>
      <c r="U65" s="24">
        <f t="shared" si="1"/>
        <v>60000</v>
      </c>
      <c r="V65" s="21" t="s">
        <v>55</v>
      </c>
      <c r="W65" s="21" t="s">
        <v>56</v>
      </c>
      <c r="X65" s="21" t="s">
        <v>480</v>
      </c>
    </row>
    <row r="66" spans="1:24" s="39" customFormat="1" ht="16" customHeight="1" x14ac:dyDescent="0.35">
      <c r="A66" s="21" t="s">
        <v>222</v>
      </c>
      <c r="B66" s="21" t="s">
        <v>220</v>
      </c>
      <c r="C66" s="21" t="s">
        <v>334</v>
      </c>
      <c r="D66" s="78">
        <v>847</v>
      </c>
      <c r="E66" s="21">
        <v>8470320</v>
      </c>
      <c r="F66" s="21" t="s">
        <v>507</v>
      </c>
      <c r="G66" s="79">
        <v>1</v>
      </c>
      <c r="H66" s="37" t="s">
        <v>404</v>
      </c>
      <c r="I66" s="21" t="s">
        <v>405</v>
      </c>
      <c r="J66" s="37" t="s">
        <v>60</v>
      </c>
      <c r="K66" s="21" t="s">
        <v>50</v>
      </c>
      <c r="L66" s="21">
        <v>847001</v>
      </c>
      <c r="M66" s="21" t="s">
        <v>61</v>
      </c>
      <c r="N66" s="21">
        <v>200179</v>
      </c>
      <c r="O66" s="37" t="str">
        <f t="shared" si="0"/>
        <v>847.8470320.1.435508.000000.847001.200179</v>
      </c>
      <c r="P66" s="21" t="s">
        <v>407</v>
      </c>
      <c r="Q66" s="21" t="s">
        <v>157</v>
      </c>
      <c r="R66" s="21">
        <v>1</v>
      </c>
      <c r="S66" s="21">
        <v>175000</v>
      </c>
      <c r="T66" s="21" t="s">
        <v>533</v>
      </c>
      <c r="U66" s="24">
        <f t="shared" si="1"/>
        <v>175000</v>
      </c>
      <c r="V66" s="21" t="s">
        <v>55</v>
      </c>
      <c r="W66" s="21" t="s">
        <v>56</v>
      </c>
      <c r="X66" s="21" t="s">
        <v>230</v>
      </c>
    </row>
    <row r="67" spans="1:24" s="39" customFormat="1" ht="16" customHeight="1" x14ac:dyDescent="0.35">
      <c r="A67" s="21" t="s">
        <v>189</v>
      </c>
      <c r="B67" s="21" t="s">
        <v>58</v>
      </c>
      <c r="C67" s="21" t="s">
        <v>334</v>
      </c>
      <c r="D67" s="78">
        <v>847</v>
      </c>
      <c r="E67" s="21">
        <v>8470320</v>
      </c>
      <c r="F67" s="21" t="s">
        <v>507</v>
      </c>
      <c r="G67" s="79">
        <v>1</v>
      </c>
      <c r="H67" s="37" t="s">
        <v>409</v>
      </c>
      <c r="I67" s="21" t="s">
        <v>190</v>
      </c>
      <c r="J67" s="37" t="s">
        <v>60</v>
      </c>
      <c r="K67" s="21" t="s">
        <v>50</v>
      </c>
      <c r="L67" s="21">
        <v>847001</v>
      </c>
      <c r="M67" s="21" t="s">
        <v>61</v>
      </c>
      <c r="N67" s="21">
        <v>200179</v>
      </c>
      <c r="O67" s="37" t="str">
        <f t="shared" ref="O67:O130" si="2">CONCATENATE(D67,".",E67,".",G67,".",H67,".",J67,".",L67,".",N67)</f>
        <v>847.8470320.1.436110.000000.847001.200179</v>
      </c>
      <c r="P67" s="21" t="s">
        <v>411</v>
      </c>
      <c r="Q67" s="21" t="s">
        <v>157</v>
      </c>
      <c r="R67" s="21">
        <v>35</v>
      </c>
      <c r="S67" s="21">
        <v>1000</v>
      </c>
      <c r="T67" s="21" t="s">
        <v>535</v>
      </c>
      <c r="U67" s="24">
        <f t="shared" si="1"/>
        <v>35000</v>
      </c>
      <c r="V67" s="21" t="s">
        <v>55</v>
      </c>
      <c r="W67" s="21" t="s">
        <v>56</v>
      </c>
      <c r="X67" s="21" t="s">
        <v>230</v>
      </c>
    </row>
    <row r="68" spans="1:24" s="39" customFormat="1" ht="16" customHeight="1" x14ac:dyDescent="0.35">
      <c r="A68" s="21" t="s">
        <v>222</v>
      </c>
      <c r="B68" s="21" t="s">
        <v>58</v>
      </c>
      <c r="C68" s="21" t="s">
        <v>334</v>
      </c>
      <c r="D68" s="78">
        <v>847</v>
      </c>
      <c r="E68" s="21">
        <v>8470320</v>
      </c>
      <c r="F68" s="21" t="s">
        <v>507</v>
      </c>
      <c r="G68" s="79">
        <v>1</v>
      </c>
      <c r="H68" s="37" t="s">
        <v>415</v>
      </c>
      <c r="I68" s="21" t="s">
        <v>416</v>
      </c>
      <c r="J68" s="37" t="s">
        <v>60</v>
      </c>
      <c r="K68" s="21" t="s">
        <v>50</v>
      </c>
      <c r="L68" s="21">
        <v>847001</v>
      </c>
      <c r="M68" s="21" t="s">
        <v>61</v>
      </c>
      <c r="N68" s="21">
        <v>200179</v>
      </c>
      <c r="O68" s="37" t="str">
        <f t="shared" si="2"/>
        <v>847.8470320.1.436600.000000.847001.200179</v>
      </c>
      <c r="P68" s="21" t="s">
        <v>492</v>
      </c>
      <c r="Q68" s="21" t="s">
        <v>157</v>
      </c>
      <c r="R68" s="21">
        <v>3</v>
      </c>
      <c r="S68" s="21">
        <v>15000</v>
      </c>
      <c r="T68" s="21" t="s">
        <v>537</v>
      </c>
      <c r="U68" s="24">
        <f t="shared" si="1"/>
        <v>45000</v>
      </c>
      <c r="V68" s="21" t="s">
        <v>55</v>
      </c>
      <c r="W68" s="21" t="s">
        <v>56</v>
      </c>
      <c r="X68" s="21" t="s">
        <v>230</v>
      </c>
    </row>
    <row r="69" spans="1:24" s="39" customFormat="1" ht="16" customHeight="1" x14ac:dyDescent="0.35">
      <c r="A69" s="21" t="s">
        <v>161</v>
      </c>
      <c r="B69" s="21" t="s">
        <v>220</v>
      </c>
      <c r="C69" s="21" t="s">
        <v>334</v>
      </c>
      <c r="D69" s="78">
        <v>847</v>
      </c>
      <c r="E69" s="21">
        <v>8470320</v>
      </c>
      <c r="F69" s="21" t="s">
        <v>507</v>
      </c>
      <c r="G69" s="79">
        <v>1</v>
      </c>
      <c r="H69" s="37" t="s">
        <v>420</v>
      </c>
      <c r="I69" s="21" t="s">
        <v>221</v>
      </c>
      <c r="J69" s="37" t="s">
        <v>60</v>
      </c>
      <c r="K69" s="21" t="s">
        <v>50</v>
      </c>
      <c r="L69" s="21">
        <v>847001</v>
      </c>
      <c r="M69" s="21" t="s">
        <v>192</v>
      </c>
      <c r="N69" s="21">
        <v>300180</v>
      </c>
      <c r="O69" s="37" t="str">
        <f t="shared" si="2"/>
        <v>847.8470320.1.492316.000000.847001.300180</v>
      </c>
      <c r="P69" s="21" t="s">
        <v>495</v>
      </c>
      <c r="Q69" s="21" t="s">
        <v>157</v>
      </c>
      <c r="R69" s="21">
        <v>1</v>
      </c>
      <c r="S69" s="24">
        <v>335000</v>
      </c>
      <c r="T69" s="21" t="s">
        <v>939</v>
      </c>
      <c r="U69" s="24">
        <f>R69*S69</f>
        <v>335000</v>
      </c>
      <c r="V69" s="21" t="s">
        <v>55</v>
      </c>
      <c r="W69" s="21" t="s">
        <v>197</v>
      </c>
      <c r="X69" s="21" t="s">
        <v>230</v>
      </c>
    </row>
    <row r="70" spans="1:24" s="39" customFormat="1" ht="16" customHeight="1" x14ac:dyDescent="0.35">
      <c r="A70" s="21" t="s">
        <v>189</v>
      </c>
      <c r="B70" s="21" t="s">
        <v>58</v>
      </c>
      <c r="C70" s="21" t="s">
        <v>334</v>
      </c>
      <c r="D70" s="78">
        <v>847</v>
      </c>
      <c r="E70" s="21">
        <v>8470320</v>
      </c>
      <c r="F70" s="21" t="s">
        <v>507</v>
      </c>
      <c r="G70" s="79">
        <v>1</v>
      </c>
      <c r="H70" s="37" t="s">
        <v>540</v>
      </c>
      <c r="I70" s="21" t="s">
        <v>541</v>
      </c>
      <c r="J70" s="37" t="s">
        <v>60</v>
      </c>
      <c r="K70" s="21" t="s">
        <v>50</v>
      </c>
      <c r="L70" s="21">
        <v>847001</v>
      </c>
      <c r="M70" s="21" t="s">
        <v>192</v>
      </c>
      <c r="N70" s="21">
        <v>300180</v>
      </c>
      <c r="O70" s="37" t="str">
        <f t="shared" si="2"/>
        <v>847.8470320.1.495140.000000.847001.300180</v>
      </c>
      <c r="P70" s="21" t="s">
        <v>543</v>
      </c>
      <c r="Q70" s="21" t="s">
        <v>157</v>
      </c>
      <c r="R70" s="21">
        <v>1</v>
      </c>
      <c r="S70" s="21">
        <v>18000</v>
      </c>
      <c r="T70" s="21" t="s">
        <v>544</v>
      </c>
      <c r="U70" s="24">
        <f t="shared" si="1"/>
        <v>18000</v>
      </c>
      <c r="V70" s="21" t="s">
        <v>55</v>
      </c>
      <c r="W70" s="21" t="s">
        <v>56</v>
      </c>
      <c r="X70" s="21" t="s">
        <v>545</v>
      </c>
    </row>
    <row r="71" spans="1:24" s="39" customFormat="1" ht="16" customHeight="1" x14ac:dyDescent="0.35">
      <c r="A71" s="21" t="s">
        <v>161</v>
      </c>
      <c r="B71" s="21" t="s">
        <v>220</v>
      </c>
      <c r="C71" s="21" t="s">
        <v>334</v>
      </c>
      <c r="D71" s="78">
        <v>847</v>
      </c>
      <c r="E71" s="21">
        <v>8470320</v>
      </c>
      <c r="F71" s="21" t="s">
        <v>507</v>
      </c>
      <c r="G71" s="79">
        <v>1</v>
      </c>
      <c r="H71" s="37" t="s">
        <v>420</v>
      </c>
      <c r="I71" s="21" t="s">
        <v>221</v>
      </c>
      <c r="J71" s="37" t="s">
        <v>60</v>
      </c>
      <c r="K71" s="21" t="s">
        <v>50</v>
      </c>
      <c r="L71" s="21">
        <v>847001</v>
      </c>
      <c r="M71" s="21" t="s">
        <v>192</v>
      </c>
      <c r="N71" s="21">
        <v>300180</v>
      </c>
      <c r="O71" s="37" t="str">
        <f t="shared" si="2"/>
        <v>847.8470320.1.492316.000000.847001.300180</v>
      </c>
      <c r="P71" s="21" t="s">
        <v>495</v>
      </c>
      <c r="Q71" s="21" t="s">
        <v>157</v>
      </c>
      <c r="R71" s="21">
        <v>1</v>
      </c>
      <c r="S71" s="21">
        <v>265000</v>
      </c>
      <c r="T71" s="21" t="s">
        <v>939</v>
      </c>
      <c r="U71" s="24">
        <f t="shared" si="1"/>
        <v>265000</v>
      </c>
      <c r="V71" s="21" t="s">
        <v>55</v>
      </c>
      <c r="W71" s="21" t="s">
        <v>197</v>
      </c>
      <c r="X71" s="21" t="s">
        <v>230</v>
      </c>
    </row>
    <row r="72" spans="1:24" s="39" customFormat="1" ht="16" customHeight="1" x14ac:dyDescent="0.35">
      <c r="A72" s="21" t="s">
        <v>161</v>
      </c>
      <c r="B72" s="21" t="s">
        <v>220</v>
      </c>
      <c r="C72" s="21" t="s">
        <v>334</v>
      </c>
      <c r="D72" s="78">
        <v>847</v>
      </c>
      <c r="E72" s="21">
        <v>8470320</v>
      </c>
      <c r="F72" s="21" t="s">
        <v>507</v>
      </c>
      <c r="G72" s="79">
        <v>1</v>
      </c>
      <c r="H72" s="37" t="s">
        <v>420</v>
      </c>
      <c r="I72" s="21" t="s">
        <v>221</v>
      </c>
      <c r="J72" s="37" t="s">
        <v>60</v>
      </c>
      <c r="K72" s="21" t="s">
        <v>50</v>
      </c>
      <c r="L72" s="21">
        <v>847001</v>
      </c>
      <c r="M72" s="21" t="s">
        <v>192</v>
      </c>
      <c r="N72" s="21">
        <v>300180</v>
      </c>
      <c r="O72" s="37" t="str">
        <f t="shared" si="2"/>
        <v>847.8470320.1.492316.000000.847001.300180</v>
      </c>
      <c r="P72" s="21" t="s">
        <v>495</v>
      </c>
      <c r="Q72" s="21" t="s">
        <v>157</v>
      </c>
      <c r="R72" s="21">
        <v>1</v>
      </c>
      <c r="S72" s="24">
        <v>125000</v>
      </c>
      <c r="T72" s="21" t="s">
        <v>939</v>
      </c>
      <c r="U72" s="24">
        <f t="shared" si="1"/>
        <v>125000</v>
      </c>
      <c r="V72" s="21" t="s">
        <v>55</v>
      </c>
      <c r="W72" s="21" t="s">
        <v>197</v>
      </c>
      <c r="X72" s="21" t="s">
        <v>230</v>
      </c>
    </row>
    <row r="73" spans="1:24" s="39" customFormat="1" ht="16" customHeight="1" x14ac:dyDescent="0.35">
      <c r="A73" s="21" t="s">
        <v>161</v>
      </c>
      <c r="B73" s="21" t="s">
        <v>220</v>
      </c>
      <c r="C73" s="21" t="s">
        <v>334</v>
      </c>
      <c r="D73" s="78">
        <v>847</v>
      </c>
      <c r="E73" s="21">
        <v>8470320</v>
      </c>
      <c r="F73" s="21" t="s">
        <v>507</v>
      </c>
      <c r="G73" s="79">
        <v>1</v>
      </c>
      <c r="H73" s="37" t="s">
        <v>420</v>
      </c>
      <c r="I73" s="21" t="s">
        <v>221</v>
      </c>
      <c r="J73" s="37" t="s">
        <v>60</v>
      </c>
      <c r="K73" s="21" t="s">
        <v>50</v>
      </c>
      <c r="L73" s="21">
        <v>847001</v>
      </c>
      <c r="M73" s="21" t="s">
        <v>192</v>
      </c>
      <c r="N73" s="21">
        <v>300180</v>
      </c>
      <c r="O73" s="37" t="str">
        <f t="shared" si="2"/>
        <v>847.8470320.1.492316.000000.847001.300180</v>
      </c>
      <c r="P73" s="21" t="s">
        <v>495</v>
      </c>
      <c r="Q73" s="21" t="s">
        <v>157</v>
      </c>
      <c r="R73" s="21">
        <v>1</v>
      </c>
      <c r="S73" s="21">
        <v>45000</v>
      </c>
      <c r="T73" s="21" t="s">
        <v>939</v>
      </c>
      <c r="U73" s="24">
        <f t="shared" si="1"/>
        <v>45000</v>
      </c>
      <c r="V73" s="21" t="s">
        <v>55</v>
      </c>
      <c r="W73" s="21" t="s">
        <v>197</v>
      </c>
      <c r="X73" s="21" t="s">
        <v>230</v>
      </c>
    </row>
    <row r="74" spans="1:24" s="39" customFormat="1" ht="16" customHeight="1" x14ac:dyDescent="0.35">
      <c r="A74" s="21" t="s">
        <v>161</v>
      </c>
      <c r="B74" s="21" t="s">
        <v>220</v>
      </c>
      <c r="C74" s="21" t="s">
        <v>334</v>
      </c>
      <c r="D74" s="78">
        <v>847</v>
      </c>
      <c r="E74" s="21">
        <v>8470320</v>
      </c>
      <c r="F74" s="21" t="s">
        <v>507</v>
      </c>
      <c r="G74" s="79">
        <v>1</v>
      </c>
      <c r="H74" s="37" t="s">
        <v>420</v>
      </c>
      <c r="I74" s="21" t="s">
        <v>221</v>
      </c>
      <c r="J74" s="37" t="s">
        <v>60</v>
      </c>
      <c r="K74" s="21" t="s">
        <v>50</v>
      </c>
      <c r="L74" s="21">
        <v>847001</v>
      </c>
      <c r="M74" s="21" t="s">
        <v>192</v>
      </c>
      <c r="N74" s="21">
        <v>300180</v>
      </c>
      <c r="O74" s="37" t="str">
        <f t="shared" si="2"/>
        <v>847.8470320.1.492316.000000.847001.300180</v>
      </c>
      <c r="P74" s="21" t="s">
        <v>495</v>
      </c>
      <c r="Q74" s="21" t="s">
        <v>157</v>
      </c>
      <c r="R74" s="21">
        <v>1</v>
      </c>
      <c r="S74" s="21">
        <v>65000</v>
      </c>
      <c r="T74" s="21" t="s">
        <v>939</v>
      </c>
      <c r="U74" s="24">
        <f t="shared" si="1"/>
        <v>65000</v>
      </c>
      <c r="V74" s="21" t="s">
        <v>55</v>
      </c>
      <c r="W74" s="21" t="s">
        <v>197</v>
      </c>
      <c r="X74" s="21" t="s">
        <v>230</v>
      </c>
    </row>
    <row r="75" spans="1:24" s="39" customFormat="1" ht="16" customHeight="1" x14ac:dyDescent="0.35">
      <c r="A75" s="21" t="s">
        <v>222</v>
      </c>
      <c r="B75" s="21" t="s">
        <v>58</v>
      </c>
      <c r="C75" s="21" t="s">
        <v>334</v>
      </c>
      <c r="D75" s="78">
        <v>847</v>
      </c>
      <c r="E75" s="21">
        <v>8470325</v>
      </c>
      <c r="F75" s="21" t="s">
        <v>560</v>
      </c>
      <c r="G75" s="79">
        <v>1</v>
      </c>
      <c r="H75" s="37" t="s">
        <v>336</v>
      </c>
      <c r="I75" s="21" t="s">
        <v>225</v>
      </c>
      <c r="J75" s="37" t="s">
        <v>60</v>
      </c>
      <c r="K75" s="21" t="s">
        <v>50</v>
      </c>
      <c r="L75" s="21">
        <v>847001</v>
      </c>
      <c r="M75" s="21" t="s">
        <v>61</v>
      </c>
      <c r="N75" s="21">
        <v>200179</v>
      </c>
      <c r="O75" s="37" t="str">
        <f t="shared" si="2"/>
        <v>847.8470325.1.420550.000000.847001.200179</v>
      </c>
      <c r="P75" s="21" t="s">
        <v>227</v>
      </c>
      <c r="Q75" s="21" t="s">
        <v>157</v>
      </c>
      <c r="R75" s="21">
        <v>2</v>
      </c>
      <c r="S75" s="21">
        <v>2000</v>
      </c>
      <c r="T75" s="21" t="s">
        <v>562</v>
      </c>
      <c r="U75" s="24">
        <f t="shared" si="1"/>
        <v>4000</v>
      </c>
      <c r="V75" s="21" t="s">
        <v>55</v>
      </c>
      <c r="W75" s="21" t="s">
        <v>56</v>
      </c>
      <c r="X75" s="21" t="s">
        <v>230</v>
      </c>
    </row>
    <row r="76" spans="1:24" s="39" customFormat="1" ht="16" customHeight="1" x14ac:dyDescent="0.35">
      <c r="A76" s="21" t="s">
        <v>245</v>
      </c>
      <c r="B76" s="21" t="s">
        <v>246</v>
      </c>
      <c r="C76" s="21" t="s">
        <v>334</v>
      </c>
      <c r="D76" s="78">
        <v>847</v>
      </c>
      <c r="E76" s="21">
        <v>8470325</v>
      </c>
      <c r="F76" s="21" t="s">
        <v>560</v>
      </c>
      <c r="G76" s="79">
        <v>1</v>
      </c>
      <c r="H76" s="37" t="s">
        <v>342</v>
      </c>
      <c r="I76" s="21" t="s">
        <v>247</v>
      </c>
      <c r="J76" s="37" t="s">
        <v>60</v>
      </c>
      <c r="K76" s="21" t="s">
        <v>50</v>
      </c>
      <c r="L76" s="21">
        <v>847001</v>
      </c>
      <c r="M76" s="21" t="s">
        <v>61</v>
      </c>
      <c r="N76" s="21">
        <v>200179</v>
      </c>
      <c r="O76" s="37" t="str">
        <f t="shared" si="2"/>
        <v>847.8470325.1.425510.000000.847001.200179</v>
      </c>
      <c r="P76" s="21" t="s">
        <v>433</v>
      </c>
      <c r="Q76" s="21" t="s">
        <v>434</v>
      </c>
      <c r="R76" s="21">
        <v>6</v>
      </c>
      <c r="S76" s="21">
        <v>1100</v>
      </c>
      <c r="T76" s="21" t="s">
        <v>566</v>
      </c>
      <c r="U76" s="24">
        <f t="shared" si="1"/>
        <v>6600</v>
      </c>
      <c r="V76" s="21" t="s">
        <v>55</v>
      </c>
      <c r="W76" s="21" t="s">
        <v>56</v>
      </c>
      <c r="X76" s="21" t="s">
        <v>230</v>
      </c>
    </row>
    <row r="77" spans="1:24" s="39" customFormat="1" ht="16" customHeight="1" x14ac:dyDescent="0.35">
      <c r="A77" s="21" t="s">
        <v>258</v>
      </c>
      <c r="B77" s="21" t="s">
        <v>350</v>
      </c>
      <c r="C77" s="21" t="s">
        <v>334</v>
      </c>
      <c r="D77" s="78">
        <v>847</v>
      </c>
      <c r="E77" s="21">
        <v>8470325</v>
      </c>
      <c r="F77" s="21" t="s">
        <v>560</v>
      </c>
      <c r="G77" s="79">
        <v>1</v>
      </c>
      <c r="H77" s="37" t="s">
        <v>351</v>
      </c>
      <c r="I77" s="21" t="s">
        <v>352</v>
      </c>
      <c r="J77" s="37" t="s">
        <v>60</v>
      </c>
      <c r="K77" s="21" t="s">
        <v>50</v>
      </c>
      <c r="L77" s="21">
        <v>847001</v>
      </c>
      <c r="M77" s="21" t="s">
        <v>61</v>
      </c>
      <c r="N77" s="21">
        <v>200179</v>
      </c>
      <c r="O77" s="37" t="str">
        <f t="shared" si="2"/>
        <v>847.8470325.1.425760.000000.847001.200179</v>
      </c>
      <c r="P77" s="21" t="s">
        <v>440</v>
      </c>
      <c r="Q77" s="21" t="s">
        <v>441</v>
      </c>
      <c r="R77" s="21">
        <v>2</v>
      </c>
      <c r="S77" s="21">
        <v>2500</v>
      </c>
      <c r="T77" s="21" t="s">
        <v>569</v>
      </c>
      <c r="U77" s="24">
        <f t="shared" si="1"/>
        <v>5000</v>
      </c>
      <c r="V77" s="21" t="s">
        <v>55</v>
      </c>
      <c r="W77" s="21" t="s">
        <v>56</v>
      </c>
      <c r="X77" s="21" t="s">
        <v>348</v>
      </c>
    </row>
    <row r="78" spans="1:24" s="39" customFormat="1" ht="16" customHeight="1" x14ac:dyDescent="0.35">
      <c r="A78" s="21" t="s">
        <v>258</v>
      </c>
      <c r="B78" s="21" t="s">
        <v>58</v>
      </c>
      <c r="C78" s="21" t="s">
        <v>334</v>
      </c>
      <c r="D78" s="78">
        <v>847</v>
      </c>
      <c r="E78" s="21">
        <v>8470325</v>
      </c>
      <c r="F78" s="21" t="s">
        <v>560</v>
      </c>
      <c r="G78" s="79">
        <v>1</v>
      </c>
      <c r="H78" s="37" t="s">
        <v>358</v>
      </c>
      <c r="I78" s="21" t="s">
        <v>359</v>
      </c>
      <c r="J78" s="37" t="s">
        <v>60</v>
      </c>
      <c r="K78" s="21" t="s">
        <v>50</v>
      </c>
      <c r="L78" s="21">
        <v>847001</v>
      </c>
      <c r="M78" s="21" t="s">
        <v>61</v>
      </c>
      <c r="N78" s="21">
        <v>200179</v>
      </c>
      <c r="O78" s="37" t="str">
        <f t="shared" si="2"/>
        <v>847.8470325.1.425763.000000.847001.200179</v>
      </c>
      <c r="P78" s="21" t="s">
        <v>361</v>
      </c>
      <c r="Q78" s="21" t="s">
        <v>68</v>
      </c>
      <c r="R78" s="21">
        <v>20</v>
      </c>
      <c r="S78" s="21">
        <v>3000</v>
      </c>
      <c r="T78" s="21" t="s">
        <v>571</v>
      </c>
      <c r="U78" s="24">
        <f t="shared" si="1"/>
        <v>60000</v>
      </c>
      <c r="V78" s="21" t="s">
        <v>55</v>
      </c>
      <c r="W78" s="21" t="s">
        <v>56</v>
      </c>
      <c r="X78" s="21" t="s">
        <v>230</v>
      </c>
    </row>
    <row r="79" spans="1:24" s="39" customFormat="1" ht="16" customHeight="1" x14ac:dyDescent="0.35">
      <c r="A79" s="21" t="s">
        <v>46</v>
      </c>
      <c r="B79" s="21" t="s">
        <v>46</v>
      </c>
      <c r="C79" s="21" t="s">
        <v>334</v>
      </c>
      <c r="D79" s="78">
        <v>847</v>
      </c>
      <c r="E79" s="21">
        <v>8470325</v>
      </c>
      <c r="F79" s="21" t="s">
        <v>560</v>
      </c>
      <c r="G79" s="79">
        <v>1</v>
      </c>
      <c r="H79" s="37" t="s">
        <v>572</v>
      </c>
      <c r="I79" s="21" t="s">
        <v>573</v>
      </c>
      <c r="J79" s="37" t="s">
        <v>60</v>
      </c>
      <c r="K79" s="21" t="s">
        <v>50</v>
      </c>
      <c r="L79" s="21" t="s">
        <v>51</v>
      </c>
      <c r="M79" s="21" t="s">
        <v>61</v>
      </c>
      <c r="N79" s="21">
        <v>200179</v>
      </c>
      <c r="O79" s="37" t="str">
        <f t="shared" si="2"/>
        <v>847.8470325.1.425762.000000.847001.200179</v>
      </c>
      <c r="P79" s="21" t="s">
        <v>575</v>
      </c>
      <c r="Q79" s="21" t="s">
        <v>157</v>
      </c>
      <c r="R79" s="21">
        <v>4</v>
      </c>
      <c r="S79" s="21">
        <v>10000</v>
      </c>
      <c r="T79" s="21" t="s">
        <v>576</v>
      </c>
      <c r="U79" s="24">
        <f t="shared" si="1"/>
        <v>40000</v>
      </c>
      <c r="V79" s="21" t="s">
        <v>210</v>
      </c>
      <c r="W79" s="21" t="s">
        <v>56</v>
      </c>
      <c r="X79" s="21" t="s">
        <v>577</v>
      </c>
    </row>
    <row r="80" spans="1:24" s="39" customFormat="1" ht="16" customHeight="1" x14ac:dyDescent="0.35">
      <c r="A80" s="21" t="s">
        <v>222</v>
      </c>
      <c r="B80" s="21" t="s">
        <v>58</v>
      </c>
      <c r="C80" s="21" t="s">
        <v>334</v>
      </c>
      <c r="D80" s="78">
        <v>847</v>
      </c>
      <c r="E80" s="21">
        <v>8470325</v>
      </c>
      <c r="F80" s="21" t="s">
        <v>560</v>
      </c>
      <c r="G80" s="79">
        <v>1</v>
      </c>
      <c r="H80" s="37" t="s">
        <v>366</v>
      </c>
      <c r="I80" s="21" t="s">
        <v>367</v>
      </c>
      <c r="J80" s="37" t="s">
        <v>60</v>
      </c>
      <c r="K80" s="21" t="s">
        <v>50</v>
      </c>
      <c r="L80" s="21">
        <v>847001</v>
      </c>
      <c r="M80" s="21" t="s">
        <v>61</v>
      </c>
      <c r="N80" s="21">
        <v>200179</v>
      </c>
      <c r="O80" s="37" t="str">
        <f t="shared" si="2"/>
        <v>847.8470325.1.425770.000000.847001.200179</v>
      </c>
      <c r="P80" s="21" t="s">
        <v>926</v>
      </c>
      <c r="Q80" s="21" t="s">
        <v>157</v>
      </c>
      <c r="R80" s="21">
        <v>11</v>
      </c>
      <c r="S80" s="21">
        <v>20000</v>
      </c>
      <c r="T80" s="21" t="s">
        <v>579</v>
      </c>
      <c r="U80" s="24">
        <f t="shared" si="1"/>
        <v>220000</v>
      </c>
      <c r="V80" s="21" t="s">
        <v>55</v>
      </c>
      <c r="W80" s="21" t="s">
        <v>56</v>
      </c>
      <c r="X80" s="21" t="s">
        <v>348</v>
      </c>
    </row>
    <row r="81" spans="1:24" s="39" customFormat="1" ht="16" customHeight="1" x14ac:dyDescent="0.35">
      <c r="A81" s="21" t="s">
        <v>63</v>
      </c>
      <c r="B81" s="21" t="s">
        <v>64</v>
      </c>
      <c r="C81" s="21" t="s">
        <v>334</v>
      </c>
      <c r="D81" s="78">
        <v>847</v>
      </c>
      <c r="E81" s="21">
        <v>8470325</v>
      </c>
      <c r="F81" s="21" t="s">
        <v>560</v>
      </c>
      <c r="G81" s="79">
        <v>1</v>
      </c>
      <c r="H81" s="37" t="s">
        <v>380</v>
      </c>
      <c r="I81" s="21" t="s">
        <v>74</v>
      </c>
      <c r="J81" s="37" t="s">
        <v>60</v>
      </c>
      <c r="K81" s="21" t="s">
        <v>50</v>
      </c>
      <c r="L81" s="21">
        <v>847001</v>
      </c>
      <c r="M81" s="21" t="s">
        <v>61</v>
      </c>
      <c r="N81" s="21">
        <v>200179</v>
      </c>
      <c r="O81" s="37" t="str">
        <f t="shared" si="2"/>
        <v>847.8470325.1.426610.000000.847001.200179</v>
      </c>
      <c r="P81" s="21" t="s">
        <v>274</v>
      </c>
      <c r="Q81" s="21" t="s">
        <v>157</v>
      </c>
      <c r="R81" s="21">
        <v>1</v>
      </c>
      <c r="S81" s="21">
        <v>45000</v>
      </c>
      <c r="T81" s="21" t="s">
        <v>581</v>
      </c>
      <c r="U81" s="24">
        <f t="shared" si="1"/>
        <v>45000</v>
      </c>
      <c r="V81" s="21" t="s">
        <v>55</v>
      </c>
      <c r="W81" s="21" t="s">
        <v>56</v>
      </c>
      <c r="X81" s="21" t="s">
        <v>230</v>
      </c>
    </row>
    <row r="82" spans="1:24" s="39" customFormat="1" ht="16" customHeight="1" x14ac:dyDescent="0.35">
      <c r="A82" s="21" t="s">
        <v>153</v>
      </c>
      <c r="B82" s="21" t="s">
        <v>58</v>
      </c>
      <c r="C82" s="21" t="s">
        <v>334</v>
      </c>
      <c r="D82" s="78">
        <v>847</v>
      </c>
      <c r="E82" s="21">
        <v>8470325</v>
      </c>
      <c r="F82" s="21" t="s">
        <v>560</v>
      </c>
      <c r="G82" s="79">
        <v>1</v>
      </c>
      <c r="H82" s="37" t="s">
        <v>385</v>
      </c>
      <c r="I82" s="21" t="s">
        <v>154</v>
      </c>
      <c r="J82" s="37" t="s">
        <v>60</v>
      </c>
      <c r="K82" s="21" t="s">
        <v>50</v>
      </c>
      <c r="L82" s="21">
        <v>847001</v>
      </c>
      <c r="M82" s="21" t="s">
        <v>61</v>
      </c>
      <c r="N82" s="21">
        <v>200179</v>
      </c>
      <c r="O82" s="37" t="str">
        <f t="shared" si="2"/>
        <v>847.8470325.1.428090.000000.847001.200179</v>
      </c>
      <c r="P82" s="21" t="s">
        <v>387</v>
      </c>
      <c r="Q82" s="21" t="s">
        <v>157</v>
      </c>
      <c r="R82" s="21">
        <v>1</v>
      </c>
      <c r="S82" s="21">
        <v>20000</v>
      </c>
      <c r="T82" s="21" t="s">
        <v>583</v>
      </c>
      <c r="U82" s="24">
        <f t="shared" si="1"/>
        <v>20000</v>
      </c>
      <c r="V82" s="21" t="s">
        <v>55</v>
      </c>
      <c r="W82" s="21" t="s">
        <v>56</v>
      </c>
      <c r="X82" s="21" t="s">
        <v>480</v>
      </c>
    </row>
    <row r="83" spans="1:24" s="39" customFormat="1" ht="16" customHeight="1" x14ac:dyDescent="0.35">
      <c r="A83" s="21" t="s">
        <v>222</v>
      </c>
      <c r="B83" s="21" t="s">
        <v>58</v>
      </c>
      <c r="C83" s="21" t="s">
        <v>334</v>
      </c>
      <c r="D83" s="78">
        <v>847</v>
      </c>
      <c r="E83" s="21">
        <v>8470325</v>
      </c>
      <c r="F83" s="21" t="s">
        <v>560</v>
      </c>
      <c r="G83" s="79">
        <v>1</v>
      </c>
      <c r="H83" s="37" t="s">
        <v>392</v>
      </c>
      <c r="I83" s="21" t="s">
        <v>393</v>
      </c>
      <c r="J83" s="37" t="s">
        <v>60</v>
      </c>
      <c r="K83" s="21" t="s">
        <v>50</v>
      </c>
      <c r="L83" s="21">
        <v>847001</v>
      </c>
      <c r="M83" s="21" t="s">
        <v>61</v>
      </c>
      <c r="N83" s="21">
        <v>200179</v>
      </c>
      <c r="O83" s="37" t="str">
        <f t="shared" si="2"/>
        <v>847.8470325.1.432209.000000.847001.200179</v>
      </c>
      <c r="P83" s="21" t="s">
        <v>470</v>
      </c>
      <c r="Q83" s="21" t="s">
        <v>157</v>
      </c>
      <c r="R83" s="21">
        <v>1</v>
      </c>
      <c r="S83" s="21">
        <v>200000</v>
      </c>
      <c r="T83" s="21" t="s">
        <v>585</v>
      </c>
      <c r="U83" s="24">
        <f t="shared" si="1"/>
        <v>200000</v>
      </c>
      <c r="V83" s="21" t="s">
        <v>55</v>
      </c>
      <c r="W83" s="21" t="s">
        <v>56</v>
      </c>
      <c r="X83" s="21" t="s">
        <v>230</v>
      </c>
    </row>
    <row r="84" spans="1:24" s="39" customFormat="1" ht="16" customHeight="1" x14ac:dyDescent="0.35">
      <c r="A84" s="21" t="s">
        <v>222</v>
      </c>
      <c r="B84" s="21" t="s">
        <v>58</v>
      </c>
      <c r="C84" s="21" t="s">
        <v>334</v>
      </c>
      <c r="D84" s="78">
        <v>847</v>
      </c>
      <c r="E84" s="21">
        <v>8470325</v>
      </c>
      <c r="F84" s="21" t="s">
        <v>560</v>
      </c>
      <c r="G84" s="79">
        <v>1</v>
      </c>
      <c r="H84" s="37" t="s">
        <v>398</v>
      </c>
      <c r="I84" s="21" t="s">
        <v>399</v>
      </c>
      <c r="J84" s="37" t="s">
        <v>60</v>
      </c>
      <c r="K84" s="21" t="s">
        <v>50</v>
      </c>
      <c r="L84" s="21">
        <v>847001</v>
      </c>
      <c r="M84" s="21" t="s">
        <v>61</v>
      </c>
      <c r="N84" s="21">
        <v>200179</v>
      </c>
      <c r="O84" s="37" t="str">
        <f t="shared" si="2"/>
        <v>847.8470325.1.435350.000000.847001.200179</v>
      </c>
      <c r="P84" s="21" t="s">
        <v>401</v>
      </c>
      <c r="Q84" s="21" t="s">
        <v>157</v>
      </c>
      <c r="R84" s="21">
        <v>8</v>
      </c>
      <c r="S84" s="21">
        <v>10000</v>
      </c>
      <c r="T84" s="21" t="s">
        <v>587</v>
      </c>
      <c r="U84" s="24">
        <f t="shared" si="1"/>
        <v>80000</v>
      </c>
      <c r="V84" s="21" t="s">
        <v>55</v>
      </c>
      <c r="W84" s="21" t="s">
        <v>56</v>
      </c>
      <c r="X84" s="21" t="s">
        <v>480</v>
      </c>
    </row>
    <row r="85" spans="1:24" s="39" customFormat="1" ht="16" customHeight="1" x14ac:dyDescent="0.35">
      <c r="A85" s="21" t="s">
        <v>222</v>
      </c>
      <c r="B85" s="21" t="s">
        <v>220</v>
      </c>
      <c r="C85" s="21" t="s">
        <v>334</v>
      </c>
      <c r="D85" s="78">
        <v>847</v>
      </c>
      <c r="E85" s="21">
        <v>8470325</v>
      </c>
      <c r="F85" s="21" t="s">
        <v>560</v>
      </c>
      <c r="G85" s="79">
        <v>1</v>
      </c>
      <c r="H85" s="37" t="s">
        <v>404</v>
      </c>
      <c r="I85" s="21" t="s">
        <v>405</v>
      </c>
      <c r="J85" s="37" t="s">
        <v>60</v>
      </c>
      <c r="K85" s="21" t="s">
        <v>50</v>
      </c>
      <c r="L85" s="21">
        <v>847001</v>
      </c>
      <c r="M85" s="21" t="s">
        <v>61</v>
      </c>
      <c r="N85" s="21">
        <v>200179</v>
      </c>
      <c r="O85" s="37" t="str">
        <f t="shared" si="2"/>
        <v>847.8470325.1.435508.000000.847001.200179</v>
      </c>
      <c r="P85" s="21" t="s">
        <v>482</v>
      </c>
      <c r="Q85" s="21" t="s">
        <v>157</v>
      </c>
      <c r="R85" s="21">
        <v>1</v>
      </c>
      <c r="S85" s="21">
        <v>110000</v>
      </c>
      <c r="T85" s="21" t="s">
        <v>589</v>
      </c>
      <c r="U85" s="24">
        <f t="shared" si="1"/>
        <v>110000</v>
      </c>
      <c r="V85" s="21" t="s">
        <v>55</v>
      </c>
      <c r="W85" s="21" t="s">
        <v>56</v>
      </c>
      <c r="X85" s="21" t="s">
        <v>230</v>
      </c>
    </row>
    <row r="86" spans="1:24" s="39" customFormat="1" ht="16" customHeight="1" x14ac:dyDescent="0.35">
      <c r="A86" s="21" t="s">
        <v>161</v>
      </c>
      <c r="B86" s="21" t="s">
        <v>220</v>
      </c>
      <c r="C86" s="21" t="s">
        <v>334</v>
      </c>
      <c r="D86" s="78">
        <v>847</v>
      </c>
      <c r="E86" s="21">
        <v>8470325</v>
      </c>
      <c r="F86" s="21" t="s">
        <v>560</v>
      </c>
      <c r="G86" s="79">
        <v>1</v>
      </c>
      <c r="H86" s="37" t="s">
        <v>420</v>
      </c>
      <c r="I86" s="21" t="s">
        <v>221</v>
      </c>
      <c r="J86" s="37" t="s">
        <v>60</v>
      </c>
      <c r="K86" s="21" t="s">
        <v>50</v>
      </c>
      <c r="L86" s="21">
        <v>847001</v>
      </c>
      <c r="M86" s="21" t="s">
        <v>192</v>
      </c>
      <c r="N86" s="21">
        <v>300180</v>
      </c>
      <c r="O86" s="37" t="str">
        <f t="shared" si="2"/>
        <v>847.8470325.1.492316.000000.847001.300180</v>
      </c>
      <c r="P86" s="21" t="s">
        <v>422</v>
      </c>
      <c r="Q86" s="21" t="s">
        <v>157</v>
      </c>
      <c r="R86" s="21">
        <v>1</v>
      </c>
      <c r="S86" s="21">
        <v>775000</v>
      </c>
      <c r="T86" s="21" t="s">
        <v>974</v>
      </c>
      <c r="U86" s="24">
        <f t="shared" si="1"/>
        <v>775000</v>
      </c>
      <c r="V86" s="21" t="s">
        <v>210</v>
      </c>
      <c r="W86" s="21" t="s">
        <v>197</v>
      </c>
      <c r="X86" s="21" t="s">
        <v>365</v>
      </c>
    </row>
    <row r="87" spans="1:24" s="39" customFormat="1" ht="16" customHeight="1" x14ac:dyDescent="0.35">
      <c r="A87" s="21" t="s">
        <v>222</v>
      </c>
      <c r="B87" s="21" t="s">
        <v>58</v>
      </c>
      <c r="C87" s="21" t="s">
        <v>334</v>
      </c>
      <c r="D87" s="78">
        <v>847</v>
      </c>
      <c r="E87" s="21">
        <v>8470330</v>
      </c>
      <c r="F87" s="21" t="s">
        <v>666</v>
      </c>
      <c r="G87" s="79">
        <v>1</v>
      </c>
      <c r="H87" s="37" t="s">
        <v>336</v>
      </c>
      <c r="I87" s="21" t="s">
        <v>225</v>
      </c>
      <c r="J87" s="37" t="s">
        <v>60</v>
      </c>
      <c r="K87" s="21" t="s">
        <v>50</v>
      </c>
      <c r="L87" s="21">
        <v>847001</v>
      </c>
      <c r="M87" s="21" t="s">
        <v>61</v>
      </c>
      <c r="N87" s="21">
        <v>200179</v>
      </c>
      <c r="O87" s="37" t="str">
        <f t="shared" si="2"/>
        <v>847.8470330.1.420550.000000.847001.200179</v>
      </c>
      <c r="P87" s="21" t="s">
        <v>227</v>
      </c>
      <c r="Q87" s="21" t="s">
        <v>157</v>
      </c>
      <c r="R87" s="21">
        <v>1</v>
      </c>
      <c r="S87" s="21">
        <v>3000</v>
      </c>
      <c r="T87" s="21" t="s">
        <v>668</v>
      </c>
      <c r="U87" s="24">
        <f t="shared" si="1"/>
        <v>3000</v>
      </c>
      <c r="V87" s="21" t="s">
        <v>55</v>
      </c>
      <c r="W87" s="21" t="s">
        <v>56</v>
      </c>
      <c r="X87" s="21" t="s">
        <v>384</v>
      </c>
    </row>
    <row r="88" spans="1:24" s="39" customFormat="1" ht="16" customHeight="1" x14ac:dyDescent="0.35">
      <c r="A88" s="21" t="s">
        <v>245</v>
      </c>
      <c r="B88" s="21" t="s">
        <v>246</v>
      </c>
      <c r="C88" s="21" t="s">
        <v>334</v>
      </c>
      <c r="D88" s="78">
        <v>847</v>
      </c>
      <c r="E88" s="21">
        <v>8470330</v>
      </c>
      <c r="F88" s="21" t="s">
        <v>666</v>
      </c>
      <c r="G88" s="79">
        <v>1</v>
      </c>
      <c r="H88" s="37" t="s">
        <v>342</v>
      </c>
      <c r="I88" s="21" t="s">
        <v>247</v>
      </c>
      <c r="J88" s="37" t="s">
        <v>60</v>
      </c>
      <c r="K88" s="21" t="s">
        <v>50</v>
      </c>
      <c r="L88" s="21">
        <v>847001</v>
      </c>
      <c r="M88" s="21" t="s">
        <v>61</v>
      </c>
      <c r="N88" s="21">
        <v>200179</v>
      </c>
      <c r="O88" s="37" t="str">
        <f t="shared" si="2"/>
        <v>847.8470330.1.425510.000000.847001.200179</v>
      </c>
      <c r="P88" s="21" t="s">
        <v>672</v>
      </c>
      <c r="Q88" s="21" t="s">
        <v>673</v>
      </c>
      <c r="R88" s="21">
        <v>1</v>
      </c>
      <c r="S88" s="21">
        <v>10000</v>
      </c>
      <c r="T88" s="21" t="s">
        <v>674</v>
      </c>
      <c r="U88" s="24">
        <f t="shared" si="1"/>
        <v>10000</v>
      </c>
      <c r="V88" s="21" t="s">
        <v>55</v>
      </c>
      <c r="W88" s="21" t="s">
        <v>197</v>
      </c>
      <c r="X88" s="21" t="s">
        <v>480</v>
      </c>
    </row>
    <row r="89" spans="1:24" s="39" customFormat="1" ht="16" customHeight="1" x14ac:dyDescent="0.35">
      <c r="A89" s="21" t="s">
        <v>258</v>
      </c>
      <c r="B89" s="21" t="s">
        <v>350</v>
      </c>
      <c r="C89" s="21" t="s">
        <v>334</v>
      </c>
      <c r="D89" s="78">
        <v>847</v>
      </c>
      <c r="E89" s="21">
        <v>8470330</v>
      </c>
      <c r="F89" s="21" t="s">
        <v>666</v>
      </c>
      <c r="G89" s="79">
        <v>1</v>
      </c>
      <c r="H89" s="37" t="s">
        <v>351</v>
      </c>
      <c r="I89" s="21" t="s">
        <v>352</v>
      </c>
      <c r="J89" s="37" t="s">
        <v>60</v>
      </c>
      <c r="K89" s="21" t="s">
        <v>50</v>
      </c>
      <c r="L89" s="21">
        <v>847001</v>
      </c>
      <c r="M89" s="21" t="s">
        <v>61</v>
      </c>
      <c r="N89" s="21">
        <v>200179</v>
      </c>
      <c r="O89" s="37" t="str">
        <f t="shared" si="2"/>
        <v>847.8470330.1.425760.000000.847001.200179</v>
      </c>
      <c r="P89" s="21" t="s">
        <v>440</v>
      </c>
      <c r="Q89" s="21" t="s">
        <v>441</v>
      </c>
      <c r="R89" s="21">
        <v>10</v>
      </c>
      <c r="S89" s="21">
        <v>7500</v>
      </c>
      <c r="T89" s="21" t="s">
        <v>678</v>
      </c>
      <c r="U89" s="24">
        <f t="shared" si="1"/>
        <v>75000</v>
      </c>
      <c r="V89" s="21" t="s">
        <v>55</v>
      </c>
      <c r="W89" s="21" t="s">
        <v>56</v>
      </c>
      <c r="X89" s="21" t="s">
        <v>379</v>
      </c>
    </row>
    <row r="90" spans="1:24" s="39" customFormat="1" ht="16" customHeight="1" x14ac:dyDescent="0.35">
      <c r="A90" s="21" t="s">
        <v>258</v>
      </c>
      <c r="B90" s="21" t="s">
        <v>58</v>
      </c>
      <c r="C90" s="21" t="s">
        <v>334</v>
      </c>
      <c r="D90" s="78">
        <v>847</v>
      </c>
      <c r="E90" s="21">
        <v>8470330</v>
      </c>
      <c r="F90" s="21" t="s">
        <v>666</v>
      </c>
      <c r="G90" s="79">
        <v>1</v>
      </c>
      <c r="H90" s="37" t="s">
        <v>358</v>
      </c>
      <c r="I90" s="21" t="s">
        <v>359</v>
      </c>
      <c r="J90" s="37" t="s">
        <v>60</v>
      </c>
      <c r="K90" s="21" t="s">
        <v>50</v>
      </c>
      <c r="L90" s="21">
        <v>847001</v>
      </c>
      <c r="M90" s="21" t="s">
        <v>61</v>
      </c>
      <c r="N90" s="21">
        <v>200179</v>
      </c>
      <c r="O90" s="37" t="str">
        <f t="shared" si="2"/>
        <v>847.8470330.1.425763.000000.847001.200179</v>
      </c>
      <c r="P90" s="21" t="s">
        <v>361</v>
      </c>
      <c r="Q90" s="21" t="s">
        <v>68</v>
      </c>
      <c r="R90" s="21">
        <v>145</v>
      </c>
      <c r="S90" s="21">
        <v>3000</v>
      </c>
      <c r="T90" s="21" t="s">
        <v>681</v>
      </c>
      <c r="U90" s="24">
        <f t="shared" si="1"/>
        <v>435000</v>
      </c>
      <c r="V90" s="21" t="s">
        <v>55</v>
      </c>
      <c r="W90" s="21" t="s">
        <v>56</v>
      </c>
      <c r="X90" s="21" t="s">
        <v>365</v>
      </c>
    </row>
    <row r="91" spans="1:24" s="39" customFormat="1" ht="16" customHeight="1" x14ac:dyDescent="0.35">
      <c r="A91" s="21" t="s">
        <v>222</v>
      </c>
      <c r="B91" s="21" t="s">
        <v>58</v>
      </c>
      <c r="C91" s="21" t="s">
        <v>334</v>
      </c>
      <c r="D91" s="78">
        <v>847</v>
      </c>
      <c r="E91" s="21">
        <v>8470330</v>
      </c>
      <c r="F91" s="21" t="s">
        <v>666</v>
      </c>
      <c r="G91" s="79">
        <v>1</v>
      </c>
      <c r="H91" s="37" t="s">
        <v>366</v>
      </c>
      <c r="I91" s="21" t="s">
        <v>367</v>
      </c>
      <c r="J91" s="37" t="s">
        <v>60</v>
      </c>
      <c r="K91" s="21" t="s">
        <v>50</v>
      </c>
      <c r="L91" s="21">
        <v>847001</v>
      </c>
      <c r="M91" s="21" t="s">
        <v>61</v>
      </c>
      <c r="N91" s="21">
        <v>200179</v>
      </c>
      <c r="O91" s="37" t="str">
        <f t="shared" si="2"/>
        <v>847.8470330.1.425770.000000.847001.200179</v>
      </c>
      <c r="P91" s="21" t="s">
        <v>367</v>
      </c>
      <c r="Q91" s="21" t="s">
        <v>62</v>
      </c>
      <c r="R91" s="21">
        <v>63</v>
      </c>
      <c r="S91" s="21">
        <v>20000</v>
      </c>
      <c r="T91" s="21" t="s">
        <v>685</v>
      </c>
      <c r="U91" s="24">
        <f t="shared" si="1"/>
        <v>1260000</v>
      </c>
      <c r="V91" s="21" t="s">
        <v>55</v>
      </c>
      <c r="W91" s="21" t="s">
        <v>56</v>
      </c>
      <c r="X91" s="21" t="s">
        <v>689</v>
      </c>
    </row>
    <row r="92" spans="1:24" s="39" customFormat="1" ht="16" customHeight="1" x14ac:dyDescent="0.35">
      <c r="A92" s="21" t="s">
        <v>189</v>
      </c>
      <c r="B92" s="21" t="s">
        <v>265</v>
      </c>
      <c r="C92" s="21" t="s">
        <v>334</v>
      </c>
      <c r="D92" s="78">
        <v>847</v>
      </c>
      <c r="E92" s="21">
        <v>8470330</v>
      </c>
      <c r="F92" s="21" t="s">
        <v>666</v>
      </c>
      <c r="G92" s="79">
        <v>1</v>
      </c>
      <c r="H92" s="37" t="s">
        <v>375</v>
      </c>
      <c r="I92" s="21" t="s">
        <v>266</v>
      </c>
      <c r="J92" s="37" t="s">
        <v>60</v>
      </c>
      <c r="K92" s="21" t="s">
        <v>50</v>
      </c>
      <c r="L92" s="21">
        <v>847001</v>
      </c>
      <c r="M92" s="21" t="s">
        <v>61</v>
      </c>
      <c r="N92" s="21">
        <v>200179</v>
      </c>
      <c r="O92" s="37" t="str">
        <f t="shared" si="2"/>
        <v>847.8470330.1.425900.000000.847001.200179</v>
      </c>
      <c r="P92" s="21" t="s">
        <v>266</v>
      </c>
      <c r="Q92" s="21" t="s">
        <v>62</v>
      </c>
      <c r="R92" s="21">
        <v>6</v>
      </c>
      <c r="S92" s="21">
        <v>5000</v>
      </c>
      <c r="T92" s="21" t="s">
        <v>691</v>
      </c>
      <c r="U92" s="24">
        <f t="shared" si="1"/>
        <v>30000</v>
      </c>
      <c r="V92" s="21" t="s">
        <v>55</v>
      </c>
      <c r="W92" s="21" t="s">
        <v>56</v>
      </c>
      <c r="X92" s="21" t="s">
        <v>272</v>
      </c>
    </row>
    <row r="93" spans="1:24" s="39" customFormat="1" ht="16" customHeight="1" x14ac:dyDescent="0.35">
      <c r="A93" s="21" t="s">
        <v>63</v>
      </c>
      <c r="B93" s="21" t="s">
        <v>64</v>
      </c>
      <c r="C93" s="21" t="s">
        <v>334</v>
      </c>
      <c r="D93" s="78">
        <v>847</v>
      </c>
      <c r="E93" s="21">
        <v>8470330</v>
      </c>
      <c r="F93" s="21" t="s">
        <v>666</v>
      </c>
      <c r="G93" s="79">
        <v>1</v>
      </c>
      <c r="H93" s="37" t="s">
        <v>380</v>
      </c>
      <c r="I93" s="21" t="s">
        <v>74</v>
      </c>
      <c r="J93" s="37" t="s">
        <v>60</v>
      </c>
      <c r="K93" s="21" t="s">
        <v>50</v>
      </c>
      <c r="L93" s="21">
        <v>847001</v>
      </c>
      <c r="M93" s="21" t="s">
        <v>61</v>
      </c>
      <c r="N93" s="21">
        <v>200179</v>
      </c>
      <c r="O93" s="37" t="str">
        <f t="shared" si="2"/>
        <v>847.8470330.1.426610.000000.847001.200179</v>
      </c>
      <c r="P93" s="21" t="s">
        <v>694</v>
      </c>
      <c r="Q93" s="21" t="s">
        <v>62</v>
      </c>
      <c r="R93" s="21">
        <v>10</v>
      </c>
      <c r="S93" s="21">
        <v>87062</v>
      </c>
      <c r="T93" s="21" t="s">
        <v>975</v>
      </c>
      <c r="U93" s="24">
        <f t="shared" ref="U93:U156" si="3">R93*S93</f>
        <v>870620</v>
      </c>
      <c r="V93" s="21" t="s">
        <v>55</v>
      </c>
      <c r="W93" s="21" t="s">
        <v>56</v>
      </c>
      <c r="X93" s="21" t="s">
        <v>70</v>
      </c>
    </row>
    <row r="94" spans="1:24" s="39" customFormat="1" ht="16" customHeight="1" x14ac:dyDescent="0.35">
      <c r="A94" s="21" t="s">
        <v>245</v>
      </c>
      <c r="B94" s="21" t="s">
        <v>246</v>
      </c>
      <c r="C94" s="21" t="s">
        <v>334</v>
      </c>
      <c r="D94" s="78">
        <v>847</v>
      </c>
      <c r="E94" s="21">
        <v>8470330</v>
      </c>
      <c r="F94" s="21" t="s">
        <v>666</v>
      </c>
      <c r="G94" s="79">
        <v>1</v>
      </c>
      <c r="H94" s="37" t="s">
        <v>643</v>
      </c>
      <c r="I94" s="21" t="s">
        <v>279</v>
      </c>
      <c r="J94" s="37" t="s">
        <v>60</v>
      </c>
      <c r="K94" s="21" t="s">
        <v>50</v>
      </c>
      <c r="L94" s="21">
        <v>847001</v>
      </c>
      <c r="M94" s="21" t="s">
        <v>61</v>
      </c>
      <c r="N94" s="21">
        <v>200179</v>
      </c>
      <c r="O94" s="37" t="str">
        <f t="shared" si="2"/>
        <v>847.8470330.1.428640.000000.847001.200179</v>
      </c>
      <c r="P94" s="21" t="s">
        <v>279</v>
      </c>
      <c r="Q94" s="21" t="s">
        <v>62</v>
      </c>
      <c r="R94" s="21">
        <v>2</v>
      </c>
      <c r="S94" s="21">
        <v>151000</v>
      </c>
      <c r="T94" s="21" t="s">
        <v>700</v>
      </c>
      <c r="U94" s="24">
        <f t="shared" si="3"/>
        <v>302000</v>
      </c>
      <c r="V94" s="21" t="s">
        <v>55</v>
      </c>
      <c r="W94" s="21" t="s">
        <v>56</v>
      </c>
      <c r="X94" s="21" t="s">
        <v>244</v>
      </c>
    </row>
    <row r="95" spans="1:24" s="39" customFormat="1" ht="16" customHeight="1" x14ac:dyDescent="0.35">
      <c r="A95" s="21" t="s">
        <v>222</v>
      </c>
      <c r="B95" s="21" t="s">
        <v>58</v>
      </c>
      <c r="C95" s="21" t="s">
        <v>334</v>
      </c>
      <c r="D95" s="78">
        <v>847</v>
      </c>
      <c r="E95" s="21">
        <v>8470330</v>
      </c>
      <c r="F95" s="21" t="s">
        <v>666</v>
      </c>
      <c r="G95" s="79">
        <v>1</v>
      </c>
      <c r="H95" s="37" t="s">
        <v>392</v>
      </c>
      <c r="I95" s="21" t="s">
        <v>393</v>
      </c>
      <c r="J95" s="37" t="s">
        <v>60</v>
      </c>
      <c r="K95" s="21" t="s">
        <v>50</v>
      </c>
      <c r="L95" s="21">
        <v>847001</v>
      </c>
      <c r="M95" s="21" t="s">
        <v>61</v>
      </c>
      <c r="N95" s="21">
        <v>200179</v>
      </c>
      <c r="O95" s="37" t="str">
        <f t="shared" si="2"/>
        <v>847.8470330.1.432209.000000.847001.200179</v>
      </c>
      <c r="P95" s="21" t="s">
        <v>393</v>
      </c>
      <c r="Q95" s="21" t="s">
        <v>62</v>
      </c>
      <c r="R95" s="21">
        <v>10</v>
      </c>
      <c r="S95" s="21">
        <v>5000</v>
      </c>
      <c r="T95" s="21" t="s">
        <v>704</v>
      </c>
      <c r="U95" s="24">
        <f t="shared" si="3"/>
        <v>50000</v>
      </c>
      <c r="V95" s="21" t="s">
        <v>55</v>
      </c>
      <c r="W95" s="21" t="s">
        <v>56</v>
      </c>
      <c r="X95" s="21" t="s">
        <v>70</v>
      </c>
    </row>
    <row r="96" spans="1:24" s="39" customFormat="1" ht="16" customHeight="1" x14ac:dyDescent="0.35">
      <c r="A96" s="21" t="s">
        <v>222</v>
      </c>
      <c r="B96" s="21" t="s">
        <v>58</v>
      </c>
      <c r="C96" s="21" t="s">
        <v>334</v>
      </c>
      <c r="D96" s="78">
        <v>847</v>
      </c>
      <c r="E96" s="21">
        <v>8470330</v>
      </c>
      <c r="F96" s="21" t="s">
        <v>666</v>
      </c>
      <c r="G96" s="79">
        <v>1</v>
      </c>
      <c r="H96" s="37" t="s">
        <v>398</v>
      </c>
      <c r="I96" s="21" t="s">
        <v>399</v>
      </c>
      <c r="J96" s="37" t="s">
        <v>60</v>
      </c>
      <c r="K96" s="21" t="s">
        <v>50</v>
      </c>
      <c r="L96" s="21">
        <v>847001</v>
      </c>
      <c r="M96" s="21" t="s">
        <v>61</v>
      </c>
      <c r="N96" s="21">
        <v>200179</v>
      </c>
      <c r="O96" s="37" t="str">
        <f t="shared" si="2"/>
        <v>847.8470330.1.435350.000000.847001.200179</v>
      </c>
      <c r="P96" s="21" t="s">
        <v>399</v>
      </c>
      <c r="Q96" s="21" t="s">
        <v>62</v>
      </c>
      <c r="R96" s="21">
        <v>63</v>
      </c>
      <c r="S96" s="21">
        <v>7000</v>
      </c>
      <c r="T96" s="21" t="s">
        <v>709</v>
      </c>
      <c r="U96" s="24">
        <f t="shared" si="3"/>
        <v>441000</v>
      </c>
      <c r="V96" s="21" t="s">
        <v>55</v>
      </c>
      <c r="W96" s="21" t="s">
        <v>56</v>
      </c>
      <c r="X96" s="21" t="s">
        <v>480</v>
      </c>
    </row>
    <row r="97" spans="1:24" s="39" customFormat="1" ht="16" customHeight="1" x14ac:dyDescent="0.35">
      <c r="A97" s="21" t="s">
        <v>222</v>
      </c>
      <c r="B97" s="21" t="s">
        <v>220</v>
      </c>
      <c r="C97" s="21" t="s">
        <v>334</v>
      </c>
      <c r="D97" s="78">
        <v>847</v>
      </c>
      <c r="E97" s="21">
        <v>8470330</v>
      </c>
      <c r="F97" s="21" t="s">
        <v>666</v>
      </c>
      <c r="G97" s="79">
        <v>1</v>
      </c>
      <c r="H97" s="37" t="s">
        <v>404</v>
      </c>
      <c r="I97" s="21" t="s">
        <v>405</v>
      </c>
      <c r="J97" s="37" t="s">
        <v>60</v>
      </c>
      <c r="K97" s="21" t="s">
        <v>50</v>
      </c>
      <c r="L97" s="21">
        <v>847001</v>
      </c>
      <c r="M97" s="21" t="s">
        <v>61</v>
      </c>
      <c r="N97" s="21">
        <v>200179</v>
      </c>
      <c r="O97" s="37" t="str">
        <f t="shared" si="2"/>
        <v>847.8470330.1.435508.000000.847001.200179</v>
      </c>
      <c r="P97" s="21" t="s">
        <v>405</v>
      </c>
      <c r="Q97" s="21" t="s">
        <v>62</v>
      </c>
      <c r="R97" s="21">
        <v>8</v>
      </c>
      <c r="S97" s="21">
        <v>10000</v>
      </c>
      <c r="T97" s="21" t="s">
        <v>713</v>
      </c>
      <c r="U97" s="24">
        <f t="shared" si="3"/>
        <v>80000</v>
      </c>
      <c r="V97" s="21" t="s">
        <v>55</v>
      </c>
      <c r="W97" s="21" t="s">
        <v>56</v>
      </c>
      <c r="X97" s="21" t="s">
        <v>70</v>
      </c>
    </row>
    <row r="98" spans="1:24" s="39" customFormat="1" ht="16" customHeight="1" x14ac:dyDescent="0.35">
      <c r="A98" s="21" t="s">
        <v>222</v>
      </c>
      <c r="B98" s="21" t="s">
        <v>58</v>
      </c>
      <c r="C98" s="21" t="s">
        <v>334</v>
      </c>
      <c r="D98" s="78">
        <v>847</v>
      </c>
      <c r="E98" s="21">
        <v>8470330</v>
      </c>
      <c r="F98" s="21" t="s">
        <v>666</v>
      </c>
      <c r="G98" s="79">
        <v>1</v>
      </c>
      <c r="H98" s="37" t="s">
        <v>415</v>
      </c>
      <c r="I98" s="21" t="s">
        <v>416</v>
      </c>
      <c r="J98" s="37" t="s">
        <v>60</v>
      </c>
      <c r="K98" s="21" t="s">
        <v>50</v>
      </c>
      <c r="L98" s="21">
        <v>847001</v>
      </c>
      <c r="M98" s="21" t="s">
        <v>61</v>
      </c>
      <c r="N98" s="21">
        <v>200179</v>
      </c>
      <c r="O98" s="37" t="str">
        <f t="shared" si="2"/>
        <v>847.8470330.1.436600.000000.847001.200179</v>
      </c>
      <c r="P98" s="21" t="s">
        <v>416</v>
      </c>
      <c r="Q98" s="21" t="s">
        <v>62</v>
      </c>
      <c r="R98" s="21">
        <v>2</v>
      </c>
      <c r="S98" s="21">
        <v>8000</v>
      </c>
      <c r="T98" s="21" t="s">
        <v>717</v>
      </c>
      <c r="U98" s="24">
        <f t="shared" si="3"/>
        <v>16000</v>
      </c>
      <c r="V98" s="21" t="s">
        <v>55</v>
      </c>
      <c r="W98" s="21" t="s">
        <v>56</v>
      </c>
      <c r="X98" s="21" t="s">
        <v>70</v>
      </c>
    </row>
    <row r="99" spans="1:24" s="39" customFormat="1" ht="16" customHeight="1" x14ac:dyDescent="0.35">
      <c r="A99" s="21" t="s">
        <v>161</v>
      </c>
      <c r="B99" s="21" t="s">
        <v>220</v>
      </c>
      <c r="C99" s="21" t="s">
        <v>334</v>
      </c>
      <c r="D99" s="78">
        <v>847</v>
      </c>
      <c r="E99" s="21">
        <v>8470330</v>
      </c>
      <c r="F99" s="21" t="s">
        <v>666</v>
      </c>
      <c r="G99" s="79">
        <v>1</v>
      </c>
      <c r="H99" s="37" t="s">
        <v>420</v>
      </c>
      <c r="I99" s="21" t="s">
        <v>221</v>
      </c>
      <c r="J99" s="37" t="s">
        <v>60</v>
      </c>
      <c r="K99" s="21" t="s">
        <v>50</v>
      </c>
      <c r="L99" s="21">
        <v>847001</v>
      </c>
      <c r="M99" s="21" t="s">
        <v>192</v>
      </c>
      <c r="N99" s="21">
        <v>300180</v>
      </c>
      <c r="O99" s="37" t="str">
        <f t="shared" si="2"/>
        <v>847.8470330.1.492316.000000.847001.300180</v>
      </c>
      <c r="P99" s="21" t="s">
        <v>221</v>
      </c>
      <c r="Q99" s="21" t="s">
        <v>62</v>
      </c>
      <c r="R99" s="21">
        <v>1</v>
      </c>
      <c r="S99" s="21">
        <v>500000</v>
      </c>
      <c r="T99" s="21" t="s">
        <v>949</v>
      </c>
      <c r="U99" s="24">
        <f t="shared" si="3"/>
        <v>500000</v>
      </c>
      <c r="V99" s="21" t="s">
        <v>55</v>
      </c>
      <c r="W99" s="21" t="s">
        <v>56</v>
      </c>
      <c r="X99" s="21" t="s">
        <v>70</v>
      </c>
    </row>
    <row r="100" spans="1:24" s="39" customFormat="1" ht="16" customHeight="1" x14ac:dyDescent="0.35">
      <c r="A100" s="21" t="s">
        <v>222</v>
      </c>
      <c r="B100" s="21" t="s">
        <v>58</v>
      </c>
      <c r="C100" s="21" t="s">
        <v>334</v>
      </c>
      <c r="D100" s="78">
        <v>847</v>
      </c>
      <c r="E100" s="21">
        <v>8470335</v>
      </c>
      <c r="F100" s="21" t="s">
        <v>721</v>
      </c>
      <c r="G100" s="79">
        <v>1</v>
      </c>
      <c r="H100" s="37" t="s">
        <v>336</v>
      </c>
      <c r="I100" s="21" t="s">
        <v>225</v>
      </c>
      <c r="J100" s="37" t="s">
        <v>60</v>
      </c>
      <c r="K100" s="21" t="s">
        <v>50</v>
      </c>
      <c r="L100" s="21">
        <v>847001</v>
      </c>
      <c r="M100" s="21" t="s">
        <v>61</v>
      </c>
      <c r="N100" s="21">
        <v>200179</v>
      </c>
      <c r="O100" s="37" t="str">
        <f t="shared" si="2"/>
        <v>847.8470335.1.420550.000000.847001.200179</v>
      </c>
      <c r="P100" s="21" t="s">
        <v>338</v>
      </c>
      <c r="Q100" s="21" t="s">
        <v>157</v>
      </c>
      <c r="R100" s="21">
        <v>2</v>
      </c>
      <c r="S100" s="21">
        <v>6800</v>
      </c>
      <c r="T100" s="21" t="s">
        <v>723</v>
      </c>
      <c r="U100" s="24">
        <f t="shared" si="3"/>
        <v>13600</v>
      </c>
      <c r="V100" s="21" t="s">
        <v>55</v>
      </c>
      <c r="W100" s="21" t="s">
        <v>56</v>
      </c>
      <c r="X100" s="21" t="s">
        <v>230</v>
      </c>
    </row>
    <row r="101" spans="1:24" s="39" customFormat="1" ht="16" customHeight="1" x14ac:dyDescent="0.35">
      <c r="A101" s="21" t="s">
        <v>245</v>
      </c>
      <c r="B101" s="21" t="s">
        <v>246</v>
      </c>
      <c r="C101" s="21" t="s">
        <v>334</v>
      </c>
      <c r="D101" s="78">
        <v>847</v>
      </c>
      <c r="E101" s="21">
        <v>8470335</v>
      </c>
      <c r="F101" s="21" t="s">
        <v>721</v>
      </c>
      <c r="G101" s="79">
        <v>1</v>
      </c>
      <c r="H101" s="37" t="s">
        <v>342</v>
      </c>
      <c r="I101" s="21" t="s">
        <v>247</v>
      </c>
      <c r="J101" s="37" t="s">
        <v>60</v>
      </c>
      <c r="K101" s="21" t="s">
        <v>50</v>
      </c>
      <c r="L101" s="21">
        <v>847001</v>
      </c>
      <c r="M101" s="21" t="s">
        <v>61</v>
      </c>
      <c r="N101" s="21">
        <v>200179</v>
      </c>
      <c r="O101" s="37" t="str">
        <f t="shared" si="2"/>
        <v>847.8470335.1.425510.000000.847001.200179</v>
      </c>
      <c r="P101" s="21" t="s">
        <v>615</v>
      </c>
      <c r="Q101" s="21" t="s">
        <v>616</v>
      </c>
      <c r="R101" s="21">
        <v>10</v>
      </c>
      <c r="S101" s="21">
        <v>2200</v>
      </c>
      <c r="T101" s="21" t="s">
        <v>725</v>
      </c>
      <c r="U101" s="24">
        <f t="shared" si="3"/>
        <v>22000</v>
      </c>
      <c r="V101" s="21" t="s">
        <v>55</v>
      </c>
      <c r="W101" s="21" t="s">
        <v>56</v>
      </c>
      <c r="X101" s="21" t="s">
        <v>618</v>
      </c>
    </row>
    <row r="102" spans="1:24" s="39" customFormat="1" ht="16" customHeight="1" x14ac:dyDescent="0.35">
      <c r="A102" s="21" t="s">
        <v>258</v>
      </c>
      <c r="B102" s="21" t="s">
        <v>350</v>
      </c>
      <c r="C102" s="21" t="s">
        <v>334</v>
      </c>
      <c r="D102" s="78">
        <v>847</v>
      </c>
      <c r="E102" s="21">
        <v>8470335</v>
      </c>
      <c r="F102" s="21" t="s">
        <v>721</v>
      </c>
      <c r="G102" s="79">
        <v>1</v>
      </c>
      <c r="H102" s="37" t="s">
        <v>351</v>
      </c>
      <c r="I102" s="21" t="s">
        <v>352</v>
      </c>
      <c r="J102" s="37" t="s">
        <v>60</v>
      </c>
      <c r="K102" s="21" t="s">
        <v>50</v>
      </c>
      <c r="L102" s="21">
        <v>847001</v>
      </c>
      <c r="M102" s="21" t="s">
        <v>61</v>
      </c>
      <c r="N102" s="21">
        <v>200179</v>
      </c>
      <c r="O102" s="37" t="str">
        <f t="shared" si="2"/>
        <v>847.8470335.1.425760.000000.847001.200179</v>
      </c>
      <c r="P102" s="21" t="s">
        <v>727</v>
      </c>
      <c r="Q102" s="21" t="s">
        <v>68</v>
      </c>
      <c r="R102" s="21">
        <v>5</v>
      </c>
      <c r="S102" s="21">
        <v>2500</v>
      </c>
      <c r="T102" s="21" t="s">
        <v>728</v>
      </c>
      <c r="U102" s="24">
        <f t="shared" si="3"/>
        <v>12500</v>
      </c>
      <c r="V102" s="21" t="s">
        <v>55</v>
      </c>
      <c r="W102" s="21" t="s">
        <v>56</v>
      </c>
      <c r="X102" s="21" t="s">
        <v>230</v>
      </c>
    </row>
    <row r="103" spans="1:24" s="39" customFormat="1" ht="16" customHeight="1" x14ac:dyDescent="0.35">
      <c r="A103" s="21" t="s">
        <v>258</v>
      </c>
      <c r="B103" s="21" t="s">
        <v>58</v>
      </c>
      <c r="C103" s="21" t="s">
        <v>334</v>
      </c>
      <c r="D103" s="78">
        <v>847</v>
      </c>
      <c r="E103" s="21">
        <v>8470335</v>
      </c>
      <c r="F103" s="21" t="s">
        <v>721</v>
      </c>
      <c r="G103" s="79">
        <v>1</v>
      </c>
      <c r="H103" s="37" t="s">
        <v>358</v>
      </c>
      <c r="I103" s="21" t="s">
        <v>359</v>
      </c>
      <c r="J103" s="37" t="s">
        <v>60</v>
      </c>
      <c r="K103" s="21" t="s">
        <v>50</v>
      </c>
      <c r="L103" s="21">
        <v>847001</v>
      </c>
      <c r="M103" s="21" t="s">
        <v>61</v>
      </c>
      <c r="N103" s="21">
        <v>200179</v>
      </c>
      <c r="O103" s="37" t="str">
        <f t="shared" si="2"/>
        <v>847.8470335.1.425763.000000.847001.200179</v>
      </c>
      <c r="P103" s="21" t="s">
        <v>361</v>
      </c>
      <c r="Q103" s="21" t="s">
        <v>68</v>
      </c>
      <c r="R103" s="21">
        <v>48</v>
      </c>
      <c r="S103" s="21">
        <v>2000</v>
      </c>
      <c r="T103" s="21" t="s">
        <v>731</v>
      </c>
      <c r="U103" s="24">
        <f t="shared" si="3"/>
        <v>96000</v>
      </c>
      <c r="V103" s="21" t="s">
        <v>55</v>
      </c>
      <c r="W103" s="21" t="s">
        <v>56</v>
      </c>
      <c r="X103" s="21" t="s">
        <v>230</v>
      </c>
    </row>
    <row r="104" spans="1:24" s="39" customFormat="1" ht="16" customHeight="1" x14ac:dyDescent="0.35">
      <c r="A104" s="21" t="s">
        <v>222</v>
      </c>
      <c r="B104" s="21" t="s">
        <v>58</v>
      </c>
      <c r="C104" s="21" t="s">
        <v>334</v>
      </c>
      <c r="D104" s="78">
        <v>847</v>
      </c>
      <c r="E104" s="21">
        <v>8470335</v>
      </c>
      <c r="F104" s="21" t="s">
        <v>721</v>
      </c>
      <c r="G104" s="79">
        <v>1</v>
      </c>
      <c r="H104" s="37" t="s">
        <v>366</v>
      </c>
      <c r="I104" s="21" t="s">
        <v>367</v>
      </c>
      <c r="J104" s="37" t="s">
        <v>60</v>
      </c>
      <c r="K104" s="21" t="s">
        <v>50</v>
      </c>
      <c r="L104" s="21">
        <v>847001</v>
      </c>
      <c r="M104" s="21" t="s">
        <v>61</v>
      </c>
      <c r="N104" s="21">
        <v>200179</v>
      </c>
      <c r="O104" s="37" t="str">
        <f t="shared" si="2"/>
        <v>847.8470335.1.425770.000000.847001.200179</v>
      </c>
      <c r="P104" s="21" t="s">
        <v>369</v>
      </c>
      <c r="Q104" s="21" t="s">
        <v>157</v>
      </c>
      <c r="R104" s="21">
        <v>22</v>
      </c>
      <c r="S104" s="21">
        <v>20000</v>
      </c>
      <c r="T104" s="21" t="s">
        <v>733</v>
      </c>
      <c r="U104" s="24">
        <f t="shared" si="3"/>
        <v>440000</v>
      </c>
      <c r="V104" s="21" t="s">
        <v>55</v>
      </c>
      <c r="W104" s="21" t="s">
        <v>56</v>
      </c>
      <c r="X104" s="21" t="s">
        <v>480</v>
      </c>
    </row>
    <row r="105" spans="1:24" s="39" customFormat="1" ht="16" customHeight="1" x14ac:dyDescent="0.35">
      <c r="A105" s="21" t="s">
        <v>189</v>
      </c>
      <c r="B105" s="21" t="s">
        <v>265</v>
      </c>
      <c r="C105" s="21" t="s">
        <v>334</v>
      </c>
      <c r="D105" s="78">
        <v>847</v>
      </c>
      <c r="E105" s="21">
        <v>8470335</v>
      </c>
      <c r="F105" s="21" t="s">
        <v>721</v>
      </c>
      <c r="G105" s="79">
        <v>1</v>
      </c>
      <c r="H105" s="37" t="s">
        <v>375</v>
      </c>
      <c r="I105" s="21" t="s">
        <v>266</v>
      </c>
      <c r="J105" s="37" t="s">
        <v>60</v>
      </c>
      <c r="K105" s="21" t="s">
        <v>50</v>
      </c>
      <c r="L105" s="21">
        <v>847001</v>
      </c>
      <c r="M105" s="21" t="s">
        <v>61</v>
      </c>
      <c r="N105" s="21">
        <v>200179</v>
      </c>
      <c r="O105" s="37" t="str">
        <f t="shared" si="2"/>
        <v>847.8470335.1.425900.000000.847001.200179</v>
      </c>
      <c r="P105" s="21" t="s">
        <v>268</v>
      </c>
      <c r="Q105" s="21" t="s">
        <v>269</v>
      </c>
      <c r="R105" s="21">
        <v>6</v>
      </c>
      <c r="S105" s="21">
        <v>6000</v>
      </c>
      <c r="T105" s="21" t="s">
        <v>736</v>
      </c>
      <c r="U105" s="24">
        <f t="shared" si="3"/>
        <v>36000</v>
      </c>
      <c r="V105" s="21" t="s">
        <v>55</v>
      </c>
      <c r="W105" s="21" t="s">
        <v>56</v>
      </c>
      <c r="X105" s="21" t="s">
        <v>636</v>
      </c>
    </row>
    <row r="106" spans="1:24" s="39" customFormat="1" ht="16" customHeight="1" x14ac:dyDescent="0.35">
      <c r="A106" s="21" t="s">
        <v>63</v>
      </c>
      <c r="B106" s="21" t="s">
        <v>64</v>
      </c>
      <c r="C106" s="21" t="s">
        <v>334</v>
      </c>
      <c r="D106" s="78">
        <v>847</v>
      </c>
      <c r="E106" s="21">
        <v>8470335</v>
      </c>
      <c r="F106" s="21" t="s">
        <v>721</v>
      </c>
      <c r="G106" s="79">
        <v>1</v>
      </c>
      <c r="H106" s="37" t="s">
        <v>380</v>
      </c>
      <c r="I106" s="21" t="s">
        <v>74</v>
      </c>
      <c r="J106" s="37" t="s">
        <v>60</v>
      </c>
      <c r="K106" s="21" t="s">
        <v>50</v>
      </c>
      <c r="L106" s="21">
        <v>847001</v>
      </c>
      <c r="M106" s="21" t="s">
        <v>61</v>
      </c>
      <c r="N106" s="21">
        <v>200179</v>
      </c>
      <c r="O106" s="37" t="str">
        <f t="shared" si="2"/>
        <v>847.8470335.1.426610.000000.847001.200179</v>
      </c>
      <c r="P106" s="21" t="s">
        <v>75</v>
      </c>
      <c r="Q106" s="21" t="s">
        <v>76</v>
      </c>
      <c r="R106" s="21">
        <v>37</v>
      </c>
      <c r="S106" s="21">
        <v>6000</v>
      </c>
      <c r="T106" s="21" t="s">
        <v>738</v>
      </c>
      <c r="U106" s="24">
        <f t="shared" si="3"/>
        <v>222000</v>
      </c>
      <c r="V106" s="21" t="s">
        <v>55</v>
      </c>
      <c r="W106" s="21" t="s">
        <v>56</v>
      </c>
      <c r="X106" s="21" t="s">
        <v>230</v>
      </c>
    </row>
    <row r="107" spans="1:24" s="39" customFormat="1" ht="16" customHeight="1" x14ac:dyDescent="0.35">
      <c r="A107" s="21" t="s">
        <v>153</v>
      </c>
      <c r="B107" s="21" t="s">
        <v>58</v>
      </c>
      <c r="C107" s="21" t="s">
        <v>334</v>
      </c>
      <c r="D107" s="78">
        <v>847</v>
      </c>
      <c r="E107" s="21">
        <v>8470335</v>
      </c>
      <c r="F107" s="21" t="s">
        <v>721</v>
      </c>
      <c r="G107" s="79">
        <v>1</v>
      </c>
      <c r="H107" s="37" t="s">
        <v>385</v>
      </c>
      <c r="I107" s="21" t="s">
        <v>154</v>
      </c>
      <c r="J107" s="37" t="s">
        <v>60</v>
      </c>
      <c r="K107" s="21" t="s">
        <v>50</v>
      </c>
      <c r="L107" s="21">
        <v>847001</v>
      </c>
      <c r="M107" s="21" t="s">
        <v>61</v>
      </c>
      <c r="N107" s="21">
        <v>200179</v>
      </c>
      <c r="O107" s="37" t="str">
        <f t="shared" si="2"/>
        <v>847.8470335.1.428090.000000.847001.200179</v>
      </c>
      <c r="P107" s="21" t="s">
        <v>156</v>
      </c>
      <c r="Q107" s="21" t="s">
        <v>157</v>
      </c>
      <c r="R107" s="21">
        <v>1</v>
      </c>
      <c r="S107" s="21">
        <v>45000</v>
      </c>
      <c r="T107" s="21" t="s">
        <v>740</v>
      </c>
      <c r="U107" s="24">
        <f t="shared" si="3"/>
        <v>45000</v>
      </c>
      <c r="V107" s="21" t="s">
        <v>55</v>
      </c>
      <c r="W107" s="21" t="s">
        <v>56</v>
      </c>
      <c r="X107" s="21" t="s">
        <v>237</v>
      </c>
    </row>
    <row r="108" spans="1:24" s="39" customFormat="1" ht="16" customHeight="1" x14ac:dyDescent="0.35">
      <c r="A108" s="21" t="s">
        <v>222</v>
      </c>
      <c r="B108" s="21" t="s">
        <v>58</v>
      </c>
      <c r="C108" s="21" t="s">
        <v>334</v>
      </c>
      <c r="D108" s="78">
        <v>847</v>
      </c>
      <c r="E108" s="21">
        <v>8470335</v>
      </c>
      <c r="F108" s="21" t="s">
        <v>721</v>
      </c>
      <c r="G108" s="79">
        <v>1</v>
      </c>
      <c r="H108" s="37" t="s">
        <v>398</v>
      </c>
      <c r="I108" s="21" t="s">
        <v>399</v>
      </c>
      <c r="J108" s="37" t="s">
        <v>60</v>
      </c>
      <c r="K108" s="21" t="s">
        <v>50</v>
      </c>
      <c r="L108" s="21">
        <v>847001</v>
      </c>
      <c r="M108" s="21" t="s">
        <v>61</v>
      </c>
      <c r="N108" s="21">
        <v>200179</v>
      </c>
      <c r="O108" s="37" t="str">
        <f t="shared" si="2"/>
        <v>847.8470335.1.435350.000000.847001.200179</v>
      </c>
      <c r="P108" s="21" t="s">
        <v>401</v>
      </c>
      <c r="Q108" s="21" t="s">
        <v>157</v>
      </c>
      <c r="R108" s="21">
        <v>11</v>
      </c>
      <c r="S108" s="21">
        <v>6500</v>
      </c>
      <c r="T108" s="21" t="s">
        <v>743</v>
      </c>
      <c r="U108" s="24">
        <f t="shared" si="3"/>
        <v>71500</v>
      </c>
      <c r="V108" s="21" t="s">
        <v>55</v>
      </c>
      <c r="W108" s="21" t="s">
        <v>56</v>
      </c>
      <c r="X108" s="21" t="s">
        <v>480</v>
      </c>
    </row>
    <row r="109" spans="1:24" s="39" customFormat="1" ht="16" customHeight="1" x14ac:dyDescent="0.35">
      <c r="A109" s="21" t="s">
        <v>222</v>
      </c>
      <c r="B109" s="21" t="s">
        <v>220</v>
      </c>
      <c r="C109" s="21" t="s">
        <v>334</v>
      </c>
      <c r="D109" s="78">
        <v>847</v>
      </c>
      <c r="E109" s="21">
        <v>8470335</v>
      </c>
      <c r="F109" s="21" t="s">
        <v>721</v>
      </c>
      <c r="G109" s="79">
        <v>1</v>
      </c>
      <c r="H109" s="37" t="s">
        <v>404</v>
      </c>
      <c r="I109" s="21" t="s">
        <v>405</v>
      </c>
      <c r="J109" s="37" t="s">
        <v>60</v>
      </c>
      <c r="K109" s="21" t="s">
        <v>50</v>
      </c>
      <c r="L109" s="21">
        <v>847001</v>
      </c>
      <c r="M109" s="21" t="s">
        <v>61</v>
      </c>
      <c r="N109" s="21">
        <v>200179</v>
      </c>
      <c r="O109" s="37" t="str">
        <f t="shared" si="2"/>
        <v>847.8470335.1.435508.000000.847001.200179</v>
      </c>
      <c r="P109" s="21" t="s">
        <v>407</v>
      </c>
      <c r="Q109" s="21" t="s">
        <v>157</v>
      </c>
      <c r="R109" s="21">
        <v>2</v>
      </c>
      <c r="S109" s="21">
        <v>60000</v>
      </c>
      <c r="T109" s="21" t="s">
        <v>976</v>
      </c>
      <c r="U109" s="24">
        <f t="shared" si="3"/>
        <v>120000</v>
      </c>
      <c r="V109" s="21" t="s">
        <v>210</v>
      </c>
      <c r="W109" s="21" t="s">
        <v>197</v>
      </c>
      <c r="X109" s="21" t="s">
        <v>70</v>
      </c>
    </row>
    <row r="110" spans="1:24" s="39" customFormat="1" ht="16" customHeight="1" x14ac:dyDescent="0.35">
      <c r="A110" s="21" t="s">
        <v>189</v>
      </c>
      <c r="B110" s="21" t="s">
        <v>58</v>
      </c>
      <c r="C110" s="21" t="s">
        <v>334</v>
      </c>
      <c r="D110" s="78">
        <v>847</v>
      </c>
      <c r="E110" s="21">
        <v>8470335</v>
      </c>
      <c r="F110" s="21" t="s">
        <v>721</v>
      </c>
      <c r="G110" s="79">
        <v>1</v>
      </c>
      <c r="H110" s="37" t="s">
        <v>409</v>
      </c>
      <c r="I110" s="21" t="s">
        <v>190</v>
      </c>
      <c r="J110" s="37" t="s">
        <v>60</v>
      </c>
      <c r="K110" s="21" t="s">
        <v>50</v>
      </c>
      <c r="L110" s="21">
        <v>847001</v>
      </c>
      <c r="M110" s="21" t="s">
        <v>61</v>
      </c>
      <c r="N110" s="21">
        <v>200179</v>
      </c>
      <c r="O110" s="37" t="str">
        <f t="shared" si="2"/>
        <v>847.8470335.1.436110.000000.847001.200179</v>
      </c>
      <c r="P110" s="21" t="s">
        <v>748</v>
      </c>
      <c r="Q110" s="21" t="s">
        <v>269</v>
      </c>
      <c r="R110" s="21">
        <v>5</v>
      </c>
      <c r="S110" s="21">
        <v>1800</v>
      </c>
      <c r="T110" s="21" t="s">
        <v>749</v>
      </c>
      <c r="U110" s="24">
        <f t="shared" si="3"/>
        <v>9000</v>
      </c>
      <c r="V110" s="21" t="s">
        <v>55</v>
      </c>
      <c r="W110" s="21" t="s">
        <v>56</v>
      </c>
      <c r="X110" s="21" t="s">
        <v>70</v>
      </c>
    </row>
    <row r="111" spans="1:24" s="39" customFormat="1" ht="16" customHeight="1" x14ac:dyDescent="0.35">
      <c r="A111" s="21" t="s">
        <v>222</v>
      </c>
      <c r="B111" s="21" t="s">
        <v>58</v>
      </c>
      <c r="C111" s="21" t="s">
        <v>334</v>
      </c>
      <c r="D111" s="78">
        <v>847</v>
      </c>
      <c r="E111" s="21">
        <v>8470335</v>
      </c>
      <c r="F111" s="21" t="s">
        <v>721</v>
      </c>
      <c r="G111" s="79">
        <v>1</v>
      </c>
      <c r="H111" s="37" t="s">
        <v>415</v>
      </c>
      <c r="I111" s="21" t="s">
        <v>416</v>
      </c>
      <c r="J111" s="37" t="s">
        <v>60</v>
      </c>
      <c r="K111" s="21" t="s">
        <v>50</v>
      </c>
      <c r="L111" s="21">
        <v>847001</v>
      </c>
      <c r="M111" s="21" t="s">
        <v>61</v>
      </c>
      <c r="N111" s="21">
        <v>200179</v>
      </c>
      <c r="O111" s="37" t="str">
        <f t="shared" si="2"/>
        <v>847.8470335.1.436600.000000.847001.200179</v>
      </c>
      <c r="P111" s="21" t="s">
        <v>418</v>
      </c>
      <c r="Q111" s="21" t="s">
        <v>157</v>
      </c>
      <c r="R111" s="21">
        <v>3</v>
      </c>
      <c r="S111" s="21">
        <v>4200</v>
      </c>
      <c r="T111" s="21" t="s">
        <v>752</v>
      </c>
      <c r="U111" s="24">
        <f t="shared" si="3"/>
        <v>12600</v>
      </c>
      <c r="V111" s="21" t="s">
        <v>55</v>
      </c>
      <c r="W111" s="21" t="s">
        <v>56</v>
      </c>
      <c r="X111" s="21" t="s">
        <v>272</v>
      </c>
    </row>
    <row r="112" spans="1:24" s="39" customFormat="1" ht="16" customHeight="1" x14ac:dyDescent="0.35">
      <c r="A112" s="21" t="s">
        <v>222</v>
      </c>
      <c r="B112" s="21" t="s">
        <v>58</v>
      </c>
      <c r="C112" s="21" t="s">
        <v>334</v>
      </c>
      <c r="D112" s="78">
        <v>847</v>
      </c>
      <c r="E112" s="21">
        <v>8470340</v>
      </c>
      <c r="F112" s="21" t="s">
        <v>758</v>
      </c>
      <c r="G112" s="79">
        <v>1</v>
      </c>
      <c r="H112" s="37" t="s">
        <v>336</v>
      </c>
      <c r="I112" s="21" t="s">
        <v>225</v>
      </c>
      <c r="J112" s="37" t="s">
        <v>60</v>
      </c>
      <c r="K112" s="21" t="s">
        <v>50</v>
      </c>
      <c r="L112" s="21">
        <v>847001</v>
      </c>
      <c r="M112" s="21" t="s">
        <v>61</v>
      </c>
      <c r="N112" s="21">
        <v>200179</v>
      </c>
      <c r="O112" s="37" t="str">
        <f t="shared" si="2"/>
        <v>847.8470340.1.420550.000000.847001.200179</v>
      </c>
      <c r="P112" s="21" t="s">
        <v>338</v>
      </c>
      <c r="Q112" s="21" t="s">
        <v>62</v>
      </c>
      <c r="R112" s="21">
        <v>1</v>
      </c>
      <c r="S112" s="21">
        <v>3000</v>
      </c>
      <c r="T112" s="21" t="s">
        <v>760</v>
      </c>
      <c r="U112" s="24">
        <f t="shared" si="3"/>
        <v>3000</v>
      </c>
      <c r="V112" s="21" t="s">
        <v>55</v>
      </c>
      <c r="W112" s="21" t="s">
        <v>56</v>
      </c>
      <c r="X112" s="21" t="s">
        <v>230</v>
      </c>
    </row>
    <row r="113" spans="1:24" s="39" customFormat="1" ht="16" customHeight="1" x14ac:dyDescent="0.35">
      <c r="A113" s="21" t="s">
        <v>245</v>
      </c>
      <c r="B113" s="21" t="s">
        <v>246</v>
      </c>
      <c r="C113" s="21" t="s">
        <v>334</v>
      </c>
      <c r="D113" s="78">
        <v>847</v>
      </c>
      <c r="E113" s="21">
        <v>8470340</v>
      </c>
      <c r="F113" s="21" t="s">
        <v>758</v>
      </c>
      <c r="G113" s="79">
        <v>1</v>
      </c>
      <c r="H113" s="37" t="s">
        <v>342</v>
      </c>
      <c r="I113" s="21" t="s">
        <v>247</v>
      </c>
      <c r="J113" s="37" t="s">
        <v>60</v>
      </c>
      <c r="K113" s="21" t="s">
        <v>50</v>
      </c>
      <c r="L113" s="21">
        <v>847001</v>
      </c>
      <c r="M113" s="21" t="s">
        <v>61</v>
      </c>
      <c r="N113" s="21">
        <v>200179</v>
      </c>
      <c r="O113" s="37" t="str">
        <f t="shared" si="2"/>
        <v>847.8470340.1.425510.000000.847001.200179</v>
      </c>
      <c r="P113" s="21" t="s">
        <v>514</v>
      </c>
      <c r="Q113" s="21" t="s">
        <v>62</v>
      </c>
      <c r="R113" s="21">
        <v>1</v>
      </c>
      <c r="S113" s="21">
        <v>10000</v>
      </c>
      <c r="T113" s="21" t="s">
        <v>763</v>
      </c>
      <c r="U113" s="24">
        <f t="shared" si="3"/>
        <v>10000</v>
      </c>
      <c r="V113" s="21" t="s">
        <v>55</v>
      </c>
      <c r="W113" s="21" t="s">
        <v>56</v>
      </c>
      <c r="X113" s="21" t="s">
        <v>414</v>
      </c>
    </row>
    <row r="114" spans="1:24" s="39" customFormat="1" ht="16" customHeight="1" x14ac:dyDescent="0.35">
      <c r="A114" s="21" t="s">
        <v>258</v>
      </c>
      <c r="B114" s="21" t="s">
        <v>58</v>
      </c>
      <c r="C114" s="21" t="s">
        <v>334</v>
      </c>
      <c r="D114" s="78">
        <v>847</v>
      </c>
      <c r="E114" s="21">
        <v>8470340</v>
      </c>
      <c r="F114" s="21" t="s">
        <v>758</v>
      </c>
      <c r="G114" s="79">
        <v>1</v>
      </c>
      <c r="H114" s="37" t="s">
        <v>619</v>
      </c>
      <c r="I114" s="21" t="s">
        <v>620</v>
      </c>
      <c r="J114" s="37" t="s">
        <v>60</v>
      </c>
      <c r="K114" s="21" t="s">
        <v>50</v>
      </c>
      <c r="L114" s="21">
        <v>847001</v>
      </c>
      <c r="M114" s="21" t="s">
        <v>61</v>
      </c>
      <c r="N114" s="21">
        <v>200179</v>
      </c>
      <c r="O114" s="37" t="str">
        <f t="shared" si="2"/>
        <v>847.8470340.1.425720.000000.847001.200179</v>
      </c>
      <c r="P114" s="21" t="s">
        <v>622</v>
      </c>
      <c r="Q114" s="21" t="s">
        <v>62</v>
      </c>
      <c r="R114" s="21">
        <v>2</v>
      </c>
      <c r="S114" s="21">
        <v>5000</v>
      </c>
      <c r="T114" s="21" t="s">
        <v>765</v>
      </c>
      <c r="U114" s="24">
        <f t="shared" si="3"/>
        <v>10000</v>
      </c>
      <c r="V114" s="21"/>
      <c r="W114" s="21" t="s">
        <v>56</v>
      </c>
      <c r="X114" s="21" t="s">
        <v>70</v>
      </c>
    </row>
    <row r="115" spans="1:24" s="39" customFormat="1" ht="16" customHeight="1" x14ac:dyDescent="0.35">
      <c r="A115" s="21" t="s">
        <v>258</v>
      </c>
      <c r="B115" s="21" t="s">
        <v>350</v>
      </c>
      <c r="C115" s="21" t="s">
        <v>334</v>
      </c>
      <c r="D115" s="78">
        <v>847</v>
      </c>
      <c r="E115" s="21">
        <v>8470340</v>
      </c>
      <c r="F115" s="21" t="s">
        <v>758</v>
      </c>
      <c r="G115" s="79">
        <v>1</v>
      </c>
      <c r="H115" s="37" t="s">
        <v>351</v>
      </c>
      <c r="I115" s="21" t="s">
        <v>352</v>
      </c>
      <c r="J115" s="37" t="s">
        <v>60</v>
      </c>
      <c r="K115" s="21" t="s">
        <v>50</v>
      </c>
      <c r="L115" s="21">
        <v>847001</v>
      </c>
      <c r="M115" s="21" t="s">
        <v>61</v>
      </c>
      <c r="N115" s="21">
        <v>200179</v>
      </c>
      <c r="O115" s="37" t="str">
        <f t="shared" si="2"/>
        <v>847.8470340.1.425760.000000.847001.200179</v>
      </c>
      <c r="P115" s="21" t="s">
        <v>354</v>
      </c>
      <c r="Q115" s="21" t="s">
        <v>62</v>
      </c>
      <c r="R115" s="21">
        <v>6</v>
      </c>
      <c r="S115" s="21">
        <v>2000</v>
      </c>
      <c r="T115" s="21" t="s">
        <v>768</v>
      </c>
      <c r="U115" s="24">
        <f t="shared" si="3"/>
        <v>12000</v>
      </c>
      <c r="V115" s="21" t="s">
        <v>55</v>
      </c>
      <c r="W115" s="21" t="s">
        <v>56</v>
      </c>
      <c r="X115" s="21" t="s">
        <v>230</v>
      </c>
    </row>
    <row r="116" spans="1:24" s="39" customFormat="1" ht="16" customHeight="1" x14ac:dyDescent="0.35">
      <c r="A116" s="21" t="s">
        <v>258</v>
      </c>
      <c r="B116" s="21" t="s">
        <v>58</v>
      </c>
      <c r="C116" s="21" t="s">
        <v>334</v>
      </c>
      <c r="D116" s="78">
        <v>847</v>
      </c>
      <c r="E116" s="21">
        <v>8470340</v>
      </c>
      <c r="F116" s="21" t="s">
        <v>758</v>
      </c>
      <c r="G116" s="79">
        <v>1</v>
      </c>
      <c r="H116" s="37" t="s">
        <v>358</v>
      </c>
      <c r="I116" s="21" t="s">
        <v>359</v>
      </c>
      <c r="J116" s="37" t="s">
        <v>60</v>
      </c>
      <c r="K116" s="21" t="s">
        <v>50</v>
      </c>
      <c r="L116" s="21">
        <v>847001</v>
      </c>
      <c r="M116" s="21" t="s">
        <v>61</v>
      </c>
      <c r="N116" s="21">
        <v>200179</v>
      </c>
      <c r="O116" s="37" t="str">
        <f t="shared" si="2"/>
        <v>847.8470340.1.425763.000000.847001.200179</v>
      </c>
      <c r="P116" s="21" t="s">
        <v>361</v>
      </c>
      <c r="Q116" s="21" t="s">
        <v>62</v>
      </c>
      <c r="R116" s="21">
        <v>120</v>
      </c>
      <c r="S116" s="21">
        <v>5000</v>
      </c>
      <c r="T116" s="21" t="s">
        <v>977</v>
      </c>
      <c r="U116" s="24">
        <f t="shared" si="3"/>
        <v>600000</v>
      </c>
      <c r="V116" s="21" t="s">
        <v>55</v>
      </c>
      <c r="W116" s="21" t="s">
        <v>56</v>
      </c>
      <c r="X116" s="21" t="s">
        <v>230</v>
      </c>
    </row>
    <row r="117" spans="1:24" s="39" customFormat="1" ht="16" customHeight="1" x14ac:dyDescent="0.35">
      <c r="A117" s="21" t="s">
        <v>222</v>
      </c>
      <c r="B117" s="21" t="s">
        <v>58</v>
      </c>
      <c r="C117" s="21" t="s">
        <v>334</v>
      </c>
      <c r="D117" s="78">
        <v>847</v>
      </c>
      <c r="E117" s="21">
        <v>8470340</v>
      </c>
      <c r="F117" s="21" t="s">
        <v>758</v>
      </c>
      <c r="G117" s="79">
        <v>1</v>
      </c>
      <c r="H117" s="37" t="s">
        <v>366</v>
      </c>
      <c r="I117" s="21" t="s">
        <v>367</v>
      </c>
      <c r="J117" s="37" t="s">
        <v>60</v>
      </c>
      <c r="K117" s="21" t="s">
        <v>50</v>
      </c>
      <c r="L117" s="21">
        <v>847001</v>
      </c>
      <c r="M117" s="21" t="s">
        <v>61</v>
      </c>
      <c r="N117" s="21">
        <v>200179</v>
      </c>
      <c r="O117" s="37" t="str">
        <f t="shared" si="2"/>
        <v>847.8470340.1.425770.000000.847001.200179</v>
      </c>
      <c r="P117" s="21" t="s">
        <v>369</v>
      </c>
      <c r="Q117" s="21" t="s">
        <v>62</v>
      </c>
      <c r="R117" s="21">
        <v>40</v>
      </c>
      <c r="S117" s="21">
        <v>22000</v>
      </c>
      <c r="T117" s="21" t="s">
        <v>978</v>
      </c>
      <c r="U117" s="24">
        <f t="shared" si="3"/>
        <v>880000</v>
      </c>
      <c r="V117" s="21" t="s">
        <v>55</v>
      </c>
      <c r="W117" s="21" t="s">
        <v>56</v>
      </c>
      <c r="X117" s="21" t="s">
        <v>252</v>
      </c>
    </row>
    <row r="118" spans="1:24" s="39" customFormat="1" ht="16" customHeight="1" x14ac:dyDescent="0.35">
      <c r="A118" s="21" t="s">
        <v>63</v>
      </c>
      <c r="B118" s="21" t="s">
        <v>64</v>
      </c>
      <c r="C118" s="21" t="s">
        <v>334</v>
      </c>
      <c r="D118" s="78">
        <v>847</v>
      </c>
      <c r="E118" s="21">
        <v>8470340</v>
      </c>
      <c r="F118" s="21" t="s">
        <v>758</v>
      </c>
      <c r="G118" s="79">
        <v>1</v>
      </c>
      <c r="H118" s="37" t="s">
        <v>380</v>
      </c>
      <c r="I118" s="21" t="s">
        <v>74</v>
      </c>
      <c r="J118" s="37" t="s">
        <v>60</v>
      </c>
      <c r="K118" s="21" t="s">
        <v>50</v>
      </c>
      <c r="L118" s="21">
        <v>847001</v>
      </c>
      <c r="M118" s="21" t="s">
        <v>61</v>
      </c>
      <c r="N118" s="21">
        <v>200179</v>
      </c>
      <c r="O118" s="37" t="str">
        <f t="shared" si="2"/>
        <v>847.8470340.1.426610.000000.847001.200179</v>
      </c>
      <c r="P118" s="21" t="s">
        <v>274</v>
      </c>
      <c r="Q118" s="21" t="s">
        <v>62</v>
      </c>
      <c r="R118" s="21">
        <v>1</v>
      </c>
      <c r="S118" s="21">
        <v>240000</v>
      </c>
      <c r="T118" s="21" t="s">
        <v>778</v>
      </c>
      <c r="U118" s="24">
        <f t="shared" si="3"/>
        <v>240000</v>
      </c>
      <c r="V118" s="21" t="s">
        <v>55</v>
      </c>
      <c r="W118" s="21" t="s">
        <v>56</v>
      </c>
      <c r="X118" s="21" t="s">
        <v>230</v>
      </c>
    </row>
    <row r="119" spans="1:24" s="39" customFormat="1" ht="16" customHeight="1" x14ac:dyDescent="0.35">
      <c r="A119" s="21" t="s">
        <v>222</v>
      </c>
      <c r="B119" s="21" t="s">
        <v>58</v>
      </c>
      <c r="C119" s="21" t="s">
        <v>334</v>
      </c>
      <c r="D119" s="78">
        <v>847</v>
      </c>
      <c r="E119" s="21">
        <v>8470340</v>
      </c>
      <c r="F119" s="21" t="s">
        <v>758</v>
      </c>
      <c r="G119" s="79">
        <v>1</v>
      </c>
      <c r="H119" s="37" t="s">
        <v>392</v>
      </c>
      <c r="I119" s="21" t="s">
        <v>393</v>
      </c>
      <c r="J119" s="37" t="s">
        <v>60</v>
      </c>
      <c r="K119" s="21" t="s">
        <v>50</v>
      </c>
      <c r="L119" s="21">
        <v>847001</v>
      </c>
      <c r="M119" s="21" t="s">
        <v>61</v>
      </c>
      <c r="N119" s="21">
        <v>200179</v>
      </c>
      <c r="O119" s="37" t="str">
        <f t="shared" si="2"/>
        <v>847.8470340.1.432209.000000.847001.200179</v>
      </c>
      <c r="P119" s="21" t="s">
        <v>470</v>
      </c>
      <c r="Q119" s="21" t="s">
        <v>62</v>
      </c>
      <c r="R119" s="21">
        <v>1</v>
      </c>
      <c r="S119" s="21">
        <v>80000</v>
      </c>
      <c r="T119" s="21" t="s">
        <v>780</v>
      </c>
      <c r="U119" s="24">
        <f t="shared" si="3"/>
        <v>80000</v>
      </c>
      <c r="V119" s="21" t="s">
        <v>55</v>
      </c>
      <c r="W119" s="21" t="s">
        <v>56</v>
      </c>
      <c r="X119" s="21" t="s">
        <v>70</v>
      </c>
    </row>
    <row r="120" spans="1:24" s="39" customFormat="1" ht="16" customHeight="1" x14ac:dyDescent="0.35">
      <c r="A120" s="21" t="s">
        <v>222</v>
      </c>
      <c r="B120" s="21" t="s">
        <v>58</v>
      </c>
      <c r="C120" s="21" t="s">
        <v>334</v>
      </c>
      <c r="D120" s="78">
        <v>847</v>
      </c>
      <c r="E120" s="21">
        <v>8470340</v>
      </c>
      <c r="F120" s="21" t="s">
        <v>758</v>
      </c>
      <c r="G120" s="79">
        <v>1</v>
      </c>
      <c r="H120" s="37" t="s">
        <v>398</v>
      </c>
      <c r="I120" s="21" t="s">
        <v>399</v>
      </c>
      <c r="J120" s="37" t="s">
        <v>60</v>
      </c>
      <c r="K120" s="21" t="s">
        <v>50</v>
      </c>
      <c r="L120" s="21">
        <v>847001</v>
      </c>
      <c r="M120" s="21" t="s">
        <v>61</v>
      </c>
      <c r="N120" s="21">
        <v>200179</v>
      </c>
      <c r="O120" s="37" t="str">
        <f t="shared" si="2"/>
        <v>847.8470340.1.435350.000000.847001.200179</v>
      </c>
      <c r="P120" s="21" t="s">
        <v>748</v>
      </c>
      <c r="Q120" s="21" t="s">
        <v>62</v>
      </c>
      <c r="R120" s="21">
        <v>40</v>
      </c>
      <c r="S120" s="21">
        <v>12000</v>
      </c>
      <c r="T120" s="21" t="s">
        <v>979</v>
      </c>
      <c r="U120" s="24">
        <f t="shared" si="3"/>
        <v>480000</v>
      </c>
      <c r="V120" s="21" t="s">
        <v>55</v>
      </c>
      <c r="W120" s="21" t="s">
        <v>56</v>
      </c>
      <c r="X120" s="21" t="s">
        <v>252</v>
      </c>
    </row>
    <row r="121" spans="1:24" s="39" customFormat="1" ht="16" customHeight="1" x14ac:dyDescent="0.35">
      <c r="A121" s="21" t="s">
        <v>222</v>
      </c>
      <c r="B121" s="21" t="s">
        <v>220</v>
      </c>
      <c r="C121" s="21" t="s">
        <v>334</v>
      </c>
      <c r="D121" s="78">
        <v>847</v>
      </c>
      <c r="E121" s="21">
        <v>8470340</v>
      </c>
      <c r="F121" s="21" t="s">
        <v>758</v>
      </c>
      <c r="G121" s="79">
        <v>1</v>
      </c>
      <c r="H121" s="37" t="s">
        <v>404</v>
      </c>
      <c r="I121" s="21" t="s">
        <v>405</v>
      </c>
      <c r="J121" s="37" t="s">
        <v>60</v>
      </c>
      <c r="K121" s="21" t="s">
        <v>50</v>
      </c>
      <c r="L121" s="21">
        <v>847001</v>
      </c>
      <c r="M121" s="21" t="s">
        <v>61</v>
      </c>
      <c r="N121" s="21">
        <v>200179</v>
      </c>
      <c r="O121" s="37" t="str">
        <f t="shared" si="2"/>
        <v>847.8470340.1.435508.000000.847001.200179</v>
      </c>
      <c r="P121" s="21" t="s">
        <v>470</v>
      </c>
      <c r="Q121" s="21" t="s">
        <v>62</v>
      </c>
      <c r="R121" s="21">
        <v>12</v>
      </c>
      <c r="S121" s="21">
        <v>20000</v>
      </c>
      <c r="T121" s="21" t="s">
        <v>785</v>
      </c>
      <c r="U121" s="24">
        <f t="shared" si="3"/>
        <v>240000</v>
      </c>
      <c r="V121" s="21" t="s">
        <v>55</v>
      </c>
      <c r="W121" s="21" t="s">
        <v>56</v>
      </c>
      <c r="X121" s="21" t="s">
        <v>70</v>
      </c>
    </row>
    <row r="122" spans="1:24" s="39" customFormat="1" ht="16" customHeight="1" x14ac:dyDescent="0.35">
      <c r="A122" s="21" t="s">
        <v>161</v>
      </c>
      <c r="B122" s="21" t="s">
        <v>220</v>
      </c>
      <c r="C122" s="21" t="s">
        <v>334</v>
      </c>
      <c r="D122" s="78">
        <v>847</v>
      </c>
      <c r="E122" s="21">
        <v>8470340</v>
      </c>
      <c r="F122" s="21" t="s">
        <v>758</v>
      </c>
      <c r="G122" s="79">
        <v>1</v>
      </c>
      <c r="H122" s="37" t="s">
        <v>420</v>
      </c>
      <c r="I122" s="21" t="s">
        <v>221</v>
      </c>
      <c r="J122" s="37" t="s">
        <v>60</v>
      </c>
      <c r="K122" s="21" t="s">
        <v>50</v>
      </c>
      <c r="L122" s="21">
        <v>847001</v>
      </c>
      <c r="M122" s="21" t="s">
        <v>192</v>
      </c>
      <c r="N122" s="21">
        <v>300180</v>
      </c>
      <c r="O122" s="37" t="str">
        <f t="shared" si="2"/>
        <v>847.8470340.1.492316.000000.847001.300180</v>
      </c>
      <c r="P122" s="21" t="s">
        <v>470</v>
      </c>
      <c r="Q122" s="21" t="s">
        <v>62</v>
      </c>
      <c r="R122" s="21">
        <v>1</v>
      </c>
      <c r="S122" s="21">
        <v>700000</v>
      </c>
      <c r="T122" s="21" t="s">
        <v>980</v>
      </c>
      <c r="U122" s="24">
        <f t="shared" si="3"/>
        <v>700000</v>
      </c>
      <c r="V122" s="21" t="s">
        <v>210</v>
      </c>
      <c r="W122" s="21" t="s">
        <v>197</v>
      </c>
      <c r="X122" s="21" t="s">
        <v>70</v>
      </c>
    </row>
    <row r="123" spans="1:24" s="39" customFormat="1" ht="16" customHeight="1" x14ac:dyDescent="0.35">
      <c r="A123" s="21" t="s">
        <v>222</v>
      </c>
      <c r="B123" s="21" t="s">
        <v>58</v>
      </c>
      <c r="C123" s="21" t="s">
        <v>334</v>
      </c>
      <c r="D123" s="78">
        <v>847</v>
      </c>
      <c r="E123" s="21">
        <v>8470345</v>
      </c>
      <c r="F123" s="21" t="s">
        <v>791</v>
      </c>
      <c r="G123" s="79">
        <v>1</v>
      </c>
      <c r="H123" s="37" t="s">
        <v>336</v>
      </c>
      <c r="I123" s="21" t="s">
        <v>225</v>
      </c>
      <c r="J123" s="37" t="s">
        <v>60</v>
      </c>
      <c r="K123" s="21" t="s">
        <v>50</v>
      </c>
      <c r="L123" s="21">
        <v>847001</v>
      </c>
      <c r="M123" s="21" t="s">
        <v>61</v>
      </c>
      <c r="N123" s="21">
        <v>200179</v>
      </c>
      <c r="O123" s="37" t="str">
        <f t="shared" si="2"/>
        <v>847.8470345.1.420550.000000.847001.200179</v>
      </c>
      <c r="P123" s="21" t="s">
        <v>338</v>
      </c>
      <c r="Q123" s="21">
        <v>1</v>
      </c>
      <c r="R123" s="21">
        <v>1</v>
      </c>
      <c r="S123" s="21">
        <v>20000</v>
      </c>
      <c r="T123" s="21" t="s">
        <v>801</v>
      </c>
      <c r="U123" s="24">
        <f t="shared" si="3"/>
        <v>20000</v>
      </c>
      <c r="V123" s="21" t="s">
        <v>55</v>
      </c>
      <c r="W123" s="21" t="s">
        <v>56</v>
      </c>
      <c r="X123" s="21" t="s">
        <v>348</v>
      </c>
    </row>
    <row r="124" spans="1:24" s="39" customFormat="1" ht="16" customHeight="1" x14ac:dyDescent="0.35">
      <c r="A124" s="21" t="s">
        <v>245</v>
      </c>
      <c r="B124" s="21" t="s">
        <v>246</v>
      </c>
      <c r="C124" s="21" t="s">
        <v>334</v>
      </c>
      <c r="D124" s="78">
        <v>847</v>
      </c>
      <c r="E124" s="21">
        <v>8470345</v>
      </c>
      <c r="F124" s="21" t="s">
        <v>791</v>
      </c>
      <c r="G124" s="79">
        <v>1</v>
      </c>
      <c r="H124" s="37" t="s">
        <v>342</v>
      </c>
      <c r="I124" s="21" t="s">
        <v>247</v>
      </c>
      <c r="J124" s="37" t="s">
        <v>60</v>
      </c>
      <c r="K124" s="21" t="s">
        <v>50</v>
      </c>
      <c r="L124" s="21">
        <v>847001</v>
      </c>
      <c r="M124" s="21" t="s">
        <v>61</v>
      </c>
      <c r="N124" s="21">
        <v>200179</v>
      </c>
      <c r="O124" s="37" t="str">
        <f t="shared" si="2"/>
        <v>847.8470345.1.425510.000000.847001.200179</v>
      </c>
      <c r="P124" s="21" t="s">
        <v>344</v>
      </c>
      <c r="Q124" s="21">
        <v>2</v>
      </c>
      <c r="R124" s="21">
        <v>2</v>
      </c>
      <c r="S124" s="21">
        <v>17500</v>
      </c>
      <c r="T124" s="21" t="s">
        <v>806</v>
      </c>
      <c r="U124" s="24">
        <f t="shared" si="3"/>
        <v>35000</v>
      </c>
      <c r="V124" s="21" t="s">
        <v>55</v>
      </c>
      <c r="W124" s="21" t="s">
        <v>56</v>
      </c>
      <c r="X124" s="21" t="s">
        <v>379</v>
      </c>
    </row>
    <row r="125" spans="1:24" s="39" customFormat="1" ht="16" customHeight="1" x14ac:dyDescent="0.35">
      <c r="A125" s="21" t="s">
        <v>258</v>
      </c>
      <c r="B125" s="21" t="s">
        <v>350</v>
      </c>
      <c r="C125" s="21" t="s">
        <v>334</v>
      </c>
      <c r="D125" s="78">
        <v>847</v>
      </c>
      <c r="E125" s="21">
        <v>8470345</v>
      </c>
      <c r="F125" s="21" t="s">
        <v>791</v>
      </c>
      <c r="G125" s="79">
        <v>1</v>
      </c>
      <c r="H125" s="37" t="s">
        <v>366</v>
      </c>
      <c r="I125" s="21" t="s">
        <v>367</v>
      </c>
      <c r="J125" s="37" t="s">
        <v>60</v>
      </c>
      <c r="K125" s="21" t="s">
        <v>50</v>
      </c>
      <c r="L125" s="21">
        <v>847001</v>
      </c>
      <c r="M125" s="21" t="s">
        <v>61</v>
      </c>
      <c r="N125" s="21">
        <v>200179</v>
      </c>
      <c r="O125" s="37" t="str">
        <f t="shared" si="2"/>
        <v>847.8470345.1.425770.000000.847001.200179</v>
      </c>
      <c r="P125" s="21" t="s">
        <v>440</v>
      </c>
      <c r="Q125" s="21">
        <v>7</v>
      </c>
      <c r="R125" s="21">
        <v>7</v>
      </c>
      <c r="S125" s="21">
        <v>20000</v>
      </c>
      <c r="T125" s="21" t="s">
        <v>806</v>
      </c>
      <c r="U125" s="24">
        <f>R125*S125</f>
        <v>140000</v>
      </c>
      <c r="V125" s="21" t="s">
        <v>55</v>
      </c>
      <c r="W125" s="21" t="s">
        <v>56</v>
      </c>
      <c r="X125" s="21" t="s">
        <v>379</v>
      </c>
    </row>
    <row r="126" spans="1:24" s="39" customFormat="1" ht="16" customHeight="1" x14ac:dyDescent="0.35">
      <c r="A126" s="21" t="s">
        <v>258</v>
      </c>
      <c r="B126" s="21" t="s">
        <v>350</v>
      </c>
      <c r="C126" s="21" t="s">
        <v>334</v>
      </c>
      <c r="D126" s="78">
        <v>847</v>
      </c>
      <c r="E126" s="21">
        <v>8470345</v>
      </c>
      <c r="F126" s="21" t="s">
        <v>791</v>
      </c>
      <c r="G126" s="79">
        <v>1</v>
      </c>
      <c r="H126" s="37" t="s">
        <v>351</v>
      </c>
      <c r="I126" s="21" t="s">
        <v>352</v>
      </c>
      <c r="J126" s="37" t="s">
        <v>60</v>
      </c>
      <c r="K126" s="21" t="s">
        <v>50</v>
      </c>
      <c r="L126" s="21">
        <v>847001</v>
      </c>
      <c r="M126" s="21" t="s">
        <v>61</v>
      </c>
      <c r="N126" s="21">
        <v>200179</v>
      </c>
      <c r="O126" s="37" t="str">
        <f t="shared" si="2"/>
        <v>847.8470345.1.425760.000000.847001.200179</v>
      </c>
      <c r="P126" s="21" t="s">
        <v>369</v>
      </c>
      <c r="Q126" s="21">
        <v>6</v>
      </c>
      <c r="R126" s="21">
        <v>8</v>
      </c>
      <c r="S126" s="21">
        <v>20000</v>
      </c>
      <c r="T126" s="21" t="s">
        <v>809</v>
      </c>
      <c r="U126" s="24">
        <f>R126*S126</f>
        <v>160000</v>
      </c>
      <c r="V126" s="21" t="s">
        <v>55</v>
      </c>
      <c r="W126" s="21" t="s">
        <v>56</v>
      </c>
      <c r="X126" s="21" t="s">
        <v>379</v>
      </c>
    </row>
    <row r="127" spans="1:24" s="39" customFormat="1" ht="16" customHeight="1" x14ac:dyDescent="0.35">
      <c r="A127" s="21" t="s">
        <v>189</v>
      </c>
      <c r="B127" s="21" t="s">
        <v>265</v>
      </c>
      <c r="C127" s="21" t="s">
        <v>334</v>
      </c>
      <c r="D127" s="78">
        <v>847</v>
      </c>
      <c r="E127" s="21">
        <v>8470345</v>
      </c>
      <c r="F127" s="21" t="s">
        <v>791</v>
      </c>
      <c r="G127" s="79">
        <v>1</v>
      </c>
      <c r="H127" s="37" t="s">
        <v>375</v>
      </c>
      <c r="I127" s="21" t="s">
        <v>266</v>
      </c>
      <c r="J127" s="37" t="s">
        <v>60</v>
      </c>
      <c r="K127" s="21" t="s">
        <v>50</v>
      </c>
      <c r="L127" s="21">
        <v>847001</v>
      </c>
      <c r="M127" s="21" t="s">
        <v>61</v>
      </c>
      <c r="N127" s="21">
        <v>200179</v>
      </c>
      <c r="O127" s="37" t="str">
        <f t="shared" si="2"/>
        <v>847.8470345.1.425900.000000.847001.200179</v>
      </c>
      <c r="P127" s="21" t="s">
        <v>268</v>
      </c>
      <c r="Q127" s="21">
        <v>6</v>
      </c>
      <c r="R127" s="21">
        <v>6</v>
      </c>
      <c r="S127" s="21">
        <v>500</v>
      </c>
      <c r="T127" s="21" t="s">
        <v>809</v>
      </c>
      <c r="U127" s="24">
        <f t="shared" si="3"/>
        <v>3000</v>
      </c>
      <c r="V127" s="21" t="s">
        <v>55</v>
      </c>
      <c r="W127" s="21" t="s">
        <v>56</v>
      </c>
      <c r="X127" s="21" t="s">
        <v>379</v>
      </c>
    </row>
    <row r="128" spans="1:24" s="39" customFormat="1" ht="16" customHeight="1" x14ac:dyDescent="0.35">
      <c r="A128" s="21" t="s">
        <v>222</v>
      </c>
      <c r="B128" s="21" t="s">
        <v>58</v>
      </c>
      <c r="C128" s="21" t="s">
        <v>334</v>
      </c>
      <c r="D128" s="78">
        <v>847</v>
      </c>
      <c r="E128" s="21">
        <v>8470345</v>
      </c>
      <c r="F128" s="21" t="s">
        <v>791</v>
      </c>
      <c r="G128" s="79">
        <v>1</v>
      </c>
      <c r="H128" s="37" t="s">
        <v>366</v>
      </c>
      <c r="I128" s="21" t="s">
        <v>367</v>
      </c>
      <c r="J128" s="37" t="s">
        <v>60</v>
      </c>
      <c r="K128" s="21" t="s">
        <v>50</v>
      </c>
      <c r="L128" s="21">
        <v>847001</v>
      </c>
      <c r="M128" s="21" t="s">
        <v>61</v>
      </c>
      <c r="N128" s="21">
        <v>200179</v>
      </c>
      <c r="O128" s="37" t="str">
        <f t="shared" si="2"/>
        <v>847.8470345.1.425770.000000.847001.200179</v>
      </c>
      <c r="P128" s="21" t="s">
        <v>274</v>
      </c>
      <c r="Q128" s="21">
        <v>1</v>
      </c>
      <c r="R128" s="21">
        <v>1</v>
      </c>
      <c r="S128" s="21">
        <v>59217</v>
      </c>
      <c r="T128" s="21" t="s">
        <v>814</v>
      </c>
      <c r="U128" s="24">
        <f t="shared" si="3"/>
        <v>59217</v>
      </c>
      <c r="V128" s="21" t="s">
        <v>55</v>
      </c>
      <c r="W128" s="21" t="s">
        <v>56</v>
      </c>
      <c r="X128" s="21" t="s">
        <v>816</v>
      </c>
    </row>
    <row r="129" spans="1:24" s="39" customFormat="1" ht="16" customHeight="1" x14ac:dyDescent="0.35">
      <c r="A129" s="21" t="s">
        <v>189</v>
      </c>
      <c r="B129" s="21" t="s">
        <v>265</v>
      </c>
      <c r="C129" s="21" t="s">
        <v>334</v>
      </c>
      <c r="D129" s="78">
        <v>847</v>
      </c>
      <c r="E129" s="21">
        <v>8470345</v>
      </c>
      <c r="F129" s="21" t="s">
        <v>791</v>
      </c>
      <c r="G129" s="79">
        <v>1</v>
      </c>
      <c r="H129" s="37" t="s">
        <v>375</v>
      </c>
      <c r="I129" s="21" t="s">
        <v>266</v>
      </c>
      <c r="J129" s="37" t="s">
        <v>60</v>
      </c>
      <c r="K129" s="21" t="s">
        <v>50</v>
      </c>
      <c r="L129" s="21">
        <v>847001</v>
      </c>
      <c r="M129" s="21" t="s">
        <v>61</v>
      </c>
      <c r="N129" s="21">
        <v>200179</v>
      </c>
      <c r="O129" s="37" t="str">
        <f t="shared" si="2"/>
        <v>847.8470345.1.425900.000000.847001.200179</v>
      </c>
      <c r="P129" s="21" t="s">
        <v>387</v>
      </c>
      <c r="Q129" s="21">
        <v>2</v>
      </c>
      <c r="R129" s="21">
        <v>2</v>
      </c>
      <c r="S129" s="21">
        <v>25000</v>
      </c>
      <c r="T129" s="21" t="s">
        <v>818</v>
      </c>
      <c r="U129" s="24">
        <f t="shared" si="3"/>
        <v>50000</v>
      </c>
      <c r="V129" s="21" t="s">
        <v>55</v>
      </c>
      <c r="W129" s="21" t="s">
        <v>56</v>
      </c>
      <c r="X129" s="21" t="s">
        <v>237</v>
      </c>
    </row>
    <row r="130" spans="1:24" s="39" customFormat="1" ht="16" customHeight="1" x14ac:dyDescent="0.35">
      <c r="A130" s="21" t="s">
        <v>63</v>
      </c>
      <c r="B130" s="21" t="s">
        <v>64</v>
      </c>
      <c r="C130" s="21" t="s">
        <v>334</v>
      </c>
      <c r="D130" s="78">
        <v>847</v>
      </c>
      <c r="E130" s="21">
        <v>8470345</v>
      </c>
      <c r="F130" s="21" t="s">
        <v>791</v>
      </c>
      <c r="G130" s="79">
        <v>1</v>
      </c>
      <c r="H130" s="37" t="s">
        <v>380</v>
      </c>
      <c r="I130" s="21" t="s">
        <v>74</v>
      </c>
      <c r="J130" s="37" t="s">
        <v>60</v>
      </c>
      <c r="K130" s="21" t="s">
        <v>50</v>
      </c>
      <c r="L130" s="21">
        <v>847001</v>
      </c>
      <c r="M130" s="21" t="s">
        <v>61</v>
      </c>
      <c r="N130" s="21">
        <v>200179</v>
      </c>
      <c r="O130" s="37" t="str">
        <f t="shared" si="2"/>
        <v>847.8470345.1.426610.000000.847001.200179</v>
      </c>
      <c r="P130" s="21" t="s">
        <v>401</v>
      </c>
      <c r="Q130" s="21">
        <v>7</v>
      </c>
      <c r="R130" s="21">
        <v>14</v>
      </c>
      <c r="S130" s="21">
        <v>12000</v>
      </c>
      <c r="T130" s="21" t="s">
        <v>823</v>
      </c>
      <c r="U130" s="24">
        <f t="shared" si="3"/>
        <v>168000</v>
      </c>
      <c r="V130" s="21" t="s">
        <v>55</v>
      </c>
      <c r="W130" s="21" t="s">
        <v>56</v>
      </c>
      <c r="X130" s="21" t="s">
        <v>480</v>
      </c>
    </row>
    <row r="131" spans="1:24" s="39" customFormat="1" ht="16" customHeight="1" x14ac:dyDescent="0.35">
      <c r="A131" s="21" t="s">
        <v>153</v>
      </c>
      <c r="B131" s="21" t="s">
        <v>58</v>
      </c>
      <c r="C131" s="21" t="s">
        <v>334</v>
      </c>
      <c r="D131" s="78">
        <v>847</v>
      </c>
      <c r="E131" s="21">
        <v>8470345</v>
      </c>
      <c r="F131" s="21" t="s">
        <v>791</v>
      </c>
      <c r="G131" s="79">
        <v>1</v>
      </c>
      <c r="H131" s="37" t="s">
        <v>385</v>
      </c>
      <c r="I131" s="21" t="s">
        <v>154</v>
      </c>
      <c r="J131" s="37" t="s">
        <v>60</v>
      </c>
      <c r="K131" s="21" t="s">
        <v>50</v>
      </c>
      <c r="L131" s="21">
        <v>847001</v>
      </c>
      <c r="M131" s="21" t="s">
        <v>61</v>
      </c>
      <c r="N131" s="21">
        <v>200179</v>
      </c>
      <c r="O131" s="37" t="str">
        <f t="shared" ref="O131:O194" si="4">CONCATENATE(D131,".",E131,".",G131,".",H131,".",J131,".",L131,".",N131)</f>
        <v>847.8470345.1.428090.000000.847001.200179</v>
      </c>
      <c r="P131" s="21" t="s">
        <v>482</v>
      </c>
      <c r="Q131" s="21">
        <v>1</v>
      </c>
      <c r="R131" s="21">
        <v>1</v>
      </c>
      <c r="S131" s="21">
        <v>549184</v>
      </c>
      <c r="T131" s="21" t="s">
        <v>826</v>
      </c>
      <c r="U131" s="24">
        <f t="shared" si="3"/>
        <v>549184</v>
      </c>
      <c r="V131" s="21" t="s">
        <v>55</v>
      </c>
      <c r="W131" s="21" t="s">
        <v>56</v>
      </c>
      <c r="X131" s="21" t="s">
        <v>816</v>
      </c>
    </row>
    <row r="132" spans="1:24" s="39" customFormat="1" ht="16" customHeight="1" x14ac:dyDescent="0.35">
      <c r="A132" s="21" t="s">
        <v>222</v>
      </c>
      <c r="B132" s="21" t="s">
        <v>58</v>
      </c>
      <c r="C132" s="21" t="s">
        <v>334</v>
      </c>
      <c r="D132" s="78">
        <v>847</v>
      </c>
      <c r="E132" s="21">
        <v>8470345</v>
      </c>
      <c r="F132" s="21" t="s">
        <v>791</v>
      </c>
      <c r="G132" s="79">
        <v>1</v>
      </c>
      <c r="H132" s="37" t="s">
        <v>398</v>
      </c>
      <c r="I132" s="21" t="s">
        <v>399</v>
      </c>
      <c r="J132" s="37" t="s">
        <v>60</v>
      </c>
      <c r="K132" s="21" t="s">
        <v>50</v>
      </c>
      <c r="L132" s="21">
        <v>847001</v>
      </c>
      <c r="M132" s="21" t="s">
        <v>61</v>
      </c>
      <c r="N132" s="21">
        <v>200179</v>
      </c>
      <c r="O132" s="37" t="str">
        <f t="shared" si="4"/>
        <v>847.8470345.1.435350.000000.847001.200179</v>
      </c>
      <c r="P132" s="21" t="s">
        <v>829</v>
      </c>
      <c r="Q132" s="21">
        <v>5</v>
      </c>
      <c r="R132" s="21">
        <v>1</v>
      </c>
      <c r="S132" s="21">
        <v>6000</v>
      </c>
      <c r="T132" s="21" t="s">
        <v>830</v>
      </c>
      <c r="U132" s="24">
        <f t="shared" si="3"/>
        <v>6000</v>
      </c>
      <c r="V132" s="21" t="s">
        <v>55</v>
      </c>
      <c r="W132" s="21" t="s">
        <v>56</v>
      </c>
      <c r="X132" s="21" t="s">
        <v>834</v>
      </c>
    </row>
    <row r="133" spans="1:24" s="39" customFormat="1" ht="16" customHeight="1" x14ac:dyDescent="0.35">
      <c r="A133" s="21" t="s">
        <v>161</v>
      </c>
      <c r="B133" s="21" t="s">
        <v>220</v>
      </c>
      <c r="C133" s="21" t="s">
        <v>334</v>
      </c>
      <c r="D133" s="78">
        <v>847</v>
      </c>
      <c r="E133" s="21">
        <v>8470345</v>
      </c>
      <c r="F133" s="21" t="s">
        <v>791</v>
      </c>
      <c r="G133" s="79">
        <v>1</v>
      </c>
      <c r="H133" s="37" t="s">
        <v>420</v>
      </c>
      <c r="I133" s="21" t="s">
        <v>221</v>
      </c>
      <c r="J133" s="37" t="s">
        <v>60</v>
      </c>
      <c r="K133" s="21" t="s">
        <v>50</v>
      </c>
      <c r="L133" s="21">
        <v>847001</v>
      </c>
      <c r="M133" s="21" t="s">
        <v>192</v>
      </c>
      <c r="N133" s="21">
        <v>300180</v>
      </c>
      <c r="O133" s="37" t="str">
        <f t="shared" si="4"/>
        <v>847.8470345.1.492316.000000.847001.300180</v>
      </c>
      <c r="P133" s="21" t="s">
        <v>836</v>
      </c>
      <c r="Q133" s="21">
        <v>15</v>
      </c>
      <c r="R133" s="21">
        <v>1</v>
      </c>
      <c r="S133" s="21">
        <v>578400</v>
      </c>
      <c r="T133" s="21" t="s">
        <v>840</v>
      </c>
      <c r="U133" s="24">
        <f t="shared" si="3"/>
        <v>578400</v>
      </c>
      <c r="V133" s="21" t="s">
        <v>210</v>
      </c>
      <c r="W133" s="21" t="s">
        <v>197</v>
      </c>
      <c r="X133" s="21" t="s">
        <v>70</v>
      </c>
    </row>
    <row r="134" spans="1:24" s="39" customFormat="1" ht="16" customHeight="1" x14ac:dyDescent="0.35">
      <c r="A134" s="21" t="s">
        <v>245</v>
      </c>
      <c r="B134" s="21" t="s">
        <v>246</v>
      </c>
      <c r="C134" s="21" t="s">
        <v>334</v>
      </c>
      <c r="D134" s="78">
        <v>847</v>
      </c>
      <c r="E134" s="21">
        <v>8470350</v>
      </c>
      <c r="F134" s="21" t="s">
        <v>843</v>
      </c>
      <c r="G134" s="79">
        <v>1</v>
      </c>
      <c r="H134" s="37" t="s">
        <v>342</v>
      </c>
      <c r="I134" s="21" t="s">
        <v>247</v>
      </c>
      <c r="J134" s="37" t="s">
        <v>60</v>
      </c>
      <c r="K134" s="21" t="s">
        <v>50</v>
      </c>
      <c r="L134" s="21">
        <v>847001</v>
      </c>
      <c r="M134" s="21" t="s">
        <v>61</v>
      </c>
      <c r="N134" s="21">
        <v>200179</v>
      </c>
      <c r="O134" s="37" t="str">
        <f t="shared" si="4"/>
        <v>847.8470350.1.425510.000000.847001.200179</v>
      </c>
      <c r="P134" s="21" t="s">
        <v>249</v>
      </c>
      <c r="Q134" s="21" t="s">
        <v>250</v>
      </c>
      <c r="R134" s="21">
        <v>5</v>
      </c>
      <c r="S134" s="21">
        <v>5500</v>
      </c>
      <c r="T134" s="21" t="s">
        <v>845</v>
      </c>
      <c r="U134" s="24">
        <f t="shared" si="3"/>
        <v>27500</v>
      </c>
      <c r="V134" s="21" t="s">
        <v>55</v>
      </c>
      <c r="W134" s="21" t="s">
        <v>56</v>
      </c>
      <c r="X134" s="21" t="s">
        <v>230</v>
      </c>
    </row>
    <row r="135" spans="1:24" s="39" customFormat="1" ht="16" customHeight="1" x14ac:dyDescent="0.35">
      <c r="A135" s="21" t="s">
        <v>258</v>
      </c>
      <c r="B135" s="21" t="s">
        <v>350</v>
      </c>
      <c r="C135" s="21" t="s">
        <v>334</v>
      </c>
      <c r="D135" s="78">
        <v>847</v>
      </c>
      <c r="E135" s="21">
        <v>8470350</v>
      </c>
      <c r="F135" s="21" t="s">
        <v>843</v>
      </c>
      <c r="G135" s="79">
        <v>1</v>
      </c>
      <c r="H135" s="37" t="s">
        <v>351</v>
      </c>
      <c r="I135" s="21" t="s">
        <v>352</v>
      </c>
      <c r="J135" s="37" t="s">
        <v>60</v>
      </c>
      <c r="K135" s="21" t="s">
        <v>50</v>
      </c>
      <c r="L135" s="21">
        <v>847001</v>
      </c>
      <c r="M135" s="21" t="s">
        <v>61</v>
      </c>
      <c r="N135" s="21">
        <v>200179</v>
      </c>
      <c r="O135" s="37" t="str">
        <f t="shared" si="4"/>
        <v>847.8470350.1.425760.000000.847001.200179</v>
      </c>
      <c r="P135" s="21" t="s">
        <v>440</v>
      </c>
      <c r="Q135" s="21" t="s">
        <v>441</v>
      </c>
      <c r="R135" s="21">
        <v>10</v>
      </c>
      <c r="S135" s="21">
        <v>3500</v>
      </c>
      <c r="T135" s="21" t="s">
        <v>850</v>
      </c>
      <c r="U135" s="24">
        <f t="shared" si="3"/>
        <v>35000</v>
      </c>
      <c r="V135" s="21" t="s">
        <v>55</v>
      </c>
      <c r="W135" s="21" t="s">
        <v>56</v>
      </c>
      <c r="X135" s="21" t="s">
        <v>379</v>
      </c>
    </row>
    <row r="136" spans="1:24" s="39" customFormat="1" ht="16" customHeight="1" x14ac:dyDescent="0.35">
      <c r="A136" s="21" t="s">
        <v>258</v>
      </c>
      <c r="B136" s="21" t="s">
        <v>58</v>
      </c>
      <c r="C136" s="21" t="s">
        <v>334</v>
      </c>
      <c r="D136" s="78">
        <v>847</v>
      </c>
      <c r="E136" s="21">
        <v>8470350</v>
      </c>
      <c r="F136" s="21" t="s">
        <v>843</v>
      </c>
      <c r="G136" s="79">
        <v>1</v>
      </c>
      <c r="H136" s="37" t="s">
        <v>358</v>
      </c>
      <c r="I136" s="21" t="s">
        <v>359</v>
      </c>
      <c r="J136" s="37" t="s">
        <v>60</v>
      </c>
      <c r="K136" s="21" t="s">
        <v>50</v>
      </c>
      <c r="L136" s="21">
        <v>847001</v>
      </c>
      <c r="M136" s="21" t="s">
        <v>61</v>
      </c>
      <c r="N136" s="21">
        <v>200179</v>
      </c>
      <c r="O136" s="37" t="str">
        <f t="shared" si="4"/>
        <v>847.8470350.1.425763.000000.847001.200179</v>
      </c>
      <c r="P136" s="21" t="s">
        <v>440</v>
      </c>
      <c r="Q136" s="21" t="s">
        <v>441</v>
      </c>
      <c r="R136" s="21">
        <v>10</v>
      </c>
      <c r="S136" s="21">
        <v>2000</v>
      </c>
      <c r="T136" s="21" t="s">
        <v>852</v>
      </c>
      <c r="U136" s="24">
        <f t="shared" si="3"/>
        <v>20000</v>
      </c>
      <c r="V136" s="21" t="s">
        <v>55</v>
      </c>
      <c r="W136" s="21" t="s">
        <v>56</v>
      </c>
      <c r="X136" s="21" t="s">
        <v>230</v>
      </c>
    </row>
    <row r="137" spans="1:24" s="39" customFormat="1" ht="16" customHeight="1" x14ac:dyDescent="0.35">
      <c r="A137" s="21" t="s">
        <v>222</v>
      </c>
      <c r="B137" s="21" t="s">
        <v>58</v>
      </c>
      <c r="C137" s="21" t="s">
        <v>334</v>
      </c>
      <c r="D137" s="78">
        <v>847</v>
      </c>
      <c r="E137" s="21">
        <v>8470350</v>
      </c>
      <c r="F137" s="21" t="s">
        <v>843</v>
      </c>
      <c r="G137" s="79">
        <v>1</v>
      </c>
      <c r="H137" s="37" t="s">
        <v>366</v>
      </c>
      <c r="I137" s="21" t="s">
        <v>367</v>
      </c>
      <c r="J137" s="37" t="s">
        <v>60</v>
      </c>
      <c r="K137" s="21" t="s">
        <v>50</v>
      </c>
      <c r="L137" s="21">
        <v>847001</v>
      </c>
      <c r="M137" s="21" t="s">
        <v>61</v>
      </c>
      <c r="N137" s="21">
        <v>200179</v>
      </c>
      <c r="O137" s="37" t="str">
        <f t="shared" si="4"/>
        <v>847.8470350.1.425770.000000.847001.200179</v>
      </c>
      <c r="P137" s="21" t="s">
        <v>926</v>
      </c>
      <c r="Q137" s="21" t="s">
        <v>157</v>
      </c>
      <c r="R137" s="21">
        <v>13</v>
      </c>
      <c r="S137" s="21">
        <v>25000</v>
      </c>
      <c r="T137" s="21" t="s">
        <v>959</v>
      </c>
      <c r="U137" s="24">
        <f t="shared" si="3"/>
        <v>325000</v>
      </c>
      <c r="V137" s="21" t="s">
        <v>55</v>
      </c>
      <c r="W137" s="21" t="s">
        <v>56</v>
      </c>
      <c r="X137" s="21" t="s">
        <v>230</v>
      </c>
    </row>
    <row r="138" spans="1:24" s="39" customFormat="1" ht="16" customHeight="1" x14ac:dyDescent="0.35">
      <c r="A138" s="21" t="s">
        <v>189</v>
      </c>
      <c r="B138" s="21" t="s">
        <v>265</v>
      </c>
      <c r="C138" s="21" t="s">
        <v>334</v>
      </c>
      <c r="D138" s="78">
        <v>847</v>
      </c>
      <c r="E138" s="21">
        <v>8470350</v>
      </c>
      <c r="F138" s="21" t="s">
        <v>843</v>
      </c>
      <c r="G138" s="79">
        <v>1</v>
      </c>
      <c r="H138" s="37" t="s">
        <v>375</v>
      </c>
      <c r="I138" s="21" t="s">
        <v>266</v>
      </c>
      <c r="J138" s="37" t="s">
        <v>60</v>
      </c>
      <c r="K138" s="21" t="s">
        <v>50</v>
      </c>
      <c r="L138" s="21">
        <v>847001</v>
      </c>
      <c r="M138" s="21" t="s">
        <v>61</v>
      </c>
      <c r="N138" s="21">
        <v>200179</v>
      </c>
      <c r="O138" s="37" t="str">
        <f t="shared" si="4"/>
        <v>847.8470350.1.425900.000000.847001.200179</v>
      </c>
      <c r="P138" s="21" t="s">
        <v>268</v>
      </c>
      <c r="Q138" s="21" t="s">
        <v>269</v>
      </c>
      <c r="R138" s="21">
        <v>20</v>
      </c>
      <c r="S138" s="21">
        <v>2000</v>
      </c>
      <c r="T138" s="21" t="s">
        <v>859</v>
      </c>
      <c r="U138" s="24">
        <f t="shared" si="3"/>
        <v>40000</v>
      </c>
      <c r="V138" s="21" t="s">
        <v>55</v>
      </c>
      <c r="W138" s="21" t="s">
        <v>56</v>
      </c>
      <c r="X138" s="21" t="s">
        <v>230</v>
      </c>
    </row>
    <row r="139" spans="1:24" s="39" customFormat="1" ht="16" customHeight="1" x14ac:dyDescent="0.35">
      <c r="A139" s="21" t="s">
        <v>222</v>
      </c>
      <c r="B139" s="21" t="s">
        <v>58</v>
      </c>
      <c r="C139" s="21" t="s">
        <v>334</v>
      </c>
      <c r="D139" s="78">
        <v>847</v>
      </c>
      <c r="E139" s="21">
        <v>8470350</v>
      </c>
      <c r="F139" s="21" t="s">
        <v>843</v>
      </c>
      <c r="G139" s="79">
        <v>1</v>
      </c>
      <c r="H139" s="37" t="s">
        <v>380</v>
      </c>
      <c r="I139" s="21" t="s">
        <v>694</v>
      </c>
      <c r="J139" s="37" t="s">
        <v>60</v>
      </c>
      <c r="K139" s="21" t="s">
        <v>50</v>
      </c>
      <c r="L139" s="21">
        <v>847001</v>
      </c>
      <c r="M139" s="21" t="s">
        <v>61</v>
      </c>
      <c r="N139" s="21">
        <v>200179</v>
      </c>
      <c r="O139" s="37" t="str">
        <f t="shared" si="4"/>
        <v>847.8470350.1.426610.000000.847001.200179</v>
      </c>
      <c r="P139" s="21" t="s">
        <v>274</v>
      </c>
      <c r="Q139" s="21" t="s">
        <v>157</v>
      </c>
      <c r="R139" s="21">
        <v>1</v>
      </c>
      <c r="S139" s="21">
        <v>30000</v>
      </c>
      <c r="T139" s="21" t="s">
        <v>922</v>
      </c>
      <c r="U139" s="24">
        <f t="shared" si="3"/>
        <v>30000</v>
      </c>
      <c r="V139" s="21" t="s">
        <v>55</v>
      </c>
      <c r="W139" s="21" t="s">
        <v>56</v>
      </c>
      <c r="X139" s="21" t="s">
        <v>230</v>
      </c>
    </row>
    <row r="140" spans="1:24" s="39" customFormat="1" ht="16" customHeight="1" x14ac:dyDescent="0.35">
      <c r="A140" s="21" t="s">
        <v>222</v>
      </c>
      <c r="B140" s="21" t="s">
        <v>58</v>
      </c>
      <c r="C140" s="21" t="s">
        <v>334</v>
      </c>
      <c r="D140" s="78">
        <v>847</v>
      </c>
      <c r="E140" s="21">
        <v>8470350</v>
      </c>
      <c r="F140" s="21" t="s">
        <v>843</v>
      </c>
      <c r="G140" s="79">
        <v>1</v>
      </c>
      <c r="H140" s="37" t="s">
        <v>380</v>
      </c>
      <c r="I140" s="21" t="s">
        <v>694</v>
      </c>
      <c r="J140" s="37" t="s">
        <v>60</v>
      </c>
      <c r="K140" s="21" t="s">
        <v>50</v>
      </c>
      <c r="L140" s="21">
        <v>847001</v>
      </c>
      <c r="M140" s="21" t="s">
        <v>61</v>
      </c>
      <c r="N140" s="21">
        <v>200179</v>
      </c>
      <c r="O140" s="37" t="str">
        <f t="shared" si="4"/>
        <v>847.8470350.1.426610.000000.847001.200179</v>
      </c>
      <c r="P140" s="21" t="s">
        <v>274</v>
      </c>
      <c r="Q140" s="21" t="s">
        <v>157</v>
      </c>
      <c r="R140" s="21">
        <v>1</v>
      </c>
      <c r="S140" s="21">
        <v>8000</v>
      </c>
      <c r="T140" s="21" t="s">
        <v>864</v>
      </c>
      <c r="U140" s="24">
        <f t="shared" si="3"/>
        <v>8000</v>
      </c>
      <c r="V140" s="21" t="s">
        <v>55</v>
      </c>
      <c r="W140" s="21" t="s">
        <v>56</v>
      </c>
      <c r="X140" s="21" t="s">
        <v>230</v>
      </c>
    </row>
    <row r="141" spans="1:24" s="39" customFormat="1" ht="16" customHeight="1" x14ac:dyDescent="0.35">
      <c r="A141" s="21" t="s">
        <v>222</v>
      </c>
      <c r="B141" s="21" t="s">
        <v>58</v>
      </c>
      <c r="C141" s="21" t="s">
        <v>334</v>
      </c>
      <c r="D141" s="78">
        <v>847</v>
      </c>
      <c r="E141" s="21">
        <v>8470350</v>
      </c>
      <c r="F141" s="21" t="s">
        <v>843</v>
      </c>
      <c r="G141" s="79">
        <v>1</v>
      </c>
      <c r="H141" s="37" t="s">
        <v>380</v>
      </c>
      <c r="I141" s="21" t="s">
        <v>694</v>
      </c>
      <c r="J141" s="37" t="s">
        <v>60</v>
      </c>
      <c r="K141" s="21" t="s">
        <v>50</v>
      </c>
      <c r="L141" s="21">
        <v>847001</v>
      </c>
      <c r="M141" s="21" t="s">
        <v>61</v>
      </c>
      <c r="N141" s="21">
        <v>200179</v>
      </c>
      <c r="O141" s="37" t="str">
        <f t="shared" si="4"/>
        <v>847.8470350.1.426610.000000.847001.200179</v>
      </c>
      <c r="P141" s="21" t="s">
        <v>274</v>
      </c>
      <c r="Q141" s="21" t="s">
        <v>157</v>
      </c>
      <c r="R141" s="21">
        <v>1</v>
      </c>
      <c r="S141" s="21">
        <v>30000</v>
      </c>
      <c r="T141" s="21" t="s">
        <v>867</v>
      </c>
      <c r="U141" s="24">
        <f t="shared" si="3"/>
        <v>30000</v>
      </c>
      <c r="V141" s="21" t="s">
        <v>55</v>
      </c>
      <c r="W141" s="21" t="s">
        <v>56</v>
      </c>
      <c r="X141" s="21" t="s">
        <v>230</v>
      </c>
    </row>
    <row r="142" spans="1:24" s="39" customFormat="1" ht="16" customHeight="1" x14ac:dyDescent="0.35">
      <c r="A142" s="21" t="s">
        <v>222</v>
      </c>
      <c r="B142" s="21" t="s">
        <v>58</v>
      </c>
      <c r="C142" s="21" t="s">
        <v>334</v>
      </c>
      <c r="D142" s="78">
        <v>847</v>
      </c>
      <c r="E142" s="21">
        <v>8470350</v>
      </c>
      <c r="F142" s="21" t="s">
        <v>843</v>
      </c>
      <c r="G142" s="79">
        <v>1</v>
      </c>
      <c r="H142" s="37" t="s">
        <v>380</v>
      </c>
      <c r="I142" s="21" t="s">
        <v>694</v>
      </c>
      <c r="J142" s="37" t="s">
        <v>60</v>
      </c>
      <c r="K142" s="21" t="s">
        <v>50</v>
      </c>
      <c r="L142" s="21">
        <v>847001</v>
      </c>
      <c r="M142" s="21" t="s">
        <v>61</v>
      </c>
      <c r="N142" s="21">
        <v>200179</v>
      </c>
      <c r="O142" s="37" t="str">
        <f t="shared" si="4"/>
        <v>847.8470350.1.426610.000000.847001.200179</v>
      </c>
      <c r="P142" s="21" t="s">
        <v>274</v>
      </c>
      <c r="Q142" s="21" t="s">
        <v>157</v>
      </c>
      <c r="R142" s="21">
        <v>1</v>
      </c>
      <c r="S142" s="21">
        <v>10000</v>
      </c>
      <c r="T142" s="21" t="s">
        <v>866</v>
      </c>
      <c r="U142" s="24">
        <f t="shared" si="3"/>
        <v>10000</v>
      </c>
      <c r="V142" s="21" t="s">
        <v>55</v>
      </c>
      <c r="W142" s="21" t="s">
        <v>56</v>
      </c>
      <c r="X142" s="21" t="s">
        <v>230</v>
      </c>
    </row>
    <row r="143" spans="1:24" s="39" customFormat="1" ht="16" customHeight="1" x14ac:dyDescent="0.35">
      <c r="A143" s="21" t="s">
        <v>222</v>
      </c>
      <c r="B143" s="21" t="s">
        <v>58</v>
      </c>
      <c r="C143" s="21" t="s">
        <v>334</v>
      </c>
      <c r="D143" s="78">
        <v>847</v>
      </c>
      <c r="E143" s="21">
        <v>8470350</v>
      </c>
      <c r="F143" s="21" t="s">
        <v>843</v>
      </c>
      <c r="G143" s="79">
        <v>1</v>
      </c>
      <c r="H143" s="37" t="s">
        <v>380</v>
      </c>
      <c r="I143" s="21" t="s">
        <v>694</v>
      </c>
      <c r="J143" s="37" t="s">
        <v>60</v>
      </c>
      <c r="K143" s="21" t="s">
        <v>50</v>
      </c>
      <c r="L143" s="21">
        <v>847001</v>
      </c>
      <c r="M143" s="21" t="s">
        <v>61</v>
      </c>
      <c r="N143" s="21">
        <v>200179</v>
      </c>
      <c r="O143" s="37" t="str">
        <f t="shared" si="4"/>
        <v>847.8470350.1.426610.000000.847001.200179</v>
      </c>
      <c r="P143" s="21" t="s">
        <v>274</v>
      </c>
      <c r="Q143" s="21" t="s">
        <v>157</v>
      </c>
      <c r="R143" s="21">
        <v>1</v>
      </c>
      <c r="S143" s="21">
        <v>45000</v>
      </c>
      <c r="T143" s="21" t="s">
        <v>963</v>
      </c>
      <c r="U143" s="24">
        <f t="shared" si="3"/>
        <v>45000</v>
      </c>
      <c r="V143" s="21" t="s">
        <v>55</v>
      </c>
      <c r="W143" s="21" t="s">
        <v>56</v>
      </c>
      <c r="X143" s="21" t="s">
        <v>230</v>
      </c>
    </row>
    <row r="144" spans="1:24" s="39" customFormat="1" ht="16" customHeight="1" x14ac:dyDescent="0.35">
      <c r="A144" s="21" t="s">
        <v>222</v>
      </c>
      <c r="B144" s="21" t="s">
        <v>58</v>
      </c>
      <c r="C144" s="21" t="s">
        <v>334</v>
      </c>
      <c r="D144" s="78">
        <v>847</v>
      </c>
      <c r="E144" s="21">
        <v>8470350</v>
      </c>
      <c r="F144" s="21" t="s">
        <v>843</v>
      </c>
      <c r="G144" s="79">
        <v>1</v>
      </c>
      <c r="H144" s="37" t="s">
        <v>380</v>
      </c>
      <c r="I144" s="21" t="s">
        <v>694</v>
      </c>
      <c r="J144" s="37" t="s">
        <v>60</v>
      </c>
      <c r="K144" s="21" t="s">
        <v>50</v>
      </c>
      <c r="L144" s="21">
        <v>847001</v>
      </c>
      <c r="M144" s="21" t="s">
        <v>61</v>
      </c>
      <c r="N144" s="21">
        <v>200179</v>
      </c>
      <c r="O144" s="37" t="str">
        <f t="shared" si="4"/>
        <v>847.8470350.1.426610.000000.847001.200179</v>
      </c>
      <c r="P144" s="21" t="s">
        <v>274</v>
      </c>
      <c r="Q144" s="21" t="s">
        <v>157</v>
      </c>
      <c r="R144" s="21">
        <v>1</v>
      </c>
      <c r="S144" s="21">
        <v>200000</v>
      </c>
      <c r="T144" s="21" t="s">
        <v>868</v>
      </c>
      <c r="U144" s="24">
        <f t="shared" si="3"/>
        <v>200000</v>
      </c>
      <c r="V144" s="21" t="s">
        <v>55</v>
      </c>
      <c r="W144" s="21" t="s">
        <v>56</v>
      </c>
      <c r="X144" s="21" t="s">
        <v>230</v>
      </c>
    </row>
    <row r="145" spans="1:24" s="39" customFormat="1" ht="16" customHeight="1" x14ac:dyDescent="0.35">
      <c r="A145" s="21" t="s">
        <v>222</v>
      </c>
      <c r="B145" s="21" t="s">
        <v>58</v>
      </c>
      <c r="C145" s="21" t="s">
        <v>334</v>
      </c>
      <c r="D145" s="78">
        <v>847</v>
      </c>
      <c r="E145" s="21">
        <v>8470350</v>
      </c>
      <c r="F145" s="21" t="s">
        <v>843</v>
      </c>
      <c r="G145" s="79">
        <v>1</v>
      </c>
      <c r="H145" s="37" t="s">
        <v>392</v>
      </c>
      <c r="I145" s="21" t="s">
        <v>393</v>
      </c>
      <c r="J145" s="37" t="s">
        <v>60</v>
      </c>
      <c r="K145" s="21" t="s">
        <v>50</v>
      </c>
      <c r="L145" s="21">
        <v>847001</v>
      </c>
      <c r="M145" s="21" t="s">
        <v>61</v>
      </c>
      <c r="N145" s="21">
        <v>200179</v>
      </c>
      <c r="O145" s="37" t="str">
        <f t="shared" si="4"/>
        <v>847.8470350.1.432209.000000.847001.200179</v>
      </c>
      <c r="P145" s="21" t="s">
        <v>470</v>
      </c>
      <c r="Q145" s="21" t="s">
        <v>157</v>
      </c>
      <c r="R145" s="21">
        <v>1</v>
      </c>
      <c r="S145" s="21">
        <v>85000</v>
      </c>
      <c r="T145" s="21" t="s">
        <v>964</v>
      </c>
      <c r="U145" s="24">
        <f t="shared" si="3"/>
        <v>85000</v>
      </c>
      <c r="V145" s="21" t="s">
        <v>55</v>
      </c>
      <c r="W145" s="21" t="s">
        <v>56</v>
      </c>
      <c r="X145" s="21" t="s">
        <v>230</v>
      </c>
    </row>
    <row r="146" spans="1:24" s="39" customFormat="1" ht="16" customHeight="1" x14ac:dyDescent="0.35">
      <c r="A146" s="21" t="s">
        <v>222</v>
      </c>
      <c r="B146" s="21" t="s">
        <v>58</v>
      </c>
      <c r="C146" s="21" t="s">
        <v>334</v>
      </c>
      <c r="D146" s="78">
        <v>847</v>
      </c>
      <c r="E146" s="21">
        <v>8470350</v>
      </c>
      <c r="F146" s="21" t="s">
        <v>843</v>
      </c>
      <c r="G146" s="79">
        <v>1</v>
      </c>
      <c r="H146" s="37" t="s">
        <v>392</v>
      </c>
      <c r="I146" s="21" t="s">
        <v>393</v>
      </c>
      <c r="J146" s="37" t="s">
        <v>60</v>
      </c>
      <c r="K146" s="21" t="s">
        <v>50</v>
      </c>
      <c r="L146" s="21">
        <v>847001</v>
      </c>
      <c r="M146" s="21" t="s">
        <v>61</v>
      </c>
      <c r="N146" s="21">
        <v>200179</v>
      </c>
      <c r="O146" s="37" t="str">
        <f t="shared" si="4"/>
        <v>847.8470350.1.432209.000000.847001.200179</v>
      </c>
      <c r="P146" s="21" t="s">
        <v>470</v>
      </c>
      <c r="Q146" s="21" t="s">
        <v>157</v>
      </c>
      <c r="R146" s="21">
        <v>40</v>
      </c>
      <c r="S146" s="21">
        <v>4000</v>
      </c>
      <c r="T146" s="21" t="s">
        <v>874</v>
      </c>
      <c r="U146" s="24">
        <f t="shared" si="3"/>
        <v>160000</v>
      </c>
      <c r="V146" s="21" t="s">
        <v>55</v>
      </c>
      <c r="W146" s="21" t="s">
        <v>56</v>
      </c>
      <c r="X146" s="21" t="s">
        <v>230</v>
      </c>
    </row>
    <row r="147" spans="1:24" s="39" customFormat="1" ht="16" customHeight="1" x14ac:dyDescent="0.35">
      <c r="A147" s="21" t="s">
        <v>222</v>
      </c>
      <c r="B147" s="21" t="s">
        <v>58</v>
      </c>
      <c r="C147" s="21" t="s">
        <v>334</v>
      </c>
      <c r="D147" s="78">
        <v>847</v>
      </c>
      <c r="E147" s="21">
        <v>8470350</v>
      </c>
      <c r="F147" s="21" t="s">
        <v>843</v>
      </c>
      <c r="G147" s="79">
        <v>1</v>
      </c>
      <c r="H147" s="37" t="s">
        <v>392</v>
      </c>
      <c r="I147" s="21" t="s">
        <v>393</v>
      </c>
      <c r="J147" s="37" t="s">
        <v>60</v>
      </c>
      <c r="K147" s="21" t="s">
        <v>50</v>
      </c>
      <c r="L147" s="21">
        <v>847001</v>
      </c>
      <c r="M147" s="21" t="s">
        <v>61</v>
      </c>
      <c r="N147" s="21">
        <v>200179</v>
      </c>
      <c r="O147" s="37" t="str">
        <f t="shared" si="4"/>
        <v>847.8470350.1.432209.000000.847001.200179</v>
      </c>
      <c r="P147" s="21" t="s">
        <v>470</v>
      </c>
      <c r="Q147" s="21" t="s">
        <v>157</v>
      </c>
      <c r="R147" s="21">
        <v>15</v>
      </c>
      <c r="S147" s="21">
        <v>12000</v>
      </c>
      <c r="T147" s="21" t="s">
        <v>879</v>
      </c>
      <c r="U147" s="24">
        <f t="shared" si="3"/>
        <v>180000</v>
      </c>
      <c r="V147" s="21" t="s">
        <v>55</v>
      </c>
      <c r="W147" s="21" t="s">
        <v>56</v>
      </c>
      <c r="X147" s="21" t="s">
        <v>880</v>
      </c>
    </row>
    <row r="148" spans="1:24" s="39" customFormat="1" ht="16" customHeight="1" x14ac:dyDescent="0.35">
      <c r="A148" s="21" t="s">
        <v>222</v>
      </c>
      <c r="B148" s="21" t="s">
        <v>58</v>
      </c>
      <c r="C148" s="21" t="s">
        <v>334</v>
      </c>
      <c r="D148" s="78">
        <v>847</v>
      </c>
      <c r="E148" s="21">
        <v>8470350</v>
      </c>
      <c r="F148" s="21" t="s">
        <v>843</v>
      </c>
      <c r="G148" s="79">
        <v>1</v>
      </c>
      <c r="H148" s="37" t="s">
        <v>654</v>
      </c>
      <c r="I148" s="21" t="s">
        <v>655</v>
      </c>
      <c r="J148" s="37" t="s">
        <v>60</v>
      </c>
      <c r="K148" s="21" t="s">
        <v>50</v>
      </c>
      <c r="L148" s="21">
        <v>847001</v>
      </c>
      <c r="M148" s="21" t="s">
        <v>61</v>
      </c>
      <c r="N148" s="21">
        <v>200179</v>
      </c>
      <c r="O148" s="37" t="str">
        <f t="shared" si="4"/>
        <v>847.8470350.1.435340.000000.847001.200179</v>
      </c>
      <c r="P148" s="21" t="s">
        <v>882</v>
      </c>
      <c r="Q148" s="21" t="s">
        <v>883</v>
      </c>
      <c r="R148" s="21">
        <v>10</v>
      </c>
      <c r="S148" s="21">
        <v>3000</v>
      </c>
      <c r="T148" s="21" t="s">
        <v>884</v>
      </c>
      <c r="U148" s="24">
        <f t="shared" si="3"/>
        <v>30000</v>
      </c>
      <c r="V148" s="21" t="s">
        <v>55</v>
      </c>
      <c r="W148" s="21" t="s">
        <v>56</v>
      </c>
      <c r="X148" s="21" t="s">
        <v>880</v>
      </c>
    </row>
    <row r="149" spans="1:24" s="39" customFormat="1" ht="16" customHeight="1" x14ac:dyDescent="0.35">
      <c r="A149" s="21" t="s">
        <v>222</v>
      </c>
      <c r="B149" s="21" t="s">
        <v>58</v>
      </c>
      <c r="C149" s="21" t="s">
        <v>334</v>
      </c>
      <c r="D149" s="78">
        <v>847</v>
      </c>
      <c r="E149" s="21">
        <v>8470350</v>
      </c>
      <c r="F149" s="21" t="s">
        <v>843</v>
      </c>
      <c r="G149" s="79">
        <v>1</v>
      </c>
      <c r="H149" s="37" t="s">
        <v>398</v>
      </c>
      <c r="I149" s="21" t="s">
        <v>399</v>
      </c>
      <c r="J149" s="37" t="s">
        <v>60</v>
      </c>
      <c r="K149" s="21" t="s">
        <v>50</v>
      </c>
      <c r="L149" s="21">
        <v>847001</v>
      </c>
      <c r="M149" s="21" t="s">
        <v>61</v>
      </c>
      <c r="N149" s="21">
        <v>200179</v>
      </c>
      <c r="O149" s="37" t="str">
        <f t="shared" si="4"/>
        <v>847.8470350.1.435350.000000.847001.200179</v>
      </c>
      <c r="P149" s="21" t="s">
        <v>401</v>
      </c>
      <c r="Q149" s="21" t="s">
        <v>157</v>
      </c>
      <c r="R149" s="21">
        <v>13</v>
      </c>
      <c r="S149" s="21">
        <v>12000</v>
      </c>
      <c r="T149" s="21" t="s">
        <v>889</v>
      </c>
      <c r="U149" s="24">
        <f t="shared" si="3"/>
        <v>156000</v>
      </c>
      <c r="V149" s="21" t="s">
        <v>55</v>
      </c>
      <c r="W149" s="21" t="s">
        <v>56</v>
      </c>
      <c r="X149" s="21" t="s">
        <v>880</v>
      </c>
    </row>
    <row r="150" spans="1:24" s="39" customFormat="1" ht="16" customHeight="1" x14ac:dyDescent="0.35">
      <c r="A150" s="21" t="s">
        <v>222</v>
      </c>
      <c r="B150" s="21" t="s">
        <v>220</v>
      </c>
      <c r="C150" s="21" t="s">
        <v>334</v>
      </c>
      <c r="D150" s="78">
        <v>847</v>
      </c>
      <c r="E150" s="21">
        <v>8470350</v>
      </c>
      <c r="F150" s="21" t="s">
        <v>843</v>
      </c>
      <c r="G150" s="79">
        <v>1</v>
      </c>
      <c r="H150" s="37" t="s">
        <v>404</v>
      </c>
      <c r="I150" s="21" t="s">
        <v>405</v>
      </c>
      <c r="J150" s="37" t="s">
        <v>60</v>
      </c>
      <c r="K150" s="21" t="s">
        <v>50</v>
      </c>
      <c r="L150" s="21">
        <v>847001</v>
      </c>
      <c r="M150" s="21" t="s">
        <v>61</v>
      </c>
      <c r="N150" s="21">
        <v>200179</v>
      </c>
      <c r="O150" s="37" t="str">
        <f t="shared" si="4"/>
        <v>847.8470350.1.435508.000000.847001.200179</v>
      </c>
      <c r="P150" s="21" t="s">
        <v>482</v>
      </c>
      <c r="Q150" s="21" t="s">
        <v>157</v>
      </c>
      <c r="R150" s="21">
        <v>60</v>
      </c>
      <c r="S150" s="21">
        <v>500</v>
      </c>
      <c r="T150" s="21" t="s">
        <v>893</v>
      </c>
      <c r="U150" s="24">
        <f t="shared" si="3"/>
        <v>30000</v>
      </c>
      <c r="V150" s="21" t="s">
        <v>55</v>
      </c>
      <c r="W150" s="21" t="s">
        <v>56</v>
      </c>
      <c r="X150" s="21" t="s">
        <v>880</v>
      </c>
    </row>
    <row r="151" spans="1:24" s="39" customFormat="1" ht="16" customHeight="1" x14ac:dyDescent="0.35">
      <c r="A151" s="21" t="s">
        <v>222</v>
      </c>
      <c r="B151" s="21" t="s">
        <v>220</v>
      </c>
      <c r="C151" s="21" t="s">
        <v>334</v>
      </c>
      <c r="D151" s="78">
        <v>847</v>
      </c>
      <c r="E151" s="21">
        <v>8470350</v>
      </c>
      <c r="F151" s="21" t="s">
        <v>843</v>
      </c>
      <c r="G151" s="79">
        <v>1</v>
      </c>
      <c r="H151" s="37" t="s">
        <v>404</v>
      </c>
      <c r="I151" s="21" t="s">
        <v>405</v>
      </c>
      <c r="J151" s="37" t="s">
        <v>60</v>
      </c>
      <c r="K151" s="21" t="s">
        <v>50</v>
      </c>
      <c r="L151" s="21">
        <v>847001</v>
      </c>
      <c r="M151" s="21" t="s">
        <v>61</v>
      </c>
      <c r="N151" s="21">
        <v>200179</v>
      </c>
      <c r="O151" s="37" t="str">
        <f t="shared" si="4"/>
        <v>847.8470350.1.435508.000000.847001.200179</v>
      </c>
      <c r="P151" s="21" t="s">
        <v>482</v>
      </c>
      <c r="Q151" s="21" t="s">
        <v>157</v>
      </c>
      <c r="R151" s="21">
        <v>60</v>
      </c>
      <c r="S151" s="21">
        <v>500</v>
      </c>
      <c r="T151" s="21" t="s">
        <v>894</v>
      </c>
      <c r="U151" s="24">
        <f t="shared" si="3"/>
        <v>30000</v>
      </c>
      <c r="V151" s="21" t="s">
        <v>55</v>
      </c>
      <c r="W151" s="21" t="s">
        <v>56</v>
      </c>
      <c r="X151" s="21" t="s">
        <v>880</v>
      </c>
    </row>
    <row r="152" spans="1:24" s="39" customFormat="1" ht="16" customHeight="1" x14ac:dyDescent="0.35">
      <c r="A152" s="21" t="s">
        <v>222</v>
      </c>
      <c r="B152" s="21" t="s">
        <v>220</v>
      </c>
      <c r="C152" s="21" t="s">
        <v>334</v>
      </c>
      <c r="D152" s="78">
        <v>847</v>
      </c>
      <c r="E152" s="21">
        <v>8470350</v>
      </c>
      <c r="F152" s="21" t="s">
        <v>843</v>
      </c>
      <c r="G152" s="79">
        <v>1</v>
      </c>
      <c r="H152" s="37" t="s">
        <v>404</v>
      </c>
      <c r="I152" s="21" t="s">
        <v>405</v>
      </c>
      <c r="J152" s="37" t="s">
        <v>60</v>
      </c>
      <c r="K152" s="21" t="s">
        <v>50</v>
      </c>
      <c r="L152" s="21">
        <v>847001</v>
      </c>
      <c r="M152" s="21" t="s">
        <v>61</v>
      </c>
      <c r="N152" s="21">
        <v>200179</v>
      </c>
      <c r="O152" s="37" t="str">
        <f t="shared" si="4"/>
        <v>847.8470350.1.435508.000000.847001.200179</v>
      </c>
      <c r="P152" s="21" t="s">
        <v>482</v>
      </c>
      <c r="Q152" s="21" t="s">
        <v>157</v>
      </c>
      <c r="R152" s="21">
        <v>60</v>
      </c>
      <c r="S152" s="21">
        <v>1200</v>
      </c>
      <c r="T152" s="21" t="s">
        <v>895</v>
      </c>
      <c r="U152" s="24">
        <f t="shared" si="3"/>
        <v>72000</v>
      </c>
      <c r="V152" s="21" t="s">
        <v>55</v>
      </c>
      <c r="W152" s="21" t="s">
        <v>56</v>
      </c>
      <c r="X152" s="21" t="s">
        <v>880</v>
      </c>
    </row>
    <row r="153" spans="1:24" s="39" customFormat="1" ht="16" customHeight="1" x14ac:dyDescent="0.35">
      <c r="A153" s="21" t="s">
        <v>189</v>
      </c>
      <c r="B153" s="21" t="s">
        <v>58</v>
      </c>
      <c r="C153" s="21" t="s">
        <v>334</v>
      </c>
      <c r="D153" s="78">
        <v>847</v>
      </c>
      <c r="E153" s="21">
        <v>8470350</v>
      </c>
      <c r="F153" s="21" t="s">
        <v>843</v>
      </c>
      <c r="G153" s="79">
        <v>1</v>
      </c>
      <c r="H153" s="37" t="s">
        <v>409</v>
      </c>
      <c r="I153" s="21" t="s">
        <v>190</v>
      </c>
      <c r="J153" s="37" t="s">
        <v>60</v>
      </c>
      <c r="K153" s="21" t="s">
        <v>50</v>
      </c>
      <c r="L153" s="21">
        <v>847001</v>
      </c>
      <c r="M153" s="21" t="s">
        <v>61</v>
      </c>
      <c r="N153" s="21">
        <v>200179</v>
      </c>
      <c r="O153" s="37" t="str">
        <f t="shared" si="4"/>
        <v>847.8470350.1.436110.000000.847001.200179</v>
      </c>
      <c r="P153" s="21" t="s">
        <v>488</v>
      </c>
      <c r="Q153" s="21" t="s">
        <v>157</v>
      </c>
      <c r="R153" s="21">
        <v>10</v>
      </c>
      <c r="S153" s="21">
        <v>500</v>
      </c>
      <c r="T153" s="21" t="s">
        <v>966</v>
      </c>
      <c r="U153" s="24">
        <f t="shared" si="3"/>
        <v>5000</v>
      </c>
      <c r="V153" s="21" t="s">
        <v>55</v>
      </c>
      <c r="W153" s="21" t="s">
        <v>56</v>
      </c>
      <c r="X153" s="21" t="s">
        <v>230</v>
      </c>
    </row>
    <row r="154" spans="1:24" s="39" customFormat="1" ht="16" customHeight="1" x14ac:dyDescent="0.35">
      <c r="A154" s="21" t="s">
        <v>222</v>
      </c>
      <c r="B154" s="21" t="s">
        <v>58</v>
      </c>
      <c r="C154" s="21" t="s">
        <v>334</v>
      </c>
      <c r="D154" s="78">
        <v>847</v>
      </c>
      <c r="E154" s="21">
        <v>8470350</v>
      </c>
      <c r="F154" s="21" t="s">
        <v>843</v>
      </c>
      <c r="G154" s="79">
        <v>1</v>
      </c>
      <c r="H154" s="37" t="s">
        <v>415</v>
      </c>
      <c r="I154" s="21" t="s">
        <v>416</v>
      </c>
      <c r="J154" s="37" t="s">
        <v>60</v>
      </c>
      <c r="K154" s="21" t="s">
        <v>50</v>
      </c>
      <c r="L154" s="21">
        <v>847001</v>
      </c>
      <c r="M154" s="21" t="s">
        <v>61</v>
      </c>
      <c r="N154" s="21">
        <v>200179</v>
      </c>
      <c r="O154" s="37" t="str">
        <f t="shared" si="4"/>
        <v>847.8470350.1.436600.000000.847001.200179</v>
      </c>
      <c r="P154" s="21" t="s">
        <v>492</v>
      </c>
      <c r="Q154" s="21" t="s">
        <v>157</v>
      </c>
      <c r="R154" s="21">
        <v>4</v>
      </c>
      <c r="S154" s="21">
        <v>27000</v>
      </c>
      <c r="T154" s="21" t="s">
        <v>967</v>
      </c>
      <c r="U154" s="24">
        <f t="shared" si="3"/>
        <v>108000</v>
      </c>
      <c r="V154" s="21" t="s">
        <v>55</v>
      </c>
      <c r="W154" s="21" t="s">
        <v>56</v>
      </c>
      <c r="X154" s="21" t="s">
        <v>230</v>
      </c>
    </row>
    <row r="155" spans="1:24" s="39" customFormat="1" ht="16" customHeight="1" x14ac:dyDescent="0.35">
      <c r="A155" s="21" t="s">
        <v>161</v>
      </c>
      <c r="B155" s="21" t="s">
        <v>220</v>
      </c>
      <c r="C155" s="21" t="s">
        <v>334</v>
      </c>
      <c r="D155" s="78">
        <v>847</v>
      </c>
      <c r="E155" s="21">
        <v>8470350</v>
      </c>
      <c r="F155" s="21" t="s">
        <v>843</v>
      </c>
      <c r="G155" s="79">
        <v>1</v>
      </c>
      <c r="H155" s="37" t="s">
        <v>420</v>
      </c>
      <c r="I155" s="21" t="s">
        <v>221</v>
      </c>
      <c r="J155" s="37" t="s">
        <v>60</v>
      </c>
      <c r="K155" s="21" t="s">
        <v>50</v>
      </c>
      <c r="L155" s="21">
        <v>847001</v>
      </c>
      <c r="M155" s="21" t="s">
        <v>192</v>
      </c>
      <c r="N155" s="21">
        <v>300180</v>
      </c>
      <c r="O155" s="37" t="str">
        <f t="shared" si="4"/>
        <v>847.8470350.1.492316.000000.847001.300180</v>
      </c>
      <c r="P155" s="21" t="s">
        <v>969</v>
      </c>
      <c r="Q155" s="21" t="s">
        <v>157</v>
      </c>
      <c r="R155" s="21">
        <v>10</v>
      </c>
      <c r="S155" s="21">
        <v>10000</v>
      </c>
      <c r="T155" s="21" t="s">
        <v>921</v>
      </c>
      <c r="U155" s="24">
        <f t="shared" si="3"/>
        <v>100000</v>
      </c>
      <c r="V155" s="21" t="s">
        <v>55</v>
      </c>
      <c r="W155" s="21" t="s">
        <v>56</v>
      </c>
      <c r="X155" s="21" t="s">
        <v>880</v>
      </c>
    </row>
    <row r="156" spans="1:24" s="39" customFormat="1" ht="16" customHeight="1" x14ac:dyDescent="0.35">
      <c r="A156" s="21" t="s">
        <v>161</v>
      </c>
      <c r="B156" s="21" t="s">
        <v>220</v>
      </c>
      <c r="C156" s="21" t="s">
        <v>334</v>
      </c>
      <c r="D156" s="78">
        <v>847</v>
      </c>
      <c r="E156" s="21">
        <v>8470350</v>
      </c>
      <c r="F156" s="21" t="s">
        <v>843</v>
      </c>
      <c r="G156" s="79">
        <v>1</v>
      </c>
      <c r="H156" s="37" t="s">
        <v>420</v>
      </c>
      <c r="I156" s="21" t="s">
        <v>221</v>
      </c>
      <c r="J156" s="37" t="s">
        <v>60</v>
      </c>
      <c r="K156" s="21" t="s">
        <v>50</v>
      </c>
      <c r="L156" s="21">
        <v>847001</v>
      </c>
      <c r="M156" s="21" t="s">
        <v>192</v>
      </c>
      <c r="N156" s="21">
        <v>300180</v>
      </c>
      <c r="O156" s="37" t="str">
        <f t="shared" si="4"/>
        <v>847.8470350.1.492316.000000.847001.300180</v>
      </c>
      <c r="P156" s="21" t="s">
        <v>969</v>
      </c>
      <c r="Q156" s="21" t="s">
        <v>157</v>
      </c>
      <c r="R156" s="21">
        <v>1</v>
      </c>
      <c r="S156" s="21">
        <v>3000000</v>
      </c>
      <c r="T156" s="21" t="s">
        <v>981</v>
      </c>
      <c r="U156" s="24">
        <f t="shared" si="3"/>
        <v>3000000</v>
      </c>
      <c r="V156" s="21" t="s">
        <v>55</v>
      </c>
      <c r="W156" s="21" t="s">
        <v>56</v>
      </c>
      <c r="X156" s="21" t="s">
        <v>880</v>
      </c>
    </row>
    <row r="157" spans="1:24" s="39" customFormat="1" ht="16" customHeight="1" x14ac:dyDescent="0.35">
      <c r="A157" s="21" t="s">
        <v>161</v>
      </c>
      <c r="B157" s="21" t="s">
        <v>220</v>
      </c>
      <c r="C157" s="21" t="s">
        <v>334</v>
      </c>
      <c r="D157" s="78">
        <v>847</v>
      </c>
      <c r="E157" s="21">
        <v>8470350</v>
      </c>
      <c r="F157" s="21" t="s">
        <v>843</v>
      </c>
      <c r="G157" s="79">
        <v>1</v>
      </c>
      <c r="H157" s="37" t="s">
        <v>420</v>
      </c>
      <c r="I157" s="21" t="s">
        <v>221</v>
      </c>
      <c r="J157" s="37" t="s">
        <v>60</v>
      </c>
      <c r="K157" s="21" t="s">
        <v>50</v>
      </c>
      <c r="L157" s="21">
        <v>847001</v>
      </c>
      <c r="M157" s="21" t="s">
        <v>192</v>
      </c>
      <c r="N157" s="21">
        <v>300180</v>
      </c>
      <c r="O157" s="37" t="str">
        <f t="shared" si="4"/>
        <v>847.8470350.1.492316.000000.847001.300180</v>
      </c>
      <c r="P157" s="21" t="s">
        <v>907</v>
      </c>
      <c r="Q157" s="21" t="s">
        <v>201</v>
      </c>
      <c r="R157" s="21">
        <v>3</v>
      </c>
      <c r="S157" s="21">
        <v>30000</v>
      </c>
      <c r="T157" s="21" t="s">
        <v>982</v>
      </c>
      <c r="U157" s="24">
        <f t="shared" ref="U157:U186" si="5">R157*S157</f>
        <v>90000</v>
      </c>
      <c r="V157" s="21" t="s">
        <v>55</v>
      </c>
      <c r="W157" s="21" t="s">
        <v>56</v>
      </c>
      <c r="X157" s="21" t="s">
        <v>880</v>
      </c>
    </row>
    <row r="158" spans="1:24" s="39" customFormat="1" ht="16" customHeight="1" x14ac:dyDescent="0.35">
      <c r="A158" s="21" t="s">
        <v>222</v>
      </c>
      <c r="B158" s="21" t="s">
        <v>58</v>
      </c>
      <c r="C158" s="21" t="s">
        <v>334</v>
      </c>
      <c r="D158" s="78">
        <v>847</v>
      </c>
      <c r="E158" s="21">
        <v>8470315</v>
      </c>
      <c r="F158" s="21" t="s">
        <v>426</v>
      </c>
      <c r="G158" s="79">
        <v>1</v>
      </c>
      <c r="H158" s="37" t="s">
        <v>336</v>
      </c>
      <c r="I158" s="21" t="s">
        <v>225</v>
      </c>
      <c r="J158" s="37" t="s">
        <v>60</v>
      </c>
      <c r="K158" s="21" t="s">
        <v>50</v>
      </c>
      <c r="L158" s="21">
        <v>847001</v>
      </c>
      <c r="M158" s="21" t="s">
        <v>61</v>
      </c>
      <c r="N158" s="21">
        <v>200179</v>
      </c>
      <c r="O158" s="37" t="str">
        <f t="shared" si="4"/>
        <v>847.8470315.1.420550.000000.847001.200179</v>
      </c>
      <c r="P158" s="21" t="s">
        <v>227</v>
      </c>
      <c r="Q158" s="21" t="s">
        <v>157</v>
      </c>
      <c r="R158" s="21">
        <v>1</v>
      </c>
      <c r="S158" s="21">
        <v>7000</v>
      </c>
      <c r="T158" s="21" t="s">
        <v>428</v>
      </c>
      <c r="U158" s="24">
        <f t="shared" si="5"/>
        <v>7000</v>
      </c>
      <c r="V158" s="21" t="s">
        <v>55</v>
      </c>
      <c r="W158" s="21" t="s">
        <v>56</v>
      </c>
      <c r="X158" s="21" t="s">
        <v>230</v>
      </c>
    </row>
    <row r="159" spans="1:24" s="39" customFormat="1" ht="16" customHeight="1" x14ac:dyDescent="0.35">
      <c r="A159" s="21" t="s">
        <v>245</v>
      </c>
      <c r="B159" s="21" t="s">
        <v>246</v>
      </c>
      <c r="C159" s="21" t="s">
        <v>334</v>
      </c>
      <c r="D159" s="78">
        <v>847</v>
      </c>
      <c r="E159" s="21">
        <v>8470315</v>
      </c>
      <c r="F159" s="21" t="s">
        <v>426</v>
      </c>
      <c r="G159" s="79">
        <v>1</v>
      </c>
      <c r="H159" s="37" t="s">
        <v>342</v>
      </c>
      <c r="I159" s="21" t="s">
        <v>247</v>
      </c>
      <c r="J159" s="37" t="s">
        <v>60</v>
      </c>
      <c r="K159" s="21" t="s">
        <v>50</v>
      </c>
      <c r="L159" s="21">
        <v>847001</v>
      </c>
      <c r="M159" s="21" t="s">
        <v>61</v>
      </c>
      <c r="N159" s="21">
        <v>200179</v>
      </c>
      <c r="O159" s="37" t="str">
        <f t="shared" si="4"/>
        <v>847.8470315.1.425510.000000.847001.200179</v>
      </c>
      <c r="P159" s="21" t="s">
        <v>433</v>
      </c>
      <c r="Q159" s="21" t="s">
        <v>434</v>
      </c>
      <c r="R159" s="21">
        <v>12</v>
      </c>
      <c r="S159" s="21">
        <v>1000</v>
      </c>
      <c r="T159" s="21" t="s">
        <v>983</v>
      </c>
      <c r="U159" s="24">
        <f t="shared" si="5"/>
        <v>12000</v>
      </c>
      <c r="V159" s="21" t="s">
        <v>55</v>
      </c>
      <c r="W159" s="21" t="s">
        <v>56</v>
      </c>
      <c r="X159" s="21" t="s">
        <v>230</v>
      </c>
    </row>
    <row r="160" spans="1:24" s="39" customFormat="1" ht="16" customHeight="1" x14ac:dyDescent="0.35">
      <c r="A160" s="21" t="s">
        <v>258</v>
      </c>
      <c r="B160" s="21" t="s">
        <v>350</v>
      </c>
      <c r="C160" s="21" t="s">
        <v>334</v>
      </c>
      <c r="D160" s="78">
        <v>847</v>
      </c>
      <c r="E160" s="21">
        <v>8470315</v>
      </c>
      <c r="F160" s="21" t="s">
        <v>426</v>
      </c>
      <c r="G160" s="79">
        <v>1</v>
      </c>
      <c r="H160" s="37" t="s">
        <v>351</v>
      </c>
      <c r="I160" s="21" t="s">
        <v>352</v>
      </c>
      <c r="J160" s="37" t="s">
        <v>60</v>
      </c>
      <c r="K160" s="21" t="s">
        <v>50</v>
      </c>
      <c r="L160" s="21">
        <v>847001</v>
      </c>
      <c r="M160" s="21" t="s">
        <v>61</v>
      </c>
      <c r="N160" s="21">
        <v>200179</v>
      </c>
      <c r="O160" s="37" t="str">
        <f t="shared" si="4"/>
        <v>847.8470315.1.425760.000000.847001.200179</v>
      </c>
      <c r="P160" s="21" t="s">
        <v>440</v>
      </c>
      <c r="Q160" s="21" t="s">
        <v>441</v>
      </c>
      <c r="R160" s="21">
        <v>7</v>
      </c>
      <c r="S160" s="21">
        <v>5000</v>
      </c>
      <c r="T160" s="21" t="s">
        <v>442</v>
      </c>
      <c r="U160" s="24">
        <f t="shared" si="5"/>
        <v>35000</v>
      </c>
      <c r="V160" s="21" t="s">
        <v>55</v>
      </c>
      <c r="W160" s="21" t="s">
        <v>56</v>
      </c>
      <c r="X160" s="21" t="s">
        <v>230</v>
      </c>
    </row>
    <row r="161" spans="1:24" s="39" customFormat="1" ht="16" customHeight="1" x14ac:dyDescent="0.35">
      <c r="A161" s="21" t="s">
        <v>258</v>
      </c>
      <c r="B161" s="21" t="s">
        <v>58</v>
      </c>
      <c r="C161" s="21" t="s">
        <v>334</v>
      </c>
      <c r="D161" s="78">
        <v>847</v>
      </c>
      <c r="E161" s="21">
        <v>8470315</v>
      </c>
      <c r="F161" s="21" t="s">
        <v>426</v>
      </c>
      <c r="G161" s="79">
        <v>1</v>
      </c>
      <c r="H161" s="37" t="s">
        <v>358</v>
      </c>
      <c r="I161" s="21" t="s">
        <v>359</v>
      </c>
      <c r="J161" s="37" t="s">
        <v>60</v>
      </c>
      <c r="K161" s="21" t="s">
        <v>50</v>
      </c>
      <c r="L161" s="21">
        <v>847001</v>
      </c>
      <c r="M161" s="21" t="s">
        <v>61</v>
      </c>
      <c r="N161" s="21">
        <v>200179</v>
      </c>
      <c r="O161" s="37" t="str">
        <f t="shared" si="4"/>
        <v>847.8470315.1.425763.000000.847001.200179</v>
      </c>
      <c r="P161" s="21" t="s">
        <v>361</v>
      </c>
      <c r="Q161" s="21" t="s">
        <v>68</v>
      </c>
      <c r="R161" s="21">
        <v>70</v>
      </c>
      <c r="S161" s="21">
        <v>3000</v>
      </c>
      <c r="T161" s="21" t="s">
        <v>447</v>
      </c>
      <c r="U161" s="24">
        <f t="shared" si="5"/>
        <v>210000</v>
      </c>
      <c r="V161" s="21" t="s">
        <v>55</v>
      </c>
      <c r="W161" s="21" t="s">
        <v>56</v>
      </c>
      <c r="X161" s="21" t="s">
        <v>230</v>
      </c>
    </row>
    <row r="162" spans="1:24" s="39" customFormat="1" ht="16" customHeight="1" x14ac:dyDescent="0.35">
      <c r="A162" s="21" t="s">
        <v>222</v>
      </c>
      <c r="B162" s="21" t="s">
        <v>58</v>
      </c>
      <c r="C162" s="21" t="s">
        <v>334</v>
      </c>
      <c r="D162" s="78">
        <v>847</v>
      </c>
      <c r="E162" s="21">
        <v>8470315</v>
      </c>
      <c r="F162" s="21" t="s">
        <v>426</v>
      </c>
      <c r="G162" s="79">
        <v>1</v>
      </c>
      <c r="H162" s="37" t="s">
        <v>366</v>
      </c>
      <c r="I162" s="21" t="s">
        <v>367</v>
      </c>
      <c r="J162" s="37" t="s">
        <v>60</v>
      </c>
      <c r="K162" s="21" t="s">
        <v>50</v>
      </c>
      <c r="L162" s="21">
        <v>847001</v>
      </c>
      <c r="M162" s="21" t="s">
        <v>61</v>
      </c>
      <c r="N162" s="21">
        <v>200179</v>
      </c>
      <c r="O162" s="37" t="str">
        <f t="shared" si="4"/>
        <v>847.8470315.1.425770.000000.847001.200179</v>
      </c>
      <c r="P162" s="21" t="s">
        <v>926</v>
      </c>
      <c r="Q162" s="21" t="s">
        <v>157</v>
      </c>
      <c r="R162" s="21">
        <v>18</v>
      </c>
      <c r="S162" s="21">
        <v>20000</v>
      </c>
      <c r="T162" s="21" t="s">
        <v>452</v>
      </c>
      <c r="U162" s="24">
        <f t="shared" si="5"/>
        <v>360000</v>
      </c>
      <c r="V162" s="21" t="s">
        <v>55</v>
      </c>
      <c r="W162" s="21" t="s">
        <v>56</v>
      </c>
      <c r="X162" s="21" t="s">
        <v>348</v>
      </c>
    </row>
    <row r="163" spans="1:24" s="39" customFormat="1" ht="16" customHeight="1" x14ac:dyDescent="0.35">
      <c r="A163" s="21" t="s">
        <v>189</v>
      </c>
      <c r="B163" s="21" t="s">
        <v>265</v>
      </c>
      <c r="C163" s="21" t="s">
        <v>334</v>
      </c>
      <c r="D163" s="78">
        <v>847</v>
      </c>
      <c r="E163" s="21">
        <v>8470315</v>
      </c>
      <c r="F163" s="21" t="s">
        <v>426</v>
      </c>
      <c r="G163" s="79">
        <v>1</v>
      </c>
      <c r="H163" s="37" t="s">
        <v>375</v>
      </c>
      <c r="I163" s="21" t="s">
        <v>266</v>
      </c>
      <c r="J163" s="37" t="s">
        <v>60</v>
      </c>
      <c r="K163" s="21" t="s">
        <v>50</v>
      </c>
      <c r="L163" s="21">
        <v>847001</v>
      </c>
      <c r="M163" s="21" t="s">
        <v>61</v>
      </c>
      <c r="N163" s="21">
        <v>200179</v>
      </c>
      <c r="O163" s="37" t="str">
        <f t="shared" si="4"/>
        <v>847.8470315.1.425900.000000.847001.200179</v>
      </c>
      <c r="P163" s="21" t="s">
        <v>268</v>
      </c>
      <c r="Q163" s="21" t="s">
        <v>269</v>
      </c>
      <c r="R163" s="21">
        <v>16</v>
      </c>
      <c r="S163" s="21">
        <v>2000</v>
      </c>
      <c r="T163" s="21" t="s">
        <v>457</v>
      </c>
      <c r="U163" s="24">
        <f t="shared" si="5"/>
        <v>32000</v>
      </c>
      <c r="V163" s="21" t="s">
        <v>55</v>
      </c>
      <c r="W163" s="21" t="s">
        <v>56</v>
      </c>
      <c r="X163" s="21" t="s">
        <v>230</v>
      </c>
    </row>
    <row r="164" spans="1:24" s="39" customFormat="1" ht="16" customHeight="1" x14ac:dyDescent="0.35">
      <c r="A164" s="21" t="s">
        <v>63</v>
      </c>
      <c r="B164" s="21" t="s">
        <v>64</v>
      </c>
      <c r="C164" s="21" t="s">
        <v>334</v>
      </c>
      <c r="D164" s="78">
        <v>847</v>
      </c>
      <c r="E164" s="21">
        <v>8470315</v>
      </c>
      <c r="F164" s="21" t="s">
        <v>426</v>
      </c>
      <c r="G164" s="79">
        <v>1</v>
      </c>
      <c r="H164" s="37" t="s">
        <v>380</v>
      </c>
      <c r="I164" s="21" t="s">
        <v>74</v>
      </c>
      <c r="J164" s="37" t="s">
        <v>60</v>
      </c>
      <c r="K164" s="21" t="s">
        <v>50</v>
      </c>
      <c r="L164" s="21">
        <v>847001</v>
      </c>
      <c r="M164" s="21" t="s">
        <v>61</v>
      </c>
      <c r="N164" s="21">
        <v>200179</v>
      </c>
      <c r="O164" s="37" t="str">
        <f t="shared" si="4"/>
        <v>847.8470315.1.426610.000000.847001.200179</v>
      </c>
      <c r="P164" s="21" t="s">
        <v>274</v>
      </c>
      <c r="Q164" s="21" t="s">
        <v>157</v>
      </c>
      <c r="R164" s="21">
        <v>1</v>
      </c>
      <c r="S164" s="21">
        <v>107000</v>
      </c>
      <c r="T164" s="21" t="s">
        <v>461</v>
      </c>
      <c r="U164" s="24">
        <f t="shared" si="5"/>
        <v>107000</v>
      </c>
      <c r="V164" s="21" t="s">
        <v>55</v>
      </c>
      <c r="W164" s="21" t="s">
        <v>56</v>
      </c>
      <c r="X164" s="21" t="s">
        <v>230</v>
      </c>
    </row>
    <row r="165" spans="1:24" s="39" customFormat="1" ht="16" customHeight="1" x14ac:dyDescent="0.35">
      <c r="A165" s="21" t="s">
        <v>153</v>
      </c>
      <c r="B165" s="21" t="s">
        <v>58</v>
      </c>
      <c r="C165" s="21" t="s">
        <v>334</v>
      </c>
      <c r="D165" s="78">
        <v>847</v>
      </c>
      <c r="E165" s="21">
        <v>8470315</v>
      </c>
      <c r="F165" s="21" t="s">
        <v>426</v>
      </c>
      <c r="G165" s="79">
        <v>1</v>
      </c>
      <c r="H165" s="37" t="s">
        <v>385</v>
      </c>
      <c r="I165" s="21" t="s">
        <v>154</v>
      </c>
      <c r="J165" s="37" t="s">
        <v>60</v>
      </c>
      <c r="K165" s="21" t="s">
        <v>50</v>
      </c>
      <c r="L165" s="21">
        <v>847001</v>
      </c>
      <c r="M165" s="21" t="s">
        <v>61</v>
      </c>
      <c r="N165" s="21">
        <v>200179</v>
      </c>
      <c r="O165" s="37" t="str">
        <f t="shared" si="4"/>
        <v>847.8470315.1.428090.000000.847001.200179</v>
      </c>
      <c r="P165" s="21" t="s">
        <v>387</v>
      </c>
      <c r="Q165" s="21" t="s">
        <v>157</v>
      </c>
      <c r="R165" s="21">
        <v>2</v>
      </c>
      <c r="S165" s="21">
        <v>10000</v>
      </c>
      <c r="T165" s="21" t="s">
        <v>466</v>
      </c>
      <c r="U165" s="24">
        <f t="shared" si="5"/>
        <v>20000</v>
      </c>
      <c r="V165" s="21" t="s">
        <v>55</v>
      </c>
      <c r="W165" s="21" t="s">
        <v>56</v>
      </c>
      <c r="X165" s="21" t="s">
        <v>230</v>
      </c>
    </row>
    <row r="166" spans="1:24" s="39" customFormat="1" ht="16" customHeight="1" x14ac:dyDescent="0.35">
      <c r="A166" s="21" t="s">
        <v>222</v>
      </c>
      <c r="B166" s="21" t="s">
        <v>58</v>
      </c>
      <c r="C166" s="21" t="s">
        <v>334</v>
      </c>
      <c r="D166" s="78">
        <v>847</v>
      </c>
      <c r="E166" s="21">
        <v>8470315</v>
      </c>
      <c r="F166" s="21" t="s">
        <v>426</v>
      </c>
      <c r="G166" s="79">
        <v>1</v>
      </c>
      <c r="H166" s="37" t="s">
        <v>392</v>
      </c>
      <c r="I166" s="21" t="s">
        <v>393</v>
      </c>
      <c r="J166" s="37" t="s">
        <v>60</v>
      </c>
      <c r="K166" s="21" t="s">
        <v>50</v>
      </c>
      <c r="L166" s="21">
        <v>847001</v>
      </c>
      <c r="M166" s="21" t="s">
        <v>61</v>
      </c>
      <c r="N166" s="21">
        <v>200179</v>
      </c>
      <c r="O166" s="37" t="str">
        <f t="shared" si="4"/>
        <v>847.8470315.1.432209.000000.847001.200179</v>
      </c>
      <c r="P166" s="21" t="s">
        <v>470</v>
      </c>
      <c r="Q166" s="21" t="s">
        <v>157</v>
      </c>
      <c r="R166" s="21">
        <v>1</v>
      </c>
      <c r="S166" s="21">
        <v>18000</v>
      </c>
      <c r="T166" s="21" t="s">
        <v>927</v>
      </c>
      <c r="U166" s="24">
        <f t="shared" si="5"/>
        <v>18000</v>
      </c>
      <c r="V166" s="21" t="s">
        <v>55</v>
      </c>
      <c r="W166" s="21" t="s">
        <v>56</v>
      </c>
      <c r="X166" s="21" t="s">
        <v>230</v>
      </c>
    </row>
    <row r="167" spans="1:24" s="39" customFormat="1" ht="16" customHeight="1" x14ac:dyDescent="0.35">
      <c r="A167" s="21" t="s">
        <v>222</v>
      </c>
      <c r="B167" s="21" t="s">
        <v>58</v>
      </c>
      <c r="C167" s="21" t="s">
        <v>334</v>
      </c>
      <c r="D167" s="78">
        <v>847</v>
      </c>
      <c r="E167" s="21">
        <v>8470315</v>
      </c>
      <c r="F167" s="21" t="s">
        <v>426</v>
      </c>
      <c r="G167" s="79">
        <v>1</v>
      </c>
      <c r="H167" s="37" t="s">
        <v>398</v>
      </c>
      <c r="I167" s="21" t="s">
        <v>399</v>
      </c>
      <c r="J167" s="37" t="s">
        <v>60</v>
      </c>
      <c r="K167" s="21" t="s">
        <v>50</v>
      </c>
      <c r="L167" s="21">
        <v>847001</v>
      </c>
      <c r="M167" s="21" t="s">
        <v>61</v>
      </c>
      <c r="N167" s="21">
        <v>200179</v>
      </c>
      <c r="O167" s="37" t="str">
        <f t="shared" si="4"/>
        <v>847.8470315.1.435350.000000.847001.200179</v>
      </c>
      <c r="P167" s="21" t="s">
        <v>401</v>
      </c>
      <c r="Q167" s="21" t="s">
        <v>157</v>
      </c>
      <c r="R167" s="21">
        <v>16</v>
      </c>
      <c r="S167" s="21">
        <v>5000</v>
      </c>
      <c r="T167" s="21" t="s">
        <v>476</v>
      </c>
      <c r="U167" s="24">
        <f t="shared" si="5"/>
        <v>80000</v>
      </c>
      <c r="V167" s="21" t="s">
        <v>55</v>
      </c>
      <c r="W167" s="21" t="s">
        <v>56</v>
      </c>
      <c r="X167" s="21" t="s">
        <v>480</v>
      </c>
    </row>
    <row r="168" spans="1:24" s="39" customFormat="1" ht="16" customHeight="1" x14ac:dyDescent="0.35">
      <c r="A168" s="21" t="s">
        <v>222</v>
      </c>
      <c r="B168" s="21" t="s">
        <v>220</v>
      </c>
      <c r="C168" s="21" t="s">
        <v>334</v>
      </c>
      <c r="D168" s="78">
        <v>847</v>
      </c>
      <c r="E168" s="21">
        <v>8470315</v>
      </c>
      <c r="F168" s="21" t="s">
        <v>426</v>
      </c>
      <c r="G168" s="79">
        <v>1</v>
      </c>
      <c r="H168" s="37" t="s">
        <v>404</v>
      </c>
      <c r="I168" s="21" t="s">
        <v>405</v>
      </c>
      <c r="J168" s="37" t="s">
        <v>60</v>
      </c>
      <c r="K168" s="21" t="s">
        <v>50</v>
      </c>
      <c r="L168" s="21">
        <v>847001</v>
      </c>
      <c r="M168" s="21" t="s">
        <v>61</v>
      </c>
      <c r="N168" s="21">
        <v>200179</v>
      </c>
      <c r="O168" s="37" t="str">
        <f t="shared" si="4"/>
        <v>847.8470315.1.435508.000000.847001.200179</v>
      </c>
      <c r="P168" s="21" t="s">
        <v>482</v>
      </c>
      <c r="Q168" s="21" t="s">
        <v>157</v>
      </c>
      <c r="R168" s="21">
        <v>1</v>
      </c>
      <c r="S168" s="21">
        <v>250000</v>
      </c>
      <c r="T168" s="21" t="s">
        <v>984</v>
      </c>
      <c r="U168" s="24">
        <f t="shared" si="5"/>
        <v>250000</v>
      </c>
      <c r="V168" s="21" t="s">
        <v>55</v>
      </c>
      <c r="W168" s="21" t="s">
        <v>56</v>
      </c>
      <c r="X168" s="21" t="s">
        <v>365</v>
      </c>
    </row>
    <row r="169" spans="1:24" s="39" customFormat="1" ht="16" customHeight="1" x14ac:dyDescent="0.35">
      <c r="A169" s="21" t="s">
        <v>189</v>
      </c>
      <c r="B169" s="21" t="s">
        <v>58</v>
      </c>
      <c r="C169" s="21" t="s">
        <v>334</v>
      </c>
      <c r="D169" s="78">
        <v>847</v>
      </c>
      <c r="E169" s="21">
        <v>8470315</v>
      </c>
      <c r="F169" s="21" t="s">
        <v>426</v>
      </c>
      <c r="G169" s="79">
        <v>1</v>
      </c>
      <c r="H169" s="37" t="s">
        <v>409</v>
      </c>
      <c r="I169" s="21" t="s">
        <v>190</v>
      </c>
      <c r="J169" s="37" t="s">
        <v>60</v>
      </c>
      <c r="K169" s="21" t="s">
        <v>50</v>
      </c>
      <c r="L169" s="21">
        <v>847001</v>
      </c>
      <c r="M169" s="21" t="s">
        <v>61</v>
      </c>
      <c r="N169" s="21">
        <v>200179</v>
      </c>
      <c r="O169" s="37" t="str">
        <f t="shared" si="4"/>
        <v>847.8470315.1.436110.000000.847001.200179</v>
      </c>
      <c r="P169" s="21" t="s">
        <v>488</v>
      </c>
      <c r="Q169" s="21" t="s">
        <v>157</v>
      </c>
      <c r="R169" s="21">
        <v>5</v>
      </c>
      <c r="S169" s="21">
        <v>500</v>
      </c>
      <c r="T169" s="21" t="s">
        <v>489</v>
      </c>
      <c r="U169" s="24">
        <f t="shared" si="5"/>
        <v>2500</v>
      </c>
      <c r="V169" s="21" t="s">
        <v>55</v>
      </c>
      <c r="W169" s="21" t="s">
        <v>56</v>
      </c>
      <c r="X169" s="21" t="s">
        <v>230</v>
      </c>
    </row>
    <row r="170" spans="1:24" s="39" customFormat="1" ht="16" customHeight="1" x14ac:dyDescent="0.35">
      <c r="A170" s="21" t="s">
        <v>222</v>
      </c>
      <c r="B170" s="21" t="s">
        <v>58</v>
      </c>
      <c r="C170" s="21" t="s">
        <v>334</v>
      </c>
      <c r="D170" s="78">
        <v>847</v>
      </c>
      <c r="E170" s="21">
        <v>8470315</v>
      </c>
      <c r="F170" s="21" t="s">
        <v>426</v>
      </c>
      <c r="G170" s="79">
        <v>1</v>
      </c>
      <c r="H170" s="37" t="s">
        <v>415</v>
      </c>
      <c r="I170" s="21" t="s">
        <v>416</v>
      </c>
      <c r="J170" s="37" t="s">
        <v>60</v>
      </c>
      <c r="K170" s="21" t="s">
        <v>50</v>
      </c>
      <c r="L170" s="21">
        <v>847001</v>
      </c>
      <c r="M170" s="21" t="s">
        <v>61</v>
      </c>
      <c r="N170" s="21">
        <v>200179</v>
      </c>
      <c r="O170" s="37" t="str">
        <f t="shared" si="4"/>
        <v>847.8470315.1.436600.000000.847001.200179</v>
      </c>
      <c r="P170" s="21" t="s">
        <v>492</v>
      </c>
      <c r="Q170" s="21" t="s">
        <v>157</v>
      </c>
      <c r="R170" s="21">
        <v>16</v>
      </c>
      <c r="S170" s="21">
        <v>1000</v>
      </c>
      <c r="T170" s="21" t="s">
        <v>929</v>
      </c>
      <c r="U170" s="24">
        <f t="shared" si="5"/>
        <v>16000</v>
      </c>
      <c r="V170" s="21" t="s">
        <v>55</v>
      </c>
      <c r="W170" s="21" t="s">
        <v>56</v>
      </c>
      <c r="X170" s="21" t="s">
        <v>230</v>
      </c>
    </row>
    <row r="171" spans="1:24" s="39" customFormat="1" ht="16" customHeight="1" x14ac:dyDescent="0.35">
      <c r="A171" s="21" t="s">
        <v>161</v>
      </c>
      <c r="B171" s="21" t="s">
        <v>220</v>
      </c>
      <c r="C171" s="21" t="s">
        <v>334</v>
      </c>
      <c r="D171" s="78">
        <v>847</v>
      </c>
      <c r="E171" s="21">
        <v>8470315</v>
      </c>
      <c r="F171" s="21" t="s">
        <v>426</v>
      </c>
      <c r="G171" s="79">
        <v>1</v>
      </c>
      <c r="H171" s="37" t="s">
        <v>420</v>
      </c>
      <c r="I171" s="21" t="s">
        <v>221</v>
      </c>
      <c r="J171" s="37" t="s">
        <v>60</v>
      </c>
      <c r="K171" s="21" t="s">
        <v>50</v>
      </c>
      <c r="L171" s="21">
        <v>847001</v>
      </c>
      <c r="M171" s="21" t="s">
        <v>192</v>
      </c>
      <c r="N171" s="21">
        <v>300180</v>
      </c>
      <c r="O171" s="37" t="str">
        <f t="shared" si="4"/>
        <v>847.8470315.1.492316.000000.847001.300180</v>
      </c>
      <c r="P171" s="21" t="s">
        <v>495</v>
      </c>
      <c r="Q171" s="21" t="s">
        <v>157</v>
      </c>
      <c r="R171" s="21">
        <v>1</v>
      </c>
      <c r="S171" s="21">
        <v>140000</v>
      </c>
      <c r="T171" s="21" t="s">
        <v>985</v>
      </c>
      <c r="U171" s="24">
        <f t="shared" si="5"/>
        <v>140000</v>
      </c>
      <c r="V171" s="21" t="s">
        <v>210</v>
      </c>
      <c r="W171" s="21" t="s">
        <v>197</v>
      </c>
      <c r="X171" s="21" t="s">
        <v>365</v>
      </c>
    </row>
    <row r="172" spans="1:24" s="39" customFormat="1" ht="16" customHeight="1" x14ac:dyDescent="0.35">
      <c r="A172" s="21" t="s">
        <v>46</v>
      </c>
      <c r="B172" s="21" t="s">
        <v>46</v>
      </c>
      <c r="C172" s="21" t="s">
        <v>334</v>
      </c>
      <c r="D172" s="78">
        <v>847</v>
      </c>
      <c r="E172" s="21">
        <v>8470315</v>
      </c>
      <c r="F172" s="21" t="s">
        <v>426</v>
      </c>
      <c r="G172" s="79">
        <v>1</v>
      </c>
      <c r="H172" s="37" t="s">
        <v>420</v>
      </c>
      <c r="I172" s="21" t="s">
        <v>221</v>
      </c>
      <c r="J172" s="37" t="s">
        <v>60</v>
      </c>
      <c r="K172" s="21" t="s">
        <v>50</v>
      </c>
      <c r="L172" s="21">
        <v>847001</v>
      </c>
      <c r="M172" s="21" t="s">
        <v>192</v>
      </c>
      <c r="N172" s="21">
        <v>300180</v>
      </c>
      <c r="O172" s="37" t="str">
        <f t="shared" si="4"/>
        <v>847.8470315.1.492316.000000.847001.300180</v>
      </c>
      <c r="P172" s="21" t="s">
        <v>495</v>
      </c>
      <c r="Q172" s="21" t="s">
        <v>157</v>
      </c>
      <c r="R172" s="21">
        <v>1</v>
      </c>
      <c r="S172" s="21">
        <v>60000</v>
      </c>
      <c r="T172" s="21" t="s">
        <v>986</v>
      </c>
      <c r="U172" s="24">
        <f t="shared" si="5"/>
        <v>60000</v>
      </c>
      <c r="V172" s="21" t="s">
        <v>210</v>
      </c>
      <c r="W172" s="21" t="s">
        <v>197</v>
      </c>
      <c r="X172" s="21" t="s">
        <v>365</v>
      </c>
    </row>
    <row r="173" spans="1:24" s="39" customFormat="1" ht="16" customHeight="1" x14ac:dyDescent="0.35">
      <c r="A173" s="21" t="s">
        <v>46</v>
      </c>
      <c r="B173" s="21" t="s">
        <v>46</v>
      </c>
      <c r="C173" s="21" t="s">
        <v>334</v>
      </c>
      <c r="D173" s="78">
        <v>847</v>
      </c>
      <c r="E173" s="21">
        <v>8470315</v>
      </c>
      <c r="F173" s="21" t="s">
        <v>426</v>
      </c>
      <c r="G173" s="79">
        <v>1</v>
      </c>
      <c r="H173" s="37" t="s">
        <v>420</v>
      </c>
      <c r="I173" s="21" t="s">
        <v>221</v>
      </c>
      <c r="J173" s="37" t="s">
        <v>60</v>
      </c>
      <c r="K173" s="21" t="s">
        <v>50</v>
      </c>
      <c r="L173" s="21">
        <v>847001</v>
      </c>
      <c r="M173" s="21" t="s">
        <v>192</v>
      </c>
      <c r="N173" s="21">
        <v>300180</v>
      </c>
      <c r="O173" s="37" t="str">
        <f t="shared" si="4"/>
        <v>847.8470315.1.492316.000000.847001.300180</v>
      </c>
      <c r="P173" s="21" t="s">
        <v>495</v>
      </c>
      <c r="Q173" s="21" t="s">
        <v>157</v>
      </c>
      <c r="R173" s="21">
        <v>2</v>
      </c>
      <c r="S173" s="21">
        <v>40000</v>
      </c>
      <c r="T173" s="21" t="s">
        <v>987</v>
      </c>
      <c r="U173" s="24">
        <f t="shared" si="5"/>
        <v>80000</v>
      </c>
      <c r="V173" s="21" t="s">
        <v>210</v>
      </c>
      <c r="W173" s="21" t="s">
        <v>197</v>
      </c>
      <c r="X173" s="21" t="s">
        <v>365</v>
      </c>
    </row>
    <row r="174" spans="1:24" s="39" customFormat="1" ht="16" customHeight="1" x14ac:dyDescent="0.35">
      <c r="A174" s="21" t="s">
        <v>46</v>
      </c>
      <c r="B174" s="21" t="s">
        <v>46</v>
      </c>
      <c r="C174" s="21" t="s">
        <v>334</v>
      </c>
      <c r="D174" s="78">
        <v>847</v>
      </c>
      <c r="E174" s="21">
        <v>8470315</v>
      </c>
      <c r="F174" s="21" t="s">
        <v>426</v>
      </c>
      <c r="G174" s="79">
        <v>1</v>
      </c>
      <c r="H174" s="37" t="s">
        <v>420</v>
      </c>
      <c r="I174" s="21" t="s">
        <v>221</v>
      </c>
      <c r="J174" s="37" t="s">
        <v>60</v>
      </c>
      <c r="K174" s="21" t="s">
        <v>50</v>
      </c>
      <c r="L174" s="21">
        <v>847001</v>
      </c>
      <c r="M174" s="21" t="s">
        <v>192</v>
      </c>
      <c r="N174" s="21">
        <v>300180</v>
      </c>
      <c r="O174" s="37" t="str">
        <f t="shared" si="4"/>
        <v>847.8470315.1.492316.000000.847001.300180</v>
      </c>
      <c r="P174" s="21" t="s">
        <v>495</v>
      </c>
      <c r="Q174" s="21" t="s">
        <v>157</v>
      </c>
      <c r="R174" s="21">
        <v>2</v>
      </c>
      <c r="S174" s="21">
        <v>45000</v>
      </c>
      <c r="T174" s="21" t="s">
        <v>988</v>
      </c>
      <c r="U174" s="24">
        <f t="shared" si="5"/>
        <v>90000</v>
      </c>
      <c r="V174" s="21" t="s">
        <v>210</v>
      </c>
      <c r="W174" s="21" t="s">
        <v>197</v>
      </c>
      <c r="X174" s="21" t="s">
        <v>365</v>
      </c>
    </row>
    <row r="175" spans="1:24" s="39" customFormat="1" ht="16" customHeight="1" x14ac:dyDescent="0.35">
      <c r="A175" s="21" t="s">
        <v>46</v>
      </c>
      <c r="B175" s="21" t="s">
        <v>46</v>
      </c>
      <c r="C175" s="21" t="s">
        <v>334</v>
      </c>
      <c r="D175" s="78">
        <v>847</v>
      </c>
      <c r="E175" s="21">
        <v>8470315</v>
      </c>
      <c r="F175" s="21" t="s">
        <v>426</v>
      </c>
      <c r="G175" s="79">
        <v>1</v>
      </c>
      <c r="H175" s="37" t="s">
        <v>420</v>
      </c>
      <c r="I175" s="21" t="s">
        <v>221</v>
      </c>
      <c r="J175" s="37" t="s">
        <v>60</v>
      </c>
      <c r="K175" s="21" t="s">
        <v>50</v>
      </c>
      <c r="L175" s="21">
        <v>847001</v>
      </c>
      <c r="M175" s="21" t="s">
        <v>192</v>
      </c>
      <c r="N175" s="21">
        <v>300180</v>
      </c>
      <c r="O175" s="37" t="str">
        <f t="shared" si="4"/>
        <v>847.8470315.1.492316.000000.847001.300180</v>
      </c>
      <c r="P175" s="21" t="s">
        <v>495</v>
      </c>
      <c r="Q175" s="21" t="s">
        <v>157</v>
      </c>
      <c r="R175" s="21">
        <v>2</v>
      </c>
      <c r="S175" s="21">
        <v>52000</v>
      </c>
      <c r="T175" s="21" t="s">
        <v>989</v>
      </c>
      <c r="U175" s="24">
        <f t="shared" si="5"/>
        <v>104000</v>
      </c>
      <c r="V175" s="21" t="s">
        <v>210</v>
      </c>
      <c r="W175" s="21" t="s">
        <v>197</v>
      </c>
      <c r="X175" s="21" t="s">
        <v>365</v>
      </c>
    </row>
    <row r="176" spans="1:24" s="39" customFormat="1" ht="16" customHeight="1" x14ac:dyDescent="0.35">
      <c r="A176" s="21" t="s">
        <v>46</v>
      </c>
      <c r="B176" s="21" t="s">
        <v>46</v>
      </c>
      <c r="C176" s="21" t="s">
        <v>334</v>
      </c>
      <c r="D176" s="78">
        <v>847</v>
      </c>
      <c r="E176" s="21">
        <v>8470315</v>
      </c>
      <c r="F176" s="21" t="s">
        <v>426</v>
      </c>
      <c r="G176" s="79">
        <v>1</v>
      </c>
      <c r="H176" s="37" t="s">
        <v>420</v>
      </c>
      <c r="I176" s="21" t="s">
        <v>221</v>
      </c>
      <c r="J176" s="37" t="s">
        <v>60</v>
      </c>
      <c r="K176" s="21" t="s">
        <v>50</v>
      </c>
      <c r="L176" s="21">
        <v>847001</v>
      </c>
      <c r="M176" s="21" t="s">
        <v>192</v>
      </c>
      <c r="N176" s="21">
        <v>300180</v>
      </c>
      <c r="O176" s="37" t="str">
        <f t="shared" si="4"/>
        <v>847.8470315.1.492316.000000.847001.300180</v>
      </c>
      <c r="P176" s="21" t="s">
        <v>495</v>
      </c>
      <c r="Q176" s="21" t="s">
        <v>157</v>
      </c>
      <c r="R176" s="21">
        <v>1</v>
      </c>
      <c r="S176" s="21">
        <v>15647</v>
      </c>
      <c r="T176" s="21" t="s">
        <v>990</v>
      </c>
      <c r="U176" s="24">
        <f t="shared" si="5"/>
        <v>15647</v>
      </c>
      <c r="V176" s="21" t="s">
        <v>210</v>
      </c>
      <c r="W176" s="21" t="s">
        <v>197</v>
      </c>
      <c r="X176" s="21" t="s">
        <v>365</v>
      </c>
    </row>
    <row r="177" spans="1:24" s="39" customFormat="1" ht="16" customHeight="1" x14ac:dyDescent="0.35">
      <c r="A177" s="21" t="s">
        <v>46</v>
      </c>
      <c r="B177" s="21" t="s">
        <v>46</v>
      </c>
      <c r="C177" s="21" t="s">
        <v>334</v>
      </c>
      <c r="D177" s="78">
        <v>847</v>
      </c>
      <c r="E177" s="21">
        <v>8470315</v>
      </c>
      <c r="F177" s="21" t="s">
        <v>426</v>
      </c>
      <c r="G177" s="79">
        <v>1</v>
      </c>
      <c r="H177" s="37" t="s">
        <v>420</v>
      </c>
      <c r="I177" s="21" t="s">
        <v>221</v>
      </c>
      <c r="J177" s="37" t="s">
        <v>60</v>
      </c>
      <c r="K177" s="21" t="s">
        <v>50</v>
      </c>
      <c r="L177" s="21">
        <v>847001</v>
      </c>
      <c r="M177" s="21" t="s">
        <v>192</v>
      </c>
      <c r="N177" s="21">
        <v>300180</v>
      </c>
      <c r="O177" s="37" t="str">
        <f t="shared" si="4"/>
        <v>847.8470315.1.492316.000000.847001.300180</v>
      </c>
      <c r="P177" s="21" t="s">
        <v>495</v>
      </c>
      <c r="Q177" s="21" t="s">
        <v>157</v>
      </c>
      <c r="R177" s="21">
        <v>1</v>
      </c>
      <c r="S177" s="21">
        <v>75000</v>
      </c>
      <c r="T177" s="21" t="s">
        <v>991</v>
      </c>
      <c r="U177" s="24">
        <f t="shared" si="5"/>
        <v>75000</v>
      </c>
      <c r="V177" s="21" t="s">
        <v>55</v>
      </c>
      <c r="W177" s="21" t="s">
        <v>197</v>
      </c>
      <c r="X177" s="21" t="s">
        <v>365</v>
      </c>
    </row>
    <row r="178" spans="1:24" s="39" customFormat="1" ht="16" customHeight="1" x14ac:dyDescent="0.35">
      <c r="A178" s="21" t="s">
        <v>46</v>
      </c>
      <c r="B178" s="21" t="s">
        <v>46</v>
      </c>
      <c r="C178" s="21" t="s">
        <v>334</v>
      </c>
      <c r="D178" s="78">
        <v>847</v>
      </c>
      <c r="E178" s="21">
        <v>8470315</v>
      </c>
      <c r="F178" s="21" t="s">
        <v>426</v>
      </c>
      <c r="G178" s="79">
        <v>1</v>
      </c>
      <c r="H178" s="37" t="s">
        <v>420</v>
      </c>
      <c r="I178" s="21" t="s">
        <v>221</v>
      </c>
      <c r="J178" s="37" t="s">
        <v>60</v>
      </c>
      <c r="K178" s="21" t="s">
        <v>50</v>
      </c>
      <c r="L178" s="21">
        <v>847001</v>
      </c>
      <c r="M178" s="21" t="s">
        <v>192</v>
      </c>
      <c r="N178" s="21">
        <v>300180</v>
      </c>
      <c r="O178" s="37" t="str">
        <f t="shared" si="4"/>
        <v>847.8470315.1.492316.000000.847001.300180</v>
      </c>
      <c r="P178" s="21" t="s">
        <v>495</v>
      </c>
      <c r="Q178" s="21" t="s">
        <v>157</v>
      </c>
      <c r="R178" s="21">
        <v>1</v>
      </c>
      <c r="S178" s="21">
        <v>173750</v>
      </c>
      <c r="T178" s="21" t="s">
        <v>992</v>
      </c>
      <c r="U178" s="24">
        <f t="shared" si="5"/>
        <v>173750</v>
      </c>
      <c r="V178" s="21" t="s">
        <v>210</v>
      </c>
      <c r="W178" s="21" t="s">
        <v>197</v>
      </c>
      <c r="X178" s="21" t="s">
        <v>365</v>
      </c>
    </row>
    <row r="179" spans="1:24" s="39" customFormat="1" ht="16" customHeight="1" x14ac:dyDescent="0.35">
      <c r="A179" s="21" t="s">
        <v>46</v>
      </c>
      <c r="B179" s="21" t="s">
        <v>46</v>
      </c>
      <c r="C179" s="21" t="s">
        <v>334</v>
      </c>
      <c r="D179" s="78">
        <v>847</v>
      </c>
      <c r="E179" s="21">
        <v>8470315</v>
      </c>
      <c r="F179" s="21" t="s">
        <v>426</v>
      </c>
      <c r="G179" s="79">
        <v>1</v>
      </c>
      <c r="H179" s="37" t="s">
        <v>420</v>
      </c>
      <c r="I179" s="21" t="s">
        <v>221</v>
      </c>
      <c r="J179" s="37" t="s">
        <v>60</v>
      </c>
      <c r="K179" s="21" t="s">
        <v>50</v>
      </c>
      <c r="L179" s="21">
        <v>847001</v>
      </c>
      <c r="M179" s="21" t="s">
        <v>192</v>
      </c>
      <c r="N179" s="21">
        <v>300180</v>
      </c>
      <c r="O179" s="37" t="str">
        <f t="shared" si="4"/>
        <v>847.8470315.1.492316.000000.847001.300180</v>
      </c>
      <c r="P179" s="21" t="s">
        <v>495</v>
      </c>
      <c r="Q179" s="21" t="s">
        <v>157</v>
      </c>
      <c r="R179" s="21">
        <v>1</v>
      </c>
      <c r="S179" s="21">
        <v>50950</v>
      </c>
      <c r="T179" s="21" t="s">
        <v>993</v>
      </c>
      <c r="U179" s="24">
        <f t="shared" si="5"/>
        <v>50950</v>
      </c>
      <c r="V179" s="21" t="s">
        <v>210</v>
      </c>
      <c r="W179" s="21" t="s">
        <v>197</v>
      </c>
      <c r="X179" s="21" t="s">
        <v>365</v>
      </c>
    </row>
    <row r="180" spans="1:24" s="39" customFormat="1" ht="16" customHeight="1" x14ac:dyDescent="0.35">
      <c r="A180" s="21" t="s">
        <v>46</v>
      </c>
      <c r="B180" s="21" t="s">
        <v>46</v>
      </c>
      <c r="C180" s="21" t="s">
        <v>334</v>
      </c>
      <c r="D180" s="78">
        <v>847</v>
      </c>
      <c r="E180" s="21">
        <v>8470315</v>
      </c>
      <c r="F180" s="21" t="s">
        <v>426</v>
      </c>
      <c r="G180" s="79">
        <v>1</v>
      </c>
      <c r="H180" s="37" t="s">
        <v>420</v>
      </c>
      <c r="I180" s="21" t="s">
        <v>221</v>
      </c>
      <c r="J180" s="37" t="s">
        <v>60</v>
      </c>
      <c r="K180" s="21" t="s">
        <v>50</v>
      </c>
      <c r="L180" s="21">
        <v>847001</v>
      </c>
      <c r="M180" s="21" t="s">
        <v>192</v>
      </c>
      <c r="N180" s="21">
        <v>300180</v>
      </c>
      <c r="O180" s="37" t="str">
        <f t="shared" si="4"/>
        <v>847.8470315.1.492316.000000.847001.300180</v>
      </c>
      <c r="P180" s="21" t="s">
        <v>495</v>
      </c>
      <c r="Q180" s="21" t="s">
        <v>157</v>
      </c>
      <c r="R180" s="21">
        <v>1</v>
      </c>
      <c r="S180" s="21">
        <v>22000</v>
      </c>
      <c r="T180" s="21" t="s">
        <v>994</v>
      </c>
      <c r="U180" s="24">
        <f t="shared" si="5"/>
        <v>22000</v>
      </c>
      <c r="V180" s="21" t="s">
        <v>210</v>
      </c>
      <c r="W180" s="21" t="s">
        <v>197</v>
      </c>
      <c r="X180" s="21" t="s">
        <v>365</v>
      </c>
    </row>
    <row r="181" spans="1:24" s="39" customFormat="1" ht="16" customHeight="1" x14ac:dyDescent="0.35">
      <c r="A181" s="21" t="s">
        <v>46</v>
      </c>
      <c r="B181" s="21" t="s">
        <v>46</v>
      </c>
      <c r="C181" s="21" t="s">
        <v>334</v>
      </c>
      <c r="D181" s="78">
        <v>847</v>
      </c>
      <c r="E181" s="21">
        <v>8470315</v>
      </c>
      <c r="F181" s="21" t="s">
        <v>426</v>
      </c>
      <c r="G181" s="79">
        <v>1</v>
      </c>
      <c r="H181" s="37" t="s">
        <v>420</v>
      </c>
      <c r="I181" s="21" t="s">
        <v>221</v>
      </c>
      <c r="J181" s="37" t="s">
        <v>60</v>
      </c>
      <c r="K181" s="21" t="s">
        <v>50</v>
      </c>
      <c r="L181" s="21">
        <v>847001</v>
      </c>
      <c r="M181" s="21" t="s">
        <v>192</v>
      </c>
      <c r="N181" s="21">
        <v>300180</v>
      </c>
      <c r="O181" s="37" t="str">
        <f t="shared" si="4"/>
        <v>847.8470315.1.492316.000000.847001.300180</v>
      </c>
      <c r="P181" s="21" t="s">
        <v>495</v>
      </c>
      <c r="Q181" s="21" t="s">
        <v>157</v>
      </c>
      <c r="R181" s="21">
        <v>1</v>
      </c>
      <c r="S181" s="21">
        <v>360000</v>
      </c>
      <c r="T181" s="21" t="s">
        <v>995</v>
      </c>
      <c r="U181" s="24">
        <f t="shared" si="5"/>
        <v>360000</v>
      </c>
      <c r="V181" s="21" t="s">
        <v>210</v>
      </c>
      <c r="W181" s="21" t="s">
        <v>197</v>
      </c>
      <c r="X181" s="21" t="s">
        <v>365</v>
      </c>
    </row>
    <row r="182" spans="1:24" s="39" customFormat="1" ht="16" customHeight="1" x14ac:dyDescent="0.35">
      <c r="A182" s="21" t="s">
        <v>46</v>
      </c>
      <c r="B182" s="21" t="s">
        <v>46</v>
      </c>
      <c r="C182" s="21" t="s">
        <v>334</v>
      </c>
      <c r="D182" s="78">
        <v>847</v>
      </c>
      <c r="E182" s="21">
        <v>8470315</v>
      </c>
      <c r="F182" s="21" t="s">
        <v>426</v>
      </c>
      <c r="G182" s="79">
        <v>1</v>
      </c>
      <c r="H182" s="37" t="s">
        <v>420</v>
      </c>
      <c r="I182" s="21" t="s">
        <v>221</v>
      </c>
      <c r="J182" s="37" t="s">
        <v>60</v>
      </c>
      <c r="K182" s="21" t="s">
        <v>50</v>
      </c>
      <c r="L182" s="21">
        <v>847001</v>
      </c>
      <c r="M182" s="21" t="s">
        <v>192</v>
      </c>
      <c r="N182" s="21">
        <v>300180</v>
      </c>
      <c r="O182" s="37" t="str">
        <f t="shared" si="4"/>
        <v>847.8470315.1.492316.000000.847001.300180</v>
      </c>
      <c r="P182" s="21" t="s">
        <v>495</v>
      </c>
      <c r="Q182" s="21" t="s">
        <v>157</v>
      </c>
      <c r="R182" s="21">
        <v>1</v>
      </c>
      <c r="S182" s="21">
        <v>70000</v>
      </c>
      <c r="T182" s="21" t="s">
        <v>996</v>
      </c>
      <c r="U182" s="24">
        <f t="shared" si="5"/>
        <v>70000</v>
      </c>
      <c r="V182" s="21" t="s">
        <v>210</v>
      </c>
      <c r="W182" s="21" t="s">
        <v>197</v>
      </c>
      <c r="X182" s="21" t="s">
        <v>365</v>
      </c>
    </row>
    <row r="183" spans="1:24" s="39" customFormat="1" ht="16" customHeight="1" x14ac:dyDescent="0.35">
      <c r="A183" s="21" t="s">
        <v>46</v>
      </c>
      <c r="B183" s="21" t="s">
        <v>46</v>
      </c>
      <c r="C183" s="21" t="s">
        <v>334</v>
      </c>
      <c r="D183" s="78">
        <v>847</v>
      </c>
      <c r="E183" s="21">
        <v>8470315</v>
      </c>
      <c r="F183" s="21" t="s">
        <v>426</v>
      </c>
      <c r="G183" s="79">
        <v>1</v>
      </c>
      <c r="H183" s="37" t="s">
        <v>420</v>
      </c>
      <c r="I183" s="21" t="s">
        <v>221</v>
      </c>
      <c r="J183" s="37" t="s">
        <v>60</v>
      </c>
      <c r="K183" s="21" t="s">
        <v>50</v>
      </c>
      <c r="L183" s="21">
        <v>847001</v>
      </c>
      <c r="M183" s="21" t="s">
        <v>192</v>
      </c>
      <c r="N183" s="21">
        <v>300180</v>
      </c>
      <c r="O183" s="37" t="str">
        <f t="shared" si="4"/>
        <v>847.8470315.1.492316.000000.847001.300180</v>
      </c>
      <c r="P183" s="21" t="s">
        <v>495</v>
      </c>
      <c r="Q183" s="21" t="s">
        <v>157</v>
      </c>
      <c r="R183" s="21">
        <v>1</v>
      </c>
      <c r="S183" s="21">
        <v>20000</v>
      </c>
      <c r="T183" s="21" t="s">
        <v>997</v>
      </c>
      <c r="U183" s="24">
        <f t="shared" si="5"/>
        <v>20000</v>
      </c>
      <c r="V183" s="21" t="s">
        <v>210</v>
      </c>
      <c r="W183" s="21" t="s">
        <v>197</v>
      </c>
      <c r="X183" s="21" t="s">
        <v>365</v>
      </c>
    </row>
    <row r="184" spans="1:24" s="39" customFormat="1" ht="16" customHeight="1" x14ac:dyDescent="0.35">
      <c r="A184" s="21" t="s">
        <v>46</v>
      </c>
      <c r="B184" s="21" t="s">
        <v>46</v>
      </c>
      <c r="C184" s="21" t="s">
        <v>334</v>
      </c>
      <c r="D184" s="78">
        <v>847</v>
      </c>
      <c r="E184" s="21">
        <v>8470315</v>
      </c>
      <c r="F184" s="21" t="s">
        <v>426</v>
      </c>
      <c r="G184" s="79">
        <v>1</v>
      </c>
      <c r="H184" s="37" t="s">
        <v>420</v>
      </c>
      <c r="I184" s="21" t="s">
        <v>221</v>
      </c>
      <c r="J184" s="37" t="s">
        <v>60</v>
      </c>
      <c r="K184" s="21" t="s">
        <v>50</v>
      </c>
      <c r="L184" s="21">
        <v>847001</v>
      </c>
      <c r="M184" s="21" t="s">
        <v>192</v>
      </c>
      <c r="N184" s="21">
        <v>300180</v>
      </c>
      <c r="O184" s="37" t="str">
        <f t="shared" si="4"/>
        <v>847.8470315.1.492316.000000.847001.300180</v>
      </c>
      <c r="P184" s="21" t="s">
        <v>495</v>
      </c>
      <c r="Q184" s="21" t="s">
        <v>157</v>
      </c>
      <c r="R184" s="21">
        <v>5</v>
      </c>
      <c r="S184" s="21">
        <v>133746</v>
      </c>
      <c r="T184" s="21" t="s">
        <v>505</v>
      </c>
      <c r="U184" s="24">
        <f t="shared" si="5"/>
        <v>668730</v>
      </c>
      <c r="V184" s="21" t="s">
        <v>210</v>
      </c>
      <c r="W184" s="21" t="s">
        <v>197</v>
      </c>
      <c r="X184" s="21" t="s">
        <v>365</v>
      </c>
    </row>
    <row r="185" spans="1:24" s="39" customFormat="1" ht="16" customHeight="1" x14ac:dyDescent="0.35">
      <c r="A185" s="21" t="s">
        <v>46</v>
      </c>
      <c r="B185" s="21" t="s">
        <v>46</v>
      </c>
      <c r="C185" s="21" t="s">
        <v>334</v>
      </c>
      <c r="D185" s="78">
        <v>847</v>
      </c>
      <c r="E185" s="21">
        <v>8470315</v>
      </c>
      <c r="F185" s="21" t="s">
        <v>426</v>
      </c>
      <c r="G185" s="79">
        <v>1</v>
      </c>
      <c r="H185" s="37" t="s">
        <v>420</v>
      </c>
      <c r="I185" s="21" t="s">
        <v>221</v>
      </c>
      <c r="J185" s="37" t="s">
        <v>60</v>
      </c>
      <c r="K185" s="21" t="s">
        <v>50</v>
      </c>
      <c r="L185" s="21">
        <v>847001</v>
      </c>
      <c r="M185" s="21" t="s">
        <v>192</v>
      </c>
      <c r="N185" s="21">
        <v>300180</v>
      </c>
      <c r="O185" s="37" t="str">
        <f t="shared" si="4"/>
        <v>847.8470315.1.492316.000000.847001.300180</v>
      </c>
      <c r="P185" s="21" t="s">
        <v>495</v>
      </c>
      <c r="Q185" s="21" t="s">
        <v>157</v>
      </c>
      <c r="R185" s="21">
        <v>10</v>
      </c>
      <c r="S185" s="21">
        <v>34275</v>
      </c>
      <c r="T185" s="21" t="s">
        <v>998</v>
      </c>
      <c r="U185" s="24">
        <f t="shared" si="5"/>
        <v>342750</v>
      </c>
      <c r="V185" s="21" t="s">
        <v>210</v>
      </c>
      <c r="W185" s="21" t="s">
        <v>197</v>
      </c>
      <c r="X185" s="21" t="s">
        <v>365</v>
      </c>
    </row>
    <row r="186" spans="1:24" s="39" customFormat="1" ht="16" customHeight="1" x14ac:dyDescent="0.35">
      <c r="A186" s="21" t="s">
        <v>46</v>
      </c>
      <c r="B186" s="21" t="s">
        <v>46</v>
      </c>
      <c r="C186" s="21" t="s">
        <v>334</v>
      </c>
      <c r="D186" s="78">
        <v>847</v>
      </c>
      <c r="E186" s="21">
        <v>8470315</v>
      </c>
      <c r="F186" s="21" t="s">
        <v>426</v>
      </c>
      <c r="G186" s="79">
        <v>1</v>
      </c>
      <c r="H186" s="37" t="s">
        <v>420</v>
      </c>
      <c r="I186" s="21" t="s">
        <v>221</v>
      </c>
      <c r="J186" s="37" t="s">
        <v>60</v>
      </c>
      <c r="K186" s="21" t="s">
        <v>50</v>
      </c>
      <c r="L186" s="21">
        <v>847001</v>
      </c>
      <c r="M186" s="21" t="s">
        <v>192</v>
      </c>
      <c r="N186" s="21">
        <v>300180</v>
      </c>
      <c r="O186" s="37" t="str">
        <f t="shared" si="4"/>
        <v>847.8470315.1.492316.000000.847001.300180</v>
      </c>
      <c r="P186" s="21" t="s">
        <v>495</v>
      </c>
      <c r="Q186" s="21" t="s">
        <v>157</v>
      </c>
      <c r="R186" s="21">
        <v>1</v>
      </c>
      <c r="S186" s="21">
        <v>433175</v>
      </c>
      <c r="T186" s="21" t="s">
        <v>999</v>
      </c>
      <c r="U186" s="24">
        <f t="shared" si="5"/>
        <v>433175</v>
      </c>
      <c r="V186" s="21" t="s">
        <v>210</v>
      </c>
      <c r="W186" s="21" t="s">
        <v>197</v>
      </c>
      <c r="X186" s="21" t="s">
        <v>365</v>
      </c>
    </row>
    <row r="187" spans="1:24" s="39" customFormat="1" ht="16" customHeight="1" x14ac:dyDescent="0.35">
      <c r="A187" s="37" t="s">
        <v>189</v>
      </c>
      <c r="B187" s="37" t="s">
        <v>265</v>
      </c>
      <c r="C187" s="37" t="s">
        <v>1350</v>
      </c>
      <c r="D187" s="78">
        <v>847</v>
      </c>
      <c r="E187" s="37">
        <v>8471210</v>
      </c>
      <c r="F187" s="37" t="s">
        <v>1351</v>
      </c>
      <c r="G187" s="79">
        <v>1</v>
      </c>
      <c r="H187" s="37" t="s">
        <v>375</v>
      </c>
      <c r="I187" s="37" t="s">
        <v>266</v>
      </c>
      <c r="J187" s="37" t="s">
        <v>60</v>
      </c>
      <c r="K187" s="37" t="s">
        <v>50</v>
      </c>
      <c r="L187" s="37">
        <v>847001</v>
      </c>
      <c r="M187" s="37" t="s">
        <v>61</v>
      </c>
      <c r="N187" s="37">
        <v>200179</v>
      </c>
      <c r="O187" s="37" t="str">
        <f t="shared" si="4"/>
        <v>847.8471210.1.425900.000000.847001.200179</v>
      </c>
      <c r="P187" s="37" t="s">
        <v>268</v>
      </c>
      <c r="Q187" s="37" t="s">
        <v>269</v>
      </c>
      <c r="R187" s="37">
        <v>5</v>
      </c>
      <c r="S187" s="21">
        <v>3000</v>
      </c>
      <c r="T187" s="37" t="s">
        <v>1617</v>
      </c>
      <c r="U187" s="37">
        <v>15000</v>
      </c>
      <c r="V187" s="37" t="s">
        <v>55</v>
      </c>
      <c r="W187" s="21" t="s">
        <v>56</v>
      </c>
      <c r="X187" s="24" t="s">
        <v>1618</v>
      </c>
    </row>
    <row r="188" spans="1:24" s="39" customFormat="1" ht="16" customHeight="1" x14ac:dyDescent="0.35">
      <c r="A188" s="37" t="s">
        <v>153</v>
      </c>
      <c r="B188" s="37" t="s">
        <v>58</v>
      </c>
      <c r="C188" s="37" t="s">
        <v>1350</v>
      </c>
      <c r="D188" s="78">
        <v>847</v>
      </c>
      <c r="E188" s="37">
        <v>8471210</v>
      </c>
      <c r="F188" s="37" t="s">
        <v>1351</v>
      </c>
      <c r="G188" s="79">
        <v>1</v>
      </c>
      <c r="H188" s="37" t="s">
        <v>385</v>
      </c>
      <c r="I188" s="37" t="s">
        <v>154</v>
      </c>
      <c r="J188" s="37" t="s">
        <v>60</v>
      </c>
      <c r="K188" s="37" t="s">
        <v>50</v>
      </c>
      <c r="L188" s="37">
        <v>847001</v>
      </c>
      <c r="M188" s="37" t="s">
        <v>61</v>
      </c>
      <c r="N188" s="37">
        <v>200179</v>
      </c>
      <c r="O188" s="37" t="str">
        <f t="shared" si="4"/>
        <v>847.8471210.1.428090.000000.847001.200179</v>
      </c>
      <c r="P188" s="37" t="s">
        <v>156</v>
      </c>
      <c r="Q188" s="37" t="s">
        <v>269</v>
      </c>
      <c r="R188" s="37">
        <v>4</v>
      </c>
      <c r="S188" s="21">
        <v>40000</v>
      </c>
      <c r="T188" s="37" t="s">
        <v>1619</v>
      </c>
      <c r="U188" s="37">
        <v>160000</v>
      </c>
      <c r="V188" s="37" t="s">
        <v>55</v>
      </c>
      <c r="W188" s="21" t="s">
        <v>56</v>
      </c>
      <c r="X188" s="24" t="s">
        <v>1620</v>
      </c>
    </row>
    <row r="189" spans="1:24" s="39" customFormat="1" ht="16" customHeight="1" x14ac:dyDescent="0.35">
      <c r="A189" s="37" t="s">
        <v>245</v>
      </c>
      <c r="B189" s="37" t="s">
        <v>246</v>
      </c>
      <c r="C189" s="37" t="s">
        <v>1350</v>
      </c>
      <c r="D189" s="78">
        <v>847</v>
      </c>
      <c r="E189" s="37">
        <v>8471210</v>
      </c>
      <c r="F189" s="37" t="s">
        <v>1351</v>
      </c>
      <c r="G189" s="79">
        <v>1</v>
      </c>
      <c r="H189" s="37" t="s">
        <v>643</v>
      </c>
      <c r="I189" s="37" t="s">
        <v>279</v>
      </c>
      <c r="J189" s="37" t="s">
        <v>60</v>
      </c>
      <c r="K189" s="37" t="s">
        <v>50</v>
      </c>
      <c r="L189" s="37">
        <v>847001</v>
      </c>
      <c r="M189" s="37" t="s">
        <v>61</v>
      </c>
      <c r="N189" s="37">
        <v>200179</v>
      </c>
      <c r="O189" s="37" t="str">
        <f t="shared" si="4"/>
        <v>847.8471210.1.428640.000000.847001.200179</v>
      </c>
      <c r="P189" s="37" t="s">
        <v>281</v>
      </c>
      <c r="Q189" s="37" t="s">
        <v>269</v>
      </c>
      <c r="R189" s="37">
        <v>5</v>
      </c>
      <c r="S189" s="21">
        <v>4000</v>
      </c>
      <c r="T189" s="37" t="s">
        <v>1621</v>
      </c>
      <c r="U189" s="37">
        <v>20000</v>
      </c>
      <c r="V189" s="37" t="s">
        <v>55</v>
      </c>
      <c r="W189" s="21" t="s">
        <v>56</v>
      </c>
      <c r="X189" s="24" t="s">
        <v>1622</v>
      </c>
    </row>
    <row r="190" spans="1:24" s="39" customFormat="1" ht="16" customHeight="1" x14ac:dyDescent="0.35">
      <c r="A190" s="37" t="s">
        <v>222</v>
      </c>
      <c r="B190" s="37" t="s">
        <v>58</v>
      </c>
      <c r="C190" s="37" t="s">
        <v>1350</v>
      </c>
      <c r="D190" s="78">
        <v>847</v>
      </c>
      <c r="E190" s="37">
        <v>8471210</v>
      </c>
      <c r="F190" s="37" t="s">
        <v>1351</v>
      </c>
      <c r="G190" s="79">
        <v>1</v>
      </c>
      <c r="H190" s="37" t="s">
        <v>1754</v>
      </c>
      <c r="I190" s="37" t="s">
        <v>1127</v>
      </c>
      <c r="J190" s="37" t="s">
        <v>60</v>
      </c>
      <c r="K190" s="37" t="s">
        <v>50</v>
      </c>
      <c r="L190" s="37">
        <v>847001</v>
      </c>
      <c r="M190" s="37" t="s">
        <v>61</v>
      </c>
      <c r="N190" s="37">
        <v>200179</v>
      </c>
      <c r="O190" s="37" t="str">
        <f t="shared" si="4"/>
        <v>847.8471210.1.435530.000000.847001.200179</v>
      </c>
      <c r="P190" s="37" t="s">
        <v>1129</v>
      </c>
      <c r="Q190" s="37" t="s">
        <v>269</v>
      </c>
      <c r="R190" s="37">
        <v>4</v>
      </c>
      <c r="S190" s="21">
        <v>5000</v>
      </c>
      <c r="T190" s="37" t="s">
        <v>1402</v>
      </c>
      <c r="U190" s="37">
        <v>20000</v>
      </c>
      <c r="V190" s="37" t="s">
        <v>55</v>
      </c>
      <c r="W190" s="21" t="s">
        <v>56</v>
      </c>
      <c r="X190" s="24" t="s">
        <v>1623</v>
      </c>
    </row>
    <row r="191" spans="1:24" s="39" customFormat="1" ht="16" customHeight="1" x14ac:dyDescent="0.35">
      <c r="A191" s="37" t="s">
        <v>245</v>
      </c>
      <c r="B191" s="37" t="s">
        <v>246</v>
      </c>
      <c r="C191" s="37" t="s">
        <v>1350</v>
      </c>
      <c r="D191" s="78">
        <v>847</v>
      </c>
      <c r="E191" s="37">
        <v>8471240</v>
      </c>
      <c r="F191" s="37" t="s">
        <v>1364</v>
      </c>
      <c r="G191" s="79">
        <v>1</v>
      </c>
      <c r="H191" s="37" t="s">
        <v>342</v>
      </c>
      <c r="I191" s="37" t="s">
        <v>247</v>
      </c>
      <c r="J191" s="37" t="s">
        <v>60</v>
      </c>
      <c r="K191" s="37" t="s">
        <v>50</v>
      </c>
      <c r="L191" s="37">
        <v>847001</v>
      </c>
      <c r="M191" s="37" t="s">
        <v>61</v>
      </c>
      <c r="N191" s="37">
        <v>200179</v>
      </c>
      <c r="O191" s="37" t="str">
        <f t="shared" si="4"/>
        <v>847.8471240.1.425510.000000.847001.200179</v>
      </c>
      <c r="P191" s="37" t="s">
        <v>433</v>
      </c>
      <c r="Q191" s="37" t="s">
        <v>434</v>
      </c>
      <c r="R191" s="37">
        <v>1</v>
      </c>
      <c r="S191" s="21">
        <v>45000</v>
      </c>
      <c r="T191" s="37" t="s">
        <v>1365</v>
      </c>
      <c r="U191" s="37">
        <v>45000</v>
      </c>
      <c r="V191" s="37" t="s">
        <v>55</v>
      </c>
      <c r="W191" s="21" t="s">
        <v>197</v>
      </c>
      <c r="X191" s="24" t="s">
        <v>1367</v>
      </c>
    </row>
    <row r="192" spans="1:24" s="39" customFormat="1" ht="16" customHeight="1" x14ac:dyDescent="0.35">
      <c r="A192" s="37" t="s">
        <v>245</v>
      </c>
      <c r="B192" s="37" t="s">
        <v>246</v>
      </c>
      <c r="C192" s="37" t="s">
        <v>1350</v>
      </c>
      <c r="D192" s="78">
        <v>847</v>
      </c>
      <c r="E192" s="37">
        <v>8471240</v>
      </c>
      <c r="F192" s="37" t="s">
        <v>1364</v>
      </c>
      <c r="G192" s="79">
        <v>1</v>
      </c>
      <c r="H192" s="37" t="s">
        <v>342</v>
      </c>
      <c r="I192" s="37" t="s">
        <v>247</v>
      </c>
      <c r="J192" s="37" t="s">
        <v>60</v>
      </c>
      <c r="K192" s="37" t="s">
        <v>50</v>
      </c>
      <c r="L192" s="37">
        <v>847001</v>
      </c>
      <c r="M192" s="37" t="s">
        <v>61</v>
      </c>
      <c r="N192" s="37">
        <v>200179</v>
      </c>
      <c r="O192" s="37" t="str">
        <f t="shared" si="4"/>
        <v>847.8471240.1.425510.000000.847001.200179</v>
      </c>
      <c r="P192" s="37" t="s">
        <v>433</v>
      </c>
      <c r="Q192" s="37" t="s">
        <v>434</v>
      </c>
      <c r="R192" s="37">
        <v>1</v>
      </c>
      <c r="S192" s="21">
        <v>20000</v>
      </c>
      <c r="T192" s="37" t="s">
        <v>1368</v>
      </c>
      <c r="U192" s="37">
        <v>20000</v>
      </c>
      <c r="V192" s="37" t="s">
        <v>55</v>
      </c>
      <c r="W192" s="21" t="s">
        <v>197</v>
      </c>
      <c r="X192" s="24" t="s">
        <v>414</v>
      </c>
    </row>
    <row r="193" spans="1:24" s="39" customFormat="1" ht="16" customHeight="1" x14ac:dyDescent="0.35">
      <c r="A193" s="37" t="s">
        <v>245</v>
      </c>
      <c r="B193" s="37" t="s">
        <v>246</v>
      </c>
      <c r="C193" s="37" t="s">
        <v>1350</v>
      </c>
      <c r="D193" s="78">
        <v>847</v>
      </c>
      <c r="E193" s="37">
        <v>8471240</v>
      </c>
      <c r="F193" s="37" t="s">
        <v>1364</v>
      </c>
      <c r="G193" s="79">
        <v>1</v>
      </c>
      <c r="H193" s="37" t="s">
        <v>342</v>
      </c>
      <c r="I193" s="37" t="s">
        <v>247</v>
      </c>
      <c r="J193" s="37" t="s">
        <v>60</v>
      </c>
      <c r="K193" s="37" t="s">
        <v>50</v>
      </c>
      <c r="L193" s="37">
        <v>847001</v>
      </c>
      <c r="M193" s="37" t="s">
        <v>61</v>
      </c>
      <c r="N193" s="37">
        <v>200179</v>
      </c>
      <c r="O193" s="37" t="str">
        <f t="shared" si="4"/>
        <v>847.8471240.1.425510.000000.847001.200179</v>
      </c>
      <c r="P193" s="37" t="s">
        <v>433</v>
      </c>
      <c r="Q193" s="37" t="s">
        <v>434</v>
      </c>
      <c r="R193" s="37">
        <v>1</v>
      </c>
      <c r="S193" s="21">
        <v>5000</v>
      </c>
      <c r="T193" s="37" t="s">
        <v>1370</v>
      </c>
      <c r="U193" s="37">
        <v>5000</v>
      </c>
      <c r="V193" s="37" t="s">
        <v>55</v>
      </c>
      <c r="W193" s="21" t="s">
        <v>197</v>
      </c>
      <c r="X193" s="24" t="s">
        <v>244</v>
      </c>
    </row>
    <row r="194" spans="1:24" s="39" customFormat="1" ht="16" customHeight="1" x14ac:dyDescent="0.35">
      <c r="A194" s="37" t="s">
        <v>245</v>
      </c>
      <c r="B194" s="37" t="s">
        <v>246</v>
      </c>
      <c r="C194" s="37" t="s">
        <v>1350</v>
      </c>
      <c r="D194" s="78">
        <v>847</v>
      </c>
      <c r="E194" s="37">
        <v>8471240</v>
      </c>
      <c r="F194" s="37" t="s">
        <v>1364</v>
      </c>
      <c r="G194" s="79">
        <v>1</v>
      </c>
      <c r="H194" s="37" t="s">
        <v>342</v>
      </c>
      <c r="I194" s="37" t="s">
        <v>247</v>
      </c>
      <c r="J194" s="37" t="s">
        <v>60</v>
      </c>
      <c r="K194" s="37" t="s">
        <v>50</v>
      </c>
      <c r="L194" s="37">
        <v>847001</v>
      </c>
      <c r="M194" s="37" t="s">
        <v>61</v>
      </c>
      <c r="N194" s="37">
        <v>200179</v>
      </c>
      <c r="O194" s="37" t="str">
        <f t="shared" si="4"/>
        <v>847.8471240.1.425510.000000.847001.200179</v>
      </c>
      <c r="P194" s="37" t="s">
        <v>433</v>
      </c>
      <c r="Q194" s="37" t="s">
        <v>434</v>
      </c>
      <c r="R194" s="37">
        <v>1</v>
      </c>
      <c r="S194" s="21">
        <v>80000</v>
      </c>
      <c r="T194" s="37" t="s">
        <v>1371</v>
      </c>
      <c r="U194" s="37">
        <v>80000</v>
      </c>
      <c r="V194" s="37" t="s">
        <v>55</v>
      </c>
      <c r="W194" s="21" t="s">
        <v>197</v>
      </c>
      <c r="X194" s="24" t="s">
        <v>384</v>
      </c>
    </row>
    <row r="195" spans="1:24" s="39" customFormat="1" ht="16" customHeight="1" x14ac:dyDescent="0.35">
      <c r="A195" s="37" t="s">
        <v>245</v>
      </c>
      <c r="B195" s="37" t="s">
        <v>246</v>
      </c>
      <c r="C195" s="37" t="s">
        <v>1350</v>
      </c>
      <c r="D195" s="78">
        <v>847</v>
      </c>
      <c r="E195" s="37">
        <v>8471240</v>
      </c>
      <c r="F195" s="37" t="s">
        <v>1364</v>
      </c>
      <c r="G195" s="79">
        <v>1</v>
      </c>
      <c r="H195" s="37" t="s">
        <v>342</v>
      </c>
      <c r="I195" s="37" t="s">
        <v>247</v>
      </c>
      <c r="J195" s="37" t="s">
        <v>60</v>
      </c>
      <c r="K195" s="37" t="s">
        <v>50</v>
      </c>
      <c r="L195" s="37">
        <v>847001</v>
      </c>
      <c r="M195" s="37" t="s">
        <v>61</v>
      </c>
      <c r="N195" s="37">
        <v>200179</v>
      </c>
      <c r="O195" s="37" t="str">
        <f t="shared" ref="O195:O258" si="6">CONCATENATE(D195,".",E195,".",G195,".",H195,".",J195,".",L195,".",N195)</f>
        <v>847.8471240.1.425510.000000.847001.200179</v>
      </c>
      <c r="P195" s="37" t="s">
        <v>433</v>
      </c>
      <c r="Q195" s="37" t="s">
        <v>434</v>
      </c>
      <c r="R195" s="37">
        <v>1</v>
      </c>
      <c r="S195" s="21">
        <v>40000</v>
      </c>
      <c r="T195" s="37" t="s">
        <v>1372</v>
      </c>
      <c r="U195" s="37">
        <v>40000</v>
      </c>
      <c r="V195" s="37" t="s">
        <v>55</v>
      </c>
      <c r="W195" s="21" t="s">
        <v>197</v>
      </c>
      <c r="X195" s="24" t="s">
        <v>414</v>
      </c>
    </row>
    <row r="196" spans="1:24" s="39" customFormat="1" ht="16" customHeight="1" x14ac:dyDescent="0.35">
      <c r="A196" s="37" t="s">
        <v>258</v>
      </c>
      <c r="B196" s="37" t="s">
        <v>58</v>
      </c>
      <c r="C196" s="37" t="s">
        <v>1350</v>
      </c>
      <c r="D196" s="78">
        <v>847</v>
      </c>
      <c r="E196" s="37">
        <v>8471240</v>
      </c>
      <c r="F196" s="37" t="s">
        <v>1364</v>
      </c>
      <c r="G196" s="79">
        <v>1</v>
      </c>
      <c r="H196" s="37" t="s">
        <v>342</v>
      </c>
      <c r="I196" s="37" t="s">
        <v>247</v>
      </c>
      <c r="J196" s="37" t="s">
        <v>60</v>
      </c>
      <c r="K196" s="37" t="s">
        <v>50</v>
      </c>
      <c r="L196" s="37">
        <v>847001</v>
      </c>
      <c r="M196" s="37" t="s">
        <v>61</v>
      </c>
      <c r="N196" s="37">
        <v>200179</v>
      </c>
      <c r="O196" s="37" t="str">
        <f t="shared" si="6"/>
        <v>847.8471240.1.425510.000000.847001.200179</v>
      </c>
      <c r="P196" s="37" t="s">
        <v>433</v>
      </c>
      <c r="Q196" s="37" t="s">
        <v>623</v>
      </c>
      <c r="R196" s="37">
        <v>1</v>
      </c>
      <c r="S196" s="21">
        <v>30000</v>
      </c>
      <c r="T196" s="37" t="s">
        <v>1373</v>
      </c>
      <c r="U196" s="37">
        <v>30000</v>
      </c>
      <c r="V196" s="37" t="s">
        <v>55</v>
      </c>
      <c r="W196" s="21" t="s">
        <v>197</v>
      </c>
      <c r="X196" s="24" t="s">
        <v>244</v>
      </c>
    </row>
    <row r="197" spans="1:24" s="39" customFormat="1" ht="16" customHeight="1" x14ac:dyDescent="0.35">
      <c r="A197" s="37" t="s">
        <v>258</v>
      </c>
      <c r="B197" s="37" t="s">
        <v>58</v>
      </c>
      <c r="C197" s="37" t="s">
        <v>1350</v>
      </c>
      <c r="D197" s="78">
        <v>847</v>
      </c>
      <c r="E197" s="37">
        <v>8471240</v>
      </c>
      <c r="F197" s="37" t="s">
        <v>1364</v>
      </c>
      <c r="G197" s="79">
        <v>1</v>
      </c>
      <c r="H197" s="37" t="s">
        <v>619</v>
      </c>
      <c r="I197" s="37" t="s">
        <v>620</v>
      </c>
      <c r="J197" s="37" t="s">
        <v>60</v>
      </c>
      <c r="K197" s="37" t="s">
        <v>50</v>
      </c>
      <c r="L197" s="37">
        <v>847001</v>
      </c>
      <c r="M197" s="37" t="s">
        <v>61</v>
      </c>
      <c r="N197" s="37">
        <v>200179</v>
      </c>
      <c r="O197" s="37" t="str">
        <f t="shared" si="6"/>
        <v>847.8471240.1.425720.000000.847001.200179</v>
      </c>
      <c r="P197" s="37" t="s">
        <v>622</v>
      </c>
      <c r="Q197" s="37" t="s">
        <v>623</v>
      </c>
      <c r="R197" s="37">
        <v>1</v>
      </c>
      <c r="S197" s="21">
        <v>75000</v>
      </c>
      <c r="T197" s="37" t="s">
        <v>1374</v>
      </c>
      <c r="U197" s="37">
        <v>75000</v>
      </c>
      <c r="V197" s="37" t="s">
        <v>55</v>
      </c>
      <c r="W197" s="21" t="s">
        <v>197</v>
      </c>
      <c r="X197" s="24" t="s">
        <v>244</v>
      </c>
    </row>
    <row r="198" spans="1:24" s="39" customFormat="1" ht="16" customHeight="1" x14ac:dyDescent="0.35">
      <c r="A198" s="37" t="s">
        <v>258</v>
      </c>
      <c r="B198" s="37" t="s">
        <v>58</v>
      </c>
      <c r="C198" s="37" t="s">
        <v>1350</v>
      </c>
      <c r="D198" s="78">
        <v>847</v>
      </c>
      <c r="E198" s="37">
        <v>8471240</v>
      </c>
      <c r="F198" s="37" t="s">
        <v>1364</v>
      </c>
      <c r="G198" s="79">
        <v>1</v>
      </c>
      <c r="H198" s="37" t="s">
        <v>619</v>
      </c>
      <c r="I198" s="37" t="s">
        <v>620</v>
      </c>
      <c r="J198" s="37" t="s">
        <v>60</v>
      </c>
      <c r="K198" s="37" t="s">
        <v>50</v>
      </c>
      <c r="L198" s="37">
        <v>847001</v>
      </c>
      <c r="M198" s="37" t="s">
        <v>61</v>
      </c>
      <c r="N198" s="37">
        <v>200179</v>
      </c>
      <c r="O198" s="37" t="str">
        <f t="shared" si="6"/>
        <v>847.8471240.1.425720.000000.847001.200179</v>
      </c>
      <c r="P198" s="37" t="s">
        <v>622</v>
      </c>
      <c r="Q198" s="37" t="s">
        <v>623</v>
      </c>
      <c r="R198" s="37">
        <v>1</v>
      </c>
      <c r="S198" s="21">
        <v>30000</v>
      </c>
      <c r="T198" s="37" t="s">
        <v>1375</v>
      </c>
      <c r="U198" s="37">
        <v>30000</v>
      </c>
      <c r="V198" s="37" t="s">
        <v>55</v>
      </c>
      <c r="W198" s="21" t="s">
        <v>197</v>
      </c>
      <c r="X198" s="24" t="s">
        <v>384</v>
      </c>
    </row>
    <row r="199" spans="1:24" s="39" customFormat="1" ht="16" customHeight="1" x14ac:dyDescent="0.35">
      <c r="A199" s="37" t="s">
        <v>258</v>
      </c>
      <c r="B199" s="37" t="s">
        <v>58</v>
      </c>
      <c r="C199" s="37" t="s">
        <v>1350</v>
      </c>
      <c r="D199" s="78">
        <v>847</v>
      </c>
      <c r="E199" s="37">
        <v>8471240</v>
      </c>
      <c r="F199" s="37" t="s">
        <v>1364</v>
      </c>
      <c r="G199" s="79">
        <v>1</v>
      </c>
      <c r="H199" s="37" t="s">
        <v>619</v>
      </c>
      <c r="I199" s="37" t="s">
        <v>620</v>
      </c>
      <c r="J199" s="37" t="s">
        <v>60</v>
      </c>
      <c r="K199" s="37" t="s">
        <v>50</v>
      </c>
      <c r="L199" s="37">
        <v>847001</v>
      </c>
      <c r="M199" s="37" t="s">
        <v>61</v>
      </c>
      <c r="N199" s="37">
        <v>200179</v>
      </c>
      <c r="O199" s="37" t="str">
        <f t="shared" si="6"/>
        <v>847.8471240.1.425720.000000.847001.200179</v>
      </c>
      <c r="P199" s="37" t="s">
        <v>622</v>
      </c>
      <c r="Q199" s="37" t="s">
        <v>623</v>
      </c>
      <c r="R199" s="37">
        <v>3</v>
      </c>
      <c r="S199" s="21">
        <v>6000</v>
      </c>
      <c r="T199" s="37" t="s">
        <v>1377</v>
      </c>
      <c r="U199" s="37">
        <v>18000</v>
      </c>
      <c r="V199" s="37" t="s">
        <v>55</v>
      </c>
      <c r="W199" s="21" t="s">
        <v>56</v>
      </c>
      <c r="X199" s="24" t="s">
        <v>384</v>
      </c>
    </row>
    <row r="200" spans="1:24" s="39" customFormat="1" ht="16" customHeight="1" x14ac:dyDescent="0.35">
      <c r="A200" s="37" t="s">
        <v>258</v>
      </c>
      <c r="B200" s="37" t="s">
        <v>58</v>
      </c>
      <c r="C200" s="37" t="s">
        <v>1350</v>
      </c>
      <c r="D200" s="78">
        <v>847</v>
      </c>
      <c r="E200" s="37">
        <v>8471240</v>
      </c>
      <c r="F200" s="37" t="s">
        <v>1364</v>
      </c>
      <c r="G200" s="79">
        <v>1</v>
      </c>
      <c r="H200" s="37" t="s">
        <v>619</v>
      </c>
      <c r="I200" s="37" t="s">
        <v>620</v>
      </c>
      <c r="J200" s="37" t="s">
        <v>60</v>
      </c>
      <c r="K200" s="37" t="s">
        <v>50</v>
      </c>
      <c r="L200" s="37">
        <v>847001</v>
      </c>
      <c r="M200" s="37" t="s">
        <v>61</v>
      </c>
      <c r="N200" s="37">
        <v>200179</v>
      </c>
      <c r="O200" s="37" t="str">
        <f t="shared" si="6"/>
        <v>847.8471240.1.425720.000000.847001.200179</v>
      </c>
      <c r="P200" s="37" t="s">
        <v>622</v>
      </c>
      <c r="Q200" s="37" t="s">
        <v>1380</v>
      </c>
      <c r="R200" s="37">
        <v>10</v>
      </c>
      <c r="S200" s="21">
        <v>500</v>
      </c>
      <c r="T200" s="37" t="s">
        <v>1378</v>
      </c>
      <c r="U200" s="37">
        <v>5000</v>
      </c>
      <c r="V200" s="37" t="s">
        <v>55</v>
      </c>
      <c r="W200" s="21" t="s">
        <v>56</v>
      </c>
      <c r="X200" s="24" t="s">
        <v>244</v>
      </c>
    </row>
    <row r="201" spans="1:24" s="39" customFormat="1" ht="16" customHeight="1" x14ac:dyDescent="0.35">
      <c r="A201" s="37" t="s">
        <v>258</v>
      </c>
      <c r="B201" s="37" t="s">
        <v>58</v>
      </c>
      <c r="C201" s="37" t="s">
        <v>1350</v>
      </c>
      <c r="D201" s="78">
        <v>847</v>
      </c>
      <c r="E201" s="37">
        <v>8471240</v>
      </c>
      <c r="F201" s="37" t="s">
        <v>1364</v>
      </c>
      <c r="G201" s="79">
        <v>1</v>
      </c>
      <c r="H201" s="37" t="s">
        <v>1755</v>
      </c>
      <c r="I201" s="37" t="s">
        <v>1057</v>
      </c>
      <c r="J201" s="37" t="s">
        <v>60</v>
      </c>
      <c r="K201" s="37" t="s">
        <v>50</v>
      </c>
      <c r="L201" s="37">
        <v>847001</v>
      </c>
      <c r="M201" s="37" t="s">
        <v>61</v>
      </c>
      <c r="N201" s="37">
        <v>200179</v>
      </c>
      <c r="O201" s="37" t="str">
        <f t="shared" si="6"/>
        <v>847.8471240.1.425750.000000.847001.200179</v>
      </c>
      <c r="P201" s="37" t="s">
        <v>1379</v>
      </c>
      <c r="Q201" s="37" t="s">
        <v>441</v>
      </c>
      <c r="R201" s="37">
        <v>6</v>
      </c>
      <c r="S201" s="21">
        <v>1400</v>
      </c>
      <c r="T201" s="37" t="s">
        <v>1381</v>
      </c>
      <c r="U201" s="37">
        <v>8400</v>
      </c>
      <c r="V201" s="37" t="s">
        <v>55</v>
      </c>
      <c r="W201" s="21" t="s">
        <v>56</v>
      </c>
      <c r="X201" s="24" t="s">
        <v>244</v>
      </c>
    </row>
    <row r="202" spans="1:24" s="39" customFormat="1" ht="16" customHeight="1" x14ac:dyDescent="0.35">
      <c r="A202" s="37" t="s">
        <v>222</v>
      </c>
      <c r="B202" s="37" t="s">
        <v>58</v>
      </c>
      <c r="C202" s="37" t="s">
        <v>1350</v>
      </c>
      <c r="D202" s="78">
        <v>847</v>
      </c>
      <c r="E202" s="37">
        <v>8471240</v>
      </c>
      <c r="F202" s="37" t="s">
        <v>1364</v>
      </c>
      <c r="G202" s="79">
        <v>1</v>
      </c>
      <c r="H202" s="37" t="s">
        <v>1755</v>
      </c>
      <c r="I202" s="37" t="s">
        <v>1057</v>
      </c>
      <c r="J202" s="37" t="s">
        <v>60</v>
      </c>
      <c r="K202" s="37" t="s">
        <v>50</v>
      </c>
      <c r="L202" s="37">
        <v>847001</v>
      </c>
      <c r="M202" s="37" t="s">
        <v>61</v>
      </c>
      <c r="N202" s="37">
        <v>200179</v>
      </c>
      <c r="O202" s="37" t="str">
        <f t="shared" si="6"/>
        <v>847.8471240.1.425750.000000.847001.200179</v>
      </c>
      <c r="P202" s="37" t="s">
        <v>1059</v>
      </c>
      <c r="Q202" s="37" t="s">
        <v>441</v>
      </c>
      <c r="R202" s="37">
        <v>1</v>
      </c>
      <c r="S202" s="21">
        <v>14600</v>
      </c>
      <c r="T202" s="37" t="s">
        <v>1382</v>
      </c>
      <c r="U202" s="37">
        <v>14600</v>
      </c>
      <c r="V202" s="37" t="s">
        <v>55</v>
      </c>
      <c r="W202" s="21" t="s">
        <v>197</v>
      </c>
      <c r="X202" s="24" t="s">
        <v>244</v>
      </c>
    </row>
    <row r="203" spans="1:24" s="39" customFormat="1" ht="16" customHeight="1" x14ac:dyDescent="0.35">
      <c r="A203" s="37" t="s">
        <v>189</v>
      </c>
      <c r="B203" s="37" t="s">
        <v>265</v>
      </c>
      <c r="C203" s="37" t="s">
        <v>1350</v>
      </c>
      <c r="D203" s="78">
        <v>847</v>
      </c>
      <c r="E203" s="37">
        <v>8471240</v>
      </c>
      <c r="F203" s="37" t="s">
        <v>1364</v>
      </c>
      <c r="G203" s="79">
        <v>1</v>
      </c>
      <c r="H203" s="37" t="s">
        <v>1756</v>
      </c>
      <c r="I203" s="37" t="s">
        <v>1383</v>
      </c>
      <c r="J203" s="37" t="s">
        <v>60</v>
      </c>
      <c r="K203" s="37" t="s">
        <v>50</v>
      </c>
      <c r="L203" s="37">
        <v>847001</v>
      </c>
      <c r="M203" s="37" t="s">
        <v>61</v>
      </c>
      <c r="N203" s="37">
        <v>200179</v>
      </c>
      <c r="O203" s="37" t="str">
        <f t="shared" si="6"/>
        <v>847.8471240.1.425761.000000.847001.200179</v>
      </c>
      <c r="P203" s="37" t="s">
        <v>727</v>
      </c>
      <c r="Q203" s="37" t="s">
        <v>269</v>
      </c>
      <c r="R203" s="37">
        <v>1</v>
      </c>
      <c r="S203" s="21">
        <v>1400000</v>
      </c>
      <c r="T203" s="37" t="s">
        <v>1384</v>
      </c>
      <c r="U203" s="37">
        <v>1200000</v>
      </c>
      <c r="V203" s="37" t="s">
        <v>55</v>
      </c>
      <c r="W203" s="21" t="s">
        <v>56</v>
      </c>
      <c r="X203" s="24" t="s">
        <v>384</v>
      </c>
    </row>
    <row r="204" spans="1:24" s="39" customFormat="1" ht="16" customHeight="1" x14ac:dyDescent="0.35">
      <c r="A204" s="37" t="s">
        <v>189</v>
      </c>
      <c r="B204" s="37" t="s">
        <v>265</v>
      </c>
      <c r="C204" s="37" t="s">
        <v>1350</v>
      </c>
      <c r="D204" s="78">
        <v>847</v>
      </c>
      <c r="E204" s="37">
        <v>8471240</v>
      </c>
      <c r="F204" s="37" t="s">
        <v>1364</v>
      </c>
      <c r="G204" s="79">
        <v>1</v>
      </c>
      <c r="H204" s="37" t="s">
        <v>375</v>
      </c>
      <c r="I204" s="37" t="s">
        <v>266</v>
      </c>
      <c r="J204" s="37" t="s">
        <v>60</v>
      </c>
      <c r="K204" s="37" t="s">
        <v>50</v>
      </c>
      <c r="L204" s="37">
        <v>847001</v>
      </c>
      <c r="M204" s="37" t="s">
        <v>61</v>
      </c>
      <c r="N204" s="37">
        <v>200179</v>
      </c>
      <c r="O204" s="37" t="str">
        <f t="shared" si="6"/>
        <v>847.8471240.1.425900.000000.847001.200179</v>
      </c>
      <c r="P204" s="37" t="s">
        <v>268</v>
      </c>
      <c r="Q204" s="37" t="s">
        <v>269</v>
      </c>
      <c r="R204" s="37">
        <v>2</v>
      </c>
      <c r="S204" s="21">
        <v>7250</v>
      </c>
      <c r="T204" s="37" t="s">
        <v>1386</v>
      </c>
      <c r="U204" s="37">
        <v>14500</v>
      </c>
      <c r="V204" s="37" t="s">
        <v>55</v>
      </c>
      <c r="W204" s="21" t="s">
        <v>56</v>
      </c>
      <c r="X204" s="24"/>
    </row>
    <row r="205" spans="1:24" s="39" customFormat="1" ht="16" customHeight="1" x14ac:dyDescent="0.35">
      <c r="A205" s="37" t="s">
        <v>189</v>
      </c>
      <c r="B205" s="37" t="s">
        <v>265</v>
      </c>
      <c r="C205" s="37" t="s">
        <v>1350</v>
      </c>
      <c r="D205" s="78">
        <v>847</v>
      </c>
      <c r="E205" s="37">
        <v>8471240</v>
      </c>
      <c r="F205" s="37" t="s">
        <v>1364</v>
      </c>
      <c r="G205" s="79">
        <v>1</v>
      </c>
      <c r="H205" s="37" t="s">
        <v>375</v>
      </c>
      <c r="I205" s="37" t="s">
        <v>266</v>
      </c>
      <c r="J205" s="37" t="s">
        <v>60</v>
      </c>
      <c r="K205" s="37" t="s">
        <v>50</v>
      </c>
      <c r="L205" s="37">
        <v>847001</v>
      </c>
      <c r="M205" s="37" t="s">
        <v>61</v>
      </c>
      <c r="N205" s="37">
        <v>200179</v>
      </c>
      <c r="O205" s="37" t="str">
        <f t="shared" si="6"/>
        <v>847.8471240.1.425900.000000.847001.200179</v>
      </c>
      <c r="P205" s="37" t="s">
        <v>268</v>
      </c>
      <c r="Q205" s="37" t="s">
        <v>269</v>
      </c>
      <c r="R205" s="37">
        <v>3</v>
      </c>
      <c r="S205" s="21">
        <v>1500</v>
      </c>
      <c r="T205" s="37" t="s">
        <v>1387</v>
      </c>
      <c r="U205" s="37">
        <v>4500</v>
      </c>
      <c r="V205" s="37" t="s">
        <v>55</v>
      </c>
      <c r="W205" s="21" t="s">
        <v>56</v>
      </c>
      <c r="X205" s="24"/>
    </row>
    <row r="206" spans="1:24" s="39" customFormat="1" ht="16" customHeight="1" x14ac:dyDescent="0.35">
      <c r="A206" s="37" t="s">
        <v>63</v>
      </c>
      <c r="B206" s="37" t="s">
        <v>64</v>
      </c>
      <c r="C206" s="37" t="s">
        <v>1350</v>
      </c>
      <c r="D206" s="78">
        <v>847</v>
      </c>
      <c r="E206" s="37">
        <v>8471240</v>
      </c>
      <c r="F206" s="37" t="s">
        <v>1364</v>
      </c>
      <c r="G206" s="79">
        <v>1</v>
      </c>
      <c r="H206" s="37" t="s">
        <v>375</v>
      </c>
      <c r="I206" s="37" t="s">
        <v>266</v>
      </c>
      <c r="J206" s="37" t="s">
        <v>60</v>
      </c>
      <c r="K206" s="37" t="s">
        <v>50</v>
      </c>
      <c r="L206" s="37">
        <v>847001</v>
      </c>
      <c r="M206" s="37" t="s">
        <v>61</v>
      </c>
      <c r="N206" s="37">
        <v>200179</v>
      </c>
      <c r="O206" s="37" t="str">
        <f t="shared" si="6"/>
        <v>847.8471240.1.425900.000000.847001.200179</v>
      </c>
      <c r="P206" s="37" t="s">
        <v>268</v>
      </c>
      <c r="Q206" s="37" t="s">
        <v>68</v>
      </c>
      <c r="R206" s="37">
        <v>10</v>
      </c>
      <c r="S206" s="21">
        <v>500</v>
      </c>
      <c r="T206" s="37" t="s">
        <v>1388</v>
      </c>
      <c r="U206" s="37">
        <v>5000</v>
      </c>
      <c r="V206" s="37" t="s">
        <v>55</v>
      </c>
      <c r="W206" s="21" t="s">
        <v>56</v>
      </c>
      <c r="X206" s="24"/>
    </row>
    <row r="207" spans="1:24" s="39" customFormat="1" ht="16" customHeight="1" x14ac:dyDescent="0.35">
      <c r="A207" s="37" t="s">
        <v>153</v>
      </c>
      <c r="B207" s="37" t="s">
        <v>58</v>
      </c>
      <c r="C207" s="37" t="s">
        <v>1350</v>
      </c>
      <c r="D207" s="78">
        <v>847</v>
      </c>
      <c r="E207" s="37">
        <v>8471240</v>
      </c>
      <c r="F207" s="37" t="s">
        <v>1364</v>
      </c>
      <c r="G207" s="79">
        <v>1</v>
      </c>
      <c r="H207" s="37" t="s">
        <v>380</v>
      </c>
      <c r="I207" s="37" t="s">
        <v>74</v>
      </c>
      <c r="J207" s="37" t="s">
        <v>60</v>
      </c>
      <c r="K207" s="37" t="s">
        <v>50</v>
      </c>
      <c r="L207" s="37">
        <v>847001</v>
      </c>
      <c r="M207" s="37" t="s">
        <v>61</v>
      </c>
      <c r="N207" s="37">
        <v>200179</v>
      </c>
      <c r="O207" s="37" t="str">
        <f t="shared" si="6"/>
        <v>847.8471240.1.426610.000000.847001.200179</v>
      </c>
      <c r="P207" s="37" t="s">
        <v>960</v>
      </c>
      <c r="Q207" s="37" t="s">
        <v>157</v>
      </c>
      <c r="R207" s="37">
        <v>1</v>
      </c>
      <c r="S207" s="21">
        <v>400000</v>
      </c>
      <c r="T207" s="37" t="s">
        <v>1389</v>
      </c>
      <c r="U207" s="37">
        <v>400000</v>
      </c>
      <c r="V207" s="37" t="s">
        <v>55</v>
      </c>
      <c r="W207" s="21" t="s">
        <v>197</v>
      </c>
      <c r="X207" s="24" t="s">
        <v>384</v>
      </c>
    </row>
    <row r="208" spans="1:24" s="39" customFormat="1" ht="16" customHeight="1" x14ac:dyDescent="0.35">
      <c r="A208" s="37" t="s">
        <v>245</v>
      </c>
      <c r="B208" s="37" t="s">
        <v>246</v>
      </c>
      <c r="C208" s="37" t="s">
        <v>1350</v>
      </c>
      <c r="D208" s="78">
        <v>847</v>
      </c>
      <c r="E208" s="37">
        <v>8471240</v>
      </c>
      <c r="F208" s="37" t="s">
        <v>1364</v>
      </c>
      <c r="G208" s="79">
        <v>1</v>
      </c>
      <c r="H208" s="37" t="s">
        <v>385</v>
      </c>
      <c r="I208" s="37" t="s">
        <v>154</v>
      </c>
      <c r="J208" s="37" t="s">
        <v>60</v>
      </c>
      <c r="K208" s="37" t="s">
        <v>50</v>
      </c>
      <c r="L208" s="37">
        <v>847001</v>
      </c>
      <c r="M208" s="37" t="s">
        <v>61</v>
      </c>
      <c r="N208" s="37">
        <v>200179</v>
      </c>
      <c r="O208" s="37" t="str">
        <f t="shared" si="6"/>
        <v>847.8471240.1.428090.000000.847001.200179</v>
      </c>
      <c r="P208" s="37" t="s">
        <v>156</v>
      </c>
      <c r="Q208" s="37" t="s">
        <v>269</v>
      </c>
      <c r="R208" s="37">
        <v>2</v>
      </c>
      <c r="S208" s="21">
        <v>30000</v>
      </c>
      <c r="T208" s="37" t="s">
        <v>1391</v>
      </c>
      <c r="U208" s="37">
        <v>60000</v>
      </c>
      <c r="V208" s="37" t="s">
        <v>55</v>
      </c>
      <c r="W208" s="21" t="s">
        <v>56</v>
      </c>
      <c r="X208" s="24" t="s">
        <v>348</v>
      </c>
    </row>
    <row r="209" spans="1:24" s="39" customFormat="1" ht="16" customHeight="1" x14ac:dyDescent="0.35">
      <c r="A209" s="37" t="s">
        <v>245</v>
      </c>
      <c r="B209" s="37" t="s">
        <v>246</v>
      </c>
      <c r="C209" s="37" t="s">
        <v>1350</v>
      </c>
      <c r="D209" s="78">
        <v>847</v>
      </c>
      <c r="E209" s="37">
        <v>8471240</v>
      </c>
      <c r="F209" s="37" t="s">
        <v>1364</v>
      </c>
      <c r="G209" s="79">
        <v>1</v>
      </c>
      <c r="H209" s="37" t="s">
        <v>643</v>
      </c>
      <c r="I209" s="37" t="s">
        <v>279</v>
      </c>
      <c r="J209" s="37" t="s">
        <v>60</v>
      </c>
      <c r="K209" s="37" t="s">
        <v>50</v>
      </c>
      <c r="L209" s="37">
        <v>847001</v>
      </c>
      <c r="M209" s="37" t="s">
        <v>61</v>
      </c>
      <c r="N209" s="37">
        <v>200179</v>
      </c>
      <c r="O209" s="37" t="str">
        <f t="shared" si="6"/>
        <v>847.8471240.1.428640.000000.847001.200179</v>
      </c>
      <c r="P209" s="37" t="s">
        <v>281</v>
      </c>
      <c r="Q209" s="37" t="s">
        <v>269</v>
      </c>
      <c r="R209" s="37">
        <v>2</v>
      </c>
      <c r="S209" s="21">
        <v>5000</v>
      </c>
      <c r="T209" s="37" t="s">
        <v>1393</v>
      </c>
      <c r="U209" s="37">
        <v>10000</v>
      </c>
      <c r="V209" s="37" t="s">
        <v>55</v>
      </c>
      <c r="W209" s="21" t="s">
        <v>56</v>
      </c>
      <c r="X209" s="24"/>
    </row>
    <row r="210" spans="1:24" s="39" customFormat="1" ht="16" customHeight="1" x14ac:dyDescent="0.35">
      <c r="A210" s="37" t="s">
        <v>245</v>
      </c>
      <c r="B210" s="37" t="s">
        <v>246</v>
      </c>
      <c r="C210" s="37" t="s">
        <v>1350</v>
      </c>
      <c r="D210" s="78">
        <v>847</v>
      </c>
      <c r="E210" s="37">
        <v>8471240</v>
      </c>
      <c r="F210" s="37" t="s">
        <v>1364</v>
      </c>
      <c r="G210" s="79">
        <v>1</v>
      </c>
      <c r="H210" s="37" t="s">
        <v>643</v>
      </c>
      <c r="I210" s="37" t="s">
        <v>279</v>
      </c>
      <c r="J210" s="37" t="s">
        <v>60</v>
      </c>
      <c r="K210" s="37" t="s">
        <v>50</v>
      </c>
      <c r="L210" s="37">
        <v>847001</v>
      </c>
      <c r="M210" s="37" t="s">
        <v>61</v>
      </c>
      <c r="N210" s="37">
        <v>200179</v>
      </c>
      <c r="O210" s="37" t="str">
        <f t="shared" si="6"/>
        <v>847.8471240.1.428640.000000.847001.200179</v>
      </c>
      <c r="P210" s="37" t="s">
        <v>1395</v>
      </c>
      <c r="Q210" s="37" t="s">
        <v>269</v>
      </c>
      <c r="R210" s="37">
        <v>10</v>
      </c>
      <c r="S210" s="21">
        <v>200</v>
      </c>
      <c r="T210" s="37" t="s">
        <v>1396</v>
      </c>
      <c r="U210" s="37">
        <v>2000</v>
      </c>
      <c r="V210" s="37" t="s">
        <v>55</v>
      </c>
      <c r="W210" s="21" t="s">
        <v>197</v>
      </c>
      <c r="X210" s="24"/>
    </row>
    <row r="211" spans="1:24" s="39" customFormat="1" ht="16" customHeight="1" x14ac:dyDescent="0.35">
      <c r="A211" s="37" t="s">
        <v>222</v>
      </c>
      <c r="B211" s="37" t="s">
        <v>58</v>
      </c>
      <c r="C211" s="37" t="s">
        <v>1350</v>
      </c>
      <c r="D211" s="78">
        <v>847</v>
      </c>
      <c r="E211" s="37">
        <v>8471240</v>
      </c>
      <c r="F211" s="37" t="s">
        <v>1364</v>
      </c>
      <c r="G211" s="79">
        <v>1</v>
      </c>
      <c r="H211" s="37" t="s">
        <v>643</v>
      </c>
      <c r="I211" s="37" t="s">
        <v>279</v>
      </c>
      <c r="J211" s="37" t="s">
        <v>60</v>
      </c>
      <c r="K211" s="37" t="s">
        <v>50</v>
      </c>
      <c r="L211" s="37">
        <v>847001</v>
      </c>
      <c r="M211" s="37" t="s">
        <v>61</v>
      </c>
      <c r="N211" s="37">
        <v>200179</v>
      </c>
      <c r="O211" s="37" t="str">
        <f t="shared" si="6"/>
        <v>847.8471240.1.428640.000000.847001.200179</v>
      </c>
      <c r="P211" s="37" t="s">
        <v>1395</v>
      </c>
      <c r="Q211" s="37" t="s">
        <v>157</v>
      </c>
      <c r="R211" s="37">
        <v>10</v>
      </c>
      <c r="S211" s="21">
        <v>200</v>
      </c>
      <c r="T211" s="37" t="s">
        <v>1397</v>
      </c>
      <c r="U211" s="37">
        <v>2000</v>
      </c>
      <c r="V211" s="37" t="s">
        <v>55</v>
      </c>
      <c r="W211" s="21" t="s">
        <v>197</v>
      </c>
      <c r="X211" s="24"/>
    </row>
    <row r="212" spans="1:24" s="39" customFormat="1" ht="16" customHeight="1" x14ac:dyDescent="0.35">
      <c r="A212" s="37" t="s">
        <v>189</v>
      </c>
      <c r="B212" s="37" t="s">
        <v>58</v>
      </c>
      <c r="C212" s="37" t="s">
        <v>1350</v>
      </c>
      <c r="D212" s="78">
        <v>847</v>
      </c>
      <c r="E212" s="37">
        <v>8471240</v>
      </c>
      <c r="F212" s="37" t="s">
        <v>1364</v>
      </c>
      <c r="G212" s="79">
        <v>1</v>
      </c>
      <c r="H212" s="37" t="s">
        <v>1757</v>
      </c>
      <c r="I212" s="37" t="s">
        <v>1111</v>
      </c>
      <c r="J212" s="37" t="s">
        <v>60</v>
      </c>
      <c r="K212" s="37" t="s">
        <v>50</v>
      </c>
      <c r="L212" s="37">
        <v>847001</v>
      </c>
      <c r="M212" s="37" t="s">
        <v>61</v>
      </c>
      <c r="N212" s="37">
        <v>200179</v>
      </c>
      <c r="O212" s="37" t="str">
        <f t="shared" si="6"/>
        <v>847.8471240.1.435330.000000.847001.200179</v>
      </c>
      <c r="P212" s="37" t="s">
        <v>1113</v>
      </c>
      <c r="Q212" s="37" t="s">
        <v>157</v>
      </c>
      <c r="R212" s="37">
        <v>50</v>
      </c>
      <c r="S212" s="21">
        <v>95</v>
      </c>
      <c r="T212" s="37" t="s">
        <v>1398</v>
      </c>
      <c r="U212" s="37">
        <v>4750</v>
      </c>
      <c r="V212" s="37" t="s">
        <v>55</v>
      </c>
      <c r="W212" s="21" t="s">
        <v>197</v>
      </c>
      <c r="X212" s="24"/>
    </row>
    <row r="213" spans="1:24" s="39" customFormat="1" ht="16" customHeight="1" x14ac:dyDescent="0.35">
      <c r="A213" s="37" t="s">
        <v>189</v>
      </c>
      <c r="B213" s="37" t="s">
        <v>58</v>
      </c>
      <c r="C213" s="37" t="s">
        <v>1350</v>
      </c>
      <c r="D213" s="78">
        <v>847</v>
      </c>
      <c r="E213" s="37">
        <v>8471240</v>
      </c>
      <c r="F213" s="37" t="s">
        <v>1364</v>
      </c>
      <c r="G213" s="79">
        <v>1</v>
      </c>
      <c r="H213" s="37" t="s">
        <v>409</v>
      </c>
      <c r="I213" s="37" t="s">
        <v>190</v>
      </c>
      <c r="J213" s="37" t="s">
        <v>60</v>
      </c>
      <c r="K213" s="37" t="s">
        <v>50</v>
      </c>
      <c r="L213" s="37">
        <v>847001</v>
      </c>
      <c r="M213" s="37" t="s">
        <v>61</v>
      </c>
      <c r="N213" s="37">
        <v>200179</v>
      </c>
      <c r="O213" s="37" t="str">
        <f t="shared" si="6"/>
        <v>847.8471240.1.436110.000000.847001.200179</v>
      </c>
      <c r="P213" s="37" t="s">
        <v>829</v>
      </c>
      <c r="Q213" s="37" t="s">
        <v>157</v>
      </c>
      <c r="R213" s="37">
        <v>1000</v>
      </c>
      <c r="S213" s="21">
        <v>35</v>
      </c>
      <c r="T213" s="37" t="s">
        <v>1399</v>
      </c>
      <c r="U213" s="37">
        <v>35000</v>
      </c>
      <c r="V213" s="37" t="s">
        <v>55</v>
      </c>
      <c r="W213" s="21" t="s">
        <v>197</v>
      </c>
      <c r="X213" s="24"/>
    </row>
    <row r="214" spans="1:24" s="39" customFormat="1" ht="16" customHeight="1" x14ac:dyDescent="0.35">
      <c r="A214" s="37" t="s">
        <v>189</v>
      </c>
      <c r="B214" s="37" t="s">
        <v>58</v>
      </c>
      <c r="C214" s="37" t="s">
        <v>1350</v>
      </c>
      <c r="D214" s="78">
        <v>847</v>
      </c>
      <c r="E214" s="37">
        <v>8471240</v>
      </c>
      <c r="F214" s="37" t="s">
        <v>1364</v>
      </c>
      <c r="G214" s="79">
        <v>1</v>
      </c>
      <c r="H214" s="37" t="s">
        <v>409</v>
      </c>
      <c r="I214" s="37" t="s">
        <v>190</v>
      </c>
      <c r="J214" s="37" t="s">
        <v>60</v>
      </c>
      <c r="K214" s="37" t="s">
        <v>50</v>
      </c>
      <c r="L214" s="37">
        <v>847001</v>
      </c>
      <c r="M214" s="37" t="s">
        <v>61</v>
      </c>
      <c r="N214" s="37">
        <v>200179</v>
      </c>
      <c r="O214" s="37" t="str">
        <f t="shared" si="6"/>
        <v>847.8471240.1.436110.000000.847001.200179</v>
      </c>
      <c r="P214" s="37" t="s">
        <v>829</v>
      </c>
      <c r="Q214" s="37" t="s">
        <v>157</v>
      </c>
      <c r="R214" s="37">
        <v>10</v>
      </c>
      <c r="S214" s="21">
        <v>500</v>
      </c>
      <c r="T214" s="37" t="s">
        <v>1400</v>
      </c>
      <c r="U214" s="37">
        <v>5000</v>
      </c>
      <c r="V214" s="37" t="s">
        <v>55</v>
      </c>
      <c r="W214" s="21" t="s">
        <v>56</v>
      </c>
      <c r="X214" s="24"/>
    </row>
    <row r="215" spans="1:24" s="39" customFormat="1" ht="16" customHeight="1" x14ac:dyDescent="0.35">
      <c r="A215" s="37" t="s">
        <v>189</v>
      </c>
      <c r="B215" s="37" t="s">
        <v>58</v>
      </c>
      <c r="C215" s="37" t="s">
        <v>1350</v>
      </c>
      <c r="D215" s="78">
        <v>847</v>
      </c>
      <c r="E215" s="37">
        <v>8471240</v>
      </c>
      <c r="F215" s="37" t="s">
        <v>1364</v>
      </c>
      <c r="G215" s="79">
        <v>1</v>
      </c>
      <c r="H215" s="37" t="s">
        <v>409</v>
      </c>
      <c r="I215" s="37" t="s">
        <v>190</v>
      </c>
      <c r="J215" s="37" t="s">
        <v>60</v>
      </c>
      <c r="K215" s="37" t="s">
        <v>50</v>
      </c>
      <c r="L215" s="37">
        <v>847001</v>
      </c>
      <c r="M215" s="37" t="s">
        <v>61</v>
      </c>
      <c r="N215" s="37">
        <v>200179</v>
      </c>
      <c r="O215" s="37" t="str">
        <f t="shared" si="6"/>
        <v>847.8471240.1.436110.000000.847001.200179</v>
      </c>
      <c r="P215" s="37" t="s">
        <v>829</v>
      </c>
      <c r="Q215" s="37" t="s">
        <v>157</v>
      </c>
      <c r="R215" s="37">
        <v>80</v>
      </c>
      <c r="S215" s="21">
        <v>25</v>
      </c>
      <c r="T215" s="37" t="s">
        <v>1401</v>
      </c>
      <c r="U215" s="37">
        <v>2000</v>
      </c>
      <c r="V215" s="37" t="s">
        <v>55</v>
      </c>
      <c r="W215" s="21" t="s">
        <v>197</v>
      </c>
      <c r="X215" s="24"/>
    </row>
    <row r="216" spans="1:24" s="39" customFormat="1" ht="16" customHeight="1" x14ac:dyDescent="0.35">
      <c r="A216" s="37" t="s">
        <v>189</v>
      </c>
      <c r="B216" s="37" t="s">
        <v>58</v>
      </c>
      <c r="C216" s="37" t="s">
        <v>1350</v>
      </c>
      <c r="D216" s="78">
        <v>847</v>
      </c>
      <c r="E216" s="37">
        <v>8471240</v>
      </c>
      <c r="F216" s="37" t="s">
        <v>1364</v>
      </c>
      <c r="G216" s="79">
        <v>1</v>
      </c>
      <c r="H216" s="37" t="s">
        <v>1753</v>
      </c>
      <c r="I216" s="37" t="s">
        <v>291</v>
      </c>
      <c r="J216" s="37" t="s">
        <v>60</v>
      </c>
      <c r="K216" s="37" t="s">
        <v>50</v>
      </c>
      <c r="L216" s="37">
        <v>847001</v>
      </c>
      <c r="M216" s="37" t="s">
        <v>61</v>
      </c>
      <c r="N216" s="37">
        <v>200179</v>
      </c>
      <c r="O216" s="37" t="str">
        <f t="shared" si="6"/>
        <v>847.8471240.1.436120.000000.847001.200179</v>
      </c>
      <c r="P216" s="37" t="s">
        <v>292</v>
      </c>
      <c r="Q216" s="37" t="s">
        <v>157</v>
      </c>
      <c r="R216" s="37">
        <v>10</v>
      </c>
      <c r="S216" s="21">
        <v>3400</v>
      </c>
      <c r="T216" s="37" t="s">
        <v>1402</v>
      </c>
      <c r="U216" s="37">
        <v>34000</v>
      </c>
      <c r="V216" s="37" t="s">
        <v>55</v>
      </c>
      <c r="W216" s="21" t="s">
        <v>56</v>
      </c>
      <c r="X216" s="24"/>
    </row>
    <row r="217" spans="1:24" s="39" customFormat="1" ht="16" customHeight="1" x14ac:dyDescent="0.35">
      <c r="A217" s="37" t="s">
        <v>46</v>
      </c>
      <c r="B217" s="37" t="s">
        <v>46</v>
      </c>
      <c r="C217" s="37">
        <v>0</v>
      </c>
      <c r="D217" s="78">
        <v>847</v>
      </c>
      <c r="E217" s="37">
        <v>8471240</v>
      </c>
      <c r="F217" s="37" t="s">
        <v>1364</v>
      </c>
      <c r="G217" s="79">
        <v>1</v>
      </c>
      <c r="H217" s="37" t="s">
        <v>1753</v>
      </c>
      <c r="I217" s="37" t="s">
        <v>291</v>
      </c>
      <c r="J217" s="37" t="s">
        <v>60</v>
      </c>
      <c r="K217" s="37" t="s">
        <v>50</v>
      </c>
      <c r="L217" s="37">
        <v>847001</v>
      </c>
      <c r="M217" s="37" t="s">
        <v>61</v>
      </c>
      <c r="N217" s="37">
        <v>200179</v>
      </c>
      <c r="O217" s="37" t="str">
        <f t="shared" si="6"/>
        <v>847.8471240.1.436120.000000.847001.200179</v>
      </c>
      <c r="P217" s="37" t="s">
        <v>292</v>
      </c>
      <c r="Q217" s="37" t="s">
        <v>157</v>
      </c>
      <c r="R217" s="37">
        <v>10</v>
      </c>
      <c r="S217" s="21">
        <v>100</v>
      </c>
      <c r="T217" s="37" t="s">
        <v>1403</v>
      </c>
      <c r="U217" s="37">
        <v>1000</v>
      </c>
      <c r="V217" s="37" t="s">
        <v>55</v>
      </c>
      <c r="W217" s="21" t="s">
        <v>197</v>
      </c>
      <c r="X217" s="24"/>
    </row>
    <row r="218" spans="1:24" s="39" customFormat="1" ht="16" customHeight="1" x14ac:dyDescent="0.35">
      <c r="A218" s="37" t="s">
        <v>46</v>
      </c>
      <c r="B218" s="37" t="s">
        <v>46</v>
      </c>
      <c r="C218" s="37" t="s">
        <v>1350</v>
      </c>
      <c r="D218" s="78">
        <v>847</v>
      </c>
      <c r="E218" s="37">
        <v>8471260</v>
      </c>
      <c r="F218" s="37" t="s">
        <v>1404</v>
      </c>
      <c r="G218" s="79">
        <v>1</v>
      </c>
      <c r="H218" s="37" t="s">
        <v>1758</v>
      </c>
      <c r="I218" s="37" t="s">
        <v>72</v>
      </c>
      <c r="J218" s="37" t="s">
        <v>60</v>
      </c>
      <c r="K218" s="37" t="s">
        <v>50</v>
      </c>
      <c r="L218" s="37">
        <v>847001</v>
      </c>
      <c r="M218" s="37" t="s">
        <v>61</v>
      </c>
      <c r="N218" s="37">
        <v>200179</v>
      </c>
      <c r="O218" s="37" t="str">
        <f t="shared" si="6"/>
        <v>847.8471260.1.421100.000000.847001.200179</v>
      </c>
      <c r="P218" s="37" t="s">
        <v>1624</v>
      </c>
      <c r="Q218" s="37" t="s">
        <v>62</v>
      </c>
      <c r="R218" s="37">
        <v>13</v>
      </c>
      <c r="S218" s="21">
        <v>118000</v>
      </c>
      <c r="T218" s="37" t="s">
        <v>1625</v>
      </c>
      <c r="U218" s="37">
        <v>1534000</v>
      </c>
      <c r="V218" s="37" t="s">
        <v>55</v>
      </c>
      <c r="W218" s="21" t="s">
        <v>56</v>
      </c>
      <c r="X218" s="24" t="s">
        <v>70</v>
      </c>
    </row>
    <row r="219" spans="1:24" s="39" customFormat="1" ht="16" customHeight="1" x14ac:dyDescent="0.35">
      <c r="A219" s="37" t="s">
        <v>71</v>
      </c>
      <c r="B219" s="37" t="s">
        <v>58</v>
      </c>
      <c r="C219" s="37" t="s">
        <v>1350</v>
      </c>
      <c r="D219" s="78">
        <v>847</v>
      </c>
      <c r="E219" s="37">
        <v>8471260</v>
      </c>
      <c r="F219" s="37" t="s">
        <v>1404</v>
      </c>
      <c r="G219" s="79">
        <v>1</v>
      </c>
      <c r="H219" s="37" t="s">
        <v>1758</v>
      </c>
      <c r="I219" s="37" t="s">
        <v>72</v>
      </c>
      <c r="J219" s="37" t="s">
        <v>60</v>
      </c>
      <c r="K219" s="37" t="s">
        <v>50</v>
      </c>
      <c r="L219" s="37">
        <v>847001</v>
      </c>
      <c r="M219" s="37" t="s">
        <v>61</v>
      </c>
      <c r="N219" s="37">
        <v>200179</v>
      </c>
      <c r="O219" s="37" t="str">
        <f t="shared" si="6"/>
        <v>847.8471260.1.421100.000000.847001.200179</v>
      </c>
      <c r="P219" s="37" t="s">
        <v>1624</v>
      </c>
      <c r="Q219" s="37" t="s">
        <v>62</v>
      </c>
      <c r="R219" s="37">
        <v>6</v>
      </c>
      <c r="S219" s="21">
        <v>99000</v>
      </c>
      <c r="T219" s="37" t="s">
        <v>1626</v>
      </c>
      <c r="U219" s="37">
        <v>594000</v>
      </c>
      <c r="V219" s="37" t="s">
        <v>55</v>
      </c>
      <c r="W219" s="21" t="s">
        <v>56</v>
      </c>
      <c r="X219" s="24" t="s">
        <v>70</v>
      </c>
    </row>
    <row r="220" spans="1:24" s="39" customFormat="1" ht="16" customHeight="1" x14ac:dyDescent="0.35">
      <c r="A220" s="37" t="s">
        <v>46</v>
      </c>
      <c r="B220" s="37" t="s">
        <v>46</v>
      </c>
      <c r="C220" s="37" t="s">
        <v>1350</v>
      </c>
      <c r="D220" s="78">
        <v>847</v>
      </c>
      <c r="E220" s="37">
        <v>8471260</v>
      </c>
      <c r="F220" s="37" t="s">
        <v>1404</v>
      </c>
      <c r="G220" s="79">
        <v>1</v>
      </c>
      <c r="H220" s="37" t="s">
        <v>342</v>
      </c>
      <c r="I220" s="37" t="s">
        <v>247</v>
      </c>
      <c r="J220" s="37" t="s">
        <v>60</v>
      </c>
      <c r="K220" s="37" t="s">
        <v>50</v>
      </c>
      <c r="L220" s="37">
        <v>847001</v>
      </c>
      <c r="M220" s="37" t="s">
        <v>61</v>
      </c>
      <c r="N220" s="37">
        <v>200179</v>
      </c>
      <c r="O220" s="37" t="str">
        <f t="shared" si="6"/>
        <v>847.8471260.1.425510.000000.847001.200179</v>
      </c>
      <c r="P220" s="37" t="s">
        <v>1405</v>
      </c>
      <c r="Q220" s="37" t="s">
        <v>62</v>
      </c>
      <c r="R220" s="37">
        <v>1300</v>
      </c>
      <c r="S220" s="21">
        <v>100</v>
      </c>
      <c r="T220" s="37" t="s">
        <v>1406</v>
      </c>
      <c r="U220" s="37">
        <v>130000</v>
      </c>
      <c r="V220" s="37" t="s">
        <v>55</v>
      </c>
      <c r="W220" s="21" t="s">
        <v>56</v>
      </c>
      <c r="X220" s="24" t="s">
        <v>244</v>
      </c>
    </row>
    <row r="221" spans="1:24" s="39" customFormat="1" ht="16" customHeight="1" x14ac:dyDescent="0.35">
      <c r="A221" s="37" t="s">
        <v>46</v>
      </c>
      <c r="B221" s="37" t="s">
        <v>46</v>
      </c>
      <c r="C221" s="37" t="s">
        <v>1350</v>
      </c>
      <c r="D221" s="78">
        <v>847</v>
      </c>
      <c r="E221" s="37">
        <v>8471260</v>
      </c>
      <c r="F221" s="37" t="s">
        <v>1404</v>
      </c>
      <c r="G221" s="79">
        <v>1</v>
      </c>
      <c r="H221" s="37" t="s">
        <v>342</v>
      </c>
      <c r="I221" s="37" t="s">
        <v>247</v>
      </c>
      <c r="J221" s="37" t="s">
        <v>60</v>
      </c>
      <c r="K221" s="37" t="s">
        <v>50</v>
      </c>
      <c r="L221" s="37">
        <v>847001</v>
      </c>
      <c r="M221" s="37" t="s">
        <v>61</v>
      </c>
      <c r="N221" s="37">
        <v>200179</v>
      </c>
      <c r="O221" s="37" t="str">
        <f t="shared" si="6"/>
        <v>847.8471260.1.425510.000000.847001.200179</v>
      </c>
      <c r="P221" s="37" t="s">
        <v>1405</v>
      </c>
      <c r="Q221" s="37" t="s">
        <v>62</v>
      </c>
      <c r="R221" s="37">
        <v>2000</v>
      </c>
      <c r="S221" s="21">
        <v>50</v>
      </c>
      <c r="T221" s="37" t="s">
        <v>1409</v>
      </c>
      <c r="U221" s="37">
        <v>100000</v>
      </c>
      <c r="V221" s="37" t="s">
        <v>55</v>
      </c>
      <c r="W221" s="21" t="s">
        <v>56</v>
      </c>
      <c r="X221" s="24" t="s">
        <v>244</v>
      </c>
    </row>
    <row r="222" spans="1:24" s="39" customFormat="1" ht="16" customHeight="1" x14ac:dyDescent="0.35">
      <c r="A222" s="37" t="s">
        <v>46</v>
      </c>
      <c r="B222" s="37" t="s">
        <v>46</v>
      </c>
      <c r="C222" s="37" t="s">
        <v>1350</v>
      </c>
      <c r="D222" s="78">
        <v>847</v>
      </c>
      <c r="E222" s="37">
        <v>8471260</v>
      </c>
      <c r="F222" s="37" t="s">
        <v>1404</v>
      </c>
      <c r="G222" s="79">
        <v>1</v>
      </c>
      <c r="H222" s="37" t="s">
        <v>342</v>
      </c>
      <c r="I222" s="37" t="s">
        <v>247</v>
      </c>
      <c r="J222" s="37" t="s">
        <v>60</v>
      </c>
      <c r="K222" s="37" t="s">
        <v>50</v>
      </c>
      <c r="L222" s="37">
        <v>847001</v>
      </c>
      <c r="M222" s="37" t="s">
        <v>61</v>
      </c>
      <c r="N222" s="37">
        <v>200179</v>
      </c>
      <c r="O222" s="37" t="str">
        <f t="shared" si="6"/>
        <v>847.8471260.1.425510.000000.847001.200179</v>
      </c>
      <c r="P222" s="37" t="s">
        <v>1405</v>
      </c>
      <c r="Q222" s="37" t="s">
        <v>62</v>
      </c>
      <c r="R222" s="37">
        <v>800</v>
      </c>
      <c r="S222" s="21">
        <v>20</v>
      </c>
      <c r="T222" s="37" t="s">
        <v>1411</v>
      </c>
      <c r="U222" s="37">
        <v>16000</v>
      </c>
      <c r="V222" s="37" t="s">
        <v>55</v>
      </c>
      <c r="W222" s="21" t="s">
        <v>56</v>
      </c>
      <c r="X222" s="24" t="s">
        <v>244</v>
      </c>
    </row>
    <row r="223" spans="1:24" s="39" customFormat="1" ht="16" customHeight="1" x14ac:dyDescent="0.35">
      <c r="A223" s="37" t="s">
        <v>46</v>
      </c>
      <c r="B223" s="37" t="s">
        <v>46</v>
      </c>
      <c r="C223" s="37" t="s">
        <v>1350</v>
      </c>
      <c r="D223" s="78">
        <v>847</v>
      </c>
      <c r="E223" s="37">
        <v>8471260</v>
      </c>
      <c r="F223" s="37" t="s">
        <v>1404</v>
      </c>
      <c r="G223" s="79">
        <v>1</v>
      </c>
      <c r="H223" s="37" t="s">
        <v>342</v>
      </c>
      <c r="I223" s="37" t="s">
        <v>247</v>
      </c>
      <c r="J223" s="37" t="s">
        <v>60</v>
      </c>
      <c r="K223" s="37" t="s">
        <v>50</v>
      </c>
      <c r="L223" s="37">
        <v>847001</v>
      </c>
      <c r="M223" s="37" t="s">
        <v>61</v>
      </c>
      <c r="N223" s="37">
        <v>200179</v>
      </c>
      <c r="O223" s="37" t="str">
        <f t="shared" si="6"/>
        <v>847.8471260.1.425510.000000.847001.200179</v>
      </c>
      <c r="P223" s="37" t="s">
        <v>1405</v>
      </c>
      <c r="Q223" s="37" t="s">
        <v>62</v>
      </c>
      <c r="R223" s="37">
        <v>1200</v>
      </c>
      <c r="S223" s="21">
        <v>20</v>
      </c>
      <c r="T223" s="37" t="s">
        <v>1413</v>
      </c>
      <c r="U223" s="37">
        <v>24000</v>
      </c>
      <c r="V223" s="37" t="s">
        <v>55</v>
      </c>
      <c r="W223" s="21" t="s">
        <v>56</v>
      </c>
      <c r="X223" s="24" t="s">
        <v>244</v>
      </c>
    </row>
    <row r="224" spans="1:24" s="39" customFormat="1" ht="16" customHeight="1" x14ac:dyDescent="0.35">
      <c r="A224" s="37" t="s">
        <v>245</v>
      </c>
      <c r="B224" s="37" t="s">
        <v>246</v>
      </c>
      <c r="C224" s="37" t="s">
        <v>1350</v>
      </c>
      <c r="D224" s="78">
        <v>847</v>
      </c>
      <c r="E224" s="37">
        <v>8471260</v>
      </c>
      <c r="F224" s="37" t="s">
        <v>1404</v>
      </c>
      <c r="G224" s="79">
        <v>1</v>
      </c>
      <c r="H224" s="37" t="s">
        <v>342</v>
      </c>
      <c r="I224" s="37" t="s">
        <v>247</v>
      </c>
      <c r="J224" s="37" t="s">
        <v>60</v>
      </c>
      <c r="K224" s="37" t="s">
        <v>50</v>
      </c>
      <c r="L224" s="37">
        <v>847001</v>
      </c>
      <c r="M224" s="37" t="s">
        <v>61</v>
      </c>
      <c r="N224" s="37">
        <v>200179</v>
      </c>
      <c r="O224" s="37" t="str">
        <f t="shared" si="6"/>
        <v>847.8471260.1.425510.000000.847001.200179</v>
      </c>
      <c r="P224" s="37" t="s">
        <v>1405</v>
      </c>
      <c r="Q224" s="37" t="s">
        <v>62</v>
      </c>
      <c r="R224" s="37">
        <v>1200</v>
      </c>
      <c r="S224" s="21">
        <v>40</v>
      </c>
      <c r="T224" s="37" t="s">
        <v>1415</v>
      </c>
      <c r="U224" s="37">
        <v>48000</v>
      </c>
      <c r="V224" s="37" t="s">
        <v>55</v>
      </c>
      <c r="W224" s="21" t="s">
        <v>56</v>
      </c>
      <c r="X224" s="24" t="s">
        <v>244</v>
      </c>
    </row>
    <row r="225" spans="1:24" s="39" customFormat="1" ht="16" customHeight="1" x14ac:dyDescent="0.35">
      <c r="A225" s="37" t="s">
        <v>46</v>
      </c>
      <c r="B225" s="37" t="s">
        <v>46</v>
      </c>
      <c r="C225" s="37" t="s">
        <v>1350</v>
      </c>
      <c r="D225" s="78">
        <v>847</v>
      </c>
      <c r="E225" s="37">
        <v>8471260</v>
      </c>
      <c r="F225" s="37" t="s">
        <v>1404</v>
      </c>
      <c r="G225" s="79">
        <v>1</v>
      </c>
      <c r="H225" s="37" t="s">
        <v>1759</v>
      </c>
      <c r="I225" s="37" t="s">
        <v>1047</v>
      </c>
      <c r="J225" s="37" t="s">
        <v>60</v>
      </c>
      <c r="K225" s="37" t="s">
        <v>50</v>
      </c>
      <c r="L225" s="37">
        <v>847001</v>
      </c>
      <c r="M225" s="37" t="s">
        <v>61</v>
      </c>
      <c r="N225" s="37">
        <v>200179</v>
      </c>
      <c r="O225" s="37" t="str">
        <f t="shared" si="6"/>
        <v>847.8471260.1.425746.000000.847001.200179</v>
      </c>
      <c r="P225" s="37" t="s">
        <v>1049</v>
      </c>
      <c r="Q225" s="37" t="s">
        <v>62</v>
      </c>
      <c r="R225" s="37">
        <v>390</v>
      </c>
      <c r="S225" s="21">
        <v>8195</v>
      </c>
      <c r="T225" s="37" t="s">
        <v>1419</v>
      </c>
      <c r="U225" s="37">
        <v>3196050</v>
      </c>
      <c r="V225" s="37" t="s">
        <v>55</v>
      </c>
      <c r="W225" s="21" t="s">
        <v>56</v>
      </c>
      <c r="X225" s="24" t="s">
        <v>70</v>
      </c>
    </row>
    <row r="226" spans="1:24" s="39" customFormat="1" ht="16" customHeight="1" x14ac:dyDescent="0.35">
      <c r="A226" s="37" t="s">
        <v>46</v>
      </c>
      <c r="B226" s="37" t="s">
        <v>46</v>
      </c>
      <c r="C226" s="37" t="s">
        <v>1350</v>
      </c>
      <c r="D226" s="78">
        <v>847</v>
      </c>
      <c r="E226" s="37">
        <v>8471260</v>
      </c>
      <c r="F226" s="37" t="s">
        <v>1404</v>
      </c>
      <c r="G226" s="79">
        <v>1</v>
      </c>
      <c r="H226" s="37" t="s">
        <v>1759</v>
      </c>
      <c r="I226" s="37" t="s">
        <v>1047</v>
      </c>
      <c r="J226" s="37" t="s">
        <v>60</v>
      </c>
      <c r="K226" s="37" t="s">
        <v>50</v>
      </c>
      <c r="L226" s="37">
        <v>847001</v>
      </c>
      <c r="M226" s="37" t="s">
        <v>61</v>
      </c>
      <c r="N226" s="37">
        <v>200179</v>
      </c>
      <c r="O226" s="37" t="str">
        <f t="shared" si="6"/>
        <v>847.8471260.1.425746.000000.847001.200179</v>
      </c>
      <c r="P226" s="37" t="s">
        <v>1049</v>
      </c>
      <c r="Q226" s="37" t="s">
        <v>62</v>
      </c>
      <c r="R226" s="37">
        <v>50</v>
      </c>
      <c r="S226" s="21">
        <v>11435</v>
      </c>
      <c r="T226" s="37" t="s">
        <v>1421</v>
      </c>
      <c r="U226" s="37">
        <v>571750</v>
      </c>
      <c r="V226" s="37" t="s">
        <v>55</v>
      </c>
      <c r="W226" s="21" t="s">
        <v>56</v>
      </c>
      <c r="X226" s="24" t="s">
        <v>70</v>
      </c>
    </row>
    <row r="227" spans="1:24" s="39" customFormat="1" ht="16" customHeight="1" x14ac:dyDescent="0.35">
      <c r="A227" s="37" t="s">
        <v>46</v>
      </c>
      <c r="B227" s="37" t="s">
        <v>46</v>
      </c>
      <c r="C227" s="37" t="s">
        <v>1350</v>
      </c>
      <c r="D227" s="78">
        <v>847</v>
      </c>
      <c r="E227" s="37">
        <v>8471260</v>
      </c>
      <c r="F227" s="37" t="s">
        <v>1404</v>
      </c>
      <c r="G227" s="79">
        <v>1</v>
      </c>
      <c r="H227" s="37" t="s">
        <v>1759</v>
      </c>
      <c r="I227" s="37" t="s">
        <v>1047</v>
      </c>
      <c r="J227" s="37" t="s">
        <v>60</v>
      </c>
      <c r="K227" s="37" t="s">
        <v>50</v>
      </c>
      <c r="L227" s="37">
        <v>847001</v>
      </c>
      <c r="M227" s="37" t="s">
        <v>61</v>
      </c>
      <c r="N227" s="37">
        <v>200179</v>
      </c>
      <c r="O227" s="37" t="str">
        <f t="shared" si="6"/>
        <v>847.8471260.1.425746.000000.847001.200179</v>
      </c>
      <c r="P227" s="37" t="s">
        <v>1049</v>
      </c>
      <c r="Q227" s="37" t="s">
        <v>62</v>
      </c>
      <c r="R227" s="37">
        <v>130</v>
      </c>
      <c r="S227" s="21">
        <v>15455</v>
      </c>
      <c r="T227" s="37" t="s">
        <v>1422</v>
      </c>
      <c r="U227" s="37">
        <v>2009150</v>
      </c>
      <c r="V227" s="37" t="s">
        <v>55</v>
      </c>
      <c r="W227" s="21" t="s">
        <v>56</v>
      </c>
      <c r="X227" s="24" t="s">
        <v>70</v>
      </c>
    </row>
    <row r="228" spans="1:24" s="39" customFormat="1" ht="16" customHeight="1" x14ac:dyDescent="0.35">
      <c r="A228" s="37" t="s">
        <v>46</v>
      </c>
      <c r="B228" s="37" t="s">
        <v>46</v>
      </c>
      <c r="C228" s="37" t="s">
        <v>1350</v>
      </c>
      <c r="D228" s="78">
        <v>847</v>
      </c>
      <c r="E228" s="37">
        <v>8471260</v>
      </c>
      <c r="F228" s="37" t="s">
        <v>1404</v>
      </c>
      <c r="G228" s="79">
        <v>1</v>
      </c>
      <c r="H228" s="37" t="s">
        <v>1759</v>
      </c>
      <c r="I228" s="37" t="s">
        <v>1047</v>
      </c>
      <c r="J228" s="37" t="s">
        <v>60</v>
      </c>
      <c r="K228" s="37" t="s">
        <v>50</v>
      </c>
      <c r="L228" s="37">
        <v>847001</v>
      </c>
      <c r="M228" s="37" t="s">
        <v>61</v>
      </c>
      <c r="N228" s="37">
        <v>200179</v>
      </c>
      <c r="O228" s="37" t="str">
        <f t="shared" si="6"/>
        <v>847.8471260.1.425746.000000.847001.200179</v>
      </c>
      <c r="P228" s="37" t="s">
        <v>1049</v>
      </c>
      <c r="Q228" s="37" t="s">
        <v>62</v>
      </c>
      <c r="R228" s="37">
        <v>73</v>
      </c>
      <c r="S228" s="21">
        <v>65716</v>
      </c>
      <c r="T228" s="37" t="s">
        <v>1424</v>
      </c>
      <c r="U228" s="37">
        <v>4797268</v>
      </c>
      <c r="V228" s="37" t="s">
        <v>55</v>
      </c>
      <c r="W228" s="21" t="s">
        <v>56</v>
      </c>
      <c r="X228" s="24" t="s">
        <v>70</v>
      </c>
    </row>
    <row r="229" spans="1:24" s="39" customFormat="1" ht="16" customHeight="1" x14ac:dyDescent="0.35">
      <c r="A229" s="37" t="s">
        <v>46</v>
      </c>
      <c r="B229" s="37" t="s">
        <v>46</v>
      </c>
      <c r="C229" s="37" t="s">
        <v>1350</v>
      </c>
      <c r="D229" s="78">
        <v>847</v>
      </c>
      <c r="E229" s="37">
        <v>8471260</v>
      </c>
      <c r="F229" s="37" t="s">
        <v>1404</v>
      </c>
      <c r="G229" s="79">
        <v>1</v>
      </c>
      <c r="H229" s="37" t="s">
        <v>1759</v>
      </c>
      <c r="I229" s="37" t="s">
        <v>1047</v>
      </c>
      <c r="J229" s="37" t="s">
        <v>60</v>
      </c>
      <c r="K229" s="37" t="s">
        <v>50</v>
      </c>
      <c r="L229" s="37">
        <v>847001</v>
      </c>
      <c r="M229" s="37" t="s">
        <v>61</v>
      </c>
      <c r="N229" s="37">
        <v>200179</v>
      </c>
      <c r="O229" s="37" t="str">
        <f t="shared" si="6"/>
        <v>847.8471260.1.425746.000000.847001.200179</v>
      </c>
      <c r="P229" s="37" t="s">
        <v>1049</v>
      </c>
      <c r="Q229" s="37" t="s">
        <v>62</v>
      </c>
      <c r="R229" s="37">
        <v>1</v>
      </c>
      <c r="S229" s="21">
        <v>142085</v>
      </c>
      <c r="T229" s="37" t="s">
        <v>1425</v>
      </c>
      <c r="U229" s="37">
        <v>142085</v>
      </c>
      <c r="V229" s="37" t="s">
        <v>55</v>
      </c>
      <c r="W229" s="21" t="s">
        <v>56</v>
      </c>
      <c r="X229" s="24" t="s">
        <v>70</v>
      </c>
    </row>
    <row r="230" spans="1:24" s="39" customFormat="1" ht="16" customHeight="1" x14ac:dyDescent="0.35">
      <c r="A230" s="37" t="s">
        <v>46</v>
      </c>
      <c r="B230" s="37" t="s">
        <v>46</v>
      </c>
      <c r="C230" s="37" t="s">
        <v>1350</v>
      </c>
      <c r="D230" s="78">
        <v>847</v>
      </c>
      <c r="E230" s="37">
        <v>8471260</v>
      </c>
      <c r="F230" s="37" t="s">
        <v>1404</v>
      </c>
      <c r="G230" s="79">
        <v>1</v>
      </c>
      <c r="H230" s="37" t="s">
        <v>1759</v>
      </c>
      <c r="I230" s="37" t="s">
        <v>1047</v>
      </c>
      <c r="J230" s="37" t="s">
        <v>60</v>
      </c>
      <c r="K230" s="37" t="s">
        <v>50</v>
      </c>
      <c r="L230" s="37">
        <v>847001</v>
      </c>
      <c r="M230" s="37" t="s">
        <v>61</v>
      </c>
      <c r="N230" s="37">
        <v>200179</v>
      </c>
      <c r="O230" s="37" t="str">
        <f t="shared" si="6"/>
        <v>847.8471260.1.425746.000000.847001.200179</v>
      </c>
      <c r="P230" s="37" t="s">
        <v>1049</v>
      </c>
      <c r="Q230" s="37" t="s">
        <v>62</v>
      </c>
      <c r="R230" s="37">
        <v>1</v>
      </c>
      <c r="S230" s="21">
        <v>525</v>
      </c>
      <c r="T230" s="37" t="s">
        <v>1426</v>
      </c>
      <c r="U230" s="37">
        <v>525</v>
      </c>
      <c r="V230" s="37" t="s">
        <v>55</v>
      </c>
      <c r="W230" s="21" t="s">
        <v>56</v>
      </c>
      <c r="X230" s="24" t="s">
        <v>70</v>
      </c>
    </row>
    <row r="231" spans="1:24" s="39" customFormat="1" ht="16" customHeight="1" x14ac:dyDescent="0.35">
      <c r="A231" s="37" t="s">
        <v>46</v>
      </c>
      <c r="B231" s="37" t="s">
        <v>46</v>
      </c>
      <c r="C231" s="37" t="s">
        <v>1350</v>
      </c>
      <c r="D231" s="78">
        <v>847</v>
      </c>
      <c r="E231" s="37">
        <v>8471260</v>
      </c>
      <c r="F231" s="37" t="s">
        <v>1404</v>
      </c>
      <c r="G231" s="79">
        <v>1</v>
      </c>
      <c r="H231" s="37" t="s">
        <v>1759</v>
      </c>
      <c r="I231" s="37" t="s">
        <v>1047</v>
      </c>
      <c r="J231" s="37" t="s">
        <v>60</v>
      </c>
      <c r="K231" s="37" t="s">
        <v>50</v>
      </c>
      <c r="L231" s="37">
        <v>847001</v>
      </c>
      <c r="M231" s="37" t="s">
        <v>61</v>
      </c>
      <c r="N231" s="37">
        <v>200179</v>
      </c>
      <c r="O231" s="37" t="str">
        <f t="shared" si="6"/>
        <v>847.8471260.1.425746.000000.847001.200179</v>
      </c>
      <c r="P231" s="37" t="s">
        <v>1049</v>
      </c>
      <c r="Q231" s="37" t="s">
        <v>62</v>
      </c>
      <c r="R231" s="37">
        <v>10</v>
      </c>
      <c r="S231" s="21">
        <v>60000</v>
      </c>
      <c r="T231" s="37" t="s">
        <v>1427</v>
      </c>
      <c r="U231" s="37">
        <v>600000</v>
      </c>
      <c r="V231" s="37" t="s">
        <v>55</v>
      </c>
      <c r="W231" s="21" t="s">
        <v>56</v>
      </c>
      <c r="X231" s="24" t="s">
        <v>70</v>
      </c>
    </row>
    <row r="232" spans="1:24" s="39" customFormat="1" ht="16" customHeight="1" x14ac:dyDescent="0.35">
      <c r="A232" s="37" t="s">
        <v>258</v>
      </c>
      <c r="B232" s="37" t="s">
        <v>58</v>
      </c>
      <c r="C232" s="37" t="s">
        <v>1350</v>
      </c>
      <c r="D232" s="78">
        <v>847</v>
      </c>
      <c r="E232" s="37">
        <v>8471260</v>
      </c>
      <c r="F232" s="37" t="s">
        <v>1404</v>
      </c>
      <c r="G232" s="79">
        <v>1</v>
      </c>
      <c r="H232" s="37" t="s">
        <v>1759</v>
      </c>
      <c r="I232" s="37" t="s">
        <v>1047</v>
      </c>
      <c r="J232" s="37" t="s">
        <v>60</v>
      </c>
      <c r="K232" s="37" t="s">
        <v>50</v>
      </c>
      <c r="L232" s="37">
        <v>847001</v>
      </c>
      <c r="M232" s="37" t="s">
        <v>61</v>
      </c>
      <c r="N232" s="37">
        <v>200179</v>
      </c>
      <c r="O232" s="37" t="str">
        <f t="shared" si="6"/>
        <v>847.8471260.1.425746.000000.847001.200179</v>
      </c>
      <c r="P232" s="37" t="s">
        <v>1049</v>
      </c>
      <c r="Q232" s="37" t="s">
        <v>62</v>
      </c>
      <c r="R232" s="37">
        <v>10</v>
      </c>
      <c r="S232" s="21">
        <v>30000</v>
      </c>
      <c r="T232" s="37" t="s">
        <v>1428</v>
      </c>
      <c r="U232" s="37">
        <v>300000</v>
      </c>
      <c r="V232" s="37" t="s">
        <v>55</v>
      </c>
      <c r="W232" s="21" t="s">
        <v>56</v>
      </c>
      <c r="X232" s="24" t="s">
        <v>70</v>
      </c>
    </row>
    <row r="233" spans="1:24" s="39" customFormat="1" ht="16" customHeight="1" x14ac:dyDescent="0.35">
      <c r="A233" s="37" t="s">
        <v>46</v>
      </c>
      <c r="B233" s="37" t="s">
        <v>46</v>
      </c>
      <c r="C233" s="37" t="s">
        <v>1350</v>
      </c>
      <c r="D233" s="78">
        <v>847</v>
      </c>
      <c r="E233" s="37">
        <v>8471260</v>
      </c>
      <c r="F233" s="37" t="s">
        <v>1404</v>
      </c>
      <c r="G233" s="79">
        <v>1</v>
      </c>
      <c r="H233" s="37" t="s">
        <v>351</v>
      </c>
      <c r="I233" s="37" t="s">
        <v>352</v>
      </c>
      <c r="J233" s="37" t="s">
        <v>60</v>
      </c>
      <c r="K233" s="37" t="s">
        <v>50</v>
      </c>
      <c r="L233" s="37">
        <v>847001</v>
      </c>
      <c r="M233" s="37" t="s">
        <v>61</v>
      </c>
      <c r="N233" s="37">
        <v>200179</v>
      </c>
      <c r="O233" s="37" t="str">
        <f t="shared" si="6"/>
        <v>847.8471260.1.425760.000000.847001.200179</v>
      </c>
      <c r="P233" s="37" t="s">
        <v>354</v>
      </c>
      <c r="Q233" s="37" t="s">
        <v>62</v>
      </c>
      <c r="R233" s="37">
        <v>26</v>
      </c>
      <c r="S233" s="21">
        <v>1600</v>
      </c>
      <c r="T233" s="37" t="s">
        <v>1429</v>
      </c>
      <c r="U233" s="37">
        <v>41600</v>
      </c>
      <c r="V233" s="37" t="s">
        <v>55</v>
      </c>
      <c r="W233" s="21" t="s">
        <v>56</v>
      </c>
      <c r="X233" s="24" t="s">
        <v>244</v>
      </c>
    </row>
    <row r="234" spans="1:24" s="39" customFormat="1" ht="16" customHeight="1" x14ac:dyDescent="0.35">
      <c r="A234" s="37" t="s">
        <v>46</v>
      </c>
      <c r="B234" s="37" t="s">
        <v>46</v>
      </c>
      <c r="C234" s="37" t="s">
        <v>1350</v>
      </c>
      <c r="D234" s="78">
        <v>847</v>
      </c>
      <c r="E234" s="37">
        <v>8471260</v>
      </c>
      <c r="F234" s="37" t="s">
        <v>1404</v>
      </c>
      <c r="G234" s="79">
        <v>1</v>
      </c>
      <c r="H234" s="37" t="s">
        <v>351</v>
      </c>
      <c r="I234" s="37" t="s">
        <v>352</v>
      </c>
      <c r="J234" s="37" t="s">
        <v>60</v>
      </c>
      <c r="K234" s="37" t="s">
        <v>50</v>
      </c>
      <c r="L234" s="37">
        <v>847001</v>
      </c>
      <c r="M234" s="37" t="s">
        <v>61</v>
      </c>
      <c r="N234" s="37">
        <v>200179</v>
      </c>
      <c r="O234" s="37" t="str">
        <f t="shared" si="6"/>
        <v>847.8471260.1.425760.000000.847001.200179</v>
      </c>
      <c r="P234" s="37" t="s">
        <v>354</v>
      </c>
      <c r="Q234" s="37" t="s">
        <v>62</v>
      </c>
      <c r="R234" s="37">
        <v>33</v>
      </c>
      <c r="S234" s="21">
        <v>2334</v>
      </c>
      <c r="T234" s="37" t="s">
        <v>1433</v>
      </c>
      <c r="U234" s="37">
        <v>77022</v>
      </c>
      <c r="V234" s="37" t="s">
        <v>55</v>
      </c>
      <c r="W234" s="21" t="s">
        <v>56</v>
      </c>
      <c r="X234" s="24" t="s">
        <v>244</v>
      </c>
    </row>
    <row r="235" spans="1:24" s="39" customFormat="1" ht="16" customHeight="1" x14ac:dyDescent="0.35">
      <c r="A235" s="37" t="s">
        <v>46</v>
      </c>
      <c r="B235" s="37" t="s">
        <v>46</v>
      </c>
      <c r="C235" s="37" t="s">
        <v>1350</v>
      </c>
      <c r="D235" s="78">
        <v>847</v>
      </c>
      <c r="E235" s="37">
        <v>8471260</v>
      </c>
      <c r="F235" s="37" t="s">
        <v>1404</v>
      </c>
      <c r="G235" s="79">
        <v>1</v>
      </c>
      <c r="H235" s="37" t="s">
        <v>351</v>
      </c>
      <c r="I235" s="37" t="s">
        <v>352</v>
      </c>
      <c r="J235" s="37" t="s">
        <v>60</v>
      </c>
      <c r="K235" s="37" t="s">
        <v>50</v>
      </c>
      <c r="L235" s="37">
        <v>847001</v>
      </c>
      <c r="M235" s="37" t="s">
        <v>61</v>
      </c>
      <c r="N235" s="37">
        <v>200179</v>
      </c>
      <c r="O235" s="37" t="str">
        <f t="shared" si="6"/>
        <v>847.8471260.1.425760.000000.847001.200179</v>
      </c>
      <c r="P235" s="37" t="s">
        <v>354</v>
      </c>
      <c r="Q235" s="37" t="s">
        <v>62</v>
      </c>
      <c r="R235" s="37">
        <v>20</v>
      </c>
      <c r="S235" s="21">
        <v>4000</v>
      </c>
      <c r="T235" s="37" t="s">
        <v>1435</v>
      </c>
      <c r="U235" s="37">
        <v>80000</v>
      </c>
      <c r="V235" s="37" t="s">
        <v>55</v>
      </c>
      <c r="W235" s="21" t="s">
        <v>56</v>
      </c>
      <c r="X235" s="24" t="s">
        <v>244</v>
      </c>
    </row>
    <row r="236" spans="1:24" s="39" customFormat="1" ht="16" customHeight="1" x14ac:dyDescent="0.35">
      <c r="A236" s="37" t="s">
        <v>46</v>
      </c>
      <c r="B236" s="37" t="s">
        <v>46</v>
      </c>
      <c r="C236" s="37" t="s">
        <v>1350</v>
      </c>
      <c r="D236" s="78">
        <v>847</v>
      </c>
      <c r="E236" s="37">
        <v>8471260</v>
      </c>
      <c r="F236" s="37" t="s">
        <v>1404</v>
      </c>
      <c r="G236" s="79">
        <v>1</v>
      </c>
      <c r="H236" s="37" t="s">
        <v>351</v>
      </c>
      <c r="I236" s="37" t="s">
        <v>352</v>
      </c>
      <c r="J236" s="37" t="s">
        <v>60</v>
      </c>
      <c r="K236" s="37" t="s">
        <v>50</v>
      </c>
      <c r="L236" s="37">
        <v>847001</v>
      </c>
      <c r="M236" s="37" t="s">
        <v>61</v>
      </c>
      <c r="N236" s="37">
        <v>200179</v>
      </c>
      <c r="O236" s="37" t="str">
        <f t="shared" si="6"/>
        <v>847.8471260.1.425760.000000.847001.200179</v>
      </c>
      <c r="P236" s="37" t="s">
        <v>354</v>
      </c>
      <c r="Q236" s="37" t="s">
        <v>62</v>
      </c>
      <c r="R236" s="37">
        <v>35</v>
      </c>
      <c r="S236" s="21">
        <v>2000</v>
      </c>
      <c r="T236" s="37" t="s">
        <v>1436</v>
      </c>
      <c r="U236" s="37">
        <v>70000</v>
      </c>
      <c r="V236" s="37" t="s">
        <v>55</v>
      </c>
      <c r="W236" s="21" t="s">
        <v>56</v>
      </c>
      <c r="X236" s="24" t="s">
        <v>244</v>
      </c>
    </row>
    <row r="237" spans="1:24" s="39" customFormat="1" ht="16" customHeight="1" x14ac:dyDescent="0.35">
      <c r="A237" s="37" t="s">
        <v>46</v>
      </c>
      <c r="B237" s="37" t="s">
        <v>46</v>
      </c>
      <c r="C237" s="37" t="s">
        <v>1350</v>
      </c>
      <c r="D237" s="78">
        <v>847</v>
      </c>
      <c r="E237" s="37">
        <v>8471260</v>
      </c>
      <c r="F237" s="37" t="s">
        <v>1404</v>
      </c>
      <c r="G237" s="79">
        <v>1</v>
      </c>
      <c r="H237" s="37" t="s">
        <v>351</v>
      </c>
      <c r="I237" s="37" t="s">
        <v>352</v>
      </c>
      <c r="J237" s="37" t="s">
        <v>60</v>
      </c>
      <c r="K237" s="37" t="s">
        <v>50</v>
      </c>
      <c r="L237" s="37">
        <v>847001</v>
      </c>
      <c r="M237" s="37" t="s">
        <v>61</v>
      </c>
      <c r="N237" s="37">
        <v>200179</v>
      </c>
      <c r="O237" s="37" t="str">
        <f t="shared" si="6"/>
        <v>847.8471260.1.425760.000000.847001.200179</v>
      </c>
      <c r="P237" s="37" t="s">
        <v>440</v>
      </c>
      <c r="Q237" s="37" t="s">
        <v>62</v>
      </c>
      <c r="R237" s="37">
        <v>50</v>
      </c>
      <c r="S237" s="21">
        <v>2500</v>
      </c>
      <c r="T237" s="37" t="s">
        <v>1437</v>
      </c>
      <c r="U237" s="37">
        <v>125000</v>
      </c>
      <c r="V237" s="37" t="s">
        <v>55</v>
      </c>
      <c r="W237" s="21" t="s">
        <v>56</v>
      </c>
      <c r="X237" s="24" t="s">
        <v>244</v>
      </c>
    </row>
    <row r="238" spans="1:24" s="39" customFormat="1" ht="16" customHeight="1" x14ac:dyDescent="0.35">
      <c r="A238" s="37" t="s">
        <v>46</v>
      </c>
      <c r="B238" s="37" t="s">
        <v>46</v>
      </c>
      <c r="C238" s="37" t="s">
        <v>1350</v>
      </c>
      <c r="D238" s="78">
        <v>847</v>
      </c>
      <c r="E238" s="37">
        <v>8471260</v>
      </c>
      <c r="F238" s="37" t="s">
        <v>1404</v>
      </c>
      <c r="G238" s="79">
        <v>1</v>
      </c>
      <c r="H238" s="37" t="s">
        <v>351</v>
      </c>
      <c r="I238" s="37" t="s">
        <v>352</v>
      </c>
      <c r="J238" s="37" t="s">
        <v>60</v>
      </c>
      <c r="K238" s="37" t="s">
        <v>50</v>
      </c>
      <c r="L238" s="37">
        <v>847001</v>
      </c>
      <c r="M238" s="37" t="s">
        <v>61</v>
      </c>
      <c r="N238" s="37">
        <v>200179</v>
      </c>
      <c r="O238" s="37" t="str">
        <f t="shared" si="6"/>
        <v>847.8471260.1.425760.000000.847001.200179</v>
      </c>
      <c r="P238" s="37" t="s">
        <v>440</v>
      </c>
      <c r="Q238" s="37" t="s">
        <v>62</v>
      </c>
      <c r="R238" s="37">
        <v>30</v>
      </c>
      <c r="S238" s="21">
        <v>1500</v>
      </c>
      <c r="T238" s="37" t="s">
        <v>1441</v>
      </c>
      <c r="U238" s="37">
        <v>45000</v>
      </c>
      <c r="V238" s="37" t="s">
        <v>55</v>
      </c>
      <c r="W238" s="21" t="s">
        <v>56</v>
      </c>
      <c r="X238" s="24" t="s">
        <v>244</v>
      </c>
    </row>
    <row r="239" spans="1:24" s="39" customFormat="1" ht="16" customHeight="1" x14ac:dyDescent="0.35">
      <c r="A239" s="37" t="s">
        <v>258</v>
      </c>
      <c r="B239" s="37" t="s">
        <v>350</v>
      </c>
      <c r="C239" s="37" t="s">
        <v>1350</v>
      </c>
      <c r="D239" s="78">
        <v>847</v>
      </c>
      <c r="E239" s="37">
        <v>8471260</v>
      </c>
      <c r="F239" s="37" t="s">
        <v>1404</v>
      </c>
      <c r="G239" s="79">
        <v>1</v>
      </c>
      <c r="H239" s="37" t="s">
        <v>351</v>
      </c>
      <c r="I239" s="37" t="s">
        <v>352</v>
      </c>
      <c r="J239" s="37" t="s">
        <v>60</v>
      </c>
      <c r="K239" s="37" t="s">
        <v>50</v>
      </c>
      <c r="L239" s="37">
        <v>847001</v>
      </c>
      <c r="M239" s="37" t="s">
        <v>61</v>
      </c>
      <c r="N239" s="37">
        <v>200179</v>
      </c>
      <c r="O239" s="37" t="str">
        <f t="shared" si="6"/>
        <v>847.8471260.1.425760.000000.847001.200179</v>
      </c>
      <c r="P239" s="37" t="s">
        <v>440</v>
      </c>
      <c r="Q239" s="37" t="s">
        <v>62</v>
      </c>
      <c r="R239" s="37">
        <v>30</v>
      </c>
      <c r="S239" s="21">
        <v>25000</v>
      </c>
      <c r="T239" s="37" t="s">
        <v>1442</v>
      </c>
      <c r="U239" s="37">
        <v>750000</v>
      </c>
      <c r="V239" s="37" t="s">
        <v>55</v>
      </c>
      <c r="W239" s="21" t="s">
        <v>56</v>
      </c>
      <c r="X239" s="24" t="s">
        <v>244</v>
      </c>
    </row>
    <row r="240" spans="1:24" s="39" customFormat="1" ht="16" customHeight="1" x14ac:dyDescent="0.35">
      <c r="A240" s="37" t="s">
        <v>46</v>
      </c>
      <c r="B240" s="37" t="s">
        <v>46</v>
      </c>
      <c r="C240" s="37" t="s">
        <v>1350</v>
      </c>
      <c r="D240" s="78">
        <v>847</v>
      </c>
      <c r="E240" s="37">
        <v>8471260</v>
      </c>
      <c r="F240" s="37" t="s">
        <v>1404</v>
      </c>
      <c r="G240" s="79">
        <v>1</v>
      </c>
      <c r="H240" s="37" t="s">
        <v>375</v>
      </c>
      <c r="I240" s="37" t="s">
        <v>266</v>
      </c>
      <c r="J240" s="37" t="s">
        <v>60</v>
      </c>
      <c r="K240" s="37" t="s">
        <v>50</v>
      </c>
      <c r="L240" s="37">
        <v>847001</v>
      </c>
      <c r="M240" s="37" t="s">
        <v>61</v>
      </c>
      <c r="N240" s="37">
        <v>200179</v>
      </c>
      <c r="O240" s="37" t="str">
        <f t="shared" si="6"/>
        <v>847.8471260.1.425900.000000.847001.200179</v>
      </c>
      <c r="P240" s="37" t="s">
        <v>268</v>
      </c>
      <c r="Q240" s="37" t="s">
        <v>62</v>
      </c>
      <c r="R240" s="37">
        <v>1700</v>
      </c>
      <c r="S240" s="21">
        <v>30</v>
      </c>
      <c r="T240" s="37" t="s">
        <v>1444</v>
      </c>
      <c r="U240" s="37">
        <v>51000</v>
      </c>
      <c r="V240" s="37" t="s">
        <v>55</v>
      </c>
      <c r="W240" s="21" t="s">
        <v>56</v>
      </c>
      <c r="X240" s="24" t="s">
        <v>244</v>
      </c>
    </row>
    <row r="241" spans="1:24" s="39" customFormat="1" ht="16" customHeight="1" x14ac:dyDescent="0.35">
      <c r="A241" s="37" t="s">
        <v>46</v>
      </c>
      <c r="B241" s="37" t="s">
        <v>46</v>
      </c>
      <c r="C241" s="37" t="s">
        <v>1350</v>
      </c>
      <c r="D241" s="78">
        <v>847</v>
      </c>
      <c r="E241" s="37">
        <v>8471260</v>
      </c>
      <c r="F241" s="37" t="s">
        <v>1404</v>
      </c>
      <c r="G241" s="79">
        <v>1</v>
      </c>
      <c r="H241" s="37" t="s">
        <v>375</v>
      </c>
      <c r="I241" s="37" t="s">
        <v>266</v>
      </c>
      <c r="J241" s="37" t="s">
        <v>60</v>
      </c>
      <c r="K241" s="37" t="s">
        <v>50</v>
      </c>
      <c r="L241" s="37">
        <v>847001</v>
      </c>
      <c r="M241" s="37" t="s">
        <v>61</v>
      </c>
      <c r="N241" s="37">
        <v>200179</v>
      </c>
      <c r="O241" s="37" t="str">
        <f t="shared" si="6"/>
        <v>847.8471260.1.425900.000000.847001.200179</v>
      </c>
      <c r="P241" s="37" t="s">
        <v>268</v>
      </c>
      <c r="Q241" s="37" t="s">
        <v>62</v>
      </c>
      <c r="R241" s="37">
        <v>1000</v>
      </c>
      <c r="S241" s="21">
        <v>20</v>
      </c>
      <c r="T241" s="37" t="s">
        <v>1448</v>
      </c>
      <c r="U241" s="37">
        <v>20000</v>
      </c>
      <c r="V241" s="37" t="s">
        <v>55</v>
      </c>
      <c r="W241" s="21" t="s">
        <v>56</v>
      </c>
      <c r="X241" s="24" t="s">
        <v>244</v>
      </c>
    </row>
    <row r="242" spans="1:24" s="39" customFormat="1" ht="16" customHeight="1" x14ac:dyDescent="0.35">
      <c r="A242" s="37" t="s">
        <v>46</v>
      </c>
      <c r="B242" s="37" t="s">
        <v>46</v>
      </c>
      <c r="C242" s="37" t="s">
        <v>1350</v>
      </c>
      <c r="D242" s="78">
        <v>847</v>
      </c>
      <c r="E242" s="37">
        <v>8471260</v>
      </c>
      <c r="F242" s="37" t="s">
        <v>1404</v>
      </c>
      <c r="G242" s="79">
        <v>1</v>
      </c>
      <c r="H242" s="37" t="s">
        <v>375</v>
      </c>
      <c r="I242" s="37" t="s">
        <v>266</v>
      </c>
      <c r="J242" s="37" t="s">
        <v>60</v>
      </c>
      <c r="K242" s="37" t="s">
        <v>50</v>
      </c>
      <c r="L242" s="37">
        <v>847001</v>
      </c>
      <c r="M242" s="37" t="s">
        <v>61</v>
      </c>
      <c r="N242" s="37">
        <v>200179</v>
      </c>
      <c r="O242" s="37" t="str">
        <f t="shared" si="6"/>
        <v>847.8471260.1.425900.000000.847001.200179</v>
      </c>
      <c r="P242" s="37" t="s">
        <v>268</v>
      </c>
      <c r="Q242" s="37" t="s">
        <v>62</v>
      </c>
      <c r="R242" s="37">
        <v>1000</v>
      </c>
      <c r="S242" s="21">
        <v>15</v>
      </c>
      <c r="T242" s="37" t="s">
        <v>1449</v>
      </c>
      <c r="U242" s="37">
        <v>15000</v>
      </c>
      <c r="V242" s="37" t="s">
        <v>55</v>
      </c>
      <c r="W242" s="21" t="s">
        <v>56</v>
      </c>
      <c r="X242" s="24" t="s">
        <v>244</v>
      </c>
    </row>
    <row r="243" spans="1:24" s="39" customFormat="1" ht="16" customHeight="1" x14ac:dyDescent="0.35">
      <c r="A243" s="37" t="s">
        <v>46</v>
      </c>
      <c r="B243" s="37" t="s">
        <v>46</v>
      </c>
      <c r="C243" s="37" t="s">
        <v>1350</v>
      </c>
      <c r="D243" s="78">
        <v>847</v>
      </c>
      <c r="E243" s="37">
        <v>8471260</v>
      </c>
      <c r="F243" s="37" t="s">
        <v>1404</v>
      </c>
      <c r="G243" s="79">
        <v>1</v>
      </c>
      <c r="H243" s="37" t="s">
        <v>375</v>
      </c>
      <c r="I243" s="37" t="s">
        <v>266</v>
      </c>
      <c r="J243" s="37" t="s">
        <v>60</v>
      </c>
      <c r="K243" s="37" t="s">
        <v>50</v>
      </c>
      <c r="L243" s="37">
        <v>847001</v>
      </c>
      <c r="M243" s="37" t="s">
        <v>61</v>
      </c>
      <c r="N243" s="37">
        <v>200179</v>
      </c>
      <c r="O243" s="37" t="str">
        <f t="shared" si="6"/>
        <v>847.8471260.1.425900.000000.847001.200179</v>
      </c>
      <c r="P243" s="37" t="s">
        <v>268</v>
      </c>
      <c r="Q243" s="37" t="s">
        <v>62</v>
      </c>
      <c r="R243" s="37">
        <v>1600</v>
      </c>
      <c r="S243" s="21">
        <v>20</v>
      </c>
      <c r="T243" s="37" t="s">
        <v>1450</v>
      </c>
      <c r="U243" s="37">
        <v>32000</v>
      </c>
      <c r="V243" s="37" t="s">
        <v>55</v>
      </c>
      <c r="W243" s="21" t="s">
        <v>56</v>
      </c>
      <c r="X243" s="24" t="s">
        <v>244</v>
      </c>
    </row>
    <row r="244" spans="1:24" s="39" customFormat="1" ht="16" customHeight="1" x14ac:dyDescent="0.35">
      <c r="A244" s="37" t="s">
        <v>46</v>
      </c>
      <c r="B244" s="37" t="s">
        <v>46</v>
      </c>
      <c r="C244" s="37" t="s">
        <v>1350</v>
      </c>
      <c r="D244" s="78">
        <v>847</v>
      </c>
      <c r="E244" s="37">
        <v>8471260</v>
      </c>
      <c r="F244" s="37" t="s">
        <v>1404</v>
      </c>
      <c r="G244" s="79">
        <v>1</v>
      </c>
      <c r="H244" s="37" t="s">
        <v>375</v>
      </c>
      <c r="I244" s="37" t="s">
        <v>266</v>
      </c>
      <c r="J244" s="37" t="s">
        <v>60</v>
      </c>
      <c r="K244" s="37" t="s">
        <v>50</v>
      </c>
      <c r="L244" s="37">
        <v>847001</v>
      </c>
      <c r="M244" s="37" t="s">
        <v>61</v>
      </c>
      <c r="N244" s="37">
        <v>200179</v>
      </c>
      <c r="O244" s="37" t="str">
        <f t="shared" si="6"/>
        <v>847.8471260.1.425900.000000.847001.200179</v>
      </c>
      <c r="P244" s="37" t="s">
        <v>268</v>
      </c>
      <c r="Q244" s="37" t="s">
        <v>62</v>
      </c>
      <c r="R244" s="37">
        <v>800</v>
      </c>
      <c r="S244" s="21">
        <v>15</v>
      </c>
      <c r="T244" s="37" t="s">
        <v>1451</v>
      </c>
      <c r="U244" s="37">
        <v>12000</v>
      </c>
      <c r="V244" s="37" t="s">
        <v>55</v>
      </c>
      <c r="W244" s="21" t="s">
        <v>56</v>
      </c>
      <c r="X244" s="24" t="s">
        <v>244</v>
      </c>
    </row>
    <row r="245" spans="1:24" s="39" customFormat="1" ht="16" customHeight="1" x14ac:dyDescent="0.35">
      <c r="A245" s="37" t="s">
        <v>189</v>
      </c>
      <c r="B245" s="37" t="s">
        <v>265</v>
      </c>
      <c r="C245" s="37" t="s">
        <v>1350</v>
      </c>
      <c r="D245" s="78">
        <v>847</v>
      </c>
      <c r="E245" s="37">
        <v>8471260</v>
      </c>
      <c r="F245" s="37" t="s">
        <v>1404</v>
      </c>
      <c r="G245" s="79">
        <v>1</v>
      </c>
      <c r="H245" s="37" t="s">
        <v>375</v>
      </c>
      <c r="I245" s="37" t="s">
        <v>266</v>
      </c>
      <c r="J245" s="37" t="s">
        <v>60</v>
      </c>
      <c r="K245" s="37" t="s">
        <v>50</v>
      </c>
      <c r="L245" s="37">
        <v>847001</v>
      </c>
      <c r="M245" s="37" t="s">
        <v>61</v>
      </c>
      <c r="N245" s="37">
        <v>200179</v>
      </c>
      <c r="O245" s="37" t="str">
        <f t="shared" si="6"/>
        <v>847.8471260.1.425900.000000.847001.200179</v>
      </c>
      <c r="P245" s="37" t="s">
        <v>268</v>
      </c>
      <c r="Q245" s="37" t="s">
        <v>62</v>
      </c>
      <c r="R245" s="37">
        <v>2000</v>
      </c>
      <c r="S245" s="21">
        <v>20</v>
      </c>
      <c r="T245" s="37" t="s">
        <v>1413</v>
      </c>
      <c r="U245" s="37">
        <v>40000</v>
      </c>
      <c r="V245" s="37" t="s">
        <v>55</v>
      </c>
      <c r="W245" s="21" t="s">
        <v>56</v>
      </c>
      <c r="X245" s="24" t="s">
        <v>244</v>
      </c>
    </row>
    <row r="246" spans="1:24" s="39" customFormat="1" ht="16" customHeight="1" x14ac:dyDescent="0.35">
      <c r="A246" s="37" t="s">
        <v>46</v>
      </c>
      <c r="B246" s="37" t="s">
        <v>46</v>
      </c>
      <c r="C246" s="37" t="s">
        <v>1350</v>
      </c>
      <c r="D246" s="78">
        <v>847</v>
      </c>
      <c r="E246" s="37">
        <v>8471260</v>
      </c>
      <c r="F246" s="37" t="s">
        <v>1404</v>
      </c>
      <c r="G246" s="79">
        <v>1</v>
      </c>
      <c r="H246" s="37" t="s">
        <v>643</v>
      </c>
      <c r="I246" s="37" t="s">
        <v>279</v>
      </c>
      <c r="J246" s="37" t="s">
        <v>60</v>
      </c>
      <c r="K246" s="37" t="s">
        <v>50</v>
      </c>
      <c r="L246" s="37">
        <v>847001</v>
      </c>
      <c r="M246" s="37" t="s">
        <v>61</v>
      </c>
      <c r="N246" s="37">
        <v>200179</v>
      </c>
      <c r="O246" s="37" t="str">
        <f t="shared" si="6"/>
        <v>847.8471260.1.428640.000000.847001.200179</v>
      </c>
      <c r="P246" s="37" t="s">
        <v>1452</v>
      </c>
      <c r="Q246" s="37" t="s">
        <v>62</v>
      </c>
      <c r="R246" s="37">
        <v>40</v>
      </c>
      <c r="S246" s="21">
        <v>250</v>
      </c>
      <c r="T246" s="37" t="s">
        <v>1453</v>
      </c>
      <c r="U246" s="37">
        <v>10000</v>
      </c>
      <c r="V246" s="37" t="s">
        <v>55</v>
      </c>
      <c r="W246" s="21" t="s">
        <v>56</v>
      </c>
      <c r="X246" s="24" t="s">
        <v>244</v>
      </c>
    </row>
    <row r="247" spans="1:24" s="39" customFormat="1" ht="16" customHeight="1" x14ac:dyDescent="0.35">
      <c r="A247" s="37" t="s">
        <v>46</v>
      </c>
      <c r="B247" s="37" t="s">
        <v>46</v>
      </c>
      <c r="C247" s="37" t="s">
        <v>1350</v>
      </c>
      <c r="D247" s="78">
        <v>847</v>
      </c>
      <c r="E247" s="37">
        <v>8471260</v>
      </c>
      <c r="F247" s="37" t="s">
        <v>1404</v>
      </c>
      <c r="G247" s="79">
        <v>1</v>
      </c>
      <c r="H247" s="37" t="s">
        <v>643</v>
      </c>
      <c r="I247" s="37" t="s">
        <v>279</v>
      </c>
      <c r="J247" s="37" t="s">
        <v>60</v>
      </c>
      <c r="K247" s="37" t="s">
        <v>50</v>
      </c>
      <c r="L247" s="37">
        <v>847001</v>
      </c>
      <c r="M247" s="37" t="s">
        <v>61</v>
      </c>
      <c r="N247" s="37">
        <v>200179</v>
      </c>
      <c r="O247" s="37" t="str">
        <f t="shared" si="6"/>
        <v>847.8471260.1.428640.000000.847001.200179</v>
      </c>
      <c r="P247" s="37" t="s">
        <v>1452</v>
      </c>
      <c r="Q247" s="37" t="s">
        <v>62</v>
      </c>
      <c r="R247" s="37">
        <v>30</v>
      </c>
      <c r="S247" s="21">
        <v>400</v>
      </c>
      <c r="T247" s="37" t="s">
        <v>1457</v>
      </c>
      <c r="U247" s="37">
        <v>12000</v>
      </c>
      <c r="V247" s="37" t="s">
        <v>55</v>
      </c>
      <c r="W247" s="21" t="s">
        <v>56</v>
      </c>
      <c r="X247" s="24" t="s">
        <v>244</v>
      </c>
    </row>
    <row r="248" spans="1:24" s="39" customFormat="1" ht="16" customHeight="1" x14ac:dyDescent="0.35">
      <c r="A248" s="37" t="s">
        <v>245</v>
      </c>
      <c r="B248" s="37" t="s">
        <v>246</v>
      </c>
      <c r="C248" s="37" t="s">
        <v>1350</v>
      </c>
      <c r="D248" s="78">
        <v>847</v>
      </c>
      <c r="E248" s="37">
        <v>8471260</v>
      </c>
      <c r="F248" s="37" t="s">
        <v>1404</v>
      </c>
      <c r="G248" s="79">
        <v>1</v>
      </c>
      <c r="H248" s="37" t="s">
        <v>643</v>
      </c>
      <c r="I248" s="37" t="s">
        <v>279</v>
      </c>
      <c r="J248" s="37" t="s">
        <v>60</v>
      </c>
      <c r="K248" s="37" t="s">
        <v>50</v>
      </c>
      <c r="L248" s="37">
        <v>847001</v>
      </c>
      <c r="M248" s="37" t="s">
        <v>61</v>
      </c>
      <c r="N248" s="37">
        <v>200179</v>
      </c>
      <c r="O248" s="37" t="str">
        <f t="shared" si="6"/>
        <v>847.8471260.1.428640.000000.847001.200179</v>
      </c>
      <c r="P248" s="37" t="s">
        <v>1452</v>
      </c>
      <c r="Q248" s="37" t="s">
        <v>62</v>
      </c>
      <c r="R248" s="37">
        <v>40</v>
      </c>
      <c r="S248" s="21">
        <v>250</v>
      </c>
      <c r="T248" s="37" t="s">
        <v>1458</v>
      </c>
      <c r="U248" s="37">
        <v>10000</v>
      </c>
      <c r="V248" s="37" t="s">
        <v>55</v>
      </c>
      <c r="W248" s="21" t="s">
        <v>56</v>
      </c>
      <c r="X248" s="24" t="s">
        <v>244</v>
      </c>
    </row>
    <row r="249" spans="1:24" s="39" customFormat="1" ht="16" customHeight="1" x14ac:dyDescent="0.35">
      <c r="A249" s="37" t="s">
        <v>46</v>
      </c>
      <c r="B249" s="37" t="s">
        <v>46</v>
      </c>
      <c r="C249" s="37" t="s">
        <v>1350</v>
      </c>
      <c r="D249" s="78">
        <v>847</v>
      </c>
      <c r="E249" s="37">
        <v>8471260</v>
      </c>
      <c r="F249" s="37" t="s">
        <v>1404</v>
      </c>
      <c r="G249" s="79">
        <v>1</v>
      </c>
      <c r="H249" s="37" t="s">
        <v>1754</v>
      </c>
      <c r="I249" s="37" t="s">
        <v>1127</v>
      </c>
      <c r="J249" s="37" t="s">
        <v>60</v>
      </c>
      <c r="K249" s="37" t="s">
        <v>50</v>
      </c>
      <c r="L249" s="37">
        <v>847001</v>
      </c>
      <c r="M249" s="37" t="s">
        <v>61</v>
      </c>
      <c r="N249" s="37">
        <v>200179</v>
      </c>
      <c r="O249" s="37" t="str">
        <f t="shared" si="6"/>
        <v>847.8471260.1.435530.000000.847001.200179</v>
      </c>
      <c r="P249" s="37" t="s">
        <v>1129</v>
      </c>
      <c r="Q249" s="37" t="s">
        <v>62</v>
      </c>
      <c r="R249" s="37">
        <v>370</v>
      </c>
      <c r="S249" s="21">
        <v>40</v>
      </c>
      <c r="T249" s="37" t="s">
        <v>1459</v>
      </c>
      <c r="U249" s="37">
        <v>14800</v>
      </c>
      <c r="V249" s="37" t="s">
        <v>55</v>
      </c>
      <c r="W249" s="21" t="s">
        <v>56</v>
      </c>
      <c r="X249" s="24" t="s">
        <v>244</v>
      </c>
    </row>
    <row r="250" spans="1:24" s="39" customFormat="1" ht="16" customHeight="1" x14ac:dyDescent="0.35">
      <c r="A250" s="37" t="s">
        <v>46</v>
      </c>
      <c r="B250" s="37" t="s">
        <v>46</v>
      </c>
      <c r="C250" s="37" t="s">
        <v>1350</v>
      </c>
      <c r="D250" s="78">
        <v>847</v>
      </c>
      <c r="E250" s="37">
        <v>8471260</v>
      </c>
      <c r="F250" s="37" t="s">
        <v>1404</v>
      </c>
      <c r="G250" s="79">
        <v>1</v>
      </c>
      <c r="H250" s="37" t="s">
        <v>1754</v>
      </c>
      <c r="I250" s="37" t="s">
        <v>1127</v>
      </c>
      <c r="J250" s="37" t="s">
        <v>60</v>
      </c>
      <c r="K250" s="37" t="s">
        <v>50</v>
      </c>
      <c r="L250" s="37">
        <v>847001</v>
      </c>
      <c r="M250" s="37" t="s">
        <v>61</v>
      </c>
      <c r="N250" s="37">
        <v>200179</v>
      </c>
      <c r="O250" s="37" t="str">
        <f t="shared" si="6"/>
        <v>847.8471260.1.435530.000000.847001.200179</v>
      </c>
      <c r="P250" s="37" t="s">
        <v>1129</v>
      </c>
      <c r="Q250" s="37" t="s">
        <v>62</v>
      </c>
      <c r="R250" s="37">
        <v>370</v>
      </c>
      <c r="S250" s="21">
        <v>40</v>
      </c>
      <c r="T250" s="37" t="s">
        <v>1463</v>
      </c>
      <c r="U250" s="37">
        <v>14800</v>
      </c>
      <c r="V250" s="37" t="s">
        <v>55</v>
      </c>
      <c r="W250" s="21" t="s">
        <v>56</v>
      </c>
      <c r="X250" s="24" t="s">
        <v>244</v>
      </c>
    </row>
    <row r="251" spans="1:24" s="39" customFormat="1" ht="16" customHeight="1" x14ac:dyDescent="0.35">
      <c r="A251" s="37" t="s">
        <v>222</v>
      </c>
      <c r="B251" s="37" t="s">
        <v>58</v>
      </c>
      <c r="C251" s="37" t="s">
        <v>1350</v>
      </c>
      <c r="D251" s="78">
        <v>847</v>
      </c>
      <c r="E251" s="37">
        <v>8471260</v>
      </c>
      <c r="F251" s="37" t="s">
        <v>1404</v>
      </c>
      <c r="G251" s="79">
        <v>1</v>
      </c>
      <c r="H251" s="37" t="s">
        <v>1754</v>
      </c>
      <c r="I251" s="37" t="s">
        <v>1127</v>
      </c>
      <c r="J251" s="37" t="s">
        <v>60</v>
      </c>
      <c r="K251" s="37" t="s">
        <v>50</v>
      </c>
      <c r="L251" s="37">
        <v>847001</v>
      </c>
      <c r="M251" s="37" t="s">
        <v>61</v>
      </c>
      <c r="N251" s="37">
        <v>200179</v>
      </c>
      <c r="O251" s="37" t="str">
        <f t="shared" si="6"/>
        <v>847.8471260.1.435530.000000.847001.200179</v>
      </c>
      <c r="P251" s="37" t="s">
        <v>1129</v>
      </c>
      <c r="Q251" s="37" t="s">
        <v>62</v>
      </c>
      <c r="R251" s="37">
        <v>370</v>
      </c>
      <c r="S251" s="21">
        <v>150</v>
      </c>
      <c r="T251" s="37" t="s">
        <v>1465</v>
      </c>
      <c r="U251" s="37">
        <v>55500</v>
      </c>
      <c r="V251" s="37" t="s">
        <v>55</v>
      </c>
      <c r="W251" s="21" t="s">
        <v>56</v>
      </c>
      <c r="X251" s="24" t="s">
        <v>244</v>
      </c>
    </row>
    <row r="252" spans="1:24" s="39" customFormat="1" ht="16" customHeight="1" x14ac:dyDescent="0.35">
      <c r="A252" s="37" t="s">
        <v>46</v>
      </c>
      <c r="B252" s="37" t="s">
        <v>46</v>
      </c>
      <c r="C252" s="37" t="s">
        <v>1350</v>
      </c>
      <c r="D252" s="78">
        <v>847</v>
      </c>
      <c r="E252" s="37">
        <v>8471260</v>
      </c>
      <c r="F252" s="37" t="s">
        <v>1404</v>
      </c>
      <c r="G252" s="79">
        <v>1</v>
      </c>
      <c r="H252" s="37" t="s">
        <v>409</v>
      </c>
      <c r="I252" s="37" t="s">
        <v>190</v>
      </c>
      <c r="J252" s="37" t="s">
        <v>60</v>
      </c>
      <c r="K252" s="37" t="s">
        <v>50</v>
      </c>
      <c r="L252" s="37">
        <v>847001</v>
      </c>
      <c r="M252" s="37" t="s">
        <v>61</v>
      </c>
      <c r="N252" s="37">
        <v>200179</v>
      </c>
      <c r="O252" s="37" t="str">
        <f t="shared" si="6"/>
        <v>847.8471260.1.436110.000000.847001.200179</v>
      </c>
      <c r="P252" s="37" t="s">
        <v>829</v>
      </c>
      <c r="Q252" s="37" t="s">
        <v>62</v>
      </c>
      <c r="R252" s="37">
        <v>100</v>
      </c>
      <c r="S252" s="21">
        <v>60</v>
      </c>
      <c r="T252" s="37" t="s">
        <v>1469</v>
      </c>
      <c r="U252" s="37">
        <v>6000</v>
      </c>
      <c r="V252" s="37" t="s">
        <v>55</v>
      </c>
      <c r="W252" s="21" t="s">
        <v>56</v>
      </c>
      <c r="X252" s="24" t="s">
        <v>244</v>
      </c>
    </row>
    <row r="253" spans="1:24" s="39" customFormat="1" ht="16" customHeight="1" x14ac:dyDescent="0.35">
      <c r="A253" s="37" t="s">
        <v>189</v>
      </c>
      <c r="B253" s="37" t="s">
        <v>58</v>
      </c>
      <c r="C253" s="37" t="s">
        <v>1350</v>
      </c>
      <c r="D253" s="78">
        <v>847</v>
      </c>
      <c r="E253" s="37">
        <v>8471260</v>
      </c>
      <c r="F253" s="37" t="s">
        <v>1404</v>
      </c>
      <c r="G253" s="79">
        <v>1</v>
      </c>
      <c r="H253" s="37" t="s">
        <v>409</v>
      </c>
      <c r="I253" s="37" t="s">
        <v>190</v>
      </c>
      <c r="J253" s="37" t="s">
        <v>60</v>
      </c>
      <c r="K253" s="37" t="s">
        <v>50</v>
      </c>
      <c r="L253" s="37">
        <v>847001</v>
      </c>
      <c r="M253" s="37" t="s">
        <v>61</v>
      </c>
      <c r="N253" s="37">
        <v>200179</v>
      </c>
      <c r="O253" s="37" t="str">
        <f t="shared" si="6"/>
        <v>847.8471260.1.436110.000000.847001.200179</v>
      </c>
      <c r="P253" s="37" t="s">
        <v>829</v>
      </c>
      <c r="Q253" s="37" t="s">
        <v>62</v>
      </c>
      <c r="R253" s="37">
        <v>40</v>
      </c>
      <c r="S253" s="21">
        <v>160</v>
      </c>
      <c r="T253" s="37" t="s">
        <v>1473</v>
      </c>
      <c r="U253" s="37">
        <v>6400</v>
      </c>
      <c r="V253" s="37" t="s">
        <v>55</v>
      </c>
      <c r="W253" s="21" t="s">
        <v>56</v>
      </c>
      <c r="X253" s="24" t="s">
        <v>244</v>
      </c>
    </row>
    <row r="254" spans="1:24" s="39" customFormat="1" ht="16" customHeight="1" x14ac:dyDescent="0.35">
      <c r="A254" s="37" t="s">
        <v>245</v>
      </c>
      <c r="B254" s="37" t="s">
        <v>246</v>
      </c>
      <c r="C254" s="37" t="s">
        <v>1350</v>
      </c>
      <c r="D254" s="78">
        <v>847</v>
      </c>
      <c r="E254" s="37">
        <v>8471220</v>
      </c>
      <c r="F254" s="37" t="s">
        <v>1481</v>
      </c>
      <c r="G254" s="79">
        <v>1</v>
      </c>
      <c r="H254" s="37" t="s">
        <v>342</v>
      </c>
      <c r="I254" s="37" t="s">
        <v>247</v>
      </c>
      <c r="J254" s="37" t="s">
        <v>60</v>
      </c>
      <c r="K254" s="37" t="s">
        <v>50</v>
      </c>
      <c r="L254" s="37">
        <v>847001</v>
      </c>
      <c r="M254" s="37" t="s">
        <v>61</v>
      </c>
      <c r="N254" s="37">
        <v>200179</v>
      </c>
      <c r="O254" s="37" t="str">
        <f t="shared" si="6"/>
        <v>847.8471220.1.425510.000000.847001.200179</v>
      </c>
      <c r="P254" s="75" t="s">
        <v>407</v>
      </c>
      <c r="Q254" s="37" t="s">
        <v>434</v>
      </c>
      <c r="R254" s="37">
        <v>4</v>
      </c>
      <c r="S254" s="21"/>
      <c r="T254" s="37" t="s">
        <v>1627</v>
      </c>
      <c r="U254" s="37">
        <v>5760</v>
      </c>
      <c r="V254" s="37" t="s">
        <v>55</v>
      </c>
      <c r="W254" s="21" t="s">
        <v>56</v>
      </c>
      <c r="X254" s="24" t="s">
        <v>384</v>
      </c>
    </row>
    <row r="255" spans="1:24" s="39" customFormat="1" ht="16" customHeight="1" x14ac:dyDescent="0.35">
      <c r="A255" s="37" t="s">
        <v>258</v>
      </c>
      <c r="B255" s="37" t="s">
        <v>58</v>
      </c>
      <c r="C255" s="37" t="s">
        <v>1350</v>
      </c>
      <c r="D255" s="78">
        <v>847</v>
      </c>
      <c r="E255" s="37">
        <v>8471220</v>
      </c>
      <c r="F255" s="37" t="s">
        <v>1481</v>
      </c>
      <c r="G255" s="79">
        <v>1</v>
      </c>
      <c r="H255" s="37" t="s">
        <v>1760</v>
      </c>
      <c r="I255" s="37" t="s">
        <v>1485</v>
      </c>
      <c r="J255" s="37" t="s">
        <v>60</v>
      </c>
      <c r="K255" s="37" t="s">
        <v>50</v>
      </c>
      <c r="L255" s="37">
        <v>847001</v>
      </c>
      <c r="M255" s="37" t="s">
        <v>61</v>
      </c>
      <c r="N255" s="37">
        <v>200179</v>
      </c>
      <c r="O255" s="37" t="str">
        <f t="shared" si="6"/>
        <v>847.8471220.1.425741.000000.847001.200179</v>
      </c>
      <c r="P255" s="21" t="s">
        <v>1486</v>
      </c>
      <c r="Q255" s="37" t="s">
        <v>262</v>
      </c>
      <c r="R255" s="37">
        <v>3275</v>
      </c>
      <c r="S255" s="21"/>
      <c r="T255" s="37" t="s">
        <v>1627</v>
      </c>
      <c r="U255" s="37">
        <v>142059750.01457018</v>
      </c>
      <c r="V255" s="37" t="s">
        <v>55</v>
      </c>
      <c r="W255" s="21" t="s">
        <v>56</v>
      </c>
      <c r="X255" s="24" t="s">
        <v>384</v>
      </c>
    </row>
    <row r="256" spans="1:24" s="39" customFormat="1" ht="16" customHeight="1" x14ac:dyDescent="0.35">
      <c r="A256" s="37" t="s">
        <v>71</v>
      </c>
      <c r="B256" s="37" t="s">
        <v>58</v>
      </c>
      <c r="C256" s="37" t="s">
        <v>1350</v>
      </c>
      <c r="D256" s="78">
        <v>847</v>
      </c>
      <c r="E256" s="37">
        <v>8471220</v>
      </c>
      <c r="F256" s="37" t="s">
        <v>1481</v>
      </c>
      <c r="G256" s="79">
        <v>1</v>
      </c>
      <c r="H256" s="37" t="s">
        <v>1761</v>
      </c>
      <c r="I256" s="37" t="s">
        <v>1080</v>
      </c>
      <c r="J256" s="37" t="s">
        <v>60</v>
      </c>
      <c r="K256" s="37" t="s">
        <v>50</v>
      </c>
      <c r="L256" s="37">
        <v>847001</v>
      </c>
      <c r="M256" s="37" t="s">
        <v>61</v>
      </c>
      <c r="N256" s="37">
        <v>200179</v>
      </c>
      <c r="O256" s="37" t="str">
        <f t="shared" si="6"/>
        <v>847.8471220.1.426900.000000.847001.200179</v>
      </c>
      <c r="P256" s="21" t="s">
        <v>1489</v>
      </c>
      <c r="Q256" s="37" t="s">
        <v>157</v>
      </c>
      <c r="R256" s="37">
        <v>5871</v>
      </c>
      <c r="S256" s="21"/>
      <c r="T256" s="37" t="s">
        <v>1627</v>
      </c>
      <c r="U256" s="37">
        <v>7473.6</v>
      </c>
      <c r="V256" s="37" t="s">
        <v>55</v>
      </c>
      <c r="W256" s="21" t="s">
        <v>56</v>
      </c>
      <c r="X256" s="24" t="s">
        <v>384</v>
      </c>
    </row>
    <row r="257" spans="1:24" s="39" customFormat="1" ht="16" customHeight="1" x14ac:dyDescent="0.35">
      <c r="A257" s="37" t="s">
        <v>222</v>
      </c>
      <c r="B257" s="37" t="s">
        <v>58</v>
      </c>
      <c r="C257" s="37" t="s">
        <v>1350</v>
      </c>
      <c r="D257" s="78">
        <v>847</v>
      </c>
      <c r="E257" s="37">
        <v>8471220</v>
      </c>
      <c r="F257" s="37" t="s">
        <v>1481</v>
      </c>
      <c r="G257" s="79">
        <v>1</v>
      </c>
      <c r="H257" s="37" t="s">
        <v>654</v>
      </c>
      <c r="I257" s="37" t="s">
        <v>655</v>
      </c>
      <c r="J257" s="37" t="s">
        <v>60</v>
      </c>
      <c r="K257" s="37" t="s">
        <v>50</v>
      </c>
      <c r="L257" s="37">
        <v>847001</v>
      </c>
      <c r="M257" s="37" t="s">
        <v>61</v>
      </c>
      <c r="N257" s="37">
        <v>200179</v>
      </c>
      <c r="O257" s="37" t="str">
        <f t="shared" si="6"/>
        <v>847.8471220.1.435340.000000.847001.200179</v>
      </c>
      <c r="P257" s="37" t="s">
        <v>1491</v>
      </c>
      <c r="Q257" s="37"/>
      <c r="R257" s="37">
        <v>5871</v>
      </c>
      <c r="S257" s="21">
        <v>1</v>
      </c>
      <c r="T257" s="37" t="s">
        <v>1628</v>
      </c>
      <c r="U257" s="37">
        <v>16416000</v>
      </c>
      <c r="V257" s="37" t="s">
        <v>55</v>
      </c>
      <c r="W257" s="21" t="s">
        <v>56</v>
      </c>
      <c r="X257" s="24" t="s">
        <v>384</v>
      </c>
    </row>
    <row r="258" spans="1:24" s="39" customFormat="1" ht="16" customHeight="1" x14ac:dyDescent="0.35">
      <c r="A258" s="37" t="s">
        <v>189</v>
      </c>
      <c r="B258" s="37" t="s">
        <v>58</v>
      </c>
      <c r="C258" s="37" t="s">
        <v>1350</v>
      </c>
      <c r="D258" s="78">
        <v>847</v>
      </c>
      <c r="E258" s="37">
        <v>8471220</v>
      </c>
      <c r="F258" s="37" t="s">
        <v>1481</v>
      </c>
      <c r="G258" s="79">
        <v>1</v>
      </c>
      <c r="H258" s="37" t="s">
        <v>409</v>
      </c>
      <c r="I258" s="37" t="s">
        <v>190</v>
      </c>
      <c r="J258" s="37" t="s">
        <v>60</v>
      </c>
      <c r="K258" s="37" t="s">
        <v>50</v>
      </c>
      <c r="L258" s="37">
        <v>847001</v>
      </c>
      <c r="M258" s="37" t="s">
        <v>61</v>
      </c>
      <c r="N258" s="37">
        <v>200179</v>
      </c>
      <c r="O258" s="37" t="str">
        <f t="shared" si="6"/>
        <v>847.8471220.1.436110.000000.847001.200179</v>
      </c>
      <c r="P258" s="21" t="s">
        <v>829</v>
      </c>
      <c r="Q258" s="37" t="s">
        <v>157</v>
      </c>
      <c r="R258" s="37">
        <v>5871</v>
      </c>
      <c r="S258" s="21"/>
      <c r="T258" s="37" t="s">
        <v>1627</v>
      </c>
      <c r="U258" s="37">
        <v>519840</v>
      </c>
      <c r="V258" s="37" t="s">
        <v>55</v>
      </c>
      <c r="W258" s="21" t="s">
        <v>56</v>
      </c>
      <c r="X258" s="24" t="s">
        <v>384</v>
      </c>
    </row>
    <row r="259" spans="1:24" s="39" customFormat="1" ht="16" customHeight="1" x14ac:dyDescent="0.35">
      <c r="A259" s="37" t="s">
        <v>189</v>
      </c>
      <c r="B259" s="37" t="s">
        <v>58</v>
      </c>
      <c r="C259" s="37" t="s">
        <v>1350</v>
      </c>
      <c r="D259" s="78">
        <v>847</v>
      </c>
      <c r="E259" s="37">
        <v>8471220</v>
      </c>
      <c r="F259" s="37" t="s">
        <v>1481</v>
      </c>
      <c r="G259" s="79">
        <v>1</v>
      </c>
      <c r="H259" s="37" t="s">
        <v>1753</v>
      </c>
      <c r="I259" s="37" t="s">
        <v>291</v>
      </c>
      <c r="J259" s="37" t="s">
        <v>60</v>
      </c>
      <c r="K259" s="37" t="s">
        <v>50</v>
      </c>
      <c r="L259" s="37">
        <v>847001</v>
      </c>
      <c r="M259" s="37" t="s">
        <v>61</v>
      </c>
      <c r="N259" s="37">
        <v>200179</v>
      </c>
      <c r="O259" s="37" t="str">
        <f t="shared" ref="O259:O322" si="7">CONCATENATE(D259,".",E259,".",G259,".",H259,".",J259,".",L259,".",N259)</f>
        <v>847.8471220.1.436120.000000.847001.200179</v>
      </c>
      <c r="P259" s="21" t="s">
        <v>292</v>
      </c>
      <c r="Q259" s="37" t="s">
        <v>157</v>
      </c>
      <c r="R259" s="37">
        <v>18</v>
      </c>
      <c r="S259" s="21"/>
      <c r="T259" s="37" t="s">
        <v>1627</v>
      </c>
      <c r="U259" s="37">
        <v>3456</v>
      </c>
      <c r="V259" s="37" t="s">
        <v>55</v>
      </c>
      <c r="W259" s="21" t="s">
        <v>56</v>
      </c>
      <c r="X259" s="24" t="s">
        <v>384</v>
      </c>
    </row>
    <row r="260" spans="1:24" s="39" customFormat="1" ht="16" customHeight="1" x14ac:dyDescent="0.35">
      <c r="A260" s="37" t="s">
        <v>189</v>
      </c>
      <c r="B260" s="37" t="s">
        <v>265</v>
      </c>
      <c r="C260" s="37" t="s">
        <v>1350</v>
      </c>
      <c r="D260" s="78">
        <v>847</v>
      </c>
      <c r="E260" s="37">
        <v>8471270</v>
      </c>
      <c r="F260" s="37" t="s">
        <v>1497</v>
      </c>
      <c r="G260" s="79">
        <v>1</v>
      </c>
      <c r="H260" s="37" t="s">
        <v>375</v>
      </c>
      <c r="I260" s="37" t="s">
        <v>266</v>
      </c>
      <c r="J260" s="37" t="s">
        <v>60</v>
      </c>
      <c r="K260" s="37" t="s">
        <v>50</v>
      </c>
      <c r="L260" s="37">
        <v>847001</v>
      </c>
      <c r="M260" s="37" t="s">
        <v>61</v>
      </c>
      <c r="N260" s="37">
        <v>200179</v>
      </c>
      <c r="O260" s="37" t="str">
        <f t="shared" si="7"/>
        <v>847.8471270.1.425900.000000.847001.200179</v>
      </c>
      <c r="P260" s="37" t="s">
        <v>268</v>
      </c>
      <c r="Q260" s="37" t="s">
        <v>269</v>
      </c>
      <c r="R260" s="37">
        <v>1</v>
      </c>
      <c r="S260" s="21">
        <v>50000</v>
      </c>
      <c r="T260" s="37"/>
      <c r="U260" s="37">
        <v>50000</v>
      </c>
      <c r="V260" s="37" t="s">
        <v>55</v>
      </c>
      <c r="W260" s="21" t="s">
        <v>56</v>
      </c>
      <c r="X260" s="24" t="s">
        <v>379</v>
      </c>
    </row>
    <row r="261" spans="1:24" s="39" customFormat="1" ht="16" customHeight="1" x14ac:dyDescent="0.35">
      <c r="A261" s="37" t="s">
        <v>153</v>
      </c>
      <c r="B261" s="37" t="s">
        <v>58</v>
      </c>
      <c r="C261" s="37" t="s">
        <v>1350</v>
      </c>
      <c r="D261" s="78">
        <v>847</v>
      </c>
      <c r="E261" s="37">
        <v>8471270</v>
      </c>
      <c r="F261" s="37" t="s">
        <v>1497</v>
      </c>
      <c r="G261" s="79">
        <v>1</v>
      </c>
      <c r="H261" s="37" t="s">
        <v>385</v>
      </c>
      <c r="I261" s="37" t="s">
        <v>154</v>
      </c>
      <c r="J261" s="37" t="s">
        <v>60</v>
      </c>
      <c r="K261" s="37" t="s">
        <v>50</v>
      </c>
      <c r="L261" s="37">
        <v>847001</v>
      </c>
      <c r="M261" s="37" t="s">
        <v>61</v>
      </c>
      <c r="N261" s="37">
        <v>200179</v>
      </c>
      <c r="O261" s="37" t="str">
        <f t="shared" si="7"/>
        <v>847.8471270.1.428090.000000.847001.200179</v>
      </c>
      <c r="P261" s="37" t="s">
        <v>156</v>
      </c>
      <c r="Q261" s="37" t="s">
        <v>157</v>
      </c>
      <c r="R261" s="37">
        <v>16</v>
      </c>
      <c r="S261" s="21">
        <v>18750</v>
      </c>
      <c r="T261" s="37"/>
      <c r="U261" s="37">
        <v>300000</v>
      </c>
      <c r="V261" s="37" t="s">
        <v>55</v>
      </c>
      <c r="W261" s="21" t="s">
        <v>56</v>
      </c>
      <c r="X261" s="24" t="s">
        <v>264</v>
      </c>
    </row>
    <row r="262" spans="1:24" s="39" customFormat="1" ht="16" customHeight="1" x14ac:dyDescent="0.35">
      <c r="A262" s="37" t="s">
        <v>222</v>
      </c>
      <c r="B262" s="37" t="s">
        <v>58</v>
      </c>
      <c r="C262" s="37" t="s">
        <v>1350</v>
      </c>
      <c r="D262" s="78">
        <v>847</v>
      </c>
      <c r="E262" s="37">
        <v>8471270</v>
      </c>
      <c r="F262" s="37" t="s">
        <v>1497</v>
      </c>
      <c r="G262" s="79">
        <v>1</v>
      </c>
      <c r="H262" s="37" t="s">
        <v>1757</v>
      </c>
      <c r="I262" s="37" t="s">
        <v>1111</v>
      </c>
      <c r="J262" s="37" t="s">
        <v>60</v>
      </c>
      <c r="K262" s="37" t="s">
        <v>50</v>
      </c>
      <c r="L262" s="37">
        <v>847001</v>
      </c>
      <c r="M262" s="37" t="s">
        <v>61</v>
      </c>
      <c r="N262" s="37">
        <v>200179</v>
      </c>
      <c r="O262" s="37" t="str">
        <f t="shared" si="7"/>
        <v>847.8471270.1.435330.000000.847001.200179</v>
      </c>
      <c r="P262" s="37" t="s">
        <v>1113</v>
      </c>
      <c r="Q262" s="37" t="s">
        <v>157</v>
      </c>
      <c r="R262" s="37">
        <v>4000</v>
      </c>
      <c r="S262" s="21">
        <v>4290</v>
      </c>
      <c r="T262" s="37"/>
      <c r="U262" s="37">
        <v>17160000</v>
      </c>
      <c r="V262" s="37" t="s">
        <v>55</v>
      </c>
      <c r="W262" s="21" t="s">
        <v>56</v>
      </c>
      <c r="X262" s="24" t="s">
        <v>384</v>
      </c>
    </row>
    <row r="263" spans="1:24" s="39" customFormat="1" ht="16" customHeight="1" x14ac:dyDescent="0.35">
      <c r="A263" s="37" t="s">
        <v>189</v>
      </c>
      <c r="B263" s="37" t="s">
        <v>58</v>
      </c>
      <c r="C263" s="37" t="s">
        <v>1350</v>
      </c>
      <c r="D263" s="78">
        <v>847</v>
      </c>
      <c r="E263" s="37">
        <v>8471270</v>
      </c>
      <c r="F263" s="37" t="s">
        <v>1497</v>
      </c>
      <c r="G263" s="79">
        <v>1</v>
      </c>
      <c r="H263" s="37" t="s">
        <v>409</v>
      </c>
      <c r="I263" s="37" t="s">
        <v>190</v>
      </c>
      <c r="J263" s="37" t="s">
        <v>60</v>
      </c>
      <c r="K263" s="37" t="s">
        <v>50</v>
      </c>
      <c r="L263" s="37">
        <v>847001</v>
      </c>
      <c r="M263" s="37" t="s">
        <v>61</v>
      </c>
      <c r="N263" s="37">
        <v>200179</v>
      </c>
      <c r="O263" s="37" t="str">
        <f t="shared" si="7"/>
        <v>847.8471270.1.436110.000000.847001.200179</v>
      </c>
      <c r="P263" s="37" t="s">
        <v>411</v>
      </c>
      <c r="Q263" s="37" t="s">
        <v>157</v>
      </c>
      <c r="R263" s="37">
        <v>4000</v>
      </c>
      <c r="S263" s="21">
        <v>125</v>
      </c>
      <c r="T263" s="37"/>
      <c r="U263" s="37">
        <v>500000</v>
      </c>
      <c r="V263" s="37"/>
      <c r="W263" s="21"/>
      <c r="X263" s="24" t="s">
        <v>384</v>
      </c>
    </row>
    <row r="264" spans="1:24" s="39" customFormat="1" ht="16" customHeight="1" x14ac:dyDescent="0.35">
      <c r="A264" s="37" t="s">
        <v>189</v>
      </c>
      <c r="B264" s="37" t="s">
        <v>58</v>
      </c>
      <c r="C264" s="37" t="s">
        <v>1350</v>
      </c>
      <c r="D264" s="78">
        <v>847</v>
      </c>
      <c r="E264" s="37">
        <v>8471270</v>
      </c>
      <c r="F264" s="37" t="s">
        <v>1497</v>
      </c>
      <c r="G264" s="79">
        <v>1</v>
      </c>
      <c r="H264" s="37" t="s">
        <v>1762</v>
      </c>
      <c r="I264" s="37" t="s">
        <v>1336</v>
      </c>
      <c r="J264" s="37" t="s">
        <v>60</v>
      </c>
      <c r="K264" s="37" t="s">
        <v>50</v>
      </c>
      <c r="L264" s="37">
        <v>847001</v>
      </c>
      <c r="M264" s="37" t="s">
        <v>61</v>
      </c>
      <c r="N264" s="37">
        <v>200179</v>
      </c>
      <c r="O264" s="37" t="str">
        <f t="shared" si="7"/>
        <v>847.8471270.1.435310.000000.847001.200179</v>
      </c>
      <c r="P264" s="21"/>
      <c r="Q264" s="37" t="s">
        <v>157</v>
      </c>
      <c r="R264" s="37"/>
      <c r="S264" s="21"/>
      <c r="T264" s="37"/>
      <c r="U264" s="37">
        <v>0</v>
      </c>
      <c r="V264" s="37"/>
      <c r="W264" s="21"/>
      <c r="X264" s="24"/>
    </row>
    <row r="265" spans="1:24" s="39" customFormat="1" ht="16" customHeight="1" x14ac:dyDescent="0.35">
      <c r="A265" s="37" t="s">
        <v>222</v>
      </c>
      <c r="B265" s="37" t="s">
        <v>58</v>
      </c>
      <c r="C265" s="37" t="s">
        <v>1350</v>
      </c>
      <c r="D265" s="78">
        <v>847</v>
      </c>
      <c r="E265" s="37">
        <v>8471230</v>
      </c>
      <c r="F265" s="37" t="s">
        <v>1507</v>
      </c>
      <c r="G265" s="79">
        <v>1</v>
      </c>
      <c r="H265" s="37" t="s">
        <v>1763</v>
      </c>
      <c r="I265" s="37" t="s">
        <v>1036</v>
      </c>
      <c r="J265" s="37" t="s">
        <v>60</v>
      </c>
      <c r="K265" s="37" t="s">
        <v>50</v>
      </c>
      <c r="L265" s="37">
        <v>847001</v>
      </c>
      <c r="M265" s="37" t="s">
        <v>61</v>
      </c>
      <c r="N265" s="37">
        <v>200179</v>
      </c>
      <c r="O265" s="37" t="str">
        <f t="shared" si="7"/>
        <v>847.8471230.1.425742.000000.847001.200179</v>
      </c>
      <c r="P265" s="37" t="s">
        <v>344</v>
      </c>
      <c r="Q265" s="37" t="s">
        <v>256</v>
      </c>
      <c r="R265" s="37">
        <v>15</v>
      </c>
      <c r="S265" s="21">
        <v>50000</v>
      </c>
      <c r="T265" s="37" t="s">
        <v>1508</v>
      </c>
      <c r="U265" s="37">
        <v>750000</v>
      </c>
      <c r="V265" s="37" t="s">
        <v>55</v>
      </c>
      <c r="W265" s="21" t="s">
        <v>56</v>
      </c>
      <c r="X265" s="24" t="s">
        <v>244</v>
      </c>
    </row>
    <row r="266" spans="1:24" s="39" customFormat="1" ht="16" customHeight="1" x14ac:dyDescent="0.35">
      <c r="A266" s="37" t="s">
        <v>63</v>
      </c>
      <c r="B266" s="37" t="s">
        <v>64</v>
      </c>
      <c r="C266" s="37" t="s">
        <v>1350</v>
      </c>
      <c r="D266" s="78">
        <v>847</v>
      </c>
      <c r="E266" s="37">
        <v>8471230</v>
      </c>
      <c r="F266" s="37" t="s">
        <v>1507</v>
      </c>
      <c r="G266" s="79">
        <v>1</v>
      </c>
      <c r="H266" s="37" t="s">
        <v>1763</v>
      </c>
      <c r="I266" s="37" t="s">
        <v>1036</v>
      </c>
      <c r="J266" s="37" t="s">
        <v>60</v>
      </c>
      <c r="K266" s="37" t="s">
        <v>50</v>
      </c>
      <c r="L266" s="37">
        <v>847001</v>
      </c>
      <c r="M266" s="37" t="s">
        <v>61</v>
      </c>
      <c r="N266" s="37">
        <v>200179</v>
      </c>
      <c r="O266" s="37" t="str">
        <f t="shared" si="7"/>
        <v>847.8471230.1.425742.000000.847001.200179</v>
      </c>
      <c r="P266" s="37" t="s">
        <v>255</v>
      </c>
      <c r="Q266" s="37" t="s">
        <v>256</v>
      </c>
      <c r="R266" s="37">
        <v>15</v>
      </c>
      <c r="S266" s="21">
        <v>50000</v>
      </c>
      <c r="T266" s="37" t="s">
        <v>1510</v>
      </c>
      <c r="U266" s="37">
        <v>750000</v>
      </c>
      <c r="V266" s="37" t="s">
        <v>55</v>
      </c>
      <c r="W266" s="21" t="s">
        <v>56</v>
      </c>
      <c r="X266" s="24" t="s">
        <v>244</v>
      </c>
    </row>
    <row r="267" spans="1:24" s="39" customFormat="1" ht="16" customHeight="1" x14ac:dyDescent="0.35">
      <c r="A267" s="37" t="s">
        <v>46</v>
      </c>
      <c r="B267" s="37" t="s">
        <v>46</v>
      </c>
      <c r="C267" s="37" t="s">
        <v>1350</v>
      </c>
      <c r="D267" s="78">
        <v>847</v>
      </c>
      <c r="E267" s="37">
        <v>8471230</v>
      </c>
      <c r="F267" s="37" t="s">
        <v>1507</v>
      </c>
      <c r="G267" s="79">
        <v>1</v>
      </c>
      <c r="H267" s="37" t="s">
        <v>1763</v>
      </c>
      <c r="I267" s="37" t="s">
        <v>1036</v>
      </c>
      <c r="J267" s="37" t="s">
        <v>60</v>
      </c>
      <c r="K267" s="37" t="s">
        <v>50</v>
      </c>
      <c r="L267" s="37">
        <v>847001</v>
      </c>
      <c r="M267" s="37" t="s">
        <v>61</v>
      </c>
      <c r="N267" s="37">
        <v>200179</v>
      </c>
      <c r="O267" s="37" t="str">
        <f t="shared" si="7"/>
        <v>847.8471230.1.425742.000000.847001.200179</v>
      </c>
      <c r="P267" s="37" t="s">
        <v>1452</v>
      </c>
      <c r="Q267" s="37" t="s">
        <v>269</v>
      </c>
      <c r="R267" s="37">
        <v>30000</v>
      </c>
      <c r="S267" s="21">
        <v>10</v>
      </c>
      <c r="T267" s="37" t="s">
        <v>1512</v>
      </c>
      <c r="U267" s="37">
        <v>300000</v>
      </c>
      <c r="V267" s="37" t="s">
        <v>55</v>
      </c>
      <c r="W267" s="21" t="s">
        <v>56</v>
      </c>
      <c r="X267" s="24" t="s">
        <v>244</v>
      </c>
    </row>
    <row r="268" spans="1:24" s="39" customFormat="1" ht="16" customHeight="1" x14ac:dyDescent="0.35">
      <c r="A268" s="37" t="s">
        <v>46</v>
      </c>
      <c r="B268" s="37" t="s">
        <v>46</v>
      </c>
      <c r="C268" s="37" t="s">
        <v>1350</v>
      </c>
      <c r="D268" s="78">
        <v>847</v>
      </c>
      <c r="E268" s="37">
        <v>8471230</v>
      </c>
      <c r="F268" s="37" t="s">
        <v>1507</v>
      </c>
      <c r="G268" s="79">
        <v>1</v>
      </c>
      <c r="H268" s="37" t="s">
        <v>1763</v>
      </c>
      <c r="I268" s="37" t="s">
        <v>1036</v>
      </c>
      <c r="J268" s="37" t="s">
        <v>60</v>
      </c>
      <c r="K268" s="37" t="s">
        <v>50</v>
      </c>
      <c r="L268" s="37">
        <v>847001</v>
      </c>
      <c r="M268" s="37" t="s">
        <v>61</v>
      </c>
      <c r="N268" s="37">
        <v>200179</v>
      </c>
      <c r="O268" s="37" t="str">
        <f t="shared" si="7"/>
        <v>847.8471230.1.425742.000000.847001.200179</v>
      </c>
      <c r="P268" s="37" t="s">
        <v>1038</v>
      </c>
      <c r="Q268" s="37" t="s">
        <v>157</v>
      </c>
      <c r="R268" s="37">
        <v>10</v>
      </c>
      <c r="S268" s="21">
        <v>70000</v>
      </c>
      <c r="T268" s="37" t="s">
        <v>1515</v>
      </c>
      <c r="U268" s="37">
        <v>700000</v>
      </c>
      <c r="V268" s="37" t="s">
        <v>55</v>
      </c>
      <c r="W268" s="21" t="s">
        <v>56</v>
      </c>
      <c r="X268" s="24" t="s">
        <v>244</v>
      </c>
    </row>
    <row r="269" spans="1:24" s="39" customFormat="1" ht="16" customHeight="1" x14ac:dyDescent="0.35">
      <c r="A269" s="37" t="s">
        <v>46</v>
      </c>
      <c r="B269" s="37" t="s">
        <v>46</v>
      </c>
      <c r="C269" s="37" t="s">
        <v>1350</v>
      </c>
      <c r="D269" s="78">
        <v>847</v>
      </c>
      <c r="E269" s="37">
        <v>8471230</v>
      </c>
      <c r="F269" s="37" t="s">
        <v>1507</v>
      </c>
      <c r="G269" s="79">
        <v>1</v>
      </c>
      <c r="H269" s="37" t="s">
        <v>380</v>
      </c>
      <c r="I269" s="37" t="s">
        <v>74</v>
      </c>
      <c r="J269" s="37" t="s">
        <v>60</v>
      </c>
      <c r="K269" s="37" t="s">
        <v>50</v>
      </c>
      <c r="L269" s="37">
        <v>847001</v>
      </c>
      <c r="M269" s="37" t="s">
        <v>61</v>
      </c>
      <c r="N269" s="37">
        <v>200179</v>
      </c>
      <c r="O269" s="37" t="str">
        <f t="shared" si="7"/>
        <v>847.8471230.1.426610.000000.847001.200179</v>
      </c>
      <c r="P269" s="37" t="s">
        <v>274</v>
      </c>
      <c r="Q269" s="37" t="s">
        <v>157</v>
      </c>
      <c r="R269" s="37">
        <v>1000</v>
      </c>
      <c r="S269" s="21">
        <v>100</v>
      </c>
      <c r="T269" s="37" t="s">
        <v>1517</v>
      </c>
      <c r="U269" s="37">
        <v>100000</v>
      </c>
      <c r="V269" s="37" t="s">
        <v>55</v>
      </c>
      <c r="W269" s="21" t="s">
        <v>56</v>
      </c>
      <c r="X269" s="24" t="s">
        <v>244</v>
      </c>
    </row>
    <row r="270" spans="1:24" s="39" customFormat="1" ht="16" customHeight="1" x14ac:dyDescent="0.35">
      <c r="A270" s="37" t="s">
        <v>245</v>
      </c>
      <c r="B270" s="37" t="s">
        <v>246</v>
      </c>
      <c r="C270" s="37" t="s">
        <v>1350</v>
      </c>
      <c r="D270" s="78">
        <v>847</v>
      </c>
      <c r="E270" s="37">
        <v>8471280</v>
      </c>
      <c r="F270" s="37" t="s">
        <v>1520</v>
      </c>
      <c r="G270" s="79">
        <v>1</v>
      </c>
      <c r="H270" s="37" t="s">
        <v>1764</v>
      </c>
      <c r="I270" s="37" t="s">
        <v>1521</v>
      </c>
      <c r="J270" s="37" t="s">
        <v>60</v>
      </c>
      <c r="K270" s="37" t="s">
        <v>50</v>
      </c>
      <c r="L270" s="37">
        <v>847001</v>
      </c>
      <c r="M270" s="37" t="s">
        <v>61</v>
      </c>
      <c r="N270" s="37">
        <v>200179</v>
      </c>
      <c r="O270" s="37" t="str">
        <f t="shared" si="7"/>
        <v>847.8471280.1.425100.000000.847001.200179</v>
      </c>
      <c r="P270" s="37" t="s">
        <v>1581</v>
      </c>
      <c r="Q270" s="37" t="s">
        <v>269</v>
      </c>
      <c r="R270" s="37">
        <v>3</v>
      </c>
      <c r="S270" s="21">
        <v>1625</v>
      </c>
      <c r="T270" s="37" t="s">
        <v>1629</v>
      </c>
      <c r="U270" s="37">
        <v>4875</v>
      </c>
      <c r="V270" s="37" t="s">
        <v>55</v>
      </c>
      <c r="W270" s="21" t="s">
        <v>56</v>
      </c>
      <c r="X270" s="24" t="s">
        <v>384</v>
      </c>
    </row>
    <row r="271" spans="1:24" s="39" customFormat="1" ht="16" customHeight="1" x14ac:dyDescent="0.35">
      <c r="A271" s="37" t="s">
        <v>245</v>
      </c>
      <c r="B271" s="37" t="s">
        <v>246</v>
      </c>
      <c r="C271" s="37" t="s">
        <v>1350</v>
      </c>
      <c r="D271" s="78">
        <v>847</v>
      </c>
      <c r="E271" s="37">
        <v>8471280</v>
      </c>
      <c r="F271" s="37" t="s">
        <v>1520</v>
      </c>
      <c r="G271" s="79">
        <v>1</v>
      </c>
      <c r="H271" s="37" t="s">
        <v>342</v>
      </c>
      <c r="I271" s="37" t="s">
        <v>247</v>
      </c>
      <c r="J271" s="37" t="s">
        <v>60</v>
      </c>
      <c r="K271" s="37" t="s">
        <v>50</v>
      </c>
      <c r="L271" s="37">
        <v>847001</v>
      </c>
      <c r="M271" s="37" t="s">
        <v>61</v>
      </c>
      <c r="N271" s="37">
        <v>200179</v>
      </c>
      <c r="O271" s="37" t="str">
        <f t="shared" si="7"/>
        <v>847.8471280.1.425510.000000.847001.200179</v>
      </c>
      <c r="P271" s="37" t="s">
        <v>344</v>
      </c>
      <c r="Q271" s="37" t="s">
        <v>256</v>
      </c>
      <c r="R271" s="37">
        <v>30</v>
      </c>
      <c r="S271" s="21">
        <v>1950</v>
      </c>
      <c r="T271" s="37" t="s">
        <v>1630</v>
      </c>
      <c r="U271" s="37">
        <v>58500</v>
      </c>
      <c r="V271" s="37" t="s">
        <v>55</v>
      </c>
      <c r="W271" s="21" t="s">
        <v>56</v>
      </c>
      <c r="X271" s="24" t="s">
        <v>264</v>
      </c>
    </row>
    <row r="272" spans="1:24" s="39" customFormat="1" ht="16" customHeight="1" x14ac:dyDescent="0.35">
      <c r="A272" s="37" t="s">
        <v>245</v>
      </c>
      <c r="B272" s="37" t="s">
        <v>58</v>
      </c>
      <c r="C272" s="37" t="s">
        <v>1350</v>
      </c>
      <c r="D272" s="78">
        <v>847</v>
      </c>
      <c r="E272" s="37">
        <v>8471280</v>
      </c>
      <c r="F272" s="37" t="s">
        <v>1520</v>
      </c>
      <c r="G272" s="79">
        <v>1</v>
      </c>
      <c r="H272" s="37" t="s">
        <v>1751</v>
      </c>
      <c r="I272" s="37" t="s">
        <v>253</v>
      </c>
      <c r="J272" s="37" t="s">
        <v>60</v>
      </c>
      <c r="K272" s="37" t="s">
        <v>50</v>
      </c>
      <c r="L272" s="37">
        <v>847001</v>
      </c>
      <c r="M272" s="37" t="s">
        <v>61</v>
      </c>
      <c r="N272" s="37">
        <v>200179</v>
      </c>
      <c r="O272" s="37" t="str">
        <f t="shared" si="7"/>
        <v>847.8471280.1.425550.000000.847001.200179</v>
      </c>
      <c r="P272" s="37" t="s">
        <v>255</v>
      </c>
      <c r="Q272" s="37" t="s">
        <v>256</v>
      </c>
      <c r="R272" s="37">
        <v>4</v>
      </c>
      <c r="S272" s="21">
        <v>29250</v>
      </c>
      <c r="T272" s="37" t="s">
        <v>1525</v>
      </c>
      <c r="U272" s="37">
        <v>117000</v>
      </c>
      <c r="V272" s="37" t="s">
        <v>55</v>
      </c>
      <c r="W272" s="21" t="s">
        <v>56</v>
      </c>
      <c r="X272" s="24" t="s">
        <v>237</v>
      </c>
    </row>
    <row r="273" spans="1:24" s="39" customFormat="1" ht="16" customHeight="1" x14ac:dyDescent="0.35">
      <c r="A273" s="37">
        <v>0</v>
      </c>
      <c r="B273" s="37" t="s">
        <v>58</v>
      </c>
      <c r="C273" s="37" t="s">
        <v>1350</v>
      </c>
      <c r="D273" s="78">
        <v>847</v>
      </c>
      <c r="E273" s="37">
        <v>8471280</v>
      </c>
      <c r="F273" s="37" t="s">
        <v>1520</v>
      </c>
      <c r="G273" s="79">
        <v>1</v>
      </c>
      <c r="H273" s="37" t="s">
        <v>1765</v>
      </c>
      <c r="I273" s="37" t="s">
        <v>1526</v>
      </c>
      <c r="J273" s="37" t="s">
        <v>60</v>
      </c>
      <c r="K273" s="37" t="s">
        <v>50</v>
      </c>
      <c r="L273" s="37">
        <v>847001</v>
      </c>
      <c r="M273" s="37" t="s">
        <v>61</v>
      </c>
      <c r="N273" s="37">
        <v>200179</v>
      </c>
      <c r="O273" s="37" t="str">
        <f t="shared" si="7"/>
        <v>847.8471280.1.425710.000000.847001.200179</v>
      </c>
      <c r="P273" s="21" t="s">
        <v>1527</v>
      </c>
      <c r="Q273" s="37" t="s">
        <v>1109</v>
      </c>
      <c r="R273" s="37">
        <v>2</v>
      </c>
      <c r="S273" s="21">
        <v>292500</v>
      </c>
      <c r="T273" s="37" t="s">
        <v>1528</v>
      </c>
      <c r="U273" s="37">
        <v>585000</v>
      </c>
      <c r="V273" s="37" t="s">
        <v>55</v>
      </c>
      <c r="W273" s="21" t="s">
        <v>56</v>
      </c>
      <c r="X273" s="24" t="s">
        <v>636</v>
      </c>
    </row>
    <row r="274" spans="1:24" s="39" customFormat="1" ht="16" customHeight="1" x14ac:dyDescent="0.35">
      <c r="A274" s="37" t="s">
        <v>258</v>
      </c>
      <c r="B274" s="37" t="s">
        <v>350</v>
      </c>
      <c r="C274" s="37" t="s">
        <v>1350</v>
      </c>
      <c r="D274" s="78">
        <v>847</v>
      </c>
      <c r="E274" s="37">
        <v>8471280</v>
      </c>
      <c r="F274" s="37" t="s">
        <v>1520</v>
      </c>
      <c r="G274" s="79">
        <v>1</v>
      </c>
      <c r="H274" s="37" t="s">
        <v>351</v>
      </c>
      <c r="I274" s="37" t="s">
        <v>352</v>
      </c>
      <c r="J274" s="37" t="s">
        <v>60</v>
      </c>
      <c r="K274" s="37" t="s">
        <v>50</v>
      </c>
      <c r="L274" s="37">
        <v>847001</v>
      </c>
      <c r="M274" s="37" t="s">
        <v>61</v>
      </c>
      <c r="N274" s="37">
        <v>200179</v>
      </c>
      <c r="O274" s="37" t="str">
        <f t="shared" si="7"/>
        <v>847.8471280.1.425760.000000.847001.200179</v>
      </c>
      <c r="P274" s="37" t="s">
        <v>440</v>
      </c>
      <c r="Q274" s="37" t="s">
        <v>441</v>
      </c>
      <c r="R274" s="37">
        <v>2</v>
      </c>
      <c r="S274" s="21">
        <v>29250</v>
      </c>
      <c r="T274" s="37" t="s">
        <v>1529</v>
      </c>
      <c r="U274" s="37">
        <v>58500</v>
      </c>
      <c r="V274" s="37" t="s">
        <v>55</v>
      </c>
      <c r="W274" s="21" t="s">
        <v>56</v>
      </c>
      <c r="X274" s="24" t="s">
        <v>414</v>
      </c>
    </row>
    <row r="275" spans="1:24" s="39" customFormat="1" ht="16" customHeight="1" x14ac:dyDescent="0.35">
      <c r="A275" s="37" t="s">
        <v>222</v>
      </c>
      <c r="B275" s="37" t="s">
        <v>58</v>
      </c>
      <c r="C275" s="37" t="s">
        <v>1350</v>
      </c>
      <c r="D275" s="78">
        <v>847</v>
      </c>
      <c r="E275" s="37">
        <v>8471280</v>
      </c>
      <c r="F275" s="37" t="s">
        <v>1520</v>
      </c>
      <c r="G275" s="79">
        <v>1</v>
      </c>
      <c r="H275" s="37" t="s">
        <v>366</v>
      </c>
      <c r="I275" s="37" t="s">
        <v>367</v>
      </c>
      <c r="J275" s="37" t="s">
        <v>60</v>
      </c>
      <c r="K275" s="37" t="s">
        <v>50</v>
      </c>
      <c r="L275" s="37">
        <v>847001</v>
      </c>
      <c r="M275" s="37" t="s">
        <v>61</v>
      </c>
      <c r="N275" s="37">
        <v>200179</v>
      </c>
      <c r="O275" s="37" t="str">
        <f t="shared" si="7"/>
        <v>847.8471280.1.425770.000000.847001.200179</v>
      </c>
      <c r="P275" s="37" t="s">
        <v>369</v>
      </c>
      <c r="Q275" s="37" t="s">
        <v>157</v>
      </c>
      <c r="R275" s="37">
        <v>6</v>
      </c>
      <c r="S275" s="21">
        <v>65000</v>
      </c>
      <c r="T275" s="37" t="s">
        <v>1530</v>
      </c>
      <c r="U275" s="37">
        <v>390000</v>
      </c>
      <c r="V275" s="37" t="s">
        <v>55</v>
      </c>
      <c r="W275" s="21" t="s">
        <v>56</v>
      </c>
      <c r="X275" s="24" t="s">
        <v>618</v>
      </c>
    </row>
    <row r="276" spans="1:24" s="39" customFormat="1" ht="16" customHeight="1" x14ac:dyDescent="0.35">
      <c r="A276" s="37" t="s">
        <v>63</v>
      </c>
      <c r="B276" s="37" t="s">
        <v>64</v>
      </c>
      <c r="C276" s="37" t="s">
        <v>1350</v>
      </c>
      <c r="D276" s="78">
        <v>847</v>
      </c>
      <c r="E276" s="37">
        <v>8471280</v>
      </c>
      <c r="F276" s="37" t="s">
        <v>1520</v>
      </c>
      <c r="G276" s="79">
        <v>1</v>
      </c>
      <c r="H276" s="37" t="s">
        <v>380</v>
      </c>
      <c r="I276" s="37" t="s">
        <v>74</v>
      </c>
      <c r="J276" s="37" t="s">
        <v>60</v>
      </c>
      <c r="K276" s="37" t="s">
        <v>50</v>
      </c>
      <c r="L276" s="37">
        <v>847001</v>
      </c>
      <c r="M276" s="37" t="s">
        <v>61</v>
      </c>
      <c r="N276" s="37">
        <v>200179</v>
      </c>
      <c r="O276" s="37" t="str">
        <f t="shared" si="7"/>
        <v>847.8471280.1.426610.000000.847001.200179</v>
      </c>
      <c r="P276" s="37" t="s">
        <v>274</v>
      </c>
      <c r="Q276" s="37" t="s">
        <v>157</v>
      </c>
      <c r="R276" s="37">
        <v>25</v>
      </c>
      <c r="S276" s="21">
        <v>114112</v>
      </c>
      <c r="T276" s="37" t="s">
        <v>1531</v>
      </c>
      <c r="U276" s="37">
        <v>2852800</v>
      </c>
      <c r="V276" s="37" t="s">
        <v>55</v>
      </c>
      <c r="W276" s="21" t="s">
        <v>56</v>
      </c>
      <c r="X276" s="24" t="s">
        <v>70</v>
      </c>
    </row>
    <row r="277" spans="1:24" s="39" customFormat="1" ht="16" customHeight="1" x14ac:dyDescent="0.35">
      <c r="A277" s="37" t="s">
        <v>245</v>
      </c>
      <c r="B277" s="37" t="s">
        <v>246</v>
      </c>
      <c r="C277" s="37" t="s">
        <v>1350</v>
      </c>
      <c r="D277" s="78">
        <v>847</v>
      </c>
      <c r="E277" s="37">
        <v>8471280</v>
      </c>
      <c r="F277" s="37" t="s">
        <v>1520</v>
      </c>
      <c r="G277" s="79">
        <v>1</v>
      </c>
      <c r="H277" s="37" t="s">
        <v>643</v>
      </c>
      <c r="I277" s="37" t="s">
        <v>279</v>
      </c>
      <c r="J277" s="37" t="s">
        <v>60</v>
      </c>
      <c r="K277" s="37" t="s">
        <v>50</v>
      </c>
      <c r="L277" s="37">
        <v>847001</v>
      </c>
      <c r="M277" s="37" t="s">
        <v>61</v>
      </c>
      <c r="N277" s="37">
        <v>200179</v>
      </c>
      <c r="O277" s="37" t="str">
        <f t="shared" si="7"/>
        <v>847.8471280.1.428640.000000.847001.200179</v>
      </c>
      <c r="P277" s="37" t="s">
        <v>645</v>
      </c>
      <c r="Q277" s="37" t="s">
        <v>269</v>
      </c>
      <c r="R277" s="37">
        <v>5</v>
      </c>
      <c r="S277" s="21">
        <v>6000</v>
      </c>
      <c r="T277" s="37" t="s">
        <v>1534</v>
      </c>
      <c r="U277" s="37">
        <v>30000</v>
      </c>
      <c r="V277" s="37" t="s">
        <v>55</v>
      </c>
      <c r="W277" s="21" t="s">
        <v>56</v>
      </c>
      <c r="X277" s="24" t="s">
        <v>379</v>
      </c>
    </row>
    <row r="278" spans="1:24" s="39" customFormat="1" ht="16" customHeight="1" x14ac:dyDescent="0.35">
      <c r="A278" s="37" t="s">
        <v>1535</v>
      </c>
      <c r="B278" s="37" t="s">
        <v>58</v>
      </c>
      <c r="C278" s="37" t="s">
        <v>1350</v>
      </c>
      <c r="D278" s="78">
        <v>847</v>
      </c>
      <c r="E278" s="37">
        <v>8471280</v>
      </c>
      <c r="F278" s="37" t="s">
        <v>1520</v>
      </c>
      <c r="G278" s="79">
        <v>1</v>
      </c>
      <c r="H278" s="37" t="s">
        <v>1766</v>
      </c>
      <c r="I278" s="37" t="s">
        <v>1536</v>
      </c>
      <c r="J278" s="37" t="s">
        <v>60</v>
      </c>
      <c r="K278" s="37" t="s">
        <v>50</v>
      </c>
      <c r="L278" s="37">
        <v>847001</v>
      </c>
      <c r="M278" s="37" t="s">
        <v>61</v>
      </c>
      <c r="N278" s="37">
        <v>200179</v>
      </c>
      <c r="O278" s="37" t="str">
        <f t="shared" si="7"/>
        <v>847.8471280.1.432170.000000.847001.200179</v>
      </c>
      <c r="P278" s="37" t="s">
        <v>1537</v>
      </c>
      <c r="Q278" s="37" t="s">
        <v>157</v>
      </c>
      <c r="R278" s="37">
        <v>2</v>
      </c>
      <c r="S278" s="21">
        <v>195000</v>
      </c>
      <c r="T278" s="37" t="s">
        <v>1631</v>
      </c>
      <c r="U278" s="37">
        <v>390000</v>
      </c>
      <c r="V278" s="37" t="s">
        <v>55</v>
      </c>
      <c r="W278" s="21" t="s">
        <v>56</v>
      </c>
      <c r="X278" s="24" t="s">
        <v>70</v>
      </c>
    </row>
    <row r="279" spans="1:24" s="39" customFormat="1" ht="16" customHeight="1" x14ac:dyDescent="0.35">
      <c r="A279" s="37" t="s">
        <v>222</v>
      </c>
      <c r="B279" s="37" t="s">
        <v>58</v>
      </c>
      <c r="C279" s="37" t="s">
        <v>1350</v>
      </c>
      <c r="D279" s="78">
        <v>847</v>
      </c>
      <c r="E279" s="37">
        <v>8471280</v>
      </c>
      <c r="F279" s="37" t="s">
        <v>1520</v>
      </c>
      <c r="G279" s="79">
        <v>1</v>
      </c>
      <c r="H279" s="37" t="s">
        <v>654</v>
      </c>
      <c r="I279" s="37" t="s">
        <v>655</v>
      </c>
      <c r="J279" s="37" t="s">
        <v>60</v>
      </c>
      <c r="K279" s="37" t="s">
        <v>50</v>
      </c>
      <c r="L279" s="37">
        <v>847001</v>
      </c>
      <c r="M279" s="37" t="s">
        <v>61</v>
      </c>
      <c r="N279" s="37">
        <v>200179</v>
      </c>
      <c r="O279" s="37" t="str">
        <f t="shared" si="7"/>
        <v>847.8471280.1.435340.000000.847001.200179</v>
      </c>
      <c r="P279" s="37" t="s">
        <v>1539</v>
      </c>
      <c r="Q279" s="37" t="s">
        <v>1117</v>
      </c>
      <c r="R279" s="37">
        <v>50</v>
      </c>
      <c r="S279" s="21">
        <v>390</v>
      </c>
      <c r="T279" s="37" t="s">
        <v>1540</v>
      </c>
      <c r="U279" s="37">
        <v>19500</v>
      </c>
      <c r="V279" s="37" t="s">
        <v>55</v>
      </c>
      <c r="W279" s="21" t="s">
        <v>56</v>
      </c>
      <c r="X279" s="24" t="s">
        <v>348</v>
      </c>
    </row>
    <row r="280" spans="1:24" s="39" customFormat="1" ht="16" customHeight="1" x14ac:dyDescent="0.35">
      <c r="A280" s="37" t="s">
        <v>222</v>
      </c>
      <c r="B280" s="37" t="s">
        <v>58</v>
      </c>
      <c r="C280" s="37" t="s">
        <v>1350</v>
      </c>
      <c r="D280" s="78">
        <v>847</v>
      </c>
      <c r="E280" s="37">
        <v>8471280</v>
      </c>
      <c r="F280" s="37" t="s">
        <v>1520</v>
      </c>
      <c r="G280" s="79">
        <v>1</v>
      </c>
      <c r="H280" s="37" t="s">
        <v>1754</v>
      </c>
      <c r="I280" s="37" t="s">
        <v>1127</v>
      </c>
      <c r="J280" s="37" t="s">
        <v>60</v>
      </c>
      <c r="K280" s="37" t="s">
        <v>50</v>
      </c>
      <c r="L280" s="37">
        <v>847001</v>
      </c>
      <c r="M280" s="37" t="s">
        <v>61</v>
      </c>
      <c r="N280" s="37">
        <v>200179</v>
      </c>
      <c r="O280" s="37" t="str">
        <f t="shared" si="7"/>
        <v>847.8471280.1.435530.000000.847001.200179</v>
      </c>
      <c r="P280" s="37" t="s">
        <v>1541</v>
      </c>
      <c r="Q280" s="37" t="s">
        <v>157</v>
      </c>
      <c r="R280" s="37">
        <v>50</v>
      </c>
      <c r="S280" s="21">
        <v>200</v>
      </c>
      <c r="T280" s="37" t="s">
        <v>1542</v>
      </c>
      <c r="U280" s="37">
        <v>10000</v>
      </c>
      <c r="V280" s="37" t="s">
        <v>55</v>
      </c>
      <c r="W280" s="21" t="s">
        <v>56</v>
      </c>
      <c r="X280" s="24" t="s">
        <v>816</v>
      </c>
    </row>
    <row r="281" spans="1:24" s="39" customFormat="1" ht="16" customHeight="1" x14ac:dyDescent="0.35">
      <c r="A281" s="37" t="s">
        <v>161</v>
      </c>
      <c r="B281" s="37" t="s">
        <v>220</v>
      </c>
      <c r="C281" s="37" t="s">
        <v>1350</v>
      </c>
      <c r="D281" s="78">
        <v>847</v>
      </c>
      <c r="E281" s="37">
        <v>8471280</v>
      </c>
      <c r="F281" s="37" t="s">
        <v>1520</v>
      </c>
      <c r="G281" s="79">
        <v>1</v>
      </c>
      <c r="H281" s="37" t="s">
        <v>420</v>
      </c>
      <c r="I281" s="37" t="s">
        <v>221</v>
      </c>
      <c r="J281" s="37" t="s">
        <v>60</v>
      </c>
      <c r="K281" s="37" t="s">
        <v>50</v>
      </c>
      <c r="L281" s="37">
        <v>847001</v>
      </c>
      <c r="M281" s="37" t="s">
        <v>192</v>
      </c>
      <c r="N281" s="37">
        <v>300180</v>
      </c>
      <c r="O281" s="37" t="str">
        <f t="shared" si="7"/>
        <v>847.8471280.1.492316.000000.847001.300180</v>
      </c>
      <c r="P281" s="37" t="s">
        <v>969</v>
      </c>
      <c r="Q281" s="37" t="s">
        <v>157</v>
      </c>
      <c r="R281" s="37">
        <v>5</v>
      </c>
      <c r="S281" s="21">
        <v>2800</v>
      </c>
      <c r="T281" s="37" t="s">
        <v>1543</v>
      </c>
      <c r="U281" s="37">
        <v>14000</v>
      </c>
      <c r="V281" s="37"/>
      <c r="W281" s="21" t="s">
        <v>56</v>
      </c>
      <c r="X281" s="24" t="s">
        <v>70</v>
      </c>
    </row>
    <row r="282" spans="1:24" s="39" customFormat="1" ht="16" customHeight="1" x14ac:dyDescent="0.35">
      <c r="A282" s="37" t="s">
        <v>153</v>
      </c>
      <c r="B282" s="37" t="s">
        <v>58</v>
      </c>
      <c r="C282" s="37" t="s">
        <v>1350</v>
      </c>
      <c r="D282" s="78">
        <v>847</v>
      </c>
      <c r="E282" s="37">
        <v>8471280</v>
      </c>
      <c r="F282" s="37" t="s">
        <v>1520</v>
      </c>
      <c r="G282" s="79">
        <v>1</v>
      </c>
      <c r="H282" s="37" t="s">
        <v>385</v>
      </c>
      <c r="I282" s="37" t="s">
        <v>154</v>
      </c>
      <c r="J282" s="37" t="s">
        <v>60</v>
      </c>
      <c r="K282" s="37" t="s">
        <v>50</v>
      </c>
      <c r="L282" s="37">
        <v>847001</v>
      </c>
      <c r="M282" s="37" t="s">
        <v>61</v>
      </c>
      <c r="N282" s="37">
        <v>200179</v>
      </c>
      <c r="O282" s="37" t="str">
        <f t="shared" si="7"/>
        <v>847.8471280.1.428090.000000.847001.200179</v>
      </c>
      <c r="P282" s="37" t="s">
        <v>156</v>
      </c>
      <c r="Q282" s="37" t="s">
        <v>157</v>
      </c>
      <c r="R282" s="37">
        <v>3</v>
      </c>
      <c r="S282" s="21">
        <v>1400</v>
      </c>
      <c r="T282" s="37" t="s">
        <v>1544</v>
      </c>
      <c r="U282" s="37">
        <v>4200</v>
      </c>
      <c r="V282" s="37" t="s">
        <v>55</v>
      </c>
      <c r="W282" s="21" t="s">
        <v>56</v>
      </c>
      <c r="X282" s="24" t="s">
        <v>230</v>
      </c>
    </row>
    <row r="283" spans="1:24" s="39" customFormat="1" ht="16" customHeight="1" x14ac:dyDescent="0.35">
      <c r="A283" s="37" t="s">
        <v>245</v>
      </c>
      <c r="B283" s="37" t="s">
        <v>246</v>
      </c>
      <c r="C283" s="37" t="s">
        <v>1350</v>
      </c>
      <c r="D283" s="78">
        <v>847</v>
      </c>
      <c r="E283" s="37">
        <v>8471250</v>
      </c>
      <c r="F283" s="37" t="s">
        <v>1545</v>
      </c>
      <c r="G283" s="79">
        <v>1</v>
      </c>
      <c r="H283" s="37" t="s">
        <v>342</v>
      </c>
      <c r="I283" s="37" t="s">
        <v>247</v>
      </c>
      <c r="J283" s="37" t="s">
        <v>60</v>
      </c>
      <c r="K283" s="37" t="s">
        <v>50</v>
      </c>
      <c r="L283" s="37">
        <v>847001</v>
      </c>
      <c r="M283" s="37" t="s">
        <v>61</v>
      </c>
      <c r="N283" s="37">
        <v>200179</v>
      </c>
      <c r="O283" s="37" t="str">
        <f t="shared" si="7"/>
        <v>847.8471250.1.425510.000000.847001.200179</v>
      </c>
      <c r="P283" s="37" t="s">
        <v>565</v>
      </c>
      <c r="Q283" s="37" t="s">
        <v>62</v>
      </c>
      <c r="R283" s="37">
        <v>5</v>
      </c>
      <c r="S283" s="21">
        <v>200000</v>
      </c>
      <c r="T283" s="37" t="s">
        <v>1546</v>
      </c>
      <c r="U283" s="37">
        <v>1000000</v>
      </c>
      <c r="V283" s="37" t="s">
        <v>210</v>
      </c>
      <c r="W283" s="21" t="s">
        <v>56</v>
      </c>
      <c r="X283" s="24" t="s">
        <v>1367</v>
      </c>
    </row>
    <row r="284" spans="1:24" s="39" customFormat="1" ht="16" customHeight="1" x14ac:dyDescent="0.35">
      <c r="A284" s="37" t="s">
        <v>258</v>
      </c>
      <c r="B284" s="37" t="s">
        <v>58</v>
      </c>
      <c r="C284" s="37" t="s">
        <v>1350</v>
      </c>
      <c r="D284" s="78">
        <v>847</v>
      </c>
      <c r="E284" s="37">
        <v>8471250</v>
      </c>
      <c r="F284" s="37" t="s">
        <v>1545</v>
      </c>
      <c r="G284" s="79">
        <v>1</v>
      </c>
      <c r="H284" s="37" t="s">
        <v>619</v>
      </c>
      <c r="I284" s="37" t="s">
        <v>620</v>
      </c>
      <c r="J284" s="37" t="s">
        <v>60</v>
      </c>
      <c r="K284" s="37" t="s">
        <v>50</v>
      </c>
      <c r="L284" s="37">
        <v>847001</v>
      </c>
      <c r="M284" s="37" t="s">
        <v>61</v>
      </c>
      <c r="N284" s="37">
        <v>200179</v>
      </c>
      <c r="O284" s="37" t="str">
        <f t="shared" si="7"/>
        <v>847.8471250.1.425720.000000.847001.200179</v>
      </c>
      <c r="P284" s="37" t="s">
        <v>622</v>
      </c>
      <c r="Q284" s="37" t="s">
        <v>62</v>
      </c>
      <c r="R284" s="37">
        <v>2</v>
      </c>
      <c r="S284" s="21">
        <v>280000</v>
      </c>
      <c r="T284" s="37" t="s">
        <v>1550</v>
      </c>
      <c r="U284" s="37">
        <v>560000</v>
      </c>
      <c r="V284" s="37" t="s">
        <v>210</v>
      </c>
      <c r="W284" s="21" t="s">
        <v>56</v>
      </c>
      <c r="X284" s="24" t="s">
        <v>1367</v>
      </c>
    </row>
    <row r="285" spans="1:24" s="39" customFormat="1" ht="16" customHeight="1" x14ac:dyDescent="0.35">
      <c r="A285" s="37" t="s">
        <v>258</v>
      </c>
      <c r="B285" s="37" t="s">
        <v>58</v>
      </c>
      <c r="C285" s="37" t="s">
        <v>1350</v>
      </c>
      <c r="D285" s="78">
        <v>847</v>
      </c>
      <c r="E285" s="37">
        <v>8471250</v>
      </c>
      <c r="F285" s="37" t="s">
        <v>1545</v>
      </c>
      <c r="G285" s="79">
        <v>1</v>
      </c>
      <c r="H285" s="37" t="s">
        <v>572</v>
      </c>
      <c r="I285" s="37" t="s">
        <v>573</v>
      </c>
      <c r="J285" s="37" t="s">
        <v>60</v>
      </c>
      <c r="K285" s="37" t="s">
        <v>50</v>
      </c>
      <c r="L285" s="37">
        <v>847001</v>
      </c>
      <c r="M285" s="37" t="s">
        <v>61</v>
      </c>
      <c r="N285" s="37">
        <v>200179</v>
      </c>
      <c r="O285" s="37" t="str">
        <f t="shared" si="7"/>
        <v>847.8471250.1.425762.000000.847001.200179</v>
      </c>
      <c r="P285" s="37" t="s">
        <v>1062</v>
      </c>
      <c r="Q285" s="37" t="s">
        <v>62</v>
      </c>
      <c r="R285" s="37">
        <v>80</v>
      </c>
      <c r="S285" s="21">
        <v>26800</v>
      </c>
      <c r="T285" s="37" t="s">
        <v>1553</v>
      </c>
      <c r="U285" s="37">
        <v>2144000</v>
      </c>
      <c r="V285" s="37" t="s">
        <v>210</v>
      </c>
      <c r="W285" s="21" t="s">
        <v>56</v>
      </c>
      <c r="X285" s="24" t="s">
        <v>577</v>
      </c>
    </row>
    <row r="286" spans="1:24" s="39" customFormat="1" ht="16" customHeight="1" x14ac:dyDescent="0.35">
      <c r="A286" s="37" t="s">
        <v>189</v>
      </c>
      <c r="B286" s="37" t="s">
        <v>265</v>
      </c>
      <c r="C286" s="37" t="s">
        <v>1350</v>
      </c>
      <c r="D286" s="78">
        <v>847</v>
      </c>
      <c r="E286" s="37">
        <v>8471250</v>
      </c>
      <c r="F286" s="37" t="s">
        <v>1545</v>
      </c>
      <c r="G286" s="79">
        <v>1</v>
      </c>
      <c r="H286" s="37" t="s">
        <v>375</v>
      </c>
      <c r="I286" s="37" t="s">
        <v>266</v>
      </c>
      <c r="J286" s="37" t="s">
        <v>60</v>
      </c>
      <c r="K286" s="37" t="s">
        <v>50</v>
      </c>
      <c r="L286" s="37">
        <v>847001</v>
      </c>
      <c r="M286" s="37" t="s">
        <v>61</v>
      </c>
      <c r="N286" s="37">
        <v>200179</v>
      </c>
      <c r="O286" s="37" t="str">
        <f t="shared" si="7"/>
        <v>847.8471250.1.425900.000000.847001.200179</v>
      </c>
      <c r="P286" s="37" t="s">
        <v>268</v>
      </c>
      <c r="Q286" s="37" t="s">
        <v>62</v>
      </c>
      <c r="R286" s="37">
        <v>5</v>
      </c>
      <c r="S286" s="21">
        <v>15000</v>
      </c>
      <c r="T286" s="37" t="s">
        <v>1556</v>
      </c>
      <c r="U286" s="37">
        <v>75000</v>
      </c>
      <c r="V286" s="37" t="s">
        <v>55</v>
      </c>
      <c r="W286" s="21" t="s">
        <v>56</v>
      </c>
      <c r="X286" s="24"/>
    </row>
    <row r="287" spans="1:24" s="39" customFormat="1" ht="16" customHeight="1" x14ac:dyDescent="0.35">
      <c r="A287" s="37" t="s">
        <v>63</v>
      </c>
      <c r="B287" s="37" t="s">
        <v>64</v>
      </c>
      <c r="C287" s="37" t="s">
        <v>1350</v>
      </c>
      <c r="D287" s="78">
        <v>847</v>
      </c>
      <c r="E287" s="37">
        <v>8471250</v>
      </c>
      <c r="F287" s="37" t="s">
        <v>1545</v>
      </c>
      <c r="G287" s="79">
        <v>1</v>
      </c>
      <c r="H287" s="37" t="s">
        <v>380</v>
      </c>
      <c r="I287" s="37" t="s">
        <v>74</v>
      </c>
      <c r="J287" s="37" t="s">
        <v>60</v>
      </c>
      <c r="K287" s="37" t="s">
        <v>50</v>
      </c>
      <c r="L287" s="37">
        <v>847001</v>
      </c>
      <c r="M287" s="37" t="s">
        <v>61</v>
      </c>
      <c r="N287" s="37">
        <v>200179</v>
      </c>
      <c r="O287" s="37" t="str">
        <f t="shared" si="7"/>
        <v>847.8471250.1.426610.000000.847001.200179</v>
      </c>
      <c r="P287" s="37" t="s">
        <v>274</v>
      </c>
      <c r="Q287" s="37" t="s">
        <v>62</v>
      </c>
      <c r="R287" s="37">
        <v>3</v>
      </c>
      <c r="S287" s="21">
        <v>373152</v>
      </c>
      <c r="T287" s="37" t="s">
        <v>1559</v>
      </c>
      <c r="U287" s="37">
        <v>1119456</v>
      </c>
      <c r="V287" s="37" t="s">
        <v>55</v>
      </c>
      <c r="W287" s="21" t="s">
        <v>56</v>
      </c>
      <c r="X287" s="24"/>
    </row>
    <row r="288" spans="1:24" s="39" customFormat="1" ht="16" customHeight="1" x14ac:dyDescent="0.35">
      <c r="A288" s="37" t="s">
        <v>153</v>
      </c>
      <c r="B288" s="37" t="s">
        <v>58</v>
      </c>
      <c r="C288" s="37" t="s">
        <v>1350</v>
      </c>
      <c r="D288" s="78">
        <v>847</v>
      </c>
      <c r="E288" s="37">
        <v>8471250</v>
      </c>
      <c r="F288" s="37" t="s">
        <v>1545</v>
      </c>
      <c r="G288" s="79">
        <v>1</v>
      </c>
      <c r="H288" s="37" t="s">
        <v>385</v>
      </c>
      <c r="I288" s="37" t="s">
        <v>154</v>
      </c>
      <c r="J288" s="37" t="s">
        <v>60</v>
      </c>
      <c r="K288" s="37" t="s">
        <v>50</v>
      </c>
      <c r="L288" s="37">
        <v>847001</v>
      </c>
      <c r="M288" s="37" t="s">
        <v>61</v>
      </c>
      <c r="N288" s="37">
        <v>200179</v>
      </c>
      <c r="O288" s="37" t="str">
        <f t="shared" si="7"/>
        <v>847.8471250.1.428090.000000.847001.200179</v>
      </c>
      <c r="P288" s="37" t="s">
        <v>156</v>
      </c>
      <c r="Q288" s="37" t="s">
        <v>62</v>
      </c>
      <c r="R288" s="37"/>
      <c r="S288" s="21"/>
      <c r="T288" s="37"/>
      <c r="U288" s="37">
        <v>0</v>
      </c>
      <c r="V288" s="37" t="s">
        <v>55</v>
      </c>
      <c r="W288" s="21" t="s">
        <v>56</v>
      </c>
      <c r="X288" s="24"/>
    </row>
    <row r="289" spans="1:24" s="39" customFormat="1" ht="16" customHeight="1" x14ac:dyDescent="0.35">
      <c r="A289" s="37" t="s">
        <v>245</v>
      </c>
      <c r="B289" s="37" t="s">
        <v>246</v>
      </c>
      <c r="C289" s="37" t="s">
        <v>1350</v>
      </c>
      <c r="D289" s="78">
        <v>847</v>
      </c>
      <c r="E289" s="37">
        <v>8471250</v>
      </c>
      <c r="F289" s="37" t="s">
        <v>1545</v>
      </c>
      <c r="G289" s="79">
        <v>1</v>
      </c>
      <c r="H289" s="37" t="s">
        <v>643</v>
      </c>
      <c r="I289" s="37" t="s">
        <v>279</v>
      </c>
      <c r="J289" s="37" t="s">
        <v>60</v>
      </c>
      <c r="K289" s="37" t="s">
        <v>50</v>
      </c>
      <c r="L289" s="37">
        <v>847001</v>
      </c>
      <c r="M289" s="37" t="s">
        <v>61</v>
      </c>
      <c r="N289" s="37">
        <v>200179</v>
      </c>
      <c r="O289" s="37" t="str">
        <f t="shared" si="7"/>
        <v>847.8471250.1.428640.000000.847001.200179</v>
      </c>
      <c r="P289" s="37" t="s">
        <v>1452</v>
      </c>
      <c r="Q289" s="37" t="s">
        <v>62</v>
      </c>
      <c r="R289" s="37">
        <v>200</v>
      </c>
      <c r="S289" s="21">
        <v>400</v>
      </c>
      <c r="T289" s="37" t="s">
        <v>1562</v>
      </c>
      <c r="U289" s="37">
        <v>80000</v>
      </c>
      <c r="V289" s="37" t="s">
        <v>55</v>
      </c>
      <c r="W289" s="21" t="s">
        <v>56</v>
      </c>
      <c r="X289" s="24"/>
    </row>
    <row r="290" spans="1:24" s="39" customFormat="1" ht="16" customHeight="1" x14ac:dyDescent="0.35">
      <c r="A290" s="37" t="s">
        <v>189</v>
      </c>
      <c r="B290" s="37" t="s">
        <v>58</v>
      </c>
      <c r="C290" s="37" t="s">
        <v>1350</v>
      </c>
      <c r="D290" s="78">
        <v>847</v>
      </c>
      <c r="E290" s="37">
        <v>8471250</v>
      </c>
      <c r="F290" s="37" t="s">
        <v>1545</v>
      </c>
      <c r="G290" s="79">
        <v>1</v>
      </c>
      <c r="H290" s="37" t="s">
        <v>409</v>
      </c>
      <c r="I290" s="37" t="s">
        <v>190</v>
      </c>
      <c r="J290" s="37" t="s">
        <v>60</v>
      </c>
      <c r="K290" s="37" t="s">
        <v>50</v>
      </c>
      <c r="L290" s="37">
        <v>847001</v>
      </c>
      <c r="M290" s="37" t="s">
        <v>61</v>
      </c>
      <c r="N290" s="37">
        <v>200179</v>
      </c>
      <c r="O290" s="37" t="str">
        <f t="shared" si="7"/>
        <v>847.8471250.1.436110.000000.847001.200179</v>
      </c>
      <c r="P290" s="37" t="s">
        <v>488</v>
      </c>
      <c r="Q290" s="37" t="s">
        <v>62</v>
      </c>
      <c r="R290" s="37">
        <v>5</v>
      </c>
      <c r="S290" s="21">
        <v>2000</v>
      </c>
      <c r="T290" s="37" t="s">
        <v>1567</v>
      </c>
      <c r="U290" s="37">
        <v>10000</v>
      </c>
      <c r="V290" s="37" t="s">
        <v>55</v>
      </c>
      <c r="W290" s="21" t="s">
        <v>56</v>
      </c>
      <c r="X290" s="24"/>
    </row>
    <row r="291" spans="1:24" s="39" customFormat="1" ht="16" customHeight="1" x14ac:dyDescent="0.35">
      <c r="A291" s="37" t="s">
        <v>245</v>
      </c>
      <c r="B291" s="37" t="s">
        <v>246</v>
      </c>
      <c r="C291" s="37" t="s">
        <v>1569</v>
      </c>
      <c r="D291" s="78">
        <v>847</v>
      </c>
      <c r="E291" s="37">
        <v>8471010</v>
      </c>
      <c r="F291" s="37" t="s">
        <v>1570</v>
      </c>
      <c r="G291" s="79">
        <v>1</v>
      </c>
      <c r="H291" s="37" t="s">
        <v>1764</v>
      </c>
      <c r="I291" s="37" t="s">
        <v>1521</v>
      </c>
      <c r="J291" s="37" t="s">
        <v>60</v>
      </c>
      <c r="K291" s="37" t="s">
        <v>50</v>
      </c>
      <c r="L291" s="37">
        <v>847001</v>
      </c>
      <c r="M291" s="37" t="s">
        <v>61</v>
      </c>
      <c r="N291" s="37">
        <v>200179</v>
      </c>
      <c r="O291" s="37" t="str">
        <f t="shared" si="7"/>
        <v>847.8471010.1.425100.000000.847001.200179</v>
      </c>
      <c r="P291" s="37" t="s">
        <v>1639</v>
      </c>
      <c r="Q291" s="37" t="s">
        <v>269</v>
      </c>
      <c r="R291" s="37">
        <v>2</v>
      </c>
      <c r="S291" s="21">
        <v>70000</v>
      </c>
      <c r="T291" s="37" t="s">
        <v>1632</v>
      </c>
      <c r="U291" s="37">
        <v>140000</v>
      </c>
      <c r="V291" s="37" t="s">
        <v>55</v>
      </c>
      <c r="W291" s="21" t="s">
        <v>56</v>
      </c>
      <c r="X291" s="24" t="s">
        <v>379</v>
      </c>
    </row>
    <row r="292" spans="1:24" s="39" customFormat="1" ht="16" customHeight="1" x14ac:dyDescent="0.35">
      <c r="A292" s="37" t="s">
        <v>245</v>
      </c>
      <c r="B292" s="37" t="s">
        <v>246</v>
      </c>
      <c r="C292" s="37" t="s">
        <v>1569</v>
      </c>
      <c r="D292" s="78">
        <v>847</v>
      </c>
      <c r="E292" s="37">
        <v>8471010</v>
      </c>
      <c r="F292" s="37" t="s">
        <v>1570</v>
      </c>
      <c r="G292" s="79">
        <v>1</v>
      </c>
      <c r="H292" s="37" t="s">
        <v>342</v>
      </c>
      <c r="I292" s="37" t="s">
        <v>247</v>
      </c>
      <c r="J292" s="37" t="s">
        <v>60</v>
      </c>
      <c r="K292" s="37" t="s">
        <v>50</v>
      </c>
      <c r="L292" s="37">
        <v>847001</v>
      </c>
      <c r="M292" s="37" t="s">
        <v>61</v>
      </c>
      <c r="N292" s="37">
        <v>200179</v>
      </c>
      <c r="O292" s="37" t="str">
        <f t="shared" si="7"/>
        <v>847.8471010.1.425510.000000.847001.200179</v>
      </c>
      <c r="P292" s="37" t="s">
        <v>249</v>
      </c>
      <c r="Q292" s="37" t="s">
        <v>250</v>
      </c>
      <c r="R292" s="37">
        <v>2</v>
      </c>
      <c r="S292" s="21">
        <v>50000</v>
      </c>
      <c r="T292" s="37" t="s">
        <v>1640</v>
      </c>
      <c r="U292" s="37">
        <v>100000</v>
      </c>
      <c r="V292" s="37" t="s">
        <v>210</v>
      </c>
      <c r="W292" s="21" t="s">
        <v>56</v>
      </c>
      <c r="X292" s="24" t="s">
        <v>618</v>
      </c>
    </row>
    <row r="293" spans="1:24" s="39" customFormat="1" ht="16" customHeight="1" x14ac:dyDescent="0.35">
      <c r="A293" s="37" t="s">
        <v>258</v>
      </c>
      <c r="B293" s="37" t="s">
        <v>58</v>
      </c>
      <c r="C293" s="37" t="s">
        <v>1569</v>
      </c>
      <c r="D293" s="78">
        <v>847</v>
      </c>
      <c r="E293" s="37">
        <v>8471010</v>
      </c>
      <c r="F293" s="37" t="s">
        <v>1570</v>
      </c>
      <c r="G293" s="79">
        <v>1</v>
      </c>
      <c r="H293" s="37" t="s">
        <v>619</v>
      </c>
      <c r="I293" s="37" t="s">
        <v>620</v>
      </c>
      <c r="J293" s="37" t="s">
        <v>60</v>
      </c>
      <c r="K293" s="37" t="s">
        <v>50</v>
      </c>
      <c r="L293" s="37">
        <v>847001</v>
      </c>
      <c r="M293" s="37" t="s">
        <v>61</v>
      </c>
      <c r="N293" s="37">
        <v>200179</v>
      </c>
      <c r="O293" s="37" t="str">
        <f t="shared" si="7"/>
        <v>847.8471010.1.425720.000000.847001.200179</v>
      </c>
      <c r="P293" s="37" t="s">
        <v>622</v>
      </c>
      <c r="Q293" s="37" t="s">
        <v>623</v>
      </c>
      <c r="R293" s="37">
        <v>24</v>
      </c>
      <c r="S293" s="21">
        <v>6920</v>
      </c>
      <c r="T293" s="37" t="s">
        <v>1634</v>
      </c>
      <c r="U293" s="37">
        <v>166080</v>
      </c>
      <c r="V293" s="37" t="s">
        <v>55</v>
      </c>
      <c r="W293" s="21" t="s">
        <v>56</v>
      </c>
      <c r="X293" s="24" t="s">
        <v>237</v>
      </c>
    </row>
    <row r="294" spans="1:24" s="39" customFormat="1" ht="16" customHeight="1" x14ac:dyDescent="0.35">
      <c r="A294" s="37" t="s">
        <v>189</v>
      </c>
      <c r="B294" s="37" t="s">
        <v>265</v>
      </c>
      <c r="C294" s="37" t="s">
        <v>1569</v>
      </c>
      <c r="D294" s="78">
        <v>847</v>
      </c>
      <c r="E294" s="37">
        <v>8471010</v>
      </c>
      <c r="F294" s="37" t="s">
        <v>1570</v>
      </c>
      <c r="G294" s="79">
        <v>1</v>
      </c>
      <c r="H294" s="37" t="s">
        <v>375</v>
      </c>
      <c r="I294" s="37" t="s">
        <v>266</v>
      </c>
      <c r="J294" s="37" t="s">
        <v>60</v>
      </c>
      <c r="K294" s="37" t="s">
        <v>50</v>
      </c>
      <c r="L294" s="37">
        <v>847001</v>
      </c>
      <c r="M294" s="37" t="s">
        <v>61</v>
      </c>
      <c r="N294" s="37">
        <v>200179</v>
      </c>
      <c r="O294" s="37" t="str">
        <f t="shared" si="7"/>
        <v>847.8471010.1.425900.000000.847001.200179</v>
      </c>
      <c r="P294" s="37" t="s">
        <v>268</v>
      </c>
      <c r="Q294" s="37" t="s">
        <v>269</v>
      </c>
      <c r="R294" s="37">
        <v>15</v>
      </c>
      <c r="S294" s="21">
        <v>7000</v>
      </c>
      <c r="T294" s="37" t="s">
        <v>1641</v>
      </c>
      <c r="U294" s="37">
        <v>105000</v>
      </c>
      <c r="V294" s="37" t="s">
        <v>55</v>
      </c>
      <c r="W294" s="21" t="s">
        <v>56</v>
      </c>
      <c r="X294" s="24" t="s">
        <v>816</v>
      </c>
    </row>
    <row r="295" spans="1:24" s="39" customFormat="1" ht="16" customHeight="1" x14ac:dyDescent="0.35">
      <c r="A295" s="37" t="s">
        <v>189</v>
      </c>
      <c r="B295" s="37" t="s">
        <v>58</v>
      </c>
      <c r="C295" s="37" t="s">
        <v>1569</v>
      </c>
      <c r="D295" s="78">
        <v>847</v>
      </c>
      <c r="E295" s="37">
        <v>8471010</v>
      </c>
      <c r="F295" s="37" t="s">
        <v>1570</v>
      </c>
      <c r="G295" s="79">
        <v>1</v>
      </c>
      <c r="H295" s="37" t="s">
        <v>409</v>
      </c>
      <c r="I295" s="37" t="s">
        <v>190</v>
      </c>
      <c r="J295" s="37" t="s">
        <v>60</v>
      </c>
      <c r="K295" s="37" t="s">
        <v>50</v>
      </c>
      <c r="L295" s="37">
        <v>847001</v>
      </c>
      <c r="M295" s="37" t="s">
        <v>61</v>
      </c>
      <c r="N295" s="37">
        <v>200179</v>
      </c>
      <c r="O295" s="37" t="str">
        <f t="shared" si="7"/>
        <v>847.8471010.1.436110.000000.847001.200179</v>
      </c>
      <c r="P295" s="37" t="s">
        <v>829</v>
      </c>
      <c r="Q295" s="37" t="s">
        <v>157</v>
      </c>
      <c r="R295" s="37">
        <v>8</v>
      </c>
      <c r="S295" s="21">
        <v>4000</v>
      </c>
      <c r="T295" s="37" t="s">
        <v>1636</v>
      </c>
      <c r="U295" s="37">
        <v>32000</v>
      </c>
      <c r="V295" s="37" t="s">
        <v>55</v>
      </c>
      <c r="W295" s="21" t="s">
        <v>56</v>
      </c>
      <c r="X295" s="24" t="s">
        <v>816</v>
      </c>
    </row>
    <row r="296" spans="1:24" s="39" customFormat="1" ht="16" customHeight="1" x14ac:dyDescent="0.35">
      <c r="A296" s="37" t="s">
        <v>189</v>
      </c>
      <c r="B296" s="37" t="s">
        <v>58</v>
      </c>
      <c r="C296" s="37" t="s">
        <v>1569</v>
      </c>
      <c r="D296" s="78">
        <v>847</v>
      </c>
      <c r="E296" s="37">
        <v>8471010</v>
      </c>
      <c r="F296" s="37" t="s">
        <v>1570</v>
      </c>
      <c r="G296" s="79">
        <v>1</v>
      </c>
      <c r="H296" s="37" t="s">
        <v>1753</v>
      </c>
      <c r="I296" s="37" t="s">
        <v>291</v>
      </c>
      <c r="J296" s="37" t="s">
        <v>60</v>
      </c>
      <c r="K296" s="37" t="s">
        <v>50</v>
      </c>
      <c r="L296" s="37">
        <v>847001</v>
      </c>
      <c r="M296" s="37" t="s">
        <v>61</v>
      </c>
      <c r="N296" s="37">
        <v>200179</v>
      </c>
      <c r="O296" s="37" t="str">
        <f t="shared" si="7"/>
        <v>847.8471010.1.436120.000000.847001.200179</v>
      </c>
      <c r="P296" s="37" t="s">
        <v>1579</v>
      </c>
      <c r="Q296" s="37" t="s">
        <v>157</v>
      </c>
      <c r="R296" s="37">
        <v>12</v>
      </c>
      <c r="S296" s="21">
        <v>500</v>
      </c>
      <c r="T296" s="37" t="s">
        <v>1642</v>
      </c>
      <c r="U296" s="37">
        <v>6000</v>
      </c>
      <c r="V296" s="37" t="s">
        <v>55</v>
      </c>
      <c r="W296" s="21" t="s">
        <v>56</v>
      </c>
      <c r="X296" s="24" t="s">
        <v>816</v>
      </c>
    </row>
    <row r="297" spans="1:24" s="39" customFormat="1" ht="16" customHeight="1" x14ac:dyDescent="0.35">
      <c r="A297" s="37" t="s">
        <v>222</v>
      </c>
      <c r="B297" s="37" t="s">
        <v>58</v>
      </c>
      <c r="C297" s="37" t="s">
        <v>1350</v>
      </c>
      <c r="D297" s="78">
        <v>847</v>
      </c>
      <c r="E297" s="37">
        <v>8470230</v>
      </c>
      <c r="F297" s="37" t="s">
        <v>1583</v>
      </c>
      <c r="G297" s="79">
        <v>1</v>
      </c>
      <c r="H297" s="37" t="s">
        <v>336</v>
      </c>
      <c r="I297" s="37" t="s">
        <v>225</v>
      </c>
      <c r="J297" s="37" t="s">
        <v>60</v>
      </c>
      <c r="K297" s="37" t="s">
        <v>50</v>
      </c>
      <c r="L297" s="37">
        <v>847001</v>
      </c>
      <c r="M297" s="37" t="s">
        <v>61</v>
      </c>
      <c r="N297" s="37">
        <v>200179</v>
      </c>
      <c r="O297" s="37" t="str">
        <f t="shared" si="7"/>
        <v>847.8470230.1.420550.000000.847001.200179</v>
      </c>
      <c r="P297" s="37" t="s">
        <v>338</v>
      </c>
      <c r="Q297" s="37" t="s">
        <v>157</v>
      </c>
      <c r="R297" s="37">
        <v>180</v>
      </c>
      <c r="S297" s="21">
        <v>31420</v>
      </c>
      <c r="T297" s="37" t="s">
        <v>1584</v>
      </c>
      <c r="U297" s="37">
        <v>5655600</v>
      </c>
      <c r="V297" s="37" t="s">
        <v>55</v>
      </c>
      <c r="W297" s="21" t="s">
        <v>56</v>
      </c>
      <c r="X297" s="24" t="s">
        <v>880</v>
      </c>
    </row>
    <row r="298" spans="1:24" s="39" customFormat="1" ht="16" customHeight="1" x14ac:dyDescent="0.35">
      <c r="A298" s="37" t="s">
        <v>245</v>
      </c>
      <c r="B298" s="37" t="s">
        <v>246</v>
      </c>
      <c r="C298" s="37" t="s">
        <v>1350</v>
      </c>
      <c r="D298" s="78">
        <v>847</v>
      </c>
      <c r="E298" s="37">
        <v>8470230</v>
      </c>
      <c r="F298" s="37" t="s">
        <v>1583</v>
      </c>
      <c r="G298" s="79">
        <v>1</v>
      </c>
      <c r="H298" s="37" t="s">
        <v>1764</v>
      </c>
      <c r="I298" s="37" t="s">
        <v>1521</v>
      </c>
      <c r="J298" s="37" t="s">
        <v>60</v>
      </c>
      <c r="K298" s="37" t="s">
        <v>50</v>
      </c>
      <c r="L298" s="37">
        <v>847001</v>
      </c>
      <c r="M298" s="37" t="s">
        <v>61</v>
      </c>
      <c r="N298" s="37">
        <v>200179</v>
      </c>
      <c r="O298" s="37" t="str">
        <f t="shared" si="7"/>
        <v>847.8470230.1.425100.000000.847001.200179</v>
      </c>
      <c r="P298" s="37" t="s">
        <v>1581</v>
      </c>
      <c r="Q298" s="37" t="s">
        <v>269</v>
      </c>
      <c r="R298" s="37">
        <v>8</v>
      </c>
      <c r="S298" s="21">
        <v>37500</v>
      </c>
      <c r="T298" s="37" t="s">
        <v>1586</v>
      </c>
      <c r="U298" s="37">
        <v>300000</v>
      </c>
      <c r="V298" s="37" t="s">
        <v>55</v>
      </c>
      <c r="W298" s="21" t="s">
        <v>56</v>
      </c>
      <c r="X298" s="24" t="s">
        <v>834</v>
      </c>
    </row>
    <row r="299" spans="1:24" s="39" customFormat="1" ht="16" customHeight="1" x14ac:dyDescent="0.35">
      <c r="A299" s="37" t="s">
        <v>245</v>
      </c>
      <c r="B299" s="37" t="s">
        <v>246</v>
      </c>
      <c r="C299" s="37" t="s">
        <v>1350</v>
      </c>
      <c r="D299" s="78">
        <v>847</v>
      </c>
      <c r="E299" s="37">
        <v>8470230</v>
      </c>
      <c r="F299" s="37" t="s">
        <v>1583</v>
      </c>
      <c r="G299" s="79">
        <v>1</v>
      </c>
      <c r="H299" s="37" t="s">
        <v>342</v>
      </c>
      <c r="I299" s="37" t="s">
        <v>247</v>
      </c>
      <c r="J299" s="37" t="s">
        <v>60</v>
      </c>
      <c r="K299" s="37" t="s">
        <v>50</v>
      </c>
      <c r="L299" s="37">
        <v>847001</v>
      </c>
      <c r="M299" s="37" t="s">
        <v>61</v>
      </c>
      <c r="N299" s="37">
        <v>200179</v>
      </c>
      <c r="O299" s="37" t="str">
        <f t="shared" si="7"/>
        <v>847.8470230.1.425510.000000.847001.200179</v>
      </c>
      <c r="P299" s="37" t="s">
        <v>1405</v>
      </c>
      <c r="Q299" s="37" t="s">
        <v>269</v>
      </c>
      <c r="R299" s="37">
        <v>20</v>
      </c>
      <c r="S299" s="21">
        <v>3200</v>
      </c>
      <c r="T299" s="37" t="s">
        <v>1588</v>
      </c>
      <c r="U299" s="37">
        <v>64000</v>
      </c>
      <c r="V299" s="37" t="s">
        <v>55</v>
      </c>
      <c r="W299" s="21" t="s">
        <v>56</v>
      </c>
      <c r="X299" s="24" t="s">
        <v>480</v>
      </c>
    </row>
    <row r="300" spans="1:24" s="39" customFormat="1" ht="16" customHeight="1" x14ac:dyDescent="0.35">
      <c r="A300" s="37" t="s">
        <v>245</v>
      </c>
      <c r="B300" s="37" t="s">
        <v>58</v>
      </c>
      <c r="C300" s="37" t="s">
        <v>1350</v>
      </c>
      <c r="D300" s="78">
        <v>847</v>
      </c>
      <c r="E300" s="37">
        <v>8470230</v>
      </c>
      <c r="F300" s="37" t="s">
        <v>1583</v>
      </c>
      <c r="G300" s="79">
        <v>1</v>
      </c>
      <c r="H300" s="37" t="s">
        <v>1751</v>
      </c>
      <c r="I300" s="37" t="s">
        <v>253</v>
      </c>
      <c r="J300" s="37" t="s">
        <v>60</v>
      </c>
      <c r="K300" s="37" t="s">
        <v>50</v>
      </c>
      <c r="L300" s="37">
        <v>847001</v>
      </c>
      <c r="M300" s="37" t="s">
        <v>61</v>
      </c>
      <c r="N300" s="37">
        <v>200179</v>
      </c>
      <c r="O300" s="37" t="str">
        <f t="shared" si="7"/>
        <v>847.8470230.1.425550.000000.847001.200179</v>
      </c>
      <c r="P300" s="37" t="s">
        <v>255</v>
      </c>
      <c r="Q300" s="37" t="s">
        <v>256</v>
      </c>
      <c r="R300" s="37">
        <v>40</v>
      </c>
      <c r="S300" s="21">
        <v>14800</v>
      </c>
      <c r="T300" s="37" t="s">
        <v>1588</v>
      </c>
      <c r="U300" s="37">
        <v>592000</v>
      </c>
      <c r="V300" s="37" t="s">
        <v>55</v>
      </c>
      <c r="W300" s="21" t="s">
        <v>56</v>
      </c>
      <c r="X300" s="24" t="s">
        <v>480</v>
      </c>
    </row>
    <row r="301" spans="1:24" s="39" customFormat="1" ht="16" customHeight="1" x14ac:dyDescent="0.35">
      <c r="A301" s="37" t="s">
        <v>258</v>
      </c>
      <c r="B301" s="37" t="s">
        <v>58</v>
      </c>
      <c r="C301" s="37" t="s">
        <v>1350</v>
      </c>
      <c r="D301" s="78">
        <v>847</v>
      </c>
      <c r="E301" s="37">
        <v>8470230</v>
      </c>
      <c r="F301" s="37" t="s">
        <v>1583</v>
      </c>
      <c r="G301" s="79">
        <v>1</v>
      </c>
      <c r="H301" s="37" t="s">
        <v>1767</v>
      </c>
      <c r="I301" s="37" t="s">
        <v>1590</v>
      </c>
      <c r="J301" s="37" t="s">
        <v>60</v>
      </c>
      <c r="K301" s="37" t="s">
        <v>50</v>
      </c>
      <c r="L301" s="37">
        <v>847001</v>
      </c>
      <c r="M301" s="37" t="s">
        <v>61</v>
      </c>
      <c r="N301" s="37">
        <v>200179</v>
      </c>
      <c r="O301" s="37" t="str">
        <f t="shared" si="7"/>
        <v>847.8470230.1.425743.000000.847001.200179</v>
      </c>
      <c r="P301" s="37"/>
      <c r="Q301" s="37" t="s">
        <v>62</v>
      </c>
      <c r="R301" s="37"/>
      <c r="S301" s="21"/>
      <c r="T301" s="37" t="s">
        <v>1591</v>
      </c>
      <c r="U301" s="37">
        <v>0</v>
      </c>
      <c r="V301" s="37"/>
      <c r="W301" s="21"/>
      <c r="X301" s="24"/>
    </row>
    <row r="302" spans="1:24" s="39" customFormat="1" ht="16" customHeight="1" x14ac:dyDescent="0.35">
      <c r="A302" s="37" t="s">
        <v>258</v>
      </c>
      <c r="B302" s="37" t="s">
        <v>58</v>
      </c>
      <c r="C302" s="37" t="s">
        <v>1350</v>
      </c>
      <c r="D302" s="78">
        <v>847</v>
      </c>
      <c r="E302" s="37">
        <v>8470230</v>
      </c>
      <c r="F302" s="37" t="s">
        <v>1583</v>
      </c>
      <c r="G302" s="79">
        <v>1</v>
      </c>
      <c r="H302" s="37" t="s">
        <v>1768</v>
      </c>
      <c r="I302" s="37" t="s">
        <v>1592</v>
      </c>
      <c r="J302" s="37" t="s">
        <v>60</v>
      </c>
      <c r="K302" s="37" t="s">
        <v>50</v>
      </c>
      <c r="L302" s="37">
        <v>847001</v>
      </c>
      <c r="M302" s="37" t="s">
        <v>61</v>
      </c>
      <c r="N302" s="37">
        <v>200179</v>
      </c>
      <c r="O302" s="37" t="str">
        <f t="shared" si="7"/>
        <v>847.8470230.1.425744.000000.847001.200179</v>
      </c>
      <c r="P302" s="37" t="s">
        <v>1593</v>
      </c>
      <c r="Q302" s="37" t="s">
        <v>157</v>
      </c>
      <c r="R302" s="37">
        <v>1206</v>
      </c>
      <c r="S302" s="21">
        <v>4000</v>
      </c>
      <c r="T302" s="37" t="s">
        <v>1594</v>
      </c>
      <c r="U302" s="37">
        <v>4824000</v>
      </c>
      <c r="V302" s="37" t="s">
        <v>55</v>
      </c>
      <c r="W302" s="21" t="s">
        <v>56</v>
      </c>
      <c r="X302" s="24" t="s">
        <v>834</v>
      </c>
    </row>
    <row r="303" spans="1:24" s="39" customFormat="1" ht="16" customHeight="1" x14ac:dyDescent="0.35">
      <c r="A303" s="37" t="s">
        <v>258</v>
      </c>
      <c r="B303" s="37" t="s">
        <v>58</v>
      </c>
      <c r="C303" s="37" t="s">
        <v>1350</v>
      </c>
      <c r="D303" s="78">
        <v>847</v>
      </c>
      <c r="E303" s="37">
        <v>8470230</v>
      </c>
      <c r="F303" s="37" t="s">
        <v>1583</v>
      </c>
      <c r="G303" s="79">
        <v>1</v>
      </c>
      <c r="H303" s="37" t="s">
        <v>1769</v>
      </c>
      <c r="I303" s="37" t="s">
        <v>1041</v>
      </c>
      <c r="J303" s="37" t="s">
        <v>60</v>
      </c>
      <c r="K303" s="37" t="s">
        <v>50</v>
      </c>
      <c r="L303" s="37">
        <v>847001</v>
      </c>
      <c r="M303" s="37" t="s">
        <v>61</v>
      </c>
      <c r="N303" s="37">
        <v>200179</v>
      </c>
      <c r="O303" s="37" t="str">
        <f t="shared" si="7"/>
        <v>847.8470230.1.425745.000000.847001.200179</v>
      </c>
      <c r="P303" s="37" t="s">
        <v>1596</v>
      </c>
      <c r="Q303" s="37" t="s">
        <v>68</v>
      </c>
      <c r="R303" s="37">
        <v>1250</v>
      </c>
      <c r="S303" s="21">
        <v>3145</v>
      </c>
      <c r="T303" s="37" t="s">
        <v>1594</v>
      </c>
      <c r="U303" s="37">
        <v>3931250</v>
      </c>
      <c r="V303" s="37" t="s">
        <v>55</v>
      </c>
      <c r="W303" s="21" t="s">
        <v>56</v>
      </c>
      <c r="X303" s="24" t="s">
        <v>834</v>
      </c>
    </row>
    <row r="304" spans="1:24" s="39" customFormat="1" ht="16" customHeight="1" x14ac:dyDescent="0.35">
      <c r="A304" s="37" t="s">
        <v>258</v>
      </c>
      <c r="B304" s="37" t="s">
        <v>58</v>
      </c>
      <c r="C304" s="37" t="s">
        <v>1350</v>
      </c>
      <c r="D304" s="78">
        <v>847</v>
      </c>
      <c r="E304" s="37">
        <v>8470230</v>
      </c>
      <c r="F304" s="37" t="s">
        <v>1583</v>
      </c>
      <c r="G304" s="79">
        <v>1</v>
      </c>
      <c r="H304" s="37" t="s">
        <v>1770</v>
      </c>
      <c r="I304" s="37" t="s">
        <v>1052</v>
      </c>
      <c r="J304" s="37" t="s">
        <v>60</v>
      </c>
      <c r="K304" s="37" t="s">
        <v>50</v>
      </c>
      <c r="L304" s="37">
        <v>847001</v>
      </c>
      <c r="M304" s="37" t="s">
        <v>61</v>
      </c>
      <c r="N304" s="37">
        <v>200179</v>
      </c>
      <c r="O304" s="37" t="str">
        <f t="shared" si="7"/>
        <v>847.8470230.1.425749.000000.847001.200179</v>
      </c>
      <c r="P304" s="37" t="s">
        <v>1054</v>
      </c>
      <c r="Q304" s="37" t="s">
        <v>1055</v>
      </c>
      <c r="R304" s="37">
        <v>1540</v>
      </c>
      <c r="S304" s="21">
        <v>178000</v>
      </c>
      <c r="T304" s="37" t="s">
        <v>1586</v>
      </c>
      <c r="U304" s="37">
        <v>274120000</v>
      </c>
      <c r="V304" s="37" t="s">
        <v>55</v>
      </c>
      <c r="W304" s="21" t="s">
        <v>56</v>
      </c>
      <c r="X304" s="24" t="s">
        <v>834</v>
      </c>
    </row>
    <row r="305" spans="1:24" s="39" customFormat="1" ht="16" customHeight="1" x14ac:dyDescent="0.35">
      <c r="A305" s="37" t="s">
        <v>222</v>
      </c>
      <c r="B305" s="37" t="s">
        <v>58</v>
      </c>
      <c r="C305" s="37" t="s">
        <v>1350</v>
      </c>
      <c r="D305" s="78">
        <v>847</v>
      </c>
      <c r="E305" s="37">
        <v>8470230</v>
      </c>
      <c r="F305" s="37" t="s">
        <v>1583</v>
      </c>
      <c r="G305" s="79">
        <v>1</v>
      </c>
      <c r="H305" s="37" t="s">
        <v>1756</v>
      </c>
      <c r="I305" s="37" t="s">
        <v>1383</v>
      </c>
      <c r="J305" s="37" t="s">
        <v>60</v>
      </c>
      <c r="K305" s="37" t="s">
        <v>50</v>
      </c>
      <c r="L305" s="37">
        <v>847001</v>
      </c>
      <c r="M305" s="37" t="s">
        <v>61</v>
      </c>
      <c r="N305" s="37">
        <v>200179</v>
      </c>
      <c r="O305" s="37" t="str">
        <f t="shared" si="7"/>
        <v>847.8470230.1.425761.000000.847001.200179</v>
      </c>
      <c r="P305" s="37" t="s">
        <v>1600</v>
      </c>
      <c r="Q305" s="37" t="s">
        <v>157</v>
      </c>
      <c r="R305" s="37">
        <v>20</v>
      </c>
      <c r="S305" s="21">
        <v>15000</v>
      </c>
      <c r="T305" s="37" t="s">
        <v>1601</v>
      </c>
      <c r="U305" s="37">
        <v>300000</v>
      </c>
      <c r="V305" s="37" t="s">
        <v>55</v>
      </c>
      <c r="W305" s="21" t="s">
        <v>56</v>
      </c>
      <c r="X305" s="24" t="s">
        <v>348</v>
      </c>
    </row>
    <row r="306" spans="1:24" s="39" customFormat="1" ht="16" customHeight="1" x14ac:dyDescent="0.35">
      <c r="A306" s="37" t="s">
        <v>258</v>
      </c>
      <c r="B306" s="37" t="s">
        <v>58</v>
      </c>
      <c r="C306" s="37" t="s">
        <v>1350</v>
      </c>
      <c r="D306" s="78">
        <v>847</v>
      </c>
      <c r="E306" s="37">
        <v>8470230</v>
      </c>
      <c r="F306" s="37" t="s">
        <v>1583</v>
      </c>
      <c r="G306" s="79">
        <v>1</v>
      </c>
      <c r="H306" s="37" t="s">
        <v>572</v>
      </c>
      <c r="I306" s="37" t="s">
        <v>573</v>
      </c>
      <c r="J306" s="37" t="s">
        <v>60</v>
      </c>
      <c r="K306" s="37" t="s">
        <v>50</v>
      </c>
      <c r="L306" s="37">
        <v>847001</v>
      </c>
      <c r="M306" s="37" t="s">
        <v>61</v>
      </c>
      <c r="N306" s="37">
        <v>200179</v>
      </c>
      <c r="O306" s="37" t="str">
        <f t="shared" si="7"/>
        <v>847.8470230.1.425762.000000.847001.200179</v>
      </c>
      <c r="P306" s="37" t="s">
        <v>575</v>
      </c>
      <c r="Q306" s="37" t="s">
        <v>157</v>
      </c>
      <c r="R306" s="37">
        <v>20</v>
      </c>
      <c r="S306" s="21">
        <v>15000</v>
      </c>
      <c r="T306" s="37" t="s">
        <v>1603</v>
      </c>
      <c r="U306" s="37">
        <v>300000</v>
      </c>
      <c r="V306" s="37" t="s">
        <v>55</v>
      </c>
      <c r="W306" s="21" t="s">
        <v>56</v>
      </c>
      <c r="X306" s="24" t="s">
        <v>348</v>
      </c>
    </row>
    <row r="307" spans="1:24" s="39" customFormat="1" ht="16" customHeight="1" x14ac:dyDescent="0.35">
      <c r="A307" s="37" t="s">
        <v>189</v>
      </c>
      <c r="B307" s="37" t="s">
        <v>265</v>
      </c>
      <c r="C307" s="37" t="s">
        <v>1350</v>
      </c>
      <c r="D307" s="78">
        <v>847</v>
      </c>
      <c r="E307" s="37">
        <v>8470230</v>
      </c>
      <c r="F307" s="37" t="s">
        <v>1583</v>
      </c>
      <c r="G307" s="79">
        <v>1</v>
      </c>
      <c r="H307" s="37" t="s">
        <v>375</v>
      </c>
      <c r="I307" s="37" t="s">
        <v>266</v>
      </c>
      <c r="J307" s="37" t="s">
        <v>60</v>
      </c>
      <c r="K307" s="37" t="s">
        <v>50</v>
      </c>
      <c r="L307" s="37">
        <v>847001</v>
      </c>
      <c r="M307" s="37" t="s">
        <v>61</v>
      </c>
      <c r="N307" s="37">
        <v>200179</v>
      </c>
      <c r="O307" s="37" t="str">
        <f t="shared" si="7"/>
        <v>847.8470230.1.425900.000000.847001.200179</v>
      </c>
      <c r="P307" s="37" t="s">
        <v>268</v>
      </c>
      <c r="Q307" s="37" t="s">
        <v>269</v>
      </c>
      <c r="R307" s="37">
        <v>290</v>
      </c>
      <c r="S307" s="21">
        <v>268</v>
      </c>
      <c r="T307" s="37" t="s">
        <v>1586</v>
      </c>
      <c r="U307" s="37">
        <v>77720</v>
      </c>
      <c r="V307" s="37" t="s">
        <v>55</v>
      </c>
      <c r="W307" s="21" t="s">
        <v>56</v>
      </c>
      <c r="X307" s="24"/>
    </row>
    <row r="308" spans="1:24" s="39" customFormat="1" ht="16" customHeight="1" x14ac:dyDescent="0.35">
      <c r="A308" s="37" t="s">
        <v>63</v>
      </c>
      <c r="B308" s="37" t="s">
        <v>64</v>
      </c>
      <c r="C308" s="37" t="s">
        <v>1350</v>
      </c>
      <c r="D308" s="78">
        <v>847</v>
      </c>
      <c r="E308" s="37">
        <v>8470230</v>
      </c>
      <c r="F308" s="37" t="s">
        <v>1583</v>
      </c>
      <c r="G308" s="79">
        <v>1</v>
      </c>
      <c r="H308" s="37" t="s">
        <v>380</v>
      </c>
      <c r="I308" s="37" t="s">
        <v>74</v>
      </c>
      <c r="J308" s="37" t="s">
        <v>60</v>
      </c>
      <c r="K308" s="37" t="s">
        <v>50</v>
      </c>
      <c r="L308" s="37">
        <v>847001</v>
      </c>
      <c r="M308" s="37" t="s">
        <v>61</v>
      </c>
      <c r="N308" s="37">
        <v>200179</v>
      </c>
      <c r="O308" s="37" t="str">
        <f t="shared" si="7"/>
        <v>847.8470230.1.426610.000000.847001.200179</v>
      </c>
      <c r="P308" s="37" t="s">
        <v>274</v>
      </c>
      <c r="Q308" s="37" t="s">
        <v>157</v>
      </c>
      <c r="R308" s="37">
        <v>1</v>
      </c>
      <c r="S308" s="21">
        <v>10000</v>
      </c>
      <c r="T308" s="37" t="s">
        <v>1586</v>
      </c>
      <c r="U308" s="37">
        <v>10000</v>
      </c>
      <c r="V308" s="37" t="s">
        <v>55</v>
      </c>
      <c r="W308" s="21" t="s">
        <v>56</v>
      </c>
      <c r="X308" s="24"/>
    </row>
    <row r="309" spans="1:24" s="39" customFormat="1" ht="16" customHeight="1" x14ac:dyDescent="0.35">
      <c r="A309" s="37" t="s">
        <v>153</v>
      </c>
      <c r="B309" s="37" t="s">
        <v>58</v>
      </c>
      <c r="C309" s="37" t="s">
        <v>1350</v>
      </c>
      <c r="D309" s="78">
        <v>847</v>
      </c>
      <c r="E309" s="37">
        <v>8470230</v>
      </c>
      <c r="F309" s="37" t="s">
        <v>1583</v>
      </c>
      <c r="G309" s="79">
        <v>1</v>
      </c>
      <c r="H309" s="37" t="s">
        <v>385</v>
      </c>
      <c r="I309" s="37" t="s">
        <v>154</v>
      </c>
      <c r="J309" s="37" t="s">
        <v>60</v>
      </c>
      <c r="K309" s="37" t="s">
        <v>50</v>
      </c>
      <c r="L309" s="37">
        <v>847001</v>
      </c>
      <c r="M309" s="37" t="s">
        <v>61</v>
      </c>
      <c r="N309" s="37">
        <v>200179</v>
      </c>
      <c r="O309" s="37" t="str">
        <f t="shared" si="7"/>
        <v>847.8470230.1.428090.000000.847001.200179</v>
      </c>
      <c r="P309" s="37" t="s">
        <v>156</v>
      </c>
      <c r="Q309" s="37" t="s">
        <v>157</v>
      </c>
      <c r="R309" s="37">
        <v>5</v>
      </c>
      <c r="S309" s="21">
        <v>19160</v>
      </c>
      <c r="T309" s="37" t="s">
        <v>1607</v>
      </c>
      <c r="U309" s="37">
        <v>95800</v>
      </c>
      <c r="V309" s="37" t="s">
        <v>55</v>
      </c>
      <c r="W309" s="21" t="s">
        <v>56</v>
      </c>
      <c r="X309" s="24" t="s">
        <v>834</v>
      </c>
    </row>
    <row r="310" spans="1:24" s="39" customFormat="1" ht="16" customHeight="1" x14ac:dyDescent="0.35">
      <c r="A310" s="37" t="s">
        <v>245</v>
      </c>
      <c r="B310" s="37" t="s">
        <v>246</v>
      </c>
      <c r="C310" s="37" t="s">
        <v>1350</v>
      </c>
      <c r="D310" s="78">
        <v>847</v>
      </c>
      <c r="E310" s="37">
        <v>8470230</v>
      </c>
      <c r="F310" s="37" t="s">
        <v>1583</v>
      </c>
      <c r="G310" s="79">
        <v>1</v>
      </c>
      <c r="H310" s="37" t="s">
        <v>643</v>
      </c>
      <c r="I310" s="37" t="s">
        <v>279</v>
      </c>
      <c r="J310" s="37" t="s">
        <v>60</v>
      </c>
      <c r="K310" s="37" t="s">
        <v>50</v>
      </c>
      <c r="L310" s="37">
        <v>847001</v>
      </c>
      <c r="M310" s="37" t="s">
        <v>61</v>
      </c>
      <c r="N310" s="37">
        <v>200179</v>
      </c>
      <c r="O310" s="37" t="str">
        <f t="shared" si="7"/>
        <v>847.8470230.1.428640.000000.847001.200179</v>
      </c>
      <c r="P310" s="37" t="s">
        <v>1533</v>
      </c>
      <c r="Q310" s="37" t="s">
        <v>269</v>
      </c>
      <c r="R310" s="37">
        <v>1650</v>
      </c>
      <c r="S310" s="21">
        <v>78</v>
      </c>
      <c r="T310" s="37" t="s">
        <v>1586</v>
      </c>
      <c r="U310" s="37">
        <v>128700</v>
      </c>
      <c r="V310" s="37" t="s">
        <v>55</v>
      </c>
      <c r="W310" s="21" t="s">
        <v>56</v>
      </c>
      <c r="X310" s="24"/>
    </row>
    <row r="311" spans="1:24" s="39" customFormat="1" ht="16" customHeight="1" x14ac:dyDescent="0.35">
      <c r="A311" s="37" t="s">
        <v>189</v>
      </c>
      <c r="B311" s="37" t="s">
        <v>58</v>
      </c>
      <c r="C311" s="37" t="s">
        <v>1350</v>
      </c>
      <c r="D311" s="78">
        <v>847</v>
      </c>
      <c r="E311" s="37">
        <v>8470230</v>
      </c>
      <c r="F311" s="37" t="s">
        <v>1583</v>
      </c>
      <c r="G311" s="79">
        <v>1</v>
      </c>
      <c r="H311" s="37" t="s">
        <v>409</v>
      </c>
      <c r="I311" s="37" t="s">
        <v>190</v>
      </c>
      <c r="J311" s="37" t="s">
        <v>60</v>
      </c>
      <c r="K311" s="37" t="s">
        <v>50</v>
      </c>
      <c r="L311" s="37">
        <v>847001</v>
      </c>
      <c r="M311" s="37" t="s">
        <v>61</v>
      </c>
      <c r="N311" s="37">
        <v>200179</v>
      </c>
      <c r="O311" s="37" t="str">
        <f t="shared" si="7"/>
        <v>847.8470230.1.436110.000000.847001.200179</v>
      </c>
      <c r="P311" s="37" t="s">
        <v>488</v>
      </c>
      <c r="Q311" s="37" t="s">
        <v>157</v>
      </c>
      <c r="R311" s="37">
        <v>1</v>
      </c>
      <c r="S311" s="21">
        <v>5000</v>
      </c>
      <c r="T311" s="37" t="s">
        <v>1612</v>
      </c>
      <c r="U311" s="37">
        <v>5000</v>
      </c>
      <c r="V311" s="37" t="s">
        <v>55</v>
      </c>
      <c r="W311" s="21" t="s">
        <v>56</v>
      </c>
      <c r="X311" s="24"/>
    </row>
    <row r="312" spans="1:24" s="39" customFormat="1" ht="16" customHeight="1" x14ac:dyDescent="0.35">
      <c r="A312" s="37" t="s">
        <v>63</v>
      </c>
      <c r="B312" s="37" t="s">
        <v>64</v>
      </c>
      <c r="C312" s="37" t="s">
        <v>1350</v>
      </c>
      <c r="D312" s="78">
        <v>847</v>
      </c>
      <c r="E312" s="37">
        <v>8470230</v>
      </c>
      <c r="F312" s="37" t="s">
        <v>1583</v>
      </c>
      <c r="G312" s="79">
        <v>1</v>
      </c>
      <c r="H312" s="37" t="s">
        <v>1747</v>
      </c>
      <c r="I312" s="37" t="s">
        <v>191</v>
      </c>
      <c r="J312" s="37" t="s">
        <v>60</v>
      </c>
      <c r="K312" s="37" t="s">
        <v>50</v>
      </c>
      <c r="L312" s="37">
        <v>847001</v>
      </c>
      <c r="M312" s="37" t="s">
        <v>192</v>
      </c>
      <c r="N312" s="37">
        <v>300180</v>
      </c>
      <c r="O312" s="37" t="str">
        <f t="shared" si="7"/>
        <v>847.8470230.1.492310.000000.847001.300180</v>
      </c>
      <c r="P312" s="37" t="s">
        <v>1614</v>
      </c>
      <c r="Q312" s="37" t="s">
        <v>68</v>
      </c>
      <c r="R312" s="37">
        <v>207</v>
      </c>
      <c r="S312" s="21">
        <v>4500</v>
      </c>
      <c r="T312" s="37" t="s">
        <v>1615</v>
      </c>
      <c r="U312" s="37">
        <v>931500</v>
      </c>
      <c r="V312" s="37" t="s">
        <v>55</v>
      </c>
      <c r="W312" s="21" t="s">
        <v>56</v>
      </c>
      <c r="X312" s="24" t="s">
        <v>1638</v>
      </c>
    </row>
    <row r="313" spans="1:24" s="39" customFormat="1" ht="16" customHeight="1" x14ac:dyDescent="0.35">
      <c r="A313" s="37" t="s">
        <v>222</v>
      </c>
      <c r="B313" s="37" t="s">
        <v>58</v>
      </c>
      <c r="C313" s="37" t="s">
        <v>1000</v>
      </c>
      <c r="D313" s="78">
        <v>847</v>
      </c>
      <c r="E313" s="37">
        <v>8471305</v>
      </c>
      <c r="F313" s="37" t="s">
        <v>1001</v>
      </c>
      <c r="G313" s="79">
        <v>1</v>
      </c>
      <c r="H313" s="37" t="s">
        <v>604</v>
      </c>
      <c r="I313" s="37" t="s">
        <v>231</v>
      </c>
      <c r="J313" s="37" t="s">
        <v>60</v>
      </c>
      <c r="K313" s="37" t="s">
        <v>50</v>
      </c>
      <c r="L313" s="37">
        <v>847001</v>
      </c>
      <c r="M313" s="37" t="s">
        <v>61</v>
      </c>
      <c r="N313" s="37">
        <v>200179</v>
      </c>
      <c r="O313" s="37" t="str">
        <f t="shared" si="7"/>
        <v>847.8471305.1.420570.000000.847001.200179</v>
      </c>
      <c r="P313" s="37" t="s">
        <v>338</v>
      </c>
      <c r="Q313" s="37" t="s">
        <v>157</v>
      </c>
      <c r="R313" s="37">
        <v>1</v>
      </c>
      <c r="S313" s="37">
        <v>36443299.200000003</v>
      </c>
      <c r="T313" s="37" t="s">
        <v>1003</v>
      </c>
      <c r="U313" s="37">
        <v>36443299.200000003</v>
      </c>
      <c r="V313" s="37" t="s">
        <v>55</v>
      </c>
      <c r="W313" s="37" t="s">
        <v>56</v>
      </c>
      <c r="X313" s="37" t="s">
        <v>384</v>
      </c>
    </row>
    <row r="314" spans="1:24" s="39" customFormat="1" ht="16" customHeight="1" x14ac:dyDescent="0.35">
      <c r="A314" s="37" t="s">
        <v>63</v>
      </c>
      <c r="B314" s="37" t="s">
        <v>64</v>
      </c>
      <c r="C314" s="37" t="s">
        <v>1000</v>
      </c>
      <c r="D314" s="78">
        <v>847</v>
      </c>
      <c r="E314" s="37">
        <v>8471305</v>
      </c>
      <c r="F314" s="37" t="s">
        <v>1001</v>
      </c>
      <c r="G314" s="79">
        <v>1</v>
      </c>
      <c r="H314" s="37" t="s">
        <v>1741</v>
      </c>
      <c r="I314" s="37" t="s">
        <v>65</v>
      </c>
      <c r="J314" s="37" t="s">
        <v>60</v>
      </c>
      <c r="K314" s="37" t="s">
        <v>50</v>
      </c>
      <c r="L314" s="37">
        <v>847001</v>
      </c>
      <c r="M314" s="37" t="s">
        <v>61</v>
      </c>
      <c r="N314" s="37">
        <v>200179</v>
      </c>
      <c r="O314" s="37" t="str">
        <f t="shared" si="7"/>
        <v>847.8471305.1.420811.000000.847001.200179</v>
      </c>
      <c r="P314" s="37" t="s">
        <v>1007</v>
      </c>
      <c r="Q314" s="37" t="s">
        <v>157</v>
      </c>
      <c r="R314" s="37">
        <v>1</v>
      </c>
      <c r="S314" s="37">
        <v>449801.00000000006</v>
      </c>
      <c r="T314" s="37" t="s">
        <v>1311</v>
      </c>
      <c r="U314" s="37">
        <v>449801.00000000006</v>
      </c>
      <c r="V314" s="37" t="s">
        <v>55</v>
      </c>
      <c r="W314" s="37" t="s">
        <v>56</v>
      </c>
      <c r="X314" s="37" t="s">
        <v>384</v>
      </c>
    </row>
    <row r="315" spans="1:24" s="39" customFormat="1" ht="16" customHeight="1" x14ac:dyDescent="0.35">
      <c r="A315" s="37" t="s">
        <v>71</v>
      </c>
      <c r="B315" s="37" t="s">
        <v>1010</v>
      </c>
      <c r="C315" s="37" t="s">
        <v>1000</v>
      </c>
      <c r="D315" s="78">
        <v>847</v>
      </c>
      <c r="E315" s="37">
        <v>8471305</v>
      </c>
      <c r="F315" s="37" t="s">
        <v>1001</v>
      </c>
      <c r="G315" s="79">
        <v>1</v>
      </c>
      <c r="H315" s="37" t="s">
        <v>1771</v>
      </c>
      <c r="I315" s="37" t="s">
        <v>1011</v>
      </c>
      <c r="J315" s="37" t="s">
        <v>60</v>
      </c>
      <c r="K315" s="37" t="s">
        <v>50</v>
      </c>
      <c r="L315" s="37">
        <v>847001</v>
      </c>
      <c r="M315" s="37" t="s">
        <v>61</v>
      </c>
      <c r="N315" s="37">
        <v>200179</v>
      </c>
      <c r="O315" s="37" t="str">
        <f t="shared" si="7"/>
        <v>847.8471305.1.421000.000000.847001.200179</v>
      </c>
      <c r="P315" s="37" t="s">
        <v>1013</v>
      </c>
      <c r="Q315" s="37" t="s">
        <v>269</v>
      </c>
      <c r="R315" s="37">
        <v>10</v>
      </c>
      <c r="S315" s="37">
        <v>50000</v>
      </c>
      <c r="T315" s="37" t="s">
        <v>1014</v>
      </c>
      <c r="U315" s="37">
        <v>500000</v>
      </c>
      <c r="V315" s="37" t="s">
        <v>55</v>
      </c>
      <c r="W315" s="37" t="s">
        <v>56</v>
      </c>
      <c r="X315" s="37" t="s">
        <v>272</v>
      </c>
    </row>
    <row r="316" spans="1:24" s="39" customFormat="1" ht="16" customHeight="1" x14ac:dyDescent="0.35">
      <c r="A316" s="37" t="s">
        <v>222</v>
      </c>
      <c r="B316" s="37" t="s">
        <v>238</v>
      </c>
      <c r="C316" s="37" t="s">
        <v>1000</v>
      </c>
      <c r="D316" s="78">
        <v>847</v>
      </c>
      <c r="E316" s="37">
        <v>8471305</v>
      </c>
      <c r="F316" s="37" t="s">
        <v>1001</v>
      </c>
      <c r="G316" s="79">
        <v>1</v>
      </c>
      <c r="H316" s="37" t="s">
        <v>610</v>
      </c>
      <c r="I316" s="37" t="s">
        <v>239</v>
      </c>
      <c r="J316" s="37" t="s">
        <v>60</v>
      </c>
      <c r="K316" s="37" t="s">
        <v>50</v>
      </c>
      <c r="L316" s="37">
        <v>847001</v>
      </c>
      <c r="M316" s="37" t="s">
        <v>61</v>
      </c>
      <c r="N316" s="37">
        <v>200179</v>
      </c>
      <c r="O316" s="37" t="str">
        <f t="shared" si="7"/>
        <v>847.8471305.1.421700.000000.847001.200179</v>
      </c>
      <c r="P316" s="37" t="s">
        <v>1017</v>
      </c>
      <c r="Q316" s="37" t="s">
        <v>157</v>
      </c>
      <c r="R316" s="37">
        <v>4</v>
      </c>
      <c r="S316" s="37">
        <v>110000.00000000001</v>
      </c>
      <c r="T316" s="37" t="s">
        <v>1018</v>
      </c>
      <c r="U316" s="37">
        <v>440000.00000000006</v>
      </c>
      <c r="V316" s="37" t="s">
        <v>55</v>
      </c>
      <c r="W316" s="37" t="s">
        <v>56</v>
      </c>
      <c r="X316" s="37" t="s">
        <v>1020</v>
      </c>
    </row>
    <row r="317" spans="1:24" s="39" customFormat="1" ht="16" customHeight="1" x14ac:dyDescent="0.35">
      <c r="A317" s="37" t="s">
        <v>161</v>
      </c>
      <c r="B317" s="37" t="s">
        <v>58</v>
      </c>
      <c r="C317" s="37" t="s">
        <v>1000</v>
      </c>
      <c r="D317" s="78">
        <v>847</v>
      </c>
      <c r="E317" s="37">
        <v>8471305</v>
      </c>
      <c r="F317" s="37" t="s">
        <v>1001</v>
      </c>
      <c r="G317" s="79">
        <v>1</v>
      </c>
      <c r="H317" s="37" t="s">
        <v>1772</v>
      </c>
      <c r="I317" s="37" t="s">
        <v>1021</v>
      </c>
      <c r="J317" s="37" t="s">
        <v>60</v>
      </c>
      <c r="K317" s="37" t="s">
        <v>50</v>
      </c>
      <c r="L317" s="37">
        <v>847001</v>
      </c>
      <c r="M317" s="37" t="s">
        <v>61</v>
      </c>
      <c r="N317" s="37">
        <v>200179</v>
      </c>
      <c r="O317" s="37" t="str">
        <f t="shared" si="7"/>
        <v>847.8471305.1.422100.000000.847001.200179</v>
      </c>
      <c r="P317" s="37" t="s">
        <v>1023</v>
      </c>
      <c r="Q317" s="37" t="s">
        <v>157</v>
      </c>
      <c r="R317" s="37">
        <v>3</v>
      </c>
      <c r="S317" s="37">
        <v>5000</v>
      </c>
      <c r="T317" s="37" t="s">
        <v>1024</v>
      </c>
      <c r="U317" s="37">
        <v>396000.00000000006</v>
      </c>
      <c r="V317" s="37" t="s">
        <v>55</v>
      </c>
      <c r="W317" s="37" t="s">
        <v>56</v>
      </c>
      <c r="X317" s="37" t="s">
        <v>1025</v>
      </c>
    </row>
    <row r="318" spans="1:24" s="39" customFormat="1" ht="16" customHeight="1" x14ac:dyDescent="0.35">
      <c r="A318" s="37" t="s">
        <v>245</v>
      </c>
      <c r="B318" s="37" t="s">
        <v>246</v>
      </c>
      <c r="C318" s="37" t="s">
        <v>1000</v>
      </c>
      <c r="D318" s="78">
        <v>847</v>
      </c>
      <c r="E318" s="37">
        <v>8471305</v>
      </c>
      <c r="F318" s="37" t="s">
        <v>1001</v>
      </c>
      <c r="G318" s="79">
        <v>1</v>
      </c>
      <c r="H318" s="37" t="s">
        <v>342</v>
      </c>
      <c r="I318" s="37" t="s">
        <v>247</v>
      </c>
      <c r="J318" s="37" t="s">
        <v>60</v>
      </c>
      <c r="K318" s="37" t="s">
        <v>50</v>
      </c>
      <c r="L318" s="37">
        <v>847001</v>
      </c>
      <c r="M318" s="37" t="s">
        <v>61</v>
      </c>
      <c r="N318" s="37">
        <v>200179</v>
      </c>
      <c r="O318" s="37" t="str">
        <f t="shared" si="7"/>
        <v>847.8471305.1.425510.000000.847001.200179</v>
      </c>
      <c r="P318" s="37" t="s">
        <v>433</v>
      </c>
      <c r="Q318" s="37" t="s">
        <v>434</v>
      </c>
      <c r="R318" s="37">
        <v>34</v>
      </c>
      <c r="S318" s="37">
        <v>30000</v>
      </c>
      <c r="T318" s="37" t="s">
        <v>1027</v>
      </c>
      <c r="U318" s="37">
        <v>1020000</v>
      </c>
      <c r="V318" s="37" t="s">
        <v>55</v>
      </c>
      <c r="W318" s="37" t="s">
        <v>56</v>
      </c>
      <c r="X318" s="37" t="s">
        <v>689</v>
      </c>
    </row>
    <row r="319" spans="1:24" s="39" customFormat="1" ht="16" customHeight="1" x14ac:dyDescent="0.35">
      <c r="A319" s="37" t="s">
        <v>245</v>
      </c>
      <c r="B319" s="37" t="s">
        <v>58</v>
      </c>
      <c r="C319" s="37" t="s">
        <v>1000</v>
      </c>
      <c r="D319" s="78">
        <v>847</v>
      </c>
      <c r="E319" s="37">
        <v>8471305</v>
      </c>
      <c r="F319" s="37" t="s">
        <v>1001</v>
      </c>
      <c r="G319" s="79">
        <v>1</v>
      </c>
      <c r="H319" s="37" t="s">
        <v>1751</v>
      </c>
      <c r="I319" s="37" t="s">
        <v>253</v>
      </c>
      <c r="J319" s="37" t="s">
        <v>60</v>
      </c>
      <c r="K319" s="37" t="s">
        <v>50</v>
      </c>
      <c r="L319" s="37">
        <v>847001</v>
      </c>
      <c r="M319" s="37" t="s">
        <v>61</v>
      </c>
      <c r="N319" s="37">
        <v>200179</v>
      </c>
      <c r="O319" s="37" t="str">
        <f t="shared" si="7"/>
        <v>847.8471305.1.425550.000000.847001.200179</v>
      </c>
      <c r="P319" s="37" t="s">
        <v>255</v>
      </c>
      <c r="Q319" s="37" t="s">
        <v>256</v>
      </c>
      <c r="R319" s="37">
        <v>38</v>
      </c>
      <c r="S319" s="37">
        <v>30000</v>
      </c>
      <c r="T319" s="37" t="s">
        <v>1031</v>
      </c>
      <c r="U319" s="37">
        <v>1140000</v>
      </c>
      <c r="V319" s="37" t="s">
        <v>55</v>
      </c>
      <c r="W319" s="37" t="s">
        <v>56</v>
      </c>
      <c r="X319" s="37" t="s">
        <v>237</v>
      </c>
    </row>
    <row r="320" spans="1:24" s="39" customFormat="1" ht="16" customHeight="1" x14ac:dyDescent="0.35">
      <c r="A320" s="37" t="s">
        <v>258</v>
      </c>
      <c r="B320" s="37" t="s">
        <v>58</v>
      </c>
      <c r="C320" s="37" t="s">
        <v>1000</v>
      </c>
      <c r="D320" s="78">
        <v>847</v>
      </c>
      <c r="E320" s="37">
        <v>8471305</v>
      </c>
      <c r="F320" s="37" t="s">
        <v>1001</v>
      </c>
      <c r="G320" s="79">
        <v>1</v>
      </c>
      <c r="H320" s="37" t="s">
        <v>619</v>
      </c>
      <c r="I320" s="37" t="s">
        <v>620</v>
      </c>
      <c r="J320" s="37" t="s">
        <v>60</v>
      </c>
      <c r="K320" s="37" t="s">
        <v>50</v>
      </c>
      <c r="L320" s="37">
        <v>847001</v>
      </c>
      <c r="M320" s="37" t="s">
        <v>61</v>
      </c>
      <c r="N320" s="37">
        <v>200179</v>
      </c>
      <c r="O320" s="37" t="str">
        <f t="shared" si="7"/>
        <v>847.8471305.1.425720.000000.847001.200179</v>
      </c>
      <c r="P320" s="37" t="s">
        <v>622</v>
      </c>
      <c r="Q320" s="37" t="s">
        <v>623</v>
      </c>
      <c r="R320" s="37">
        <v>10</v>
      </c>
      <c r="S320" s="37">
        <v>310000</v>
      </c>
      <c r="T320" s="37" t="s">
        <v>1034</v>
      </c>
      <c r="U320" s="37">
        <v>3100000</v>
      </c>
      <c r="V320" s="37" t="s">
        <v>55</v>
      </c>
      <c r="W320" s="37" t="s">
        <v>56</v>
      </c>
      <c r="X320" s="37" t="s">
        <v>384</v>
      </c>
    </row>
    <row r="321" spans="1:24" s="39" customFormat="1" ht="16" customHeight="1" x14ac:dyDescent="0.35">
      <c r="A321" s="37" t="s">
        <v>222</v>
      </c>
      <c r="B321" s="37" t="s">
        <v>58</v>
      </c>
      <c r="C321" s="37" t="s">
        <v>1000</v>
      </c>
      <c r="D321" s="78">
        <v>847</v>
      </c>
      <c r="E321" s="37">
        <v>8471305</v>
      </c>
      <c r="F321" s="37" t="s">
        <v>1001</v>
      </c>
      <c r="G321" s="79">
        <v>1</v>
      </c>
      <c r="H321" s="37" t="s">
        <v>1763</v>
      </c>
      <c r="I321" s="37" t="s">
        <v>1036</v>
      </c>
      <c r="J321" s="37" t="s">
        <v>60</v>
      </c>
      <c r="K321" s="37" t="s">
        <v>50</v>
      </c>
      <c r="L321" s="37">
        <v>847001</v>
      </c>
      <c r="M321" s="37" t="s">
        <v>61</v>
      </c>
      <c r="N321" s="37">
        <v>200179</v>
      </c>
      <c r="O321" s="37" t="str">
        <f t="shared" si="7"/>
        <v>847.8471305.1.425742.000000.847001.200179</v>
      </c>
      <c r="P321" s="37" t="s">
        <v>1038</v>
      </c>
      <c r="Q321" s="37" t="s">
        <v>157</v>
      </c>
      <c r="R321" s="37">
        <v>145</v>
      </c>
      <c r="S321" s="37">
        <v>2100</v>
      </c>
      <c r="T321" s="37" t="s">
        <v>1039</v>
      </c>
      <c r="U321" s="37">
        <v>304500</v>
      </c>
      <c r="V321" s="37" t="s">
        <v>55</v>
      </c>
      <c r="W321" s="37" t="s">
        <v>56</v>
      </c>
      <c r="X321" s="37" t="s">
        <v>384</v>
      </c>
    </row>
    <row r="322" spans="1:24" s="39" customFormat="1" ht="16" customHeight="1" x14ac:dyDescent="0.35">
      <c r="A322" s="37" t="s">
        <v>258</v>
      </c>
      <c r="B322" s="37" t="s">
        <v>58</v>
      </c>
      <c r="C322" s="37" t="s">
        <v>1000</v>
      </c>
      <c r="D322" s="78">
        <v>847</v>
      </c>
      <c r="E322" s="37">
        <v>8471305</v>
      </c>
      <c r="F322" s="37" t="s">
        <v>1001</v>
      </c>
      <c r="G322" s="79">
        <v>1</v>
      </c>
      <c r="H322" s="37" t="s">
        <v>1769</v>
      </c>
      <c r="I322" s="37" t="s">
        <v>1041</v>
      </c>
      <c r="J322" s="37" t="s">
        <v>60</v>
      </c>
      <c r="K322" s="37" t="s">
        <v>50</v>
      </c>
      <c r="L322" s="37">
        <v>847001</v>
      </c>
      <c r="M322" s="37" t="s">
        <v>61</v>
      </c>
      <c r="N322" s="37">
        <v>200179</v>
      </c>
      <c r="O322" s="37" t="str">
        <f t="shared" si="7"/>
        <v>847.8471305.1.425745.000000.847001.200179</v>
      </c>
      <c r="P322" s="37" t="s">
        <v>1043</v>
      </c>
      <c r="Q322" s="37" t="s">
        <v>68</v>
      </c>
      <c r="R322" s="37">
        <v>25</v>
      </c>
      <c r="S322" s="37">
        <v>33000</v>
      </c>
      <c r="T322" s="37" t="s">
        <v>1044</v>
      </c>
      <c r="U322" s="37">
        <v>825000</v>
      </c>
      <c r="V322" s="37" t="s">
        <v>55</v>
      </c>
      <c r="W322" s="37" t="s">
        <v>56</v>
      </c>
      <c r="X322" s="37" t="s">
        <v>384</v>
      </c>
    </row>
    <row r="323" spans="1:24" s="39" customFormat="1" ht="16" customHeight="1" x14ac:dyDescent="0.35">
      <c r="A323" s="37" t="s">
        <v>258</v>
      </c>
      <c r="B323" s="37" t="s">
        <v>58</v>
      </c>
      <c r="C323" s="37" t="s">
        <v>1000</v>
      </c>
      <c r="D323" s="78">
        <v>847</v>
      </c>
      <c r="E323" s="37">
        <v>8471305</v>
      </c>
      <c r="F323" s="37" t="s">
        <v>1001</v>
      </c>
      <c r="G323" s="79">
        <v>1</v>
      </c>
      <c r="H323" s="37" t="s">
        <v>1759</v>
      </c>
      <c r="I323" s="37" t="s">
        <v>1047</v>
      </c>
      <c r="J323" s="37" t="s">
        <v>60</v>
      </c>
      <c r="K323" s="37" t="s">
        <v>50</v>
      </c>
      <c r="L323" s="37">
        <v>847001</v>
      </c>
      <c r="M323" s="37" t="s">
        <v>61</v>
      </c>
      <c r="N323" s="37">
        <v>200179</v>
      </c>
      <c r="O323" s="37" t="str">
        <f t="shared" ref="O323:O386" si="8">CONCATENATE(D323,".",E323,".",G323,".",H323,".",J323,".",L323,".",N323)</f>
        <v>847.8471305.1.425746.000000.847001.200179</v>
      </c>
      <c r="P323" s="37" t="s">
        <v>1049</v>
      </c>
      <c r="Q323" s="37" t="s">
        <v>1050</v>
      </c>
      <c r="R323" s="37">
        <v>90</v>
      </c>
      <c r="S323" s="37">
        <v>4200</v>
      </c>
      <c r="T323" s="37" t="s">
        <v>1051</v>
      </c>
      <c r="U323" s="37">
        <v>378000</v>
      </c>
      <c r="V323" s="37" t="s">
        <v>55</v>
      </c>
      <c r="W323" s="37" t="s">
        <v>56</v>
      </c>
      <c r="X323" s="37" t="s">
        <v>384</v>
      </c>
    </row>
    <row r="324" spans="1:24" s="39" customFormat="1" ht="16" customHeight="1" x14ac:dyDescent="0.35">
      <c r="A324" s="37" t="s">
        <v>258</v>
      </c>
      <c r="B324" s="37" t="s">
        <v>58</v>
      </c>
      <c r="C324" s="37" t="s">
        <v>1000</v>
      </c>
      <c r="D324" s="78">
        <v>847</v>
      </c>
      <c r="E324" s="37">
        <v>8471305</v>
      </c>
      <c r="F324" s="37" t="s">
        <v>1001</v>
      </c>
      <c r="G324" s="79">
        <v>1</v>
      </c>
      <c r="H324" s="37" t="s">
        <v>1770</v>
      </c>
      <c r="I324" s="37" t="s">
        <v>1052</v>
      </c>
      <c r="J324" s="37" t="s">
        <v>60</v>
      </c>
      <c r="K324" s="37" t="s">
        <v>50</v>
      </c>
      <c r="L324" s="37">
        <v>847001</v>
      </c>
      <c r="M324" s="37" t="s">
        <v>61</v>
      </c>
      <c r="N324" s="37">
        <v>200179</v>
      </c>
      <c r="O324" s="37" t="str">
        <f t="shared" si="8"/>
        <v>847.8471305.1.425749.000000.847001.200179</v>
      </c>
      <c r="P324" s="37" t="s">
        <v>1054</v>
      </c>
      <c r="Q324" s="37" t="s">
        <v>1055</v>
      </c>
      <c r="R324" s="37">
        <v>1</v>
      </c>
      <c r="S324" s="37">
        <v>44963600</v>
      </c>
      <c r="T324" s="37" t="s">
        <v>1056</v>
      </c>
      <c r="U324" s="37">
        <v>44963600</v>
      </c>
      <c r="V324" s="37" t="s">
        <v>55</v>
      </c>
      <c r="W324" s="37" t="s">
        <v>56</v>
      </c>
      <c r="X324" s="37" t="s">
        <v>834</v>
      </c>
    </row>
    <row r="325" spans="1:24" s="39" customFormat="1" ht="16" customHeight="1" x14ac:dyDescent="0.35">
      <c r="A325" s="37" t="s">
        <v>258</v>
      </c>
      <c r="B325" s="37" t="s">
        <v>58</v>
      </c>
      <c r="C325" s="37" t="s">
        <v>1000</v>
      </c>
      <c r="D325" s="78">
        <v>847</v>
      </c>
      <c r="E325" s="37">
        <v>8471305</v>
      </c>
      <c r="F325" s="37" t="s">
        <v>1001</v>
      </c>
      <c r="G325" s="79">
        <v>1</v>
      </c>
      <c r="H325" s="37" t="s">
        <v>1755</v>
      </c>
      <c r="I325" s="37" t="s">
        <v>1057</v>
      </c>
      <c r="J325" s="37" t="s">
        <v>60</v>
      </c>
      <c r="K325" s="37" t="s">
        <v>50</v>
      </c>
      <c r="L325" s="37">
        <v>847001</v>
      </c>
      <c r="M325" s="37" t="s">
        <v>61</v>
      </c>
      <c r="N325" s="37">
        <v>200179</v>
      </c>
      <c r="O325" s="37" t="str">
        <f t="shared" si="8"/>
        <v>847.8471305.1.425750.000000.847001.200179</v>
      </c>
      <c r="P325" s="37" t="s">
        <v>1059</v>
      </c>
      <c r="Q325" s="37" t="s">
        <v>441</v>
      </c>
      <c r="R325" s="37">
        <v>145</v>
      </c>
      <c r="S325" s="37">
        <v>20342.300000000003</v>
      </c>
      <c r="T325" s="37" t="s">
        <v>1060</v>
      </c>
      <c r="U325" s="37">
        <v>2949633.5000000005</v>
      </c>
      <c r="V325" s="37" t="s">
        <v>55</v>
      </c>
      <c r="W325" s="37" t="s">
        <v>56</v>
      </c>
      <c r="X325" s="37" t="s">
        <v>384</v>
      </c>
    </row>
    <row r="326" spans="1:24" s="39" customFormat="1" ht="16" customHeight="1" x14ac:dyDescent="0.35">
      <c r="A326" s="37" t="s">
        <v>258</v>
      </c>
      <c r="B326" s="37" t="s">
        <v>58</v>
      </c>
      <c r="C326" s="37" t="s">
        <v>1000</v>
      </c>
      <c r="D326" s="78">
        <v>847</v>
      </c>
      <c r="E326" s="37">
        <v>8471305</v>
      </c>
      <c r="F326" s="37" t="s">
        <v>1001</v>
      </c>
      <c r="G326" s="79">
        <v>1</v>
      </c>
      <c r="H326" s="37" t="s">
        <v>572</v>
      </c>
      <c r="I326" s="37" t="s">
        <v>573</v>
      </c>
      <c r="J326" s="37" t="s">
        <v>60</v>
      </c>
      <c r="K326" s="37" t="s">
        <v>50</v>
      </c>
      <c r="L326" s="37">
        <v>847001</v>
      </c>
      <c r="M326" s="37" t="s">
        <v>61</v>
      </c>
      <c r="N326" s="37">
        <v>200179</v>
      </c>
      <c r="O326" s="37" t="str">
        <f t="shared" si="8"/>
        <v>847.8471305.1.425762.000000.847001.200179</v>
      </c>
      <c r="P326" s="37" t="s">
        <v>1062</v>
      </c>
      <c r="Q326" s="37" t="s">
        <v>68</v>
      </c>
      <c r="R326" s="37">
        <v>29</v>
      </c>
      <c r="S326" s="37">
        <v>125626.6</v>
      </c>
      <c r="T326" s="37" t="s">
        <v>1063</v>
      </c>
      <c r="U326" s="37">
        <v>3643171.4000000004</v>
      </c>
      <c r="V326" s="37" t="s">
        <v>55</v>
      </c>
      <c r="W326" s="37" t="s">
        <v>56</v>
      </c>
      <c r="X326" s="37" t="s">
        <v>384</v>
      </c>
    </row>
    <row r="327" spans="1:24" s="39" customFormat="1" ht="16" customHeight="1" x14ac:dyDescent="0.35">
      <c r="A327" s="37" t="s">
        <v>258</v>
      </c>
      <c r="B327" s="37" t="s">
        <v>58</v>
      </c>
      <c r="C327" s="37" t="s">
        <v>1000</v>
      </c>
      <c r="D327" s="78">
        <v>847</v>
      </c>
      <c r="E327" s="37">
        <v>8471305</v>
      </c>
      <c r="F327" s="37" t="s">
        <v>1001</v>
      </c>
      <c r="G327" s="79">
        <v>1</v>
      </c>
      <c r="H327" s="37" t="s">
        <v>358</v>
      </c>
      <c r="I327" s="37" t="s">
        <v>359</v>
      </c>
      <c r="J327" s="37" t="s">
        <v>60</v>
      </c>
      <c r="K327" s="37" t="s">
        <v>50</v>
      </c>
      <c r="L327" s="37">
        <v>847001</v>
      </c>
      <c r="M327" s="37" t="s">
        <v>61</v>
      </c>
      <c r="N327" s="37">
        <v>200179</v>
      </c>
      <c r="O327" s="37" t="str">
        <f t="shared" si="8"/>
        <v>847.8471305.1.425763.000000.847001.200179</v>
      </c>
      <c r="P327" s="37" t="s">
        <v>361</v>
      </c>
      <c r="Q327" s="37" t="s">
        <v>68</v>
      </c>
      <c r="R327" s="37">
        <v>11</v>
      </c>
      <c r="S327" s="37">
        <v>25679.5</v>
      </c>
      <c r="T327" s="37" t="s">
        <v>1066</v>
      </c>
      <c r="U327" s="37">
        <v>282474.5</v>
      </c>
      <c r="V327" s="37" t="s">
        <v>55</v>
      </c>
      <c r="W327" s="37" t="s">
        <v>56</v>
      </c>
      <c r="X327" s="37" t="s">
        <v>384</v>
      </c>
    </row>
    <row r="328" spans="1:24" s="39" customFormat="1" ht="16" customHeight="1" x14ac:dyDescent="0.35">
      <c r="A328" s="37" t="s">
        <v>189</v>
      </c>
      <c r="B328" s="37" t="s">
        <v>265</v>
      </c>
      <c r="C328" s="37" t="s">
        <v>1000</v>
      </c>
      <c r="D328" s="78">
        <v>847</v>
      </c>
      <c r="E328" s="37">
        <v>8471305</v>
      </c>
      <c r="F328" s="37" t="s">
        <v>1001</v>
      </c>
      <c r="G328" s="79">
        <v>1</v>
      </c>
      <c r="H328" s="37" t="s">
        <v>375</v>
      </c>
      <c r="I328" s="37" t="s">
        <v>266</v>
      </c>
      <c r="J328" s="37" t="s">
        <v>60</v>
      </c>
      <c r="K328" s="37" t="s">
        <v>50</v>
      </c>
      <c r="L328" s="37">
        <v>847001</v>
      </c>
      <c r="M328" s="37" t="s">
        <v>61</v>
      </c>
      <c r="N328" s="37">
        <v>200179</v>
      </c>
      <c r="O328" s="37" t="str">
        <f t="shared" si="8"/>
        <v>847.8471305.1.425900.000000.847001.200179</v>
      </c>
      <c r="P328" s="37" t="s">
        <v>268</v>
      </c>
      <c r="Q328" s="37" t="s">
        <v>269</v>
      </c>
      <c r="R328" s="37">
        <v>25</v>
      </c>
      <c r="S328" s="37">
        <v>16220.600000000002</v>
      </c>
      <c r="T328" s="37" t="s">
        <v>1069</v>
      </c>
      <c r="U328" s="37">
        <v>405515.00000000006</v>
      </c>
      <c r="V328" s="37" t="s">
        <v>55</v>
      </c>
      <c r="W328" s="37" t="s">
        <v>56</v>
      </c>
      <c r="X328" s="37" t="s">
        <v>1020</v>
      </c>
    </row>
    <row r="329" spans="1:24" s="39" customFormat="1" ht="16" customHeight="1" x14ac:dyDescent="0.35">
      <c r="A329" s="37" t="s">
        <v>161</v>
      </c>
      <c r="B329" s="37" t="s">
        <v>58</v>
      </c>
      <c r="C329" s="37" t="s">
        <v>1000</v>
      </c>
      <c r="D329" s="78">
        <v>847</v>
      </c>
      <c r="E329" s="37">
        <v>8471305</v>
      </c>
      <c r="F329" s="37" t="s">
        <v>1001</v>
      </c>
      <c r="G329" s="79">
        <v>1</v>
      </c>
      <c r="H329" s="37" t="s">
        <v>1773</v>
      </c>
      <c r="I329" s="37" t="s">
        <v>1071</v>
      </c>
      <c r="J329" s="37" t="s">
        <v>60</v>
      </c>
      <c r="K329" s="37" t="s">
        <v>50</v>
      </c>
      <c r="L329" s="37">
        <v>847001</v>
      </c>
      <c r="M329" s="37" t="s">
        <v>61</v>
      </c>
      <c r="N329" s="37">
        <v>200179</v>
      </c>
      <c r="O329" s="37" t="str">
        <f t="shared" si="8"/>
        <v>847.8471305.1.426100.000000.847001.200179</v>
      </c>
      <c r="P329" s="37" t="s">
        <v>1073</v>
      </c>
      <c r="Q329" s="37" t="s">
        <v>157</v>
      </c>
      <c r="R329" s="37">
        <v>12</v>
      </c>
      <c r="S329" s="37">
        <v>9350.0000000000018</v>
      </c>
      <c r="T329" s="37" t="s">
        <v>1074</v>
      </c>
      <c r="U329" s="37">
        <v>112200.00000000001</v>
      </c>
      <c r="V329" s="37" t="s">
        <v>55</v>
      </c>
      <c r="W329" s="37" t="s">
        <v>56</v>
      </c>
      <c r="X329" s="37" t="s">
        <v>618</v>
      </c>
    </row>
    <row r="330" spans="1:24" s="39" customFormat="1" ht="16" customHeight="1" x14ac:dyDescent="0.35">
      <c r="A330" s="37" t="s">
        <v>63</v>
      </c>
      <c r="B330" s="37" t="s">
        <v>64</v>
      </c>
      <c r="C330" s="37" t="s">
        <v>1000</v>
      </c>
      <c r="D330" s="78">
        <v>847</v>
      </c>
      <c r="E330" s="37">
        <v>8471305</v>
      </c>
      <c r="F330" s="37" t="s">
        <v>1001</v>
      </c>
      <c r="G330" s="79">
        <v>1</v>
      </c>
      <c r="H330" s="37" t="s">
        <v>380</v>
      </c>
      <c r="I330" s="37" t="s">
        <v>74</v>
      </c>
      <c r="J330" s="37" t="s">
        <v>60</v>
      </c>
      <c r="K330" s="37" t="s">
        <v>50</v>
      </c>
      <c r="L330" s="37">
        <v>847001</v>
      </c>
      <c r="M330" s="37" t="s">
        <v>61</v>
      </c>
      <c r="N330" s="37">
        <v>200179</v>
      </c>
      <c r="O330" s="37" t="str">
        <f t="shared" si="8"/>
        <v>847.8471305.1.426610.000000.847001.200179</v>
      </c>
      <c r="P330" s="37" t="s">
        <v>274</v>
      </c>
      <c r="Q330" s="37" t="s">
        <v>157</v>
      </c>
      <c r="R330" s="37">
        <v>1</v>
      </c>
      <c r="S330" s="37">
        <v>1075099.3</v>
      </c>
      <c r="T330" s="37" t="s">
        <v>1312</v>
      </c>
      <c r="U330" s="37">
        <v>1075099.3</v>
      </c>
      <c r="V330" s="37" t="s">
        <v>55</v>
      </c>
      <c r="W330" s="37" t="s">
        <v>56</v>
      </c>
      <c r="X330" s="37" t="s">
        <v>384</v>
      </c>
    </row>
    <row r="331" spans="1:24" s="39" customFormat="1" ht="16" customHeight="1" x14ac:dyDescent="0.35">
      <c r="A331" s="37" t="s">
        <v>71</v>
      </c>
      <c r="B331" s="37" t="s">
        <v>58</v>
      </c>
      <c r="C331" s="37" t="s">
        <v>1000</v>
      </c>
      <c r="D331" s="78">
        <v>847</v>
      </c>
      <c r="E331" s="37">
        <v>8471305</v>
      </c>
      <c r="F331" s="37" t="s">
        <v>1001</v>
      </c>
      <c r="G331" s="79">
        <v>1</v>
      </c>
      <c r="H331" s="37" t="s">
        <v>1761</v>
      </c>
      <c r="I331" s="37" t="s">
        <v>1080</v>
      </c>
      <c r="J331" s="37" t="s">
        <v>60</v>
      </c>
      <c r="K331" s="37" t="s">
        <v>50</v>
      </c>
      <c r="L331" s="37">
        <v>847001</v>
      </c>
      <c r="M331" s="37" t="s">
        <v>61</v>
      </c>
      <c r="N331" s="37">
        <v>200179</v>
      </c>
      <c r="O331" s="37" t="str">
        <f t="shared" si="8"/>
        <v>847.8471305.1.426900.000000.847001.200179</v>
      </c>
      <c r="P331" s="37" t="s">
        <v>1082</v>
      </c>
      <c r="Q331" s="37" t="s">
        <v>157</v>
      </c>
      <c r="R331" s="37">
        <v>12</v>
      </c>
      <c r="S331" s="37">
        <v>1925.0000000000002</v>
      </c>
      <c r="T331" s="37" t="s">
        <v>1083</v>
      </c>
      <c r="U331" s="37">
        <v>23100.000000000004</v>
      </c>
      <c r="V331" s="37" t="s">
        <v>55</v>
      </c>
      <c r="W331" s="37" t="s">
        <v>56</v>
      </c>
      <c r="X331" s="37" t="s">
        <v>295</v>
      </c>
    </row>
    <row r="332" spans="1:24" s="39" customFormat="1" ht="16" customHeight="1" x14ac:dyDescent="0.35">
      <c r="A332" s="37" t="s">
        <v>245</v>
      </c>
      <c r="B332" s="37" t="s">
        <v>58</v>
      </c>
      <c r="C332" s="37" t="s">
        <v>1000</v>
      </c>
      <c r="D332" s="78">
        <v>847</v>
      </c>
      <c r="E332" s="37">
        <v>8471305</v>
      </c>
      <c r="F332" s="37" t="s">
        <v>1001</v>
      </c>
      <c r="G332" s="79">
        <v>1</v>
      </c>
      <c r="H332" s="37" t="s">
        <v>1774</v>
      </c>
      <c r="I332" s="37" t="s">
        <v>1085</v>
      </c>
      <c r="J332" s="37" t="s">
        <v>60</v>
      </c>
      <c r="K332" s="37" t="s">
        <v>50</v>
      </c>
      <c r="L332" s="37">
        <v>847001</v>
      </c>
      <c r="M332" s="37" t="s">
        <v>61</v>
      </c>
      <c r="N332" s="37">
        <v>200179</v>
      </c>
      <c r="O332" s="37" t="str">
        <f t="shared" si="8"/>
        <v>847.8471305.1.427200.000000.847001.200179</v>
      </c>
      <c r="P332" s="37" t="s">
        <v>1087</v>
      </c>
      <c r="Q332" s="37" t="s">
        <v>269</v>
      </c>
      <c r="R332" s="37">
        <v>45</v>
      </c>
      <c r="S332" s="37">
        <v>16500.000000000004</v>
      </c>
      <c r="T332" s="37" t="s">
        <v>1088</v>
      </c>
      <c r="U332" s="37">
        <v>742500.00000000012</v>
      </c>
      <c r="V332" s="37" t="s">
        <v>55</v>
      </c>
      <c r="W332" s="37" t="s">
        <v>56</v>
      </c>
      <c r="X332" s="37" t="s">
        <v>480</v>
      </c>
    </row>
    <row r="333" spans="1:24" s="39" customFormat="1" ht="16" customHeight="1" x14ac:dyDescent="0.35">
      <c r="A333" s="37" t="s">
        <v>222</v>
      </c>
      <c r="B333" s="37" t="s">
        <v>58</v>
      </c>
      <c r="C333" s="37" t="s">
        <v>1000</v>
      </c>
      <c r="D333" s="78">
        <v>847</v>
      </c>
      <c r="E333" s="37">
        <v>8471305</v>
      </c>
      <c r="F333" s="37" t="s">
        <v>1001</v>
      </c>
      <c r="G333" s="79">
        <v>1</v>
      </c>
      <c r="H333" s="37" t="s">
        <v>1775</v>
      </c>
      <c r="I333" s="37" t="s">
        <v>1090</v>
      </c>
      <c r="J333" s="37" t="s">
        <v>60</v>
      </c>
      <c r="K333" s="37" t="s">
        <v>50</v>
      </c>
      <c r="L333" s="37">
        <v>847001</v>
      </c>
      <c r="M333" s="37" t="s">
        <v>61</v>
      </c>
      <c r="N333" s="37">
        <v>200179</v>
      </c>
      <c r="O333" s="37" t="str">
        <f t="shared" si="8"/>
        <v>847.8471305.1.427710.000000.847001.200179</v>
      </c>
      <c r="P333" s="37" t="s">
        <v>1092</v>
      </c>
      <c r="Q333" s="37" t="s">
        <v>157</v>
      </c>
      <c r="R333" s="37">
        <v>43</v>
      </c>
      <c r="S333" s="37">
        <v>6072.0000000000009</v>
      </c>
      <c r="T333" s="37" t="s">
        <v>1093</v>
      </c>
      <c r="U333" s="37">
        <v>261096.00000000003</v>
      </c>
      <c r="V333" s="37" t="s">
        <v>55</v>
      </c>
      <c r="W333" s="37" t="s">
        <v>56</v>
      </c>
      <c r="X333" s="37" t="s">
        <v>480</v>
      </c>
    </row>
    <row r="334" spans="1:24" s="39" customFormat="1" ht="16" customHeight="1" x14ac:dyDescent="0.35">
      <c r="A334" s="37" t="s">
        <v>63</v>
      </c>
      <c r="B334" s="37" t="s">
        <v>58</v>
      </c>
      <c r="C334" s="37" t="s">
        <v>1000</v>
      </c>
      <c r="D334" s="78">
        <v>847</v>
      </c>
      <c r="E334" s="37">
        <v>8471305</v>
      </c>
      <c r="F334" s="37" t="s">
        <v>1001</v>
      </c>
      <c r="G334" s="79">
        <v>1</v>
      </c>
      <c r="H334" s="37" t="s">
        <v>1742</v>
      </c>
      <c r="I334" s="37" t="s">
        <v>141</v>
      </c>
      <c r="J334" s="37" t="s">
        <v>60</v>
      </c>
      <c r="K334" s="37" t="s">
        <v>50</v>
      </c>
      <c r="L334" s="37">
        <v>847001</v>
      </c>
      <c r="M334" s="37" t="s">
        <v>61</v>
      </c>
      <c r="N334" s="37">
        <v>200179</v>
      </c>
      <c r="O334" s="37" t="str">
        <f t="shared" si="8"/>
        <v>847.8471305.1.427810.000000.847001.200179</v>
      </c>
      <c r="P334" s="37" t="s">
        <v>1340</v>
      </c>
      <c r="Q334" s="37" t="s">
        <v>68</v>
      </c>
      <c r="R334" s="37">
        <v>4</v>
      </c>
      <c r="S334" s="37">
        <v>0</v>
      </c>
      <c r="T334" s="37" t="s">
        <v>1341</v>
      </c>
      <c r="U334" s="37">
        <v>0</v>
      </c>
      <c r="V334" s="37" t="s">
        <v>55</v>
      </c>
      <c r="W334" s="37" t="s">
        <v>56</v>
      </c>
      <c r="X334" s="37" t="s">
        <v>379</v>
      </c>
    </row>
    <row r="335" spans="1:24" s="39" customFormat="1" ht="16" customHeight="1" x14ac:dyDescent="0.35">
      <c r="A335" s="37" t="s">
        <v>153</v>
      </c>
      <c r="B335" s="37" t="s">
        <v>58</v>
      </c>
      <c r="C335" s="37" t="s">
        <v>1000</v>
      </c>
      <c r="D335" s="78">
        <v>847</v>
      </c>
      <c r="E335" s="37">
        <v>8471305</v>
      </c>
      <c r="F335" s="37" t="s">
        <v>1001</v>
      </c>
      <c r="G335" s="79">
        <v>1</v>
      </c>
      <c r="H335" s="37" t="s">
        <v>385</v>
      </c>
      <c r="I335" s="37" t="s">
        <v>154</v>
      </c>
      <c r="J335" s="37" t="s">
        <v>60</v>
      </c>
      <c r="K335" s="37" t="s">
        <v>50</v>
      </c>
      <c r="L335" s="37">
        <v>847001</v>
      </c>
      <c r="M335" s="37" t="s">
        <v>61</v>
      </c>
      <c r="N335" s="37">
        <v>200179</v>
      </c>
      <c r="O335" s="37" t="str">
        <f t="shared" si="8"/>
        <v>847.8471305.1.428090.000000.847001.200179</v>
      </c>
      <c r="P335" s="37" t="s">
        <v>156</v>
      </c>
      <c r="Q335" s="37" t="s">
        <v>157</v>
      </c>
      <c r="R335" s="37">
        <v>30</v>
      </c>
      <c r="S335" s="37">
        <v>30000</v>
      </c>
      <c r="T335" s="37" t="s">
        <v>1096</v>
      </c>
      <c r="U335" s="37">
        <v>495000.00000000006</v>
      </c>
      <c r="V335" s="37" t="s">
        <v>55</v>
      </c>
      <c r="W335" s="37" t="s">
        <v>56</v>
      </c>
      <c r="X335" s="37" t="s">
        <v>237</v>
      </c>
    </row>
    <row r="336" spans="1:24" s="39" customFormat="1" ht="16" customHeight="1" x14ac:dyDescent="0.35">
      <c r="A336" s="37" t="s">
        <v>245</v>
      </c>
      <c r="B336" s="37" t="s">
        <v>246</v>
      </c>
      <c r="C336" s="37" t="s">
        <v>1000</v>
      </c>
      <c r="D336" s="78">
        <v>847</v>
      </c>
      <c r="E336" s="37">
        <v>8471305</v>
      </c>
      <c r="F336" s="37" t="s">
        <v>1001</v>
      </c>
      <c r="G336" s="79">
        <v>1</v>
      </c>
      <c r="H336" s="37" t="s">
        <v>643</v>
      </c>
      <c r="I336" s="37" t="s">
        <v>279</v>
      </c>
      <c r="J336" s="37" t="s">
        <v>60</v>
      </c>
      <c r="K336" s="37" t="s">
        <v>50</v>
      </c>
      <c r="L336" s="37">
        <v>847001</v>
      </c>
      <c r="M336" s="37" t="s">
        <v>61</v>
      </c>
      <c r="N336" s="37">
        <v>200179</v>
      </c>
      <c r="O336" s="37" t="str">
        <f t="shared" si="8"/>
        <v>847.8471305.1.428640.000000.847001.200179</v>
      </c>
      <c r="P336" s="37" t="s">
        <v>281</v>
      </c>
      <c r="Q336" s="37" t="s">
        <v>269</v>
      </c>
      <c r="R336" s="37">
        <v>4</v>
      </c>
      <c r="S336" s="37">
        <v>27500.000000000004</v>
      </c>
      <c r="T336" s="37" t="s">
        <v>1314</v>
      </c>
      <c r="U336" s="37">
        <v>110000.00000000001</v>
      </c>
      <c r="V336" s="37" t="s">
        <v>55</v>
      </c>
      <c r="W336" s="37" t="s">
        <v>56</v>
      </c>
      <c r="X336" s="37" t="s">
        <v>384</v>
      </c>
    </row>
    <row r="337" spans="1:24" s="39" customFormat="1" ht="16" customHeight="1" x14ac:dyDescent="0.35">
      <c r="A337" s="37" t="s">
        <v>63</v>
      </c>
      <c r="B337" s="37" t="s">
        <v>64</v>
      </c>
      <c r="C337" s="37" t="s">
        <v>1000</v>
      </c>
      <c r="D337" s="78">
        <v>847</v>
      </c>
      <c r="E337" s="37">
        <v>8471305</v>
      </c>
      <c r="F337" s="37" t="s">
        <v>1001</v>
      </c>
      <c r="G337" s="79">
        <v>1</v>
      </c>
      <c r="H337" s="37" t="s">
        <v>1745</v>
      </c>
      <c r="I337" s="37" t="s">
        <v>167</v>
      </c>
      <c r="J337" s="37" t="s">
        <v>60</v>
      </c>
      <c r="K337" s="37" t="s">
        <v>50</v>
      </c>
      <c r="L337" s="37">
        <v>847001</v>
      </c>
      <c r="M337" s="37" t="s">
        <v>61</v>
      </c>
      <c r="N337" s="37">
        <v>200179</v>
      </c>
      <c r="O337" s="37" t="str">
        <f t="shared" si="8"/>
        <v>847.8471305.1.432205.000000.847001.200179</v>
      </c>
      <c r="P337" s="37" t="s">
        <v>169</v>
      </c>
      <c r="Q337" s="37" t="s">
        <v>68</v>
      </c>
      <c r="R337" s="37">
        <v>1</v>
      </c>
      <c r="S337" s="37">
        <v>2144450</v>
      </c>
      <c r="T337" s="37" t="s">
        <v>1102</v>
      </c>
      <c r="U337" s="37">
        <v>2144450</v>
      </c>
      <c r="V337" s="37" t="s">
        <v>55</v>
      </c>
      <c r="W337" s="37" t="s">
        <v>56</v>
      </c>
      <c r="X337" s="37" t="s">
        <v>384</v>
      </c>
    </row>
    <row r="338" spans="1:24" s="39" customFormat="1" ht="16" customHeight="1" x14ac:dyDescent="0.35">
      <c r="A338" s="37" t="s">
        <v>222</v>
      </c>
      <c r="B338" s="37" t="s">
        <v>58</v>
      </c>
      <c r="C338" s="37" t="s">
        <v>1000</v>
      </c>
      <c r="D338" s="78">
        <v>847</v>
      </c>
      <c r="E338" s="37">
        <v>8471305</v>
      </c>
      <c r="F338" s="37" t="s">
        <v>1001</v>
      </c>
      <c r="G338" s="79">
        <v>1</v>
      </c>
      <c r="H338" s="37" t="s">
        <v>392</v>
      </c>
      <c r="I338" s="37" t="s">
        <v>393</v>
      </c>
      <c r="J338" s="37" t="s">
        <v>60</v>
      </c>
      <c r="K338" s="37" t="s">
        <v>50</v>
      </c>
      <c r="L338" s="37">
        <v>847001</v>
      </c>
      <c r="M338" s="37" t="s">
        <v>61</v>
      </c>
      <c r="N338" s="37">
        <v>200179</v>
      </c>
      <c r="O338" s="37" t="str">
        <f t="shared" si="8"/>
        <v>847.8471305.1.432209.000000.847001.200179</v>
      </c>
      <c r="P338" s="37" t="s">
        <v>470</v>
      </c>
      <c r="Q338" s="37" t="s">
        <v>157</v>
      </c>
      <c r="R338" s="37">
        <v>4</v>
      </c>
      <c r="S338" s="37">
        <v>165000</v>
      </c>
      <c r="T338" s="37" t="s">
        <v>1315</v>
      </c>
      <c r="U338" s="37">
        <v>660000</v>
      </c>
      <c r="V338" s="37" t="s">
        <v>55</v>
      </c>
      <c r="W338" s="37" t="s">
        <v>56</v>
      </c>
      <c r="X338" s="37" t="s">
        <v>880</v>
      </c>
    </row>
    <row r="339" spans="1:24" s="39" customFormat="1" ht="16" customHeight="1" x14ac:dyDescent="0.35">
      <c r="A339" s="37" t="s">
        <v>46</v>
      </c>
      <c r="B339" s="37" t="s">
        <v>46</v>
      </c>
      <c r="C339" s="37" t="s">
        <v>1000</v>
      </c>
      <c r="D339" s="78">
        <v>847</v>
      </c>
      <c r="E339" s="37">
        <v>8471305</v>
      </c>
      <c r="F339" s="37" t="s">
        <v>1001</v>
      </c>
      <c r="G339" s="79">
        <v>1</v>
      </c>
      <c r="H339" s="37" t="s">
        <v>1776</v>
      </c>
      <c r="I339" s="37" t="s">
        <v>1107</v>
      </c>
      <c r="J339" s="37" t="s">
        <v>60</v>
      </c>
      <c r="K339" s="37" t="s">
        <v>50</v>
      </c>
      <c r="L339" s="37">
        <v>847001</v>
      </c>
      <c r="M339" s="37" t="s">
        <v>61</v>
      </c>
      <c r="N339" s="37">
        <v>200179</v>
      </c>
      <c r="O339" s="37" t="str">
        <f t="shared" si="8"/>
        <v>847.8471305.1.432210.000000.847001.200179</v>
      </c>
      <c r="P339" s="37" t="s">
        <v>1107</v>
      </c>
      <c r="Q339" s="37" t="s">
        <v>62</v>
      </c>
      <c r="R339" s="37">
        <v>4</v>
      </c>
      <c r="S339" s="37">
        <v>55000.000000000007</v>
      </c>
      <c r="T339" s="37" t="s">
        <v>1110</v>
      </c>
      <c r="U339" s="37">
        <v>220000.00000000003</v>
      </c>
      <c r="V339" s="37" t="s">
        <v>55</v>
      </c>
      <c r="W339" s="37" t="s">
        <v>56</v>
      </c>
      <c r="X339" s="37" t="s">
        <v>880</v>
      </c>
    </row>
    <row r="340" spans="1:24" s="39" customFormat="1" ht="16" customHeight="1" x14ac:dyDescent="0.35">
      <c r="A340" s="37" t="s">
        <v>222</v>
      </c>
      <c r="B340" s="37" t="s">
        <v>58</v>
      </c>
      <c r="C340" s="37" t="s">
        <v>1000</v>
      </c>
      <c r="D340" s="78">
        <v>847</v>
      </c>
      <c r="E340" s="37">
        <v>8471305</v>
      </c>
      <c r="F340" s="37" t="s">
        <v>1001</v>
      </c>
      <c r="G340" s="79">
        <v>1</v>
      </c>
      <c r="H340" s="37" t="s">
        <v>1757</v>
      </c>
      <c r="I340" s="37" t="s">
        <v>1111</v>
      </c>
      <c r="J340" s="37" t="s">
        <v>60</v>
      </c>
      <c r="K340" s="37" t="s">
        <v>50</v>
      </c>
      <c r="L340" s="37">
        <v>847001</v>
      </c>
      <c r="M340" s="37" t="s">
        <v>61</v>
      </c>
      <c r="N340" s="37">
        <v>200179</v>
      </c>
      <c r="O340" s="37" t="str">
        <f t="shared" si="8"/>
        <v>847.8471305.1.435330.000000.847001.200179</v>
      </c>
      <c r="P340" s="37" t="s">
        <v>1113</v>
      </c>
      <c r="Q340" s="37" t="s">
        <v>157</v>
      </c>
      <c r="R340" s="37">
        <v>12</v>
      </c>
      <c r="S340" s="37">
        <v>58841.200000000004</v>
      </c>
      <c r="T340" s="37" t="s">
        <v>1114</v>
      </c>
      <c r="U340" s="37">
        <v>706094.4</v>
      </c>
      <c r="V340" s="37" t="s">
        <v>55</v>
      </c>
      <c r="W340" s="37" t="s">
        <v>56</v>
      </c>
      <c r="X340" s="37" t="s">
        <v>384</v>
      </c>
    </row>
    <row r="341" spans="1:24" s="39" customFormat="1" ht="16" customHeight="1" x14ac:dyDescent="0.35">
      <c r="A341" s="37" t="s">
        <v>222</v>
      </c>
      <c r="B341" s="37" t="s">
        <v>58</v>
      </c>
      <c r="C341" s="37" t="s">
        <v>1000</v>
      </c>
      <c r="D341" s="78">
        <v>847</v>
      </c>
      <c r="E341" s="37">
        <v>8471305</v>
      </c>
      <c r="F341" s="37" t="s">
        <v>1001</v>
      </c>
      <c r="G341" s="79">
        <v>1</v>
      </c>
      <c r="H341" s="37" t="s">
        <v>654</v>
      </c>
      <c r="I341" s="37" t="s">
        <v>655</v>
      </c>
      <c r="J341" s="37" t="s">
        <v>60</v>
      </c>
      <c r="K341" s="37" t="s">
        <v>50</v>
      </c>
      <c r="L341" s="37">
        <v>847001</v>
      </c>
      <c r="M341" s="37" t="s">
        <v>61</v>
      </c>
      <c r="N341" s="37">
        <v>200179</v>
      </c>
      <c r="O341" s="37" t="str">
        <f t="shared" si="8"/>
        <v>847.8471305.1.435340.000000.847001.200179</v>
      </c>
      <c r="P341" s="37" t="s">
        <v>1116</v>
      </c>
      <c r="Q341" s="37" t="s">
        <v>1117</v>
      </c>
      <c r="R341" s="38">
        <v>12</v>
      </c>
      <c r="S341" s="37">
        <v>27500</v>
      </c>
      <c r="T341" s="37" t="s">
        <v>1118</v>
      </c>
      <c r="U341" s="37">
        <v>330000</v>
      </c>
      <c r="V341" s="37" t="s">
        <v>55</v>
      </c>
      <c r="W341" s="37" t="s">
        <v>56</v>
      </c>
      <c r="X341" s="37" t="s">
        <v>384</v>
      </c>
    </row>
    <row r="342" spans="1:24" s="39" customFormat="1" ht="16" customHeight="1" x14ac:dyDescent="0.35">
      <c r="A342" s="37" t="s">
        <v>222</v>
      </c>
      <c r="B342" s="37" t="s">
        <v>58</v>
      </c>
      <c r="C342" s="37" t="s">
        <v>1000</v>
      </c>
      <c r="D342" s="78">
        <v>847</v>
      </c>
      <c r="E342" s="37">
        <v>8471305</v>
      </c>
      <c r="F342" s="37" t="s">
        <v>1001</v>
      </c>
      <c r="G342" s="79">
        <v>1</v>
      </c>
      <c r="H342" s="37" t="s">
        <v>398</v>
      </c>
      <c r="I342" s="37" t="s">
        <v>399</v>
      </c>
      <c r="J342" s="37" t="s">
        <v>60</v>
      </c>
      <c r="K342" s="37" t="s">
        <v>50</v>
      </c>
      <c r="L342" s="37">
        <v>847001</v>
      </c>
      <c r="M342" s="37" t="s">
        <v>61</v>
      </c>
      <c r="N342" s="37">
        <v>200179</v>
      </c>
      <c r="O342" s="37" t="str">
        <f t="shared" si="8"/>
        <v>847.8471305.1.435350.000000.847001.200179</v>
      </c>
      <c r="P342" s="37" t="s">
        <v>401</v>
      </c>
      <c r="Q342" s="37" t="s">
        <v>157</v>
      </c>
      <c r="R342" s="38">
        <v>84</v>
      </c>
      <c r="S342" s="37">
        <v>16500</v>
      </c>
      <c r="T342" s="37" t="s">
        <v>1122</v>
      </c>
      <c r="U342" s="37">
        <v>1386000</v>
      </c>
      <c r="V342" s="37" t="s">
        <v>55</v>
      </c>
      <c r="W342" s="37" t="s">
        <v>56</v>
      </c>
      <c r="X342" s="37" t="s">
        <v>480</v>
      </c>
    </row>
    <row r="343" spans="1:24" s="39" customFormat="1" ht="16" customHeight="1" x14ac:dyDescent="0.35">
      <c r="A343" s="37" t="s">
        <v>222</v>
      </c>
      <c r="B343" s="37" t="s">
        <v>220</v>
      </c>
      <c r="C343" s="37" t="s">
        <v>1000</v>
      </c>
      <c r="D343" s="78">
        <v>847</v>
      </c>
      <c r="E343" s="37">
        <v>8471305</v>
      </c>
      <c r="F343" s="37" t="s">
        <v>1001</v>
      </c>
      <c r="G343" s="79">
        <v>1</v>
      </c>
      <c r="H343" s="37" t="s">
        <v>404</v>
      </c>
      <c r="I343" s="37" t="s">
        <v>405</v>
      </c>
      <c r="J343" s="37" t="s">
        <v>60</v>
      </c>
      <c r="K343" s="37" t="s">
        <v>50</v>
      </c>
      <c r="L343" s="37">
        <v>847001</v>
      </c>
      <c r="M343" s="37" t="s">
        <v>61</v>
      </c>
      <c r="N343" s="37">
        <v>200179</v>
      </c>
      <c r="O343" s="37" t="str">
        <f t="shared" si="8"/>
        <v>847.8471305.1.435508.000000.847001.200179</v>
      </c>
      <c r="P343" s="37" t="s">
        <v>407</v>
      </c>
      <c r="Q343" s="37" t="s">
        <v>157</v>
      </c>
      <c r="R343" s="38">
        <v>1</v>
      </c>
      <c r="S343" s="37">
        <v>15485785.700000001</v>
      </c>
      <c r="T343" s="37" t="s">
        <v>1126</v>
      </c>
      <c r="U343" s="37">
        <v>15485785.700000001</v>
      </c>
      <c r="V343" s="37" t="s">
        <v>55</v>
      </c>
      <c r="W343" s="37" t="s">
        <v>56</v>
      </c>
      <c r="X343" s="37" t="s">
        <v>689</v>
      </c>
    </row>
    <row r="344" spans="1:24" s="39" customFormat="1" ht="16" customHeight="1" x14ac:dyDescent="0.35">
      <c r="A344" s="37" t="s">
        <v>222</v>
      </c>
      <c r="B344" s="37" t="s">
        <v>58</v>
      </c>
      <c r="C344" s="37" t="s">
        <v>1000</v>
      </c>
      <c r="D344" s="78">
        <v>847</v>
      </c>
      <c r="E344" s="37">
        <v>8471305</v>
      </c>
      <c r="F344" s="37" t="s">
        <v>1001</v>
      </c>
      <c r="G344" s="79">
        <v>1</v>
      </c>
      <c r="H344" s="37" t="s">
        <v>1754</v>
      </c>
      <c r="I344" s="37" t="s">
        <v>1127</v>
      </c>
      <c r="J344" s="37" t="s">
        <v>60</v>
      </c>
      <c r="K344" s="37" t="s">
        <v>50</v>
      </c>
      <c r="L344" s="37">
        <v>847001</v>
      </c>
      <c r="M344" s="37" t="s">
        <v>61</v>
      </c>
      <c r="N344" s="37">
        <v>200179</v>
      </c>
      <c r="O344" s="37" t="str">
        <f t="shared" si="8"/>
        <v>847.8471305.1.435530.000000.847001.200179</v>
      </c>
      <c r="P344" s="37" t="s">
        <v>1129</v>
      </c>
      <c r="Q344" s="37" t="s">
        <v>157</v>
      </c>
      <c r="R344" s="38">
        <v>1</v>
      </c>
      <c r="S344" s="37">
        <v>247500.00000000003</v>
      </c>
      <c r="T344" s="37" t="s">
        <v>1130</v>
      </c>
      <c r="U344" s="37">
        <v>247500.00000000003</v>
      </c>
      <c r="V344" s="37" t="s">
        <v>55</v>
      </c>
      <c r="W344" s="37" t="s">
        <v>56</v>
      </c>
      <c r="X344" s="37" t="s">
        <v>384</v>
      </c>
    </row>
    <row r="345" spans="1:24" s="39" customFormat="1" ht="16" customHeight="1" x14ac:dyDescent="0.35">
      <c r="A345" s="37" t="s">
        <v>189</v>
      </c>
      <c r="B345" s="37" t="s">
        <v>58</v>
      </c>
      <c r="C345" s="37" t="s">
        <v>1000</v>
      </c>
      <c r="D345" s="78">
        <v>847</v>
      </c>
      <c r="E345" s="37">
        <v>8471305</v>
      </c>
      <c r="F345" s="37" t="s">
        <v>1001</v>
      </c>
      <c r="G345" s="79">
        <v>1</v>
      </c>
      <c r="H345" s="37" t="s">
        <v>1753</v>
      </c>
      <c r="I345" s="37" t="s">
        <v>291</v>
      </c>
      <c r="J345" s="37" t="s">
        <v>60</v>
      </c>
      <c r="K345" s="37" t="s">
        <v>50</v>
      </c>
      <c r="L345" s="37">
        <v>847001</v>
      </c>
      <c r="M345" s="37" t="s">
        <v>61</v>
      </c>
      <c r="N345" s="37">
        <v>200179</v>
      </c>
      <c r="O345" s="37" t="str">
        <f t="shared" si="8"/>
        <v>847.8471305.1.436120.000000.847001.200179</v>
      </c>
      <c r="P345" s="37" t="s">
        <v>1132</v>
      </c>
      <c r="Q345" s="37" t="s">
        <v>157</v>
      </c>
      <c r="R345" s="38">
        <v>64</v>
      </c>
      <c r="S345" s="37">
        <v>5500</v>
      </c>
      <c r="T345" s="37" t="s">
        <v>1133</v>
      </c>
      <c r="U345" s="37">
        <v>352000</v>
      </c>
      <c r="V345" s="37" t="s">
        <v>55</v>
      </c>
      <c r="W345" s="37" t="s">
        <v>56</v>
      </c>
      <c r="X345" s="37" t="s">
        <v>237</v>
      </c>
    </row>
    <row r="346" spans="1:24" s="39" customFormat="1" ht="16" customHeight="1" x14ac:dyDescent="0.35">
      <c r="A346" s="37" t="s">
        <v>189</v>
      </c>
      <c r="B346" s="37" t="s">
        <v>58</v>
      </c>
      <c r="C346" s="37" t="s">
        <v>1000</v>
      </c>
      <c r="D346" s="78">
        <v>847</v>
      </c>
      <c r="E346" s="37">
        <v>8471305</v>
      </c>
      <c r="F346" s="37" t="s">
        <v>1001</v>
      </c>
      <c r="G346" s="79">
        <v>1</v>
      </c>
      <c r="H346" s="37" t="s">
        <v>1777</v>
      </c>
      <c r="I346" s="37" t="s">
        <v>1139</v>
      </c>
      <c r="J346" s="37" t="s">
        <v>60</v>
      </c>
      <c r="K346" s="37" t="s">
        <v>50</v>
      </c>
      <c r="L346" s="37">
        <v>847001</v>
      </c>
      <c r="M346" s="37" t="s">
        <v>61</v>
      </c>
      <c r="N346" s="37">
        <v>200179</v>
      </c>
      <c r="O346" s="37" t="str">
        <f t="shared" si="8"/>
        <v>847.8471305.1.422900.000000.847001.200179</v>
      </c>
      <c r="P346" s="37" t="s">
        <v>1141</v>
      </c>
      <c r="Q346" s="37" t="s">
        <v>1142</v>
      </c>
      <c r="R346" s="37">
        <v>10</v>
      </c>
      <c r="S346" s="37">
        <v>27500</v>
      </c>
      <c r="T346" s="37" t="s">
        <v>1143</v>
      </c>
      <c r="U346" s="37">
        <v>275000</v>
      </c>
      <c r="V346" s="37" t="s">
        <v>55</v>
      </c>
      <c r="W346" s="37" t="s">
        <v>56</v>
      </c>
      <c r="X346" s="37" t="s">
        <v>384</v>
      </c>
    </row>
    <row r="347" spans="1:24" s="39" customFormat="1" ht="16" customHeight="1" x14ac:dyDescent="0.35">
      <c r="A347" s="37" t="s">
        <v>46</v>
      </c>
      <c r="B347" s="37" t="s">
        <v>46</v>
      </c>
      <c r="C347" s="37" t="s">
        <v>1000</v>
      </c>
      <c r="D347" s="78">
        <v>847</v>
      </c>
      <c r="E347" s="37">
        <v>8471305</v>
      </c>
      <c r="F347" s="37" t="s">
        <v>1001</v>
      </c>
      <c r="G347" s="79">
        <v>1</v>
      </c>
      <c r="H347" s="37" t="s">
        <v>409</v>
      </c>
      <c r="I347" s="37" t="s">
        <v>190</v>
      </c>
      <c r="J347" s="37" t="s">
        <v>60</v>
      </c>
      <c r="K347" s="37" t="s">
        <v>50</v>
      </c>
      <c r="L347" s="37">
        <v>847001</v>
      </c>
      <c r="M347" s="37" t="s">
        <v>61</v>
      </c>
      <c r="N347" s="37">
        <v>200179</v>
      </c>
      <c r="O347" s="37" t="str">
        <f t="shared" si="8"/>
        <v>847.8471305.1.436110.000000.847001.200179</v>
      </c>
      <c r="P347" s="37" t="s">
        <v>488</v>
      </c>
      <c r="Q347" s="37" t="s">
        <v>157</v>
      </c>
      <c r="R347" s="37">
        <v>1</v>
      </c>
      <c r="S347" s="37">
        <v>330000</v>
      </c>
      <c r="T347" s="37" t="s">
        <v>1145</v>
      </c>
      <c r="U347" s="37">
        <v>330000</v>
      </c>
      <c r="V347" s="37" t="s">
        <v>55</v>
      </c>
      <c r="W347" s="37" t="s">
        <v>56</v>
      </c>
      <c r="X347" s="37" t="s">
        <v>379</v>
      </c>
    </row>
    <row r="348" spans="1:24" s="39" customFormat="1" ht="16" customHeight="1" x14ac:dyDescent="0.35">
      <c r="A348" s="37" t="s">
        <v>46</v>
      </c>
      <c r="B348" s="37" t="s">
        <v>46</v>
      </c>
      <c r="C348" s="37" t="s">
        <v>1000</v>
      </c>
      <c r="D348" s="78">
        <v>847</v>
      </c>
      <c r="E348" s="37">
        <v>8471305</v>
      </c>
      <c r="F348" s="37" t="s">
        <v>1001</v>
      </c>
      <c r="G348" s="79">
        <v>1</v>
      </c>
      <c r="H348" s="37" t="s">
        <v>1764</v>
      </c>
      <c r="I348" s="37" t="s">
        <v>1146</v>
      </c>
      <c r="J348" s="37" t="s">
        <v>60</v>
      </c>
      <c r="K348" s="37" t="s">
        <v>50</v>
      </c>
      <c r="L348" s="37">
        <v>847001</v>
      </c>
      <c r="M348" s="37" t="s">
        <v>61</v>
      </c>
      <c r="N348" s="37">
        <v>200179</v>
      </c>
      <c r="O348" s="37" t="str">
        <f t="shared" si="8"/>
        <v>847.8471305.1.425100.000000.847001.200179</v>
      </c>
      <c r="P348" s="37" t="s">
        <v>1148</v>
      </c>
      <c r="Q348" s="37"/>
      <c r="R348" s="37">
        <v>1</v>
      </c>
      <c r="S348" s="37">
        <v>1122000</v>
      </c>
      <c r="T348" s="37" t="s">
        <v>1149</v>
      </c>
      <c r="U348" s="37">
        <v>1122000</v>
      </c>
      <c r="V348" s="37" t="s">
        <v>55</v>
      </c>
      <c r="W348" s="37" t="s">
        <v>56</v>
      </c>
      <c r="X348" s="37" t="s">
        <v>237</v>
      </c>
    </row>
    <row r="349" spans="1:24" s="39" customFormat="1" ht="16" customHeight="1" x14ac:dyDescent="0.35">
      <c r="A349" s="37" t="s">
        <v>189</v>
      </c>
      <c r="B349" s="37" t="s">
        <v>58</v>
      </c>
      <c r="C349" s="37" t="s">
        <v>47</v>
      </c>
      <c r="D349" s="78">
        <v>847</v>
      </c>
      <c r="E349" s="37">
        <v>8470620</v>
      </c>
      <c r="F349" s="37" t="s">
        <v>1150</v>
      </c>
      <c r="G349" s="79">
        <v>1</v>
      </c>
      <c r="H349" s="37" t="s">
        <v>1778</v>
      </c>
      <c r="I349" s="37" t="s">
        <v>1151</v>
      </c>
      <c r="J349" s="37" t="s">
        <v>60</v>
      </c>
      <c r="K349" s="37" t="s">
        <v>50</v>
      </c>
      <c r="L349" s="37">
        <v>847001</v>
      </c>
      <c r="M349" s="37" t="s">
        <v>61</v>
      </c>
      <c r="N349" s="37">
        <v>200179</v>
      </c>
      <c r="O349" s="37" t="str">
        <f t="shared" si="8"/>
        <v>847.8470620.1.420130.000000.847001.200179</v>
      </c>
      <c r="P349" s="37" t="s">
        <v>1153</v>
      </c>
      <c r="Q349" s="37" t="s">
        <v>1154</v>
      </c>
      <c r="R349" s="37">
        <v>1</v>
      </c>
      <c r="S349" s="37">
        <v>236850</v>
      </c>
      <c r="T349" s="37" t="s">
        <v>1342</v>
      </c>
      <c r="U349" s="37">
        <v>236850</v>
      </c>
      <c r="V349" s="37" t="s">
        <v>55</v>
      </c>
      <c r="W349" s="37" t="s">
        <v>56</v>
      </c>
      <c r="X349" s="37" t="s">
        <v>272</v>
      </c>
    </row>
    <row r="350" spans="1:24" s="39" customFormat="1" ht="16" customHeight="1" x14ac:dyDescent="0.35">
      <c r="A350" s="37" t="s">
        <v>46</v>
      </c>
      <c r="B350" s="37" t="s">
        <v>58</v>
      </c>
      <c r="C350" s="37" t="s">
        <v>47</v>
      </c>
      <c r="D350" s="78">
        <v>847</v>
      </c>
      <c r="E350" s="37">
        <v>8470620</v>
      </c>
      <c r="F350" s="37" t="s">
        <v>1150</v>
      </c>
      <c r="G350" s="79">
        <v>1</v>
      </c>
      <c r="H350" s="37" t="s">
        <v>1777</v>
      </c>
      <c r="I350" s="37" t="s">
        <v>1157</v>
      </c>
      <c r="J350" s="37" t="s">
        <v>60</v>
      </c>
      <c r="K350" s="37" t="s">
        <v>50</v>
      </c>
      <c r="L350" s="37" t="s">
        <v>51</v>
      </c>
      <c r="M350" s="37" t="s">
        <v>61</v>
      </c>
      <c r="N350" s="37">
        <v>200179</v>
      </c>
      <c r="O350" s="37" t="str">
        <f t="shared" si="8"/>
        <v>847.8470620.1.422900.000000.847001.200179</v>
      </c>
      <c r="P350" s="37" t="s">
        <v>1343</v>
      </c>
      <c r="Q350" s="37" t="s">
        <v>157</v>
      </c>
      <c r="R350" s="37">
        <v>120000</v>
      </c>
      <c r="S350" s="37">
        <v>4</v>
      </c>
      <c r="T350" s="37" t="s">
        <v>1344</v>
      </c>
      <c r="U350" s="37">
        <v>480000</v>
      </c>
      <c r="V350" s="37" t="s">
        <v>55</v>
      </c>
      <c r="W350" s="37" t="s">
        <v>56</v>
      </c>
      <c r="X350" s="37" t="s">
        <v>272</v>
      </c>
    </row>
    <row r="351" spans="1:24" s="39" customFormat="1" ht="16" customHeight="1" x14ac:dyDescent="0.35">
      <c r="A351" s="37" t="s">
        <v>1163</v>
      </c>
      <c r="B351" s="37" t="s">
        <v>58</v>
      </c>
      <c r="C351" s="37" t="s">
        <v>47</v>
      </c>
      <c r="D351" s="78">
        <v>847</v>
      </c>
      <c r="E351" s="37">
        <v>8470620</v>
      </c>
      <c r="F351" s="37" t="s">
        <v>1150</v>
      </c>
      <c r="G351" s="79">
        <v>1</v>
      </c>
      <c r="H351" s="37" t="s">
        <v>1779</v>
      </c>
      <c r="I351" s="37" t="s">
        <v>1164</v>
      </c>
      <c r="J351" s="37" t="s">
        <v>60</v>
      </c>
      <c r="K351" s="37" t="s">
        <v>50</v>
      </c>
      <c r="L351" s="37">
        <v>847001</v>
      </c>
      <c r="M351" s="37" t="s">
        <v>61</v>
      </c>
      <c r="N351" s="37">
        <v>200179</v>
      </c>
      <c r="O351" s="37" t="str">
        <f t="shared" si="8"/>
        <v>847.8470620.1.425300.000000.847001.200179</v>
      </c>
      <c r="P351" s="37" t="s">
        <v>1166</v>
      </c>
      <c r="Q351" s="37" t="s">
        <v>157</v>
      </c>
      <c r="R351" s="37">
        <v>1</v>
      </c>
      <c r="S351" s="37">
        <v>3000</v>
      </c>
      <c r="T351" s="37" t="s">
        <v>1317</v>
      </c>
      <c r="U351" s="37">
        <v>3000</v>
      </c>
      <c r="V351" s="37" t="s">
        <v>55</v>
      </c>
      <c r="W351" s="37" t="s">
        <v>56</v>
      </c>
      <c r="X351" s="37" t="s">
        <v>295</v>
      </c>
    </row>
    <row r="352" spans="1:24" s="39" customFormat="1" ht="16" customHeight="1" x14ac:dyDescent="0.35">
      <c r="A352" s="37" t="s">
        <v>1163</v>
      </c>
      <c r="B352" s="37" t="s">
        <v>58</v>
      </c>
      <c r="C352" s="37" t="s">
        <v>47</v>
      </c>
      <c r="D352" s="78">
        <v>847</v>
      </c>
      <c r="E352" s="37">
        <v>8470620</v>
      </c>
      <c r="F352" s="37" t="s">
        <v>1150</v>
      </c>
      <c r="G352" s="79">
        <v>1</v>
      </c>
      <c r="H352" s="37" t="s">
        <v>1780</v>
      </c>
      <c r="I352" s="37" t="s">
        <v>1169</v>
      </c>
      <c r="J352" s="37" t="s">
        <v>60</v>
      </c>
      <c r="K352" s="37" t="s">
        <v>50</v>
      </c>
      <c r="L352" s="37">
        <v>847001</v>
      </c>
      <c r="M352" s="37" t="s">
        <v>61</v>
      </c>
      <c r="N352" s="37">
        <v>200179</v>
      </c>
      <c r="O352" s="37" t="str">
        <f t="shared" si="8"/>
        <v>847.8470620.1.425350.000000.847001.200179</v>
      </c>
      <c r="P352" s="37" t="s">
        <v>1171</v>
      </c>
      <c r="Q352" s="37" t="s">
        <v>157</v>
      </c>
      <c r="R352" s="37">
        <v>1</v>
      </c>
      <c r="S352" s="37">
        <v>121000</v>
      </c>
      <c r="T352" s="37" t="s">
        <v>1318</v>
      </c>
      <c r="U352" s="37">
        <v>121000</v>
      </c>
      <c r="V352" s="37" t="s">
        <v>55</v>
      </c>
      <c r="W352" s="37" t="s">
        <v>56</v>
      </c>
      <c r="X352" s="37" t="s">
        <v>295</v>
      </c>
    </row>
    <row r="353" spans="1:24" s="39" customFormat="1" ht="16" customHeight="1" x14ac:dyDescent="0.35">
      <c r="A353" s="37" t="s">
        <v>63</v>
      </c>
      <c r="B353" s="37" t="s">
        <v>64</v>
      </c>
      <c r="C353" s="37" t="s">
        <v>47</v>
      </c>
      <c r="D353" s="78">
        <v>847</v>
      </c>
      <c r="E353" s="37">
        <v>8470620</v>
      </c>
      <c r="F353" s="37" t="s">
        <v>1150</v>
      </c>
      <c r="G353" s="79">
        <v>1</v>
      </c>
      <c r="H353" s="37" t="s">
        <v>380</v>
      </c>
      <c r="I353" s="37" t="s">
        <v>74</v>
      </c>
      <c r="J353" s="37" t="s">
        <v>60</v>
      </c>
      <c r="K353" s="37" t="s">
        <v>50</v>
      </c>
      <c r="L353" s="37">
        <v>847001</v>
      </c>
      <c r="M353" s="37" t="s">
        <v>61</v>
      </c>
      <c r="N353" s="37">
        <v>200179</v>
      </c>
      <c r="O353" s="37" t="str">
        <f t="shared" si="8"/>
        <v>847.8470620.1.426610.000000.847001.200179</v>
      </c>
      <c r="P353" s="37" t="s">
        <v>274</v>
      </c>
      <c r="Q353" s="37" t="s">
        <v>157</v>
      </c>
      <c r="R353" s="37">
        <v>11</v>
      </c>
      <c r="S353" s="37">
        <v>2880</v>
      </c>
      <c r="T353" s="37" t="s">
        <v>1345</v>
      </c>
      <c r="U353" s="37">
        <v>31680</v>
      </c>
      <c r="V353" s="37" t="s">
        <v>55</v>
      </c>
      <c r="W353" s="37" t="s">
        <v>56</v>
      </c>
      <c r="X353" s="37" t="s">
        <v>272</v>
      </c>
    </row>
    <row r="354" spans="1:24" s="39" customFormat="1" ht="16" customHeight="1" x14ac:dyDescent="0.35">
      <c r="A354" s="37" t="s">
        <v>189</v>
      </c>
      <c r="B354" s="37" t="s">
        <v>58</v>
      </c>
      <c r="C354" s="37" t="s">
        <v>47</v>
      </c>
      <c r="D354" s="78">
        <v>847</v>
      </c>
      <c r="E354" s="37">
        <v>8470620</v>
      </c>
      <c r="F354" s="37" t="s">
        <v>1150</v>
      </c>
      <c r="G354" s="79">
        <v>1</v>
      </c>
      <c r="H354" s="37" t="s">
        <v>1753</v>
      </c>
      <c r="I354" s="37" t="s">
        <v>291</v>
      </c>
      <c r="J354" s="37" t="s">
        <v>60</v>
      </c>
      <c r="K354" s="37" t="s">
        <v>50</v>
      </c>
      <c r="L354" s="37">
        <v>847001</v>
      </c>
      <c r="M354" s="37" t="s">
        <v>61</v>
      </c>
      <c r="N354" s="37">
        <v>200179</v>
      </c>
      <c r="O354" s="37" t="str">
        <f t="shared" si="8"/>
        <v>847.8470620.1.436120.000000.847001.200179</v>
      </c>
      <c r="P354" s="37" t="s">
        <v>292</v>
      </c>
      <c r="Q354" s="37" t="s">
        <v>157</v>
      </c>
      <c r="R354" s="37">
        <v>5000</v>
      </c>
      <c r="S354" s="37">
        <v>1</v>
      </c>
      <c r="T354" s="37" t="s">
        <v>1320</v>
      </c>
      <c r="U354" s="37">
        <v>5000</v>
      </c>
      <c r="V354" s="37" t="s">
        <v>55</v>
      </c>
      <c r="W354" s="37" t="s">
        <v>56</v>
      </c>
      <c r="X354" s="37" t="s">
        <v>295</v>
      </c>
    </row>
    <row r="355" spans="1:24" s="39" customFormat="1" ht="16" customHeight="1" x14ac:dyDescent="0.35">
      <c r="A355" s="37" t="s">
        <v>189</v>
      </c>
      <c r="B355" s="37" t="s">
        <v>265</v>
      </c>
      <c r="C355" s="37" t="s">
        <v>47</v>
      </c>
      <c r="D355" s="78">
        <v>847</v>
      </c>
      <c r="E355" s="37">
        <v>8470620</v>
      </c>
      <c r="F355" s="37" t="s">
        <v>1150</v>
      </c>
      <c r="G355" s="79">
        <v>1</v>
      </c>
      <c r="H355" s="37" t="s">
        <v>375</v>
      </c>
      <c r="I355" s="37" t="s">
        <v>266</v>
      </c>
      <c r="J355" s="37" t="s">
        <v>60</v>
      </c>
      <c r="K355" s="37" t="s">
        <v>50</v>
      </c>
      <c r="L355" s="37">
        <v>847001</v>
      </c>
      <c r="M355" s="37" t="s">
        <v>61</v>
      </c>
      <c r="N355" s="37">
        <v>200179</v>
      </c>
      <c r="O355" s="37" t="str">
        <f t="shared" si="8"/>
        <v>847.8470620.1.425900.000000.847001.200179</v>
      </c>
      <c r="P355" s="37" t="s">
        <v>268</v>
      </c>
      <c r="Q355" s="37" t="s">
        <v>269</v>
      </c>
      <c r="R355" s="37">
        <v>1</v>
      </c>
      <c r="S355" s="37">
        <v>8000</v>
      </c>
      <c r="T355" s="37" t="s">
        <v>1321</v>
      </c>
      <c r="U355" s="37">
        <v>8000</v>
      </c>
      <c r="V355" s="37" t="s">
        <v>55</v>
      </c>
      <c r="W355" s="37" t="s">
        <v>56</v>
      </c>
      <c r="X355" s="37" t="s">
        <v>272</v>
      </c>
    </row>
    <row r="356" spans="1:24" s="39" customFormat="1" ht="16" customHeight="1" x14ac:dyDescent="0.35">
      <c r="A356" s="37" t="s">
        <v>189</v>
      </c>
      <c r="B356" s="37" t="s">
        <v>58</v>
      </c>
      <c r="C356" s="37" t="s">
        <v>47</v>
      </c>
      <c r="D356" s="78">
        <v>847</v>
      </c>
      <c r="E356" s="37">
        <v>8470630</v>
      </c>
      <c r="F356" s="37" t="s">
        <v>1183</v>
      </c>
      <c r="G356" s="79">
        <v>1</v>
      </c>
      <c r="H356" s="37" t="s">
        <v>1764</v>
      </c>
      <c r="I356" s="37" t="s">
        <v>1184</v>
      </c>
      <c r="J356" s="37" t="s">
        <v>60</v>
      </c>
      <c r="K356" s="37" t="s">
        <v>50</v>
      </c>
      <c r="L356" s="37">
        <v>847001</v>
      </c>
      <c r="M356" s="37" t="s">
        <v>61</v>
      </c>
      <c r="N356" s="37">
        <v>200179</v>
      </c>
      <c r="O356" s="37" t="str">
        <f t="shared" si="8"/>
        <v>847.8470630.1.425100.000000.847001.200179</v>
      </c>
      <c r="P356" s="37" t="s">
        <v>1185</v>
      </c>
      <c r="Q356" s="37" t="s">
        <v>269</v>
      </c>
      <c r="R356" s="37">
        <v>4</v>
      </c>
      <c r="S356" s="37">
        <v>25000</v>
      </c>
      <c r="T356" s="37" t="s">
        <v>1186</v>
      </c>
      <c r="U356" s="37">
        <v>100000</v>
      </c>
      <c r="V356" s="37" t="s">
        <v>55</v>
      </c>
      <c r="W356" s="37" t="s">
        <v>56</v>
      </c>
      <c r="X356" s="37" t="s">
        <v>816</v>
      </c>
    </row>
    <row r="357" spans="1:24" s="39" customFormat="1" ht="16" customHeight="1" x14ac:dyDescent="0.35">
      <c r="A357" s="37" t="s">
        <v>71</v>
      </c>
      <c r="B357" s="37" t="s">
        <v>58</v>
      </c>
      <c r="C357" s="37" t="s">
        <v>47</v>
      </c>
      <c r="D357" s="78">
        <v>847</v>
      </c>
      <c r="E357" s="37">
        <v>8470630</v>
      </c>
      <c r="F357" s="37" t="s">
        <v>1183</v>
      </c>
      <c r="G357" s="79">
        <v>1</v>
      </c>
      <c r="H357" s="37" t="s">
        <v>1751</v>
      </c>
      <c r="I357" s="37" t="s">
        <v>253</v>
      </c>
      <c r="J357" s="37" t="s">
        <v>60</v>
      </c>
      <c r="K357" s="37" t="s">
        <v>50</v>
      </c>
      <c r="L357" s="37">
        <v>847001</v>
      </c>
      <c r="M357" s="37" t="s">
        <v>61</v>
      </c>
      <c r="N357" s="37">
        <v>200179</v>
      </c>
      <c r="O357" s="37" t="str">
        <f t="shared" si="8"/>
        <v>847.8470630.1.425550.000000.847001.200179</v>
      </c>
      <c r="P357" s="37" t="s">
        <v>615</v>
      </c>
      <c r="Q357" s="37" t="s">
        <v>616</v>
      </c>
      <c r="R357" s="37">
        <v>4</v>
      </c>
      <c r="S357" s="37">
        <v>50000</v>
      </c>
      <c r="T357" s="37" t="s">
        <v>1188</v>
      </c>
      <c r="U357" s="37">
        <v>200000</v>
      </c>
      <c r="V357" s="37" t="s">
        <v>55</v>
      </c>
      <c r="W357" s="37" t="s">
        <v>56</v>
      </c>
      <c r="X357" s="37" t="s">
        <v>816</v>
      </c>
    </row>
    <row r="358" spans="1:24" s="39" customFormat="1" ht="16" customHeight="1" x14ac:dyDescent="0.35">
      <c r="A358" s="37" t="s">
        <v>189</v>
      </c>
      <c r="B358" s="37" t="s">
        <v>58</v>
      </c>
      <c r="C358" s="37" t="s">
        <v>47</v>
      </c>
      <c r="D358" s="78">
        <v>847</v>
      </c>
      <c r="E358" s="37">
        <v>8470630</v>
      </c>
      <c r="F358" s="37" t="s">
        <v>1183</v>
      </c>
      <c r="G358" s="79">
        <v>1</v>
      </c>
      <c r="H358" s="37" t="s">
        <v>1774</v>
      </c>
      <c r="I358" s="37" t="s">
        <v>1085</v>
      </c>
      <c r="J358" s="37" t="s">
        <v>60</v>
      </c>
      <c r="K358" s="37" t="s">
        <v>50</v>
      </c>
      <c r="L358" s="37">
        <v>847001</v>
      </c>
      <c r="M358" s="37" t="s">
        <v>61</v>
      </c>
      <c r="N358" s="37">
        <v>200179</v>
      </c>
      <c r="O358" s="37" t="str">
        <f t="shared" si="8"/>
        <v>847.8470630.1.427200.000000.847001.200179</v>
      </c>
      <c r="P358" s="37" t="s">
        <v>1087</v>
      </c>
      <c r="Q358" s="37" t="s">
        <v>269</v>
      </c>
      <c r="R358" s="37">
        <v>10</v>
      </c>
      <c r="S358" s="37">
        <v>1000</v>
      </c>
      <c r="T358" s="37" t="s">
        <v>1189</v>
      </c>
      <c r="U358" s="37">
        <v>10000</v>
      </c>
      <c r="V358" s="37" t="s">
        <v>55</v>
      </c>
      <c r="W358" s="37" t="s">
        <v>56</v>
      </c>
      <c r="X358" s="37" t="s">
        <v>816</v>
      </c>
    </row>
    <row r="359" spans="1:24" s="39" customFormat="1" ht="16" customHeight="1" x14ac:dyDescent="0.35">
      <c r="A359" s="37" t="s">
        <v>189</v>
      </c>
      <c r="B359" s="37" t="s">
        <v>58</v>
      </c>
      <c r="C359" s="37" t="s">
        <v>47</v>
      </c>
      <c r="D359" s="78">
        <v>847</v>
      </c>
      <c r="E359" s="37">
        <v>8470630</v>
      </c>
      <c r="F359" s="37" t="s">
        <v>1183</v>
      </c>
      <c r="G359" s="79">
        <v>1</v>
      </c>
      <c r="H359" s="37" t="s">
        <v>415</v>
      </c>
      <c r="I359" s="37" t="s">
        <v>416</v>
      </c>
      <c r="J359" s="37" t="s">
        <v>60</v>
      </c>
      <c r="K359" s="37" t="s">
        <v>50</v>
      </c>
      <c r="L359" s="37" t="s">
        <v>51</v>
      </c>
      <c r="M359" s="37" t="s">
        <v>61</v>
      </c>
      <c r="N359" s="37">
        <v>200179</v>
      </c>
      <c r="O359" s="37" t="str">
        <f t="shared" si="8"/>
        <v>847.8470630.1.436600.000000.847001.200179</v>
      </c>
      <c r="P359" s="37" t="s">
        <v>418</v>
      </c>
      <c r="Q359" s="37" t="s">
        <v>157</v>
      </c>
      <c r="R359" s="37">
        <v>4</v>
      </c>
      <c r="S359" s="37">
        <v>3000</v>
      </c>
      <c r="T359" s="37"/>
      <c r="U359" s="37">
        <v>12000</v>
      </c>
      <c r="V359" s="37" t="s">
        <v>210</v>
      </c>
      <c r="W359" s="37" t="s">
        <v>197</v>
      </c>
      <c r="X359" s="37" t="s">
        <v>816</v>
      </c>
    </row>
    <row r="360" spans="1:24" s="39" customFormat="1" ht="16" customHeight="1" x14ac:dyDescent="0.35">
      <c r="A360" s="37" t="s">
        <v>189</v>
      </c>
      <c r="B360" s="37" t="s">
        <v>265</v>
      </c>
      <c r="C360" s="37" t="s">
        <v>47</v>
      </c>
      <c r="D360" s="78">
        <v>847</v>
      </c>
      <c r="E360" s="37">
        <v>8470730</v>
      </c>
      <c r="F360" s="37" t="s">
        <v>1190</v>
      </c>
      <c r="G360" s="79">
        <v>1</v>
      </c>
      <c r="H360" s="37" t="s">
        <v>380</v>
      </c>
      <c r="I360" s="37" t="s">
        <v>74</v>
      </c>
      <c r="J360" s="37" t="s">
        <v>60</v>
      </c>
      <c r="K360" s="37" t="s">
        <v>50</v>
      </c>
      <c r="L360" s="37">
        <v>847001</v>
      </c>
      <c r="M360" s="37" t="s">
        <v>61</v>
      </c>
      <c r="N360" s="37">
        <v>200179</v>
      </c>
      <c r="O360" s="37" t="str">
        <f t="shared" si="8"/>
        <v>847.8470730.1.426610.000000.847001.200179</v>
      </c>
      <c r="P360" s="37" t="s">
        <v>274</v>
      </c>
      <c r="Q360" s="37" t="s">
        <v>1109</v>
      </c>
      <c r="R360" s="37">
        <v>1</v>
      </c>
      <c r="S360" s="37">
        <v>175000</v>
      </c>
      <c r="T360" s="37" t="s">
        <v>1196</v>
      </c>
      <c r="U360" s="37">
        <v>175000</v>
      </c>
      <c r="V360" s="37" t="s">
        <v>55</v>
      </c>
      <c r="W360" s="37" t="s">
        <v>56</v>
      </c>
      <c r="X360" s="37" t="s">
        <v>816</v>
      </c>
    </row>
    <row r="361" spans="1:24" s="39" customFormat="1" ht="16" customHeight="1" x14ac:dyDescent="0.35">
      <c r="A361" s="37" t="s">
        <v>63</v>
      </c>
      <c r="B361" s="37" t="s">
        <v>64</v>
      </c>
      <c r="C361" s="37" t="s">
        <v>47</v>
      </c>
      <c r="D361" s="78">
        <v>847</v>
      </c>
      <c r="E361" s="37">
        <v>8470730</v>
      </c>
      <c r="F361" s="37" t="s">
        <v>1190</v>
      </c>
      <c r="G361" s="79">
        <v>1</v>
      </c>
      <c r="H361" s="37" t="s">
        <v>380</v>
      </c>
      <c r="I361" s="37" t="s">
        <v>74</v>
      </c>
      <c r="J361" s="37" t="s">
        <v>60</v>
      </c>
      <c r="K361" s="37" t="s">
        <v>50</v>
      </c>
      <c r="L361" s="37">
        <v>847001</v>
      </c>
      <c r="M361" s="37" t="s">
        <v>61</v>
      </c>
      <c r="N361" s="37">
        <v>200179</v>
      </c>
      <c r="O361" s="37" t="str">
        <f t="shared" si="8"/>
        <v>847.8470730.1.426610.000000.847001.200179</v>
      </c>
      <c r="P361" s="37" t="s">
        <v>274</v>
      </c>
      <c r="Q361" s="37" t="s">
        <v>1109</v>
      </c>
      <c r="R361" s="37">
        <v>1</v>
      </c>
      <c r="S361" s="37">
        <v>300000</v>
      </c>
      <c r="T361" s="37" t="s">
        <v>1200</v>
      </c>
      <c r="U361" s="37">
        <v>300000</v>
      </c>
      <c r="V361" s="37" t="s">
        <v>55</v>
      </c>
      <c r="W361" s="37" t="s">
        <v>56</v>
      </c>
      <c r="X361" s="37" t="s">
        <v>816</v>
      </c>
    </row>
    <row r="362" spans="1:24" s="39" customFormat="1" ht="16" customHeight="1" x14ac:dyDescent="0.35">
      <c r="A362" s="37" t="s">
        <v>189</v>
      </c>
      <c r="B362" s="37" t="s">
        <v>58</v>
      </c>
      <c r="C362" s="37" t="s">
        <v>47</v>
      </c>
      <c r="D362" s="78">
        <v>847</v>
      </c>
      <c r="E362" s="37">
        <v>8470730</v>
      </c>
      <c r="F362" s="37" t="s">
        <v>1190</v>
      </c>
      <c r="G362" s="79">
        <v>1</v>
      </c>
      <c r="H362" s="37" t="s">
        <v>1781</v>
      </c>
      <c r="I362" s="37" t="s">
        <v>1205</v>
      </c>
      <c r="J362" s="37" t="s">
        <v>60</v>
      </c>
      <c r="K362" s="37" t="s">
        <v>50</v>
      </c>
      <c r="L362" s="37">
        <v>847001</v>
      </c>
      <c r="M362" s="37" t="s">
        <v>61</v>
      </c>
      <c r="N362" s="37">
        <v>200179</v>
      </c>
      <c r="O362" s="37" t="str">
        <f t="shared" si="8"/>
        <v>847.8470730.1.427900.000000.847001.200179</v>
      </c>
      <c r="P362" s="37" t="s">
        <v>1207</v>
      </c>
      <c r="Q362" s="37" t="s">
        <v>1109</v>
      </c>
      <c r="R362" s="37">
        <v>100</v>
      </c>
      <c r="S362" s="37">
        <v>100</v>
      </c>
      <c r="T362" s="37" t="s">
        <v>1208</v>
      </c>
      <c r="U362" s="37">
        <v>10000</v>
      </c>
      <c r="V362" s="37" t="s">
        <v>55</v>
      </c>
      <c r="W362" s="37" t="s">
        <v>56</v>
      </c>
      <c r="X362" s="37" t="s">
        <v>816</v>
      </c>
    </row>
    <row r="363" spans="1:24" s="39" customFormat="1" ht="16" customHeight="1" x14ac:dyDescent="0.35">
      <c r="A363" s="37" t="s">
        <v>245</v>
      </c>
      <c r="B363" s="37" t="s">
        <v>246</v>
      </c>
      <c r="C363" s="37" t="s">
        <v>47</v>
      </c>
      <c r="D363" s="78">
        <v>847</v>
      </c>
      <c r="E363" s="37">
        <v>8470730</v>
      </c>
      <c r="F363" s="37" t="s">
        <v>1190</v>
      </c>
      <c r="G363" s="79">
        <v>1</v>
      </c>
      <c r="H363" s="37" t="s">
        <v>643</v>
      </c>
      <c r="I363" s="37" t="s">
        <v>279</v>
      </c>
      <c r="J363" s="37" t="s">
        <v>60</v>
      </c>
      <c r="K363" s="37" t="s">
        <v>50</v>
      </c>
      <c r="L363" s="37">
        <v>847001</v>
      </c>
      <c r="M363" s="37" t="s">
        <v>61</v>
      </c>
      <c r="N363" s="37">
        <v>200179</v>
      </c>
      <c r="O363" s="37" t="str">
        <f t="shared" si="8"/>
        <v>847.8470730.1.428640.000000.847001.200179</v>
      </c>
      <c r="P363" s="37" t="s">
        <v>281</v>
      </c>
      <c r="Q363" s="37" t="s">
        <v>1109</v>
      </c>
      <c r="R363" s="37">
        <v>1</v>
      </c>
      <c r="S363" s="37">
        <v>500000</v>
      </c>
      <c r="T363" s="37" t="s">
        <v>1202</v>
      </c>
      <c r="U363" s="37">
        <v>500000</v>
      </c>
      <c r="V363" s="37" t="s">
        <v>55</v>
      </c>
      <c r="W363" s="37" t="s">
        <v>56</v>
      </c>
      <c r="X363" s="37" t="s">
        <v>816</v>
      </c>
    </row>
    <row r="364" spans="1:24" s="39" customFormat="1" ht="16" customHeight="1" x14ac:dyDescent="0.35">
      <c r="A364" s="37" t="s">
        <v>189</v>
      </c>
      <c r="B364" s="37" t="s">
        <v>58</v>
      </c>
      <c r="C364" s="37" t="s">
        <v>47</v>
      </c>
      <c r="D364" s="78">
        <v>847</v>
      </c>
      <c r="E364" s="37">
        <v>8470730</v>
      </c>
      <c r="F364" s="37" t="s">
        <v>1190</v>
      </c>
      <c r="G364" s="79">
        <v>1</v>
      </c>
      <c r="H364" s="37" t="s">
        <v>409</v>
      </c>
      <c r="I364" s="37" t="s">
        <v>190</v>
      </c>
      <c r="J364" s="37" t="s">
        <v>60</v>
      </c>
      <c r="K364" s="37" t="s">
        <v>50</v>
      </c>
      <c r="L364" s="37">
        <v>847001</v>
      </c>
      <c r="M364" s="37" t="s">
        <v>61</v>
      </c>
      <c r="N364" s="37">
        <v>200179</v>
      </c>
      <c r="O364" s="37" t="str">
        <f t="shared" si="8"/>
        <v>847.8470730.1.436110.000000.847001.200179</v>
      </c>
      <c r="P364" s="37" t="s">
        <v>488</v>
      </c>
      <c r="Q364" s="37" t="s">
        <v>1109</v>
      </c>
      <c r="R364" s="37">
        <v>100</v>
      </c>
      <c r="S364" s="37">
        <v>100</v>
      </c>
      <c r="T364" s="37" t="s">
        <v>1204</v>
      </c>
      <c r="U364" s="37">
        <v>10000</v>
      </c>
      <c r="V364" s="37" t="s">
        <v>55</v>
      </c>
      <c r="W364" s="37" t="s">
        <v>56</v>
      </c>
      <c r="X364" s="37" t="s">
        <v>816</v>
      </c>
    </row>
    <row r="365" spans="1:24" s="39" customFormat="1" ht="16" customHeight="1" x14ac:dyDescent="0.35">
      <c r="A365" s="37" t="s">
        <v>189</v>
      </c>
      <c r="B365" s="37" t="s">
        <v>265</v>
      </c>
      <c r="C365" s="37" t="s">
        <v>1209</v>
      </c>
      <c r="D365" s="78">
        <v>847</v>
      </c>
      <c r="E365" s="37">
        <v>8471110</v>
      </c>
      <c r="F365" s="37" t="s">
        <v>1210</v>
      </c>
      <c r="G365" s="79">
        <v>1</v>
      </c>
      <c r="H365" s="37" t="s">
        <v>375</v>
      </c>
      <c r="I365" s="37" t="s">
        <v>266</v>
      </c>
      <c r="J365" s="37" t="s">
        <v>60</v>
      </c>
      <c r="K365" s="37" t="s">
        <v>50</v>
      </c>
      <c r="L365" s="37">
        <v>847001</v>
      </c>
      <c r="M365" s="37" t="s">
        <v>61</v>
      </c>
      <c r="N365" s="37">
        <v>200179</v>
      </c>
      <c r="O365" s="37" t="str">
        <f t="shared" si="8"/>
        <v>847.8471110.1.425900.000000.847001.200179</v>
      </c>
      <c r="P365" s="37" t="s">
        <v>268</v>
      </c>
      <c r="Q365" s="37" t="s">
        <v>269</v>
      </c>
      <c r="R365" s="37">
        <v>10</v>
      </c>
      <c r="S365" s="37">
        <v>3000</v>
      </c>
      <c r="T365" s="37" t="s">
        <v>1212</v>
      </c>
      <c r="U365" s="37">
        <v>30000</v>
      </c>
      <c r="V365" s="37" t="s">
        <v>55</v>
      </c>
      <c r="W365" s="37" t="s">
        <v>56</v>
      </c>
      <c r="X365" s="37" t="s">
        <v>618</v>
      </c>
    </row>
    <row r="366" spans="1:24" s="39" customFormat="1" ht="16" customHeight="1" x14ac:dyDescent="0.35">
      <c r="A366" s="37" t="s">
        <v>222</v>
      </c>
      <c r="B366" s="37" t="s">
        <v>58</v>
      </c>
      <c r="C366" s="37" t="s">
        <v>1209</v>
      </c>
      <c r="D366" s="78">
        <v>847</v>
      </c>
      <c r="E366" s="37">
        <v>8471110</v>
      </c>
      <c r="F366" s="37" t="s">
        <v>1210</v>
      </c>
      <c r="G366" s="79">
        <v>1</v>
      </c>
      <c r="H366" s="37" t="s">
        <v>1775</v>
      </c>
      <c r="I366" s="37" t="s">
        <v>1090</v>
      </c>
      <c r="J366" s="37" t="s">
        <v>60</v>
      </c>
      <c r="K366" s="37" t="s">
        <v>50</v>
      </c>
      <c r="L366" s="37">
        <v>847001</v>
      </c>
      <c r="M366" s="37" t="s">
        <v>61</v>
      </c>
      <c r="N366" s="37">
        <v>200179</v>
      </c>
      <c r="O366" s="37" t="str">
        <f t="shared" si="8"/>
        <v>847.8471110.1.427710.000000.847001.200179</v>
      </c>
      <c r="P366" s="37" t="s">
        <v>1092</v>
      </c>
      <c r="Q366" s="37" t="s">
        <v>157</v>
      </c>
      <c r="R366" s="37">
        <v>5</v>
      </c>
      <c r="S366" s="37">
        <v>77942</v>
      </c>
      <c r="T366" s="37" t="s">
        <v>1216</v>
      </c>
      <c r="U366" s="37">
        <v>389707</v>
      </c>
      <c r="V366" s="37" t="s">
        <v>55</v>
      </c>
      <c r="W366" s="37" t="s">
        <v>56</v>
      </c>
      <c r="X366" s="37" t="s">
        <v>391</v>
      </c>
    </row>
    <row r="367" spans="1:24" s="39" customFormat="1" ht="16" customHeight="1" x14ac:dyDescent="0.35">
      <c r="A367" s="37" t="s">
        <v>153</v>
      </c>
      <c r="B367" s="37" t="s">
        <v>58</v>
      </c>
      <c r="C367" s="37" t="s">
        <v>1209</v>
      </c>
      <c r="D367" s="78">
        <v>847</v>
      </c>
      <c r="E367" s="37">
        <v>8471110</v>
      </c>
      <c r="F367" s="37" t="s">
        <v>1210</v>
      </c>
      <c r="G367" s="79">
        <v>1</v>
      </c>
      <c r="H367" s="37" t="s">
        <v>385</v>
      </c>
      <c r="I367" s="37" t="s">
        <v>154</v>
      </c>
      <c r="J367" s="37" t="s">
        <v>60</v>
      </c>
      <c r="K367" s="37" t="s">
        <v>50</v>
      </c>
      <c r="L367" s="37">
        <v>847001</v>
      </c>
      <c r="M367" s="37" t="s">
        <v>61</v>
      </c>
      <c r="N367" s="37">
        <v>200179</v>
      </c>
      <c r="O367" s="37" t="str">
        <f t="shared" si="8"/>
        <v>847.8471110.1.428090.000000.847001.200179</v>
      </c>
      <c r="P367" s="37" t="s">
        <v>156</v>
      </c>
      <c r="Q367" s="37" t="s">
        <v>157</v>
      </c>
      <c r="R367" s="37">
        <v>5</v>
      </c>
      <c r="S367" s="37">
        <v>30000</v>
      </c>
      <c r="T367" s="37" t="s">
        <v>1221</v>
      </c>
      <c r="U367" s="37">
        <v>150000</v>
      </c>
      <c r="V367" s="37" t="s">
        <v>55</v>
      </c>
      <c r="W367" s="37" t="s">
        <v>56</v>
      </c>
      <c r="X367" s="37" t="s">
        <v>237</v>
      </c>
    </row>
    <row r="368" spans="1:24" s="39" customFormat="1" ht="16" customHeight="1" x14ac:dyDescent="0.35">
      <c r="A368" s="37" t="s">
        <v>63</v>
      </c>
      <c r="B368" s="37" t="s">
        <v>64</v>
      </c>
      <c r="C368" s="37" t="s">
        <v>1209</v>
      </c>
      <c r="D368" s="78">
        <v>847</v>
      </c>
      <c r="E368" s="37">
        <v>8471130</v>
      </c>
      <c r="F368" s="37" t="s">
        <v>1225</v>
      </c>
      <c r="G368" s="79">
        <v>1</v>
      </c>
      <c r="H368" s="37" t="s">
        <v>1741</v>
      </c>
      <c r="I368" s="37" t="s">
        <v>65</v>
      </c>
      <c r="J368" s="37" t="s">
        <v>60</v>
      </c>
      <c r="K368" s="37" t="s">
        <v>50</v>
      </c>
      <c r="L368" s="37">
        <v>847001</v>
      </c>
      <c r="M368" s="37" t="s">
        <v>61</v>
      </c>
      <c r="N368" s="37">
        <v>200179</v>
      </c>
      <c r="O368" s="37" t="str">
        <f t="shared" si="8"/>
        <v>847.8471130.1.420811.000000.847001.200179</v>
      </c>
      <c r="P368" s="37" t="s">
        <v>67</v>
      </c>
      <c r="Q368" s="37" t="s">
        <v>68</v>
      </c>
      <c r="R368" s="37">
        <v>12</v>
      </c>
      <c r="S368" s="37">
        <v>15000</v>
      </c>
      <c r="T368" s="37" t="s">
        <v>1326</v>
      </c>
      <c r="U368" s="37">
        <v>180000</v>
      </c>
      <c r="V368" s="37" t="s">
        <v>55</v>
      </c>
      <c r="W368" s="37" t="s">
        <v>56</v>
      </c>
      <c r="X368" s="37" t="s">
        <v>689</v>
      </c>
    </row>
    <row r="369" spans="1:24" s="39" customFormat="1" ht="16" customHeight="1" x14ac:dyDescent="0.35">
      <c r="A369" s="37" t="s">
        <v>63</v>
      </c>
      <c r="B369" s="37" t="s">
        <v>64</v>
      </c>
      <c r="C369" s="37" t="s">
        <v>1209</v>
      </c>
      <c r="D369" s="78">
        <v>847</v>
      </c>
      <c r="E369" s="37">
        <v>8471130</v>
      </c>
      <c r="F369" s="37" t="s">
        <v>1225</v>
      </c>
      <c r="G369" s="79">
        <v>1</v>
      </c>
      <c r="H369" s="37" t="s">
        <v>380</v>
      </c>
      <c r="I369" s="37" t="s">
        <v>74</v>
      </c>
      <c r="J369" s="37" t="s">
        <v>60</v>
      </c>
      <c r="K369" s="37" t="s">
        <v>50</v>
      </c>
      <c r="L369" s="37">
        <v>847001</v>
      </c>
      <c r="M369" s="37" t="s">
        <v>61</v>
      </c>
      <c r="N369" s="37">
        <v>200179</v>
      </c>
      <c r="O369" s="37" t="str">
        <f t="shared" si="8"/>
        <v>847.8471130.1.426610.000000.847001.200179</v>
      </c>
      <c r="P369" s="37" t="s">
        <v>615</v>
      </c>
      <c r="Q369" s="37" t="s">
        <v>616</v>
      </c>
      <c r="R369" s="37">
        <v>6</v>
      </c>
      <c r="S369" s="37">
        <v>20000</v>
      </c>
      <c r="T369" s="37" t="s">
        <v>1327</v>
      </c>
      <c r="U369" s="37">
        <v>120000</v>
      </c>
      <c r="V369" s="37" t="s">
        <v>55</v>
      </c>
      <c r="W369" s="37" t="s">
        <v>56</v>
      </c>
      <c r="X369" s="37" t="s">
        <v>391</v>
      </c>
    </row>
    <row r="370" spans="1:24" s="39" customFormat="1" ht="16" customHeight="1" x14ac:dyDescent="0.35">
      <c r="A370" s="37" t="s">
        <v>189</v>
      </c>
      <c r="B370" s="37" t="s">
        <v>58</v>
      </c>
      <c r="C370" s="37" t="s">
        <v>1209</v>
      </c>
      <c r="D370" s="78">
        <v>847</v>
      </c>
      <c r="E370" s="37">
        <v>8471130</v>
      </c>
      <c r="F370" s="37" t="s">
        <v>1225</v>
      </c>
      <c r="G370" s="79">
        <v>1</v>
      </c>
      <c r="H370" s="37" t="s">
        <v>1781</v>
      </c>
      <c r="I370" s="37" t="s">
        <v>1205</v>
      </c>
      <c r="J370" s="37" t="s">
        <v>60</v>
      </c>
      <c r="K370" s="37" t="s">
        <v>50</v>
      </c>
      <c r="L370" s="37">
        <v>847001</v>
      </c>
      <c r="M370" s="37" t="s">
        <v>61</v>
      </c>
      <c r="N370" s="37">
        <v>200179</v>
      </c>
      <c r="O370" s="37" t="str">
        <f t="shared" si="8"/>
        <v>847.8471130.1.427900.000000.847001.200179</v>
      </c>
      <c r="P370" s="37" t="s">
        <v>1235</v>
      </c>
      <c r="Q370" s="37" t="s">
        <v>157</v>
      </c>
      <c r="R370" s="37">
        <v>1</v>
      </c>
      <c r="S370" s="37">
        <v>187500</v>
      </c>
      <c r="T370" s="37" t="s">
        <v>1327</v>
      </c>
      <c r="U370" s="37">
        <v>187500</v>
      </c>
      <c r="V370" s="37" t="s">
        <v>55</v>
      </c>
      <c r="W370" s="37" t="s">
        <v>56</v>
      </c>
      <c r="X370" s="37" t="s">
        <v>391</v>
      </c>
    </row>
    <row r="371" spans="1:24" s="39" customFormat="1" ht="16" customHeight="1" x14ac:dyDescent="0.35">
      <c r="A371" s="37" t="s">
        <v>153</v>
      </c>
      <c r="B371" s="37" t="s">
        <v>58</v>
      </c>
      <c r="C371" s="37" t="s">
        <v>1209</v>
      </c>
      <c r="D371" s="78">
        <v>847</v>
      </c>
      <c r="E371" s="37">
        <v>8471130</v>
      </c>
      <c r="F371" s="37" t="s">
        <v>1225</v>
      </c>
      <c r="G371" s="79">
        <v>1</v>
      </c>
      <c r="H371" s="37" t="s">
        <v>385</v>
      </c>
      <c r="I371" s="37" t="s">
        <v>154</v>
      </c>
      <c r="J371" s="37" t="s">
        <v>60</v>
      </c>
      <c r="K371" s="37" t="s">
        <v>50</v>
      </c>
      <c r="L371" s="37">
        <v>847001</v>
      </c>
      <c r="M371" s="37" t="s">
        <v>61</v>
      </c>
      <c r="N371" s="37">
        <v>200179</v>
      </c>
      <c r="O371" s="37" t="str">
        <f t="shared" si="8"/>
        <v>847.8471130.1.428090.000000.847001.200179</v>
      </c>
      <c r="P371" s="37" t="s">
        <v>1207</v>
      </c>
      <c r="Q371" s="37" t="s">
        <v>157</v>
      </c>
      <c r="R371" s="37">
        <v>10</v>
      </c>
      <c r="S371" s="37">
        <v>500</v>
      </c>
      <c r="T371" s="37"/>
      <c r="U371" s="37">
        <v>5000</v>
      </c>
      <c r="V371" s="37" t="s">
        <v>55</v>
      </c>
      <c r="W371" s="37" t="s">
        <v>56</v>
      </c>
      <c r="X371" s="37" t="s">
        <v>391</v>
      </c>
    </row>
    <row r="372" spans="1:24" s="39" customFormat="1" ht="16" customHeight="1" x14ac:dyDescent="0.35">
      <c r="A372" s="37" t="s">
        <v>1242</v>
      </c>
      <c r="B372" s="37" t="s">
        <v>58</v>
      </c>
      <c r="C372" s="37" t="s">
        <v>1209</v>
      </c>
      <c r="D372" s="78">
        <v>847</v>
      </c>
      <c r="E372" s="37">
        <v>8471130</v>
      </c>
      <c r="F372" s="37" t="s">
        <v>1225</v>
      </c>
      <c r="G372" s="79">
        <v>1</v>
      </c>
      <c r="H372" s="37" t="s">
        <v>1782</v>
      </c>
      <c r="I372" s="37" t="s">
        <v>1243</v>
      </c>
      <c r="J372" s="37" t="s">
        <v>60</v>
      </c>
      <c r="K372" s="37" t="s">
        <v>50</v>
      </c>
      <c r="L372" s="37">
        <v>847001</v>
      </c>
      <c r="M372" s="37" t="s">
        <v>61</v>
      </c>
      <c r="N372" s="37">
        <v>200179</v>
      </c>
      <c r="O372" s="37" t="str">
        <f t="shared" si="8"/>
        <v>847.8471130.1.435523.000000.847001.200179</v>
      </c>
      <c r="P372" s="37" t="s">
        <v>1245</v>
      </c>
      <c r="Q372" s="37" t="s">
        <v>157</v>
      </c>
      <c r="R372" s="37">
        <v>1</v>
      </c>
      <c r="S372" s="37">
        <v>200000</v>
      </c>
      <c r="T372" s="37"/>
      <c r="U372" s="37">
        <v>200000</v>
      </c>
      <c r="V372" s="37" t="s">
        <v>210</v>
      </c>
      <c r="W372" s="37" t="s">
        <v>56</v>
      </c>
      <c r="X372" s="37" t="s">
        <v>391</v>
      </c>
    </row>
    <row r="373" spans="1:24" s="39" customFormat="1" ht="16" customHeight="1" x14ac:dyDescent="0.35">
      <c r="A373" s="37" t="s">
        <v>222</v>
      </c>
      <c r="B373" s="37" t="s">
        <v>58</v>
      </c>
      <c r="C373" s="37" t="s">
        <v>1209</v>
      </c>
      <c r="D373" s="78">
        <v>847</v>
      </c>
      <c r="E373" s="37">
        <v>8471140</v>
      </c>
      <c r="F373" s="37" t="s">
        <v>1249</v>
      </c>
      <c r="G373" s="79">
        <v>1</v>
      </c>
      <c r="H373" s="37" t="s">
        <v>604</v>
      </c>
      <c r="I373" s="37" t="s">
        <v>231</v>
      </c>
      <c r="J373" s="37" t="s">
        <v>60</v>
      </c>
      <c r="K373" s="37" t="s">
        <v>50</v>
      </c>
      <c r="L373" s="37">
        <v>847001</v>
      </c>
      <c r="M373" s="37" t="s">
        <v>61</v>
      </c>
      <c r="N373" s="37">
        <v>200179</v>
      </c>
      <c r="O373" s="37" t="str">
        <f t="shared" si="8"/>
        <v>847.8471140.1.420570.000000.847001.200179</v>
      </c>
      <c r="P373" s="37" t="s">
        <v>606</v>
      </c>
      <c r="Q373" s="37" t="s">
        <v>607</v>
      </c>
      <c r="R373" s="37">
        <v>1</v>
      </c>
      <c r="S373" s="37">
        <v>231525</v>
      </c>
      <c r="T373" s="37" t="s">
        <v>1328</v>
      </c>
      <c r="U373" s="37">
        <v>231525</v>
      </c>
      <c r="V373" s="37" t="s">
        <v>55</v>
      </c>
      <c r="W373" s="37" t="s">
        <v>56</v>
      </c>
      <c r="X373" s="37" t="s">
        <v>1255</v>
      </c>
    </row>
    <row r="374" spans="1:24" s="39" customFormat="1" ht="16" customHeight="1" x14ac:dyDescent="0.35">
      <c r="A374" s="37" t="s">
        <v>153</v>
      </c>
      <c r="B374" s="37" t="s">
        <v>58</v>
      </c>
      <c r="C374" s="37" t="s">
        <v>1209</v>
      </c>
      <c r="D374" s="78">
        <v>847</v>
      </c>
      <c r="E374" s="37">
        <v>8471140</v>
      </c>
      <c r="F374" s="37" t="s">
        <v>1249</v>
      </c>
      <c r="G374" s="79">
        <v>1</v>
      </c>
      <c r="H374" s="37" t="s">
        <v>385</v>
      </c>
      <c r="I374" s="37" t="s">
        <v>154</v>
      </c>
      <c r="J374" s="37" t="s">
        <v>60</v>
      </c>
      <c r="K374" s="37" t="s">
        <v>50</v>
      </c>
      <c r="L374" s="37">
        <v>847001</v>
      </c>
      <c r="M374" s="37" t="s">
        <v>61</v>
      </c>
      <c r="N374" s="37">
        <v>200179</v>
      </c>
      <c r="O374" s="37" t="str">
        <f t="shared" si="8"/>
        <v>847.8471140.1.428090.000000.847001.200179</v>
      </c>
      <c r="P374" s="37" t="s">
        <v>156</v>
      </c>
      <c r="Q374" s="37" t="s">
        <v>62</v>
      </c>
      <c r="R374" s="37">
        <v>6</v>
      </c>
      <c r="S374" s="37">
        <v>20000</v>
      </c>
      <c r="T374" s="37" t="s">
        <v>1256</v>
      </c>
      <c r="U374" s="37">
        <v>120000</v>
      </c>
      <c r="V374" s="37" t="s">
        <v>55</v>
      </c>
      <c r="W374" s="37" t="s">
        <v>56</v>
      </c>
      <c r="X374" s="37" t="s">
        <v>1255</v>
      </c>
    </row>
    <row r="375" spans="1:24" s="39" customFormat="1" ht="16" customHeight="1" x14ac:dyDescent="0.35">
      <c r="A375" s="37" t="s">
        <v>1242</v>
      </c>
      <c r="B375" s="37" t="s">
        <v>58</v>
      </c>
      <c r="C375" s="37" t="s">
        <v>1209</v>
      </c>
      <c r="D375" s="78">
        <v>847</v>
      </c>
      <c r="E375" s="37">
        <v>8471140</v>
      </c>
      <c r="F375" s="37" t="s">
        <v>1249</v>
      </c>
      <c r="G375" s="79">
        <v>1</v>
      </c>
      <c r="H375" s="37" t="s">
        <v>1782</v>
      </c>
      <c r="I375" s="37" t="s">
        <v>1243</v>
      </c>
      <c r="J375" s="37" t="s">
        <v>60</v>
      </c>
      <c r="K375" s="37" t="s">
        <v>50</v>
      </c>
      <c r="L375" s="37">
        <v>847001</v>
      </c>
      <c r="M375" s="37" t="s">
        <v>61</v>
      </c>
      <c r="N375" s="37">
        <v>200179</v>
      </c>
      <c r="O375" s="37" t="str">
        <f t="shared" si="8"/>
        <v>847.8471140.1.435523.000000.847001.200179</v>
      </c>
      <c r="P375" s="37" t="s">
        <v>1245</v>
      </c>
      <c r="Q375" s="37" t="s">
        <v>157</v>
      </c>
      <c r="R375" s="37">
        <v>1</v>
      </c>
      <c r="S375" s="37">
        <v>49947695.709999979</v>
      </c>
      <c r="T375" s="37" t="s">
        <v>1259</v>
      </c>
      <c r="U375" s="37">
        <v>49947695.709999979</v>
      </c>
      <c r="V375" s="37" t="s">
        <v>55</v>
      </c>
      <c r="W375" s="37" t="s">
        <v>56</v>
      </c>
      <c r="X375" s="37" t="s">
        <v>1255</v>
      </c>
    </row>
    <row r="376" spans="1:24" s="39" customFormat="1" ht="16" customHeight="1" x14ac:dyDescent="0.35">
      <c r="A376" s="37" t="s">
        <v>1242</v>
      </c>
      <c r="B376" s="37" t="s">
        <v>58</v>
      </c>
      <c r="C376" s="37" t="s">
        <v>1209</v>
      </c>
      <c r="D376" s="78">
        <v>847</v>
      </c>
      <c r="E376" s="37">
        <v>8471140</v>
      </c>
      <c r="F376" s="37" t="s">
        <v>1249</v>
      </c>
      <c r="G376" s="79">
        <v>1</v>
      </c>
      <c r="H376" s="37" t="s">
        <v>1782</v>
      </c>
      <c r="I376" s="37" t="s">
        <v>1243</v>
      </c>
      <c r="J376" s="37" t="s">
        <v>60</v>
      </c>
      <c r="K376" s="37" t="s">
        <v>50</v>
      </c>
      <c r="L376" s="37">
        <v>847001</v>
      </c>
      <c r="M376" s="37" t="s">
        <v>61</v>
      </c>
      <c r="N376" s="37">
        <v>200179</v>
      </c>
      <c r="O376" s="37" t="str">
        <f t="shared" si="8"/>
        <v>847.8471140.1.435523.000000.847001.200179</v>
      </c>
      <c r="P376" s="37" t="s">
        <v>1245</v>
      </c>
      <c r="Q376" s="37" t="s">
        <v>157</v>
      </c>
      <c r="R376" s="37">
        <v>1</v>
      </c>
      <c r="S376" s="37">
        <v>98251562.5</v>
      </c>
      <c r="T376" s="37" t="s">
        <v>1330</v>
      </c>
      <c r="U376" s="37">
        <v>98251562.5</v>
      </c>
      <c r="V376" s="37" t="s">
        <v>55</v>
      </c>
      <c r="W376" s="37" t="s">
        <v>56</v>
      </c>
      <c r="X376" s="37" t="s">
        <v>1255</v>
      </c>
    </row>
    <row r="377" spans="1:24" s="39" customFormat="1" ht="16" customHeight="1" x14ac:dyDescent="0.35">
      <c r="A377" s="37" t="s">
        <v>1242</v>
      </c>
      <c r="B377" s="37" t="s">
        <v>58</v>
      </c>
      <c r="C377" s="37" t="s">
        <v>1209</v>
      </c>
      <c r="D377" s="78">
        <v>847</v>
      </c>
      <c r="E377" s="37">
        <v>8471150</v>
      </c>
      <c r="F377" s="37" t="s">
        <v>1265</v>
      </c>
      <c r="G377" s="79">
        <v>1</v>
      </c>
      <c r="H377" s="37" t="s">
        <v>1783</v>
      </c>
      <c r="I377" s="37" t="s">
        <v>1266</v>
      </c>
      <c r="J377" s="37" t="s">
        <v>60</v>
      </c>
      <c r="K377" s="37" t="s">
        <v>50</v>
      </c>
      <c r="L377" s="37">
        <v>847001</v>
      </c>
      <c r="M377" s="37" t="s">
        <v>61</v>
      </c>
      <c r="N377" s="37">
        <v>200179</v>
      </c>
      <c r="O377" s="37" t="str">
        <f t="shared" si="8"/>
        <v>847.8471150.1.420900.000000.847001.200179</v>
      </c>
      <c r="P377" s="37" t="s">
        <v>1268</v>
      </c>
      <c r="Q377" s="37" t="s">
        <v>1331</v>
      </c>
      <c r="R377" s="37">
        <v>1</v>
      </c>
      <c r="S377" s="37">
        <v>6303000</v>
      </c>
      <c r="T377" s="37" t="s">
        <v>1332</v>
      </c>
      <c r="U377" s="37">
        <v>6303000</v>
      </c>
      <c r="V377" s="37" t="s">
        <v>55</v>
      </c>
      <c r="W377" s="37" t="s">
        <v>56</v>
      </c>
      <c r="X377" s="37" t="s">
        <v>545</v>
      </c>
    </row>
    <row r="378" spans="1:24" s="39" customFormat="1" ht="16" customHeight="1" x14ac:dyDescent="0.35">
      <c r="A378" s="37" t="s">
        <v>1242</v>
      </c>
      <c r="B378" s="37" t="s">
        <v>58</v>
      </c>
      <c r="C378" s="37" t="s">
        <v>1209</v>
      </c>
      <c r="D378" s="78">
        <v>847</v>
      </c>
      <c r="E378" s="37">
        <v>8471150</v>
      </c>
      <c r="F378" s="37" t="s">
        <v>1265</v>
      </c>
      <c r="G378" s="79">
        <v>1</v>
      </c>
      <c r="H378" s="37" t="s">
        <v>342</v>
      </c>
      <c r="I378" s="37" t="s">
        <v>247</v>
      </c>
      <c r="J378" s="37" t="s">
        <v>60</v>
      </c>
      <c r="K378" s="37" t="s">
        <v>50</v>
      </c>
      <c r="L378" s="37">
        <v>847001</v>
      </c>
      <c r="M378" s="37" t="s">
        <v>61</v>
      </c>
      <c r="N378" s="37">
        <v>200179</v>
      </c>
      <c r="O378" s="37" t="str">
        <f t="shared" si="8"/>
        <v>847.8471150.1.425510.000000.847001.200179</v>
      </c>
      <c r="P378" s="37" t="s">
        <v>514</v>
      </c>
      <c r="Q378" s="37" t="s">
        <v>515</v>
      </c>
      <c r="R378" s="37">
        <v>2</v>
      </c>
      <c r="S378" s="37">
        <v>35000</v>
      </c>
      <c r="T378" s="37" t="s">
        <v>1274</v>
      </c>
      <c r="U378" s="37">
        <v>70000</v>
      </c>
      <c r="V378" s="37" t="s">
        <v>55</v>
      </c>
      <c r="W378" s="37" t="s">
        <v>197</v>
      </c>
      <c r="X378" s="37" t="s">
        <v>237</v>
      </c>
    </row>
    <row r="379" spans="1:24" s="39" customFormat="1" ht="16" customHeight="1" x14ac:dyDescent="0.35">
      <c r="A379" s="37" t="s">
        <v>1242</v>
      </c>
      <c r="B379" s="37" t="s">
        <v>58</v>
      </c>
      <c r="C379" s="37" t="s">
        <v>1209</v>
      </c>
      <c r="D379" s="78">
        <v>847</v>
      </c>
      <c r="E379" s="37">
        <v>8471150</v>
      </c>
      <c r="F379" s="37" t="s">
        <v>1265</v>
      </c>
      <c r="G379" s="79">
        <v>1</v>
      </c>
      <c r="H379" s="37" t="s">
        <v>1751</v>
      </c>
      <c r="I379" s="37" t="s">
        <v>253</v>
      </c>
      <c r="J379" s="37" t="s">
        <v>60</v>
      </c>
      <c r="K379" s="37" t="s">
        <v>50</v>
      </c>
      <c r="L379" s="37">
        <v>847001</v>
      </c>
      <c r="M379" s="37" t="s">
        <v>61</v>
      </c>
      <c r="N379" s="37">
        <v>200179</v>
      </c>
      <c r="O379" s="37" t="str">
        <f t="shared" si="8"/>
        <v>847.8471150.1.425550.000000.847001.200179</v>
      </c>
      <c r="P379" s="37" t="s">
        <v>615</v>
      </c>
      <c r="Q379" s="37" t="s">
        <v>616</v>
      </c>
      <c r="R379" s="37">
        <v>3</v>
      </c>
      <c r="S379" s="37">
        <v>50000</v>
      </c>
      <c r="T379" s="37" t="s">
        <v>1276</v>
      </c>
      <c r="U379" s="37">
        <v>150000</v>
      </c>
      <c r="V379" s="37" t="s">
        <v>55</v>
      </c>
      <c r="W379" s="37" t="s">
        <v>56</v>
      </c>
      <c r="X379" s="37" t="s">
        <v>237</v>
      </c>
    </row>
    <row r="380" spans="1:24" s="39" customFormat="1" ht="16" customHeight="1" x14ac:dyDescent="0.35">
      <c r="A380" s="37" t="s">
        <v>1242</v>
      </c>
      <c r="B380" s="37" t="s">
        <v>58</v>
      </c>
      <c r="C380" s="37" t="s">
        <v>1209</v>
      </c>
      <c r="D380" s="78">
        <v>847</v>
      </c>
      <c r="E380" s="37">
        <v>8471150</v>
      </c>
      <c r="F380" s="37" t="s">
        <v>1265</v>
      </c>
      <c r="G380" s="79">
        <v>1</v>
      </c>
      <c r="H380" s="37" t="s">
        <v>380</v>
      </c>
      <c r="I380" s="37" t="s">
        <v>694</v>
      </c>
      <c r="J380" s="37" t="s">
        <v>60</v>
      </c>
      <c r="K380" s="37" t="s">
        <v>50</v>
      </c>
      <c r="L380" s="37">
        <v>847001</v>
      </c>
      <c r="M380" s="37" t="s">
        <v>61</v>
      </c>
      <c r="N380" s="37">
        <v>200179</v>
      </c>
      <c r="O380" s="37" t="str">
        <f t="shared" si="8"/>
        <v>847.8471150.1.426610.000000.847001.200179</v>
      </c>
      <c r="P380" s="37" t="s">
        <v>1334</v>
      </c>
      <c r="Q380" s="37" t="s">
        <v>68</v>
      </c>
      <c r="R380" s="37">
        <v>1</v>
      </c>
      <c r="S380" s="37">
        <v>200000</v>
      </c>
      <c r="T380" s="37" t="s">
        <v>1346</v>
      </c>
      <c r="U380" s="37">
        <v>200000</v>
      </c>
      <c r="V380" s="37" t="s">
        <v>55</v>
      </c>
      <c r="W380" s="37" t="s">
        <v>56</v>
      </c>
      <c r="X380" s="37" t="s">
        <v>1333</v>
      </c>
    </row>
    <row r="381" spans="1:24" s="39" customFormat="1" ht="16" customHeight="1" x14ac:dyDescent="0.35">
      <c r="A381" s="37" t="s">
        <v>1242</v>
      </c>
      <c r="B381" s="37" t="s">
        <v>58</v>
      </c>
      <c r="C381" s="37" t="s">
        <v>1209</v>
      </c>
      <c r="D381" s="78">
        <v>847</v>
      </c>
      <c r="E381" s="37">
        <v>8471150</v>
      </c>
      <c r="F381" s="37" t="s">
        <v>1265</v>
      </c>
      <c r="G381" s="79">
        <v>1</v>
      </c>
      <c r="H381" s="37" t="s">
        <v>385</v>
      </c>
      <c r="I381" s="37" t="s">
        <v>154</v>
      </c>
      <c r="J381" s="37" t="s">
        <v>60</v>
      </c>
      <c r="K381" s="37" t="s">
        <v>50</v>
      </c>
      <c r="L381" s="37">
        <v>847001</v>
      </c>
      <c r="M381" s="37" t="s">
        <v>61</v>
      </c>
      <c r="N381" s="37">
        <v>200179</v>
      </c>
      <c r="O381" s="37" t="str">
        <f t="shared" si="8"/>
        <v>847.8471150.1.428090.000000.847001.200179</v>
      </c>
      <c r="P381" s="37" t="s">
        <v>156</v>
      </c>
      <c r="Q381" s="37" t="s">
        <v>157</v>
      </c>
      <c r="R381" s="37">
        <v>3</v>
      </c>
      <c r="S381" s="37">
        <v>50000</v>
      </c>
      <c r="T381" s="37" t="s">
        <v>1276</v>
      </c>
      <c r="U381" s="37">
        <v>150000</v>
      </c>
      <c r="V381" s="37" t="s">
        <v>55</v>
      </c>
      <c r="W381" s="37" t="s">
        <v>56</v>
      </c>
      <c r="X381" s="37" t="s">
        <v>1333</v>
      </c>
    </row>
    <row r="382" spans="1:24" s="39" customFormat="1" ht="16" customHeight="1" x14ac:dyDescent="0.35">
      <c r="A382" s="37" t="s">
        <v>1242</v>
      </c>
      <c r="B382" s="37" t="s">
        <v>58</v>
      </c>
      <c r="C382" s="37" t="s">
        <v>1209</v>
      </c>
      <c r="D382" s="78">
        <v>847</v>
      </c>
      <c r="E382" s="37">
        <v>8471150</v>
      </c>
      <c r="F382" s="37" t="s">
        <v>1265</v>
      </c>
      <c r="G382" s="79">
        <v>1</v>
      </c>
      <c r="H382" s="37" t="s">
        <v>1762</v>
      </c>
      <c r="I382" s="37" t="s">
        <v>1336</v>
      </c>
      <c r="J382" s="37" t="s">
        <v>60</v>
      </c>
      <c r="K382" s="37" t="s">
        <v>50</v>
      </c>
      <c r="L382" s="37">
        <v>847001</v>
      </c>
      <c r="M382" s="37" t="s">
        <v>61</v>
      </c>
      <c r="N382" s="37">
        <v>200179</v>
      </c>
      <c r="O382" s="37" t="str">
        <f t="shared" si="8"/>
        <v>847.8471150.1.435310.000000.847001.200179</v>
      </c>
      <c r="P382" s="37" t="s">
        <v>1347</v>
      </c>
      <c r="Q382" s="37" t="s">
        <v>157</v>
      </c>
      <c r="R382" s="37">
        <v>1</v>
      </c>
      <c r="S382" s="37">
        <v>15000</v>
      </c>
      <c r="T382" s="37" t="s">
        <v>1338</v>
      </c>
      <c r="U382" s="37">
        <v>15000</v>
      </c>
      <c r="V382" s="37" t="s">
        <v>55</v>
      </c>
      <c r="W382" s="37" t="s">
        <v>56</v>
      </c>
      <c r="X382" s="37" t="s">
        <v>70</v>
      </c>
    </row>
    <row r="383" spans="1:24" s="39" customFormat="1" ht="16" customHeight="1" x14ac:dyDescent="0.35">
      <c r="A383" s="37" t="s">
        <v>63</v>
      </c>
      <c r="B383" s="37" t="s">
        <v>64</v>
      </c>
      <c r="C383" s="37" t="s">
        <v>1209</v>
      </c>
      <c r="D383" s="78">
        <v>847</v>
      </c>
      <c r="E383" s="37">
        <v>8471170</v>
      </c>
      <c r="F383" s="37" t="s">
        <v>1286</v>
      </c>
      <c r="G383" s="79">
        <v>1</v>
      </c>
      <c r="H383" s="37" t="s">
        <v>1741</v>
      </c>
      <c r="I383" s="37" t="s">
        <v>65</v>
      </c>
      <c r="J383" s="37" t="s">
        <v>60</v>
      </c>
      <c r="K383" s="37" t="s">
        <v>50</v>
      </c>
      <c r="L383" s="37">
        <v>847001</v>
      </c>
      <c r="M383" s="37" t="s">
        <v>61</v>
      </c>
      <c r="N383" s="37">
        <v>200179</v>
      </c>
      <c r="O383" s="37" t="str">
        <f t="shared" si="8"/>
        <v>847.8471170.1.420811.000000.847001.200179</v>
      </c>
      <c r="P383" s="37" t="s">
        <v>67</v>
      </c>
      <c r="Q383" s="37" t="s">
        <v>68</v>
      </c>
      <c r="R383" s="37">
        <v>12</v>
      </c>
      <c r="S383" s="37">
        <v>43750.35</v>
      </c>
      <c r="T383" s="37" t="s">
        <v>1290</v>
      </c>
      <c r="U383" s="37">
        <v>525004.19999999995</v>
      </c>
      <c r="V383" s="37" t="s">
        <v>55</v>
      </c>
      <c r="W383" s="37" t="s">
        <v>56</v>
      </c>
      <c r="X383" s="37" t="s">
        <v>70</v>
      </c>
    </row>
    <row r="384" spans="1:24" s="39" customFormat="1" ht="16" customHeight="1" x14ac:dyDescent="0.35">
      <c r="A384" s="37" t="s">
        <v>46</v>
      </c>
      <c r="B384" s="37" t="s">
        <v>46</v>
      </c>
      <c r="C384" s="37" t="s">
        <v>1209</v>
      </c>
      <c r="D384" s="78">
        <v>847</v>
      </c>
      <c r="E384" s="37">
        <v>8471170</v>
      </c>
      <c r="F384" s="37" t="s">
        <v>1286</v>
      </c>
      <c r="G384" s="79">
        <v>1</v>
      </c>
      <c r="H384" s="37" t="s">
        <v>1741</v>
      </c>
      <c r="I384" s="37" t="s">
        <v>65</v>
      </c>
      <c r="J384" s="37" t="s">
        <v>60</v>
      </c>
      <c r="K384" s="37" t="s">
        <v>50</v>
      </c>
      <c r="L384" s="37" t="s">
        <v>51</v>
      </c>
      <c r="M384" s="37" t="s">
        <v>61</v>
      </c>
      <c r="N384" s="37">
        <v>200179</v>
      </c>
      <c r="O384" s="37" t="str">
        <f t="shared" si="8"/>
        <v>847.8471170.1.420811.000000.847001.200179</v>
      </c>
      <c r="P384" s="37" t="s">
        <v>67</v>
      </c>
      <c r="Q384" s="37" t="s">
        <v>68</v>
      </c>
      <c r="R384" s="37">
        <v>12</v>
      </c>
      <c r="S384" s="37">
        <v>440231.45354999998</v>
      </c>
      <c r="T384" s="37" t="s">
        <v>1339</v>
      </c>
      <c r="U384" s="37">
        <v>5282777.4425999997</v>
      </c>
      <c r="V384" s="37" t="s">
        <v>55</v>
      </c>
      <c r="W384" s="37" t="s">
        <v>56</v>
      </c>
      <c r="X384" s="37" t="s">
        <v>70</v>
      </c>
    </row>
    <row r="385" spans="1:24" s="39" customFormat="1" ht="16" customHeight="1" x14ac:dyDescent="0.35">
      <c r="A385" s="37" t="s">
        <v>189</v>
      </c>
      <c r="B385" s="37" t="s">
        <v>265</v>
      </c>
      <c r="C385" s="37" t="s">
        <v>1209</v>
      </c>
      <c r="D385" s="78">
        <v>847</v>
      </c>
      <c r="E385" s="37">
        <v>8471170</v>
      </c>
      <c r="F385" s="37" t="s">
        <v>1286</v>
      </c>
      <c r="G385" s="79">
        <v>1</v>
      </c>
      <c r="H385" s="37" t="s">
        <v>375</v>
      </c>
      <c r="I385" s="37" t="s">
        <v>266</v>
      </c>
      <c r="J385" s="37" t="s">
        <v>60</v>
      </c>
      <c r="K385" s="37" t="s">
        <v>50</v>
      </c>
      <c r="L385" s="37">
        <v>847001</v>
      </c>
      <c r="M385" s="37" t="s">
        <v>61</v>
      </c>
      <c r="N385" s="37">
        <v>200179</v>
      </c>
      <c r="O385" s="37" t="str">
        <f t="shared" si="8"/>
        <v>847.8471170.1.425900.000000.847001.200179</v>
      </c>
      <c r="P385" s="37" t="s">
        <v>268</v>
      </c>
      <c r="Q385" s="37" t="s">
        <v>269</v>
      </c>
      <c r="R385" s="37">
        <v>2</v>
      </c>
      <c r="S385" s="37">
        <v>5000</v>
      </c>
      <c r="T385" s="37" t="s">
        <v>1348</v>
      </c>
      <c r="U385" s="37">
        <v>10000</v>
      </c>
      <c r="V385" s="37" t="s">
        <v>55</v>
      </c>
      <c r="W385" s="37" t="s">
        <v>56</v>
      </c>
      <c r="X385" s="37" t="s">
        <v>70</v>
      </c>
    </row>
    <row r="386" spans="1:24" s="39" customFormat="1" ht="16" customHeight="1" x14ac:dyDescent="0.35">
      <c r="A386" s="37" t="s">
        <v>63</v>
      </c>
      <c r="B386" s="37" t="s">
        <v>64</v>
      </c>
      <c r="C386" s="37" t="s">
        <v>1209</v>
      </c>
      <c r="D386" s="78">
        <v>847</v>
      </c>
      <c r="E386" s="37">
        <v>8471170</v>
      </c>
      <c r="F386" s="37" t="s">
        <v>1286</v>
      </c>
      <c r="G386" s="79">
        <v>1</v>
      </c>
      <c r="H386" s="37" t="s">
        <v>380</v>
      </c>
      <c r="I386" s="37" t="s">
        <v>74</v>
      </c>
      <c r="J386" s="37" t="s">
        <v>60</v>
      </c>
      <c r="K386" s="37" t="s">
        <v>50</v>
      </c>
      <c r="L386" s="37">
        <v>847001</v>
      </c>
      <c r="M386" s="37" t="s">
        <v>61</v>
      </c>
      <c r="N386" s="37">
        <v>200179</v>
      </c>
      <c r="O386" s="37" t="str">
        <f t="shared" si="8"/>
        <v>847.8471170.1.426610.000000.847001.200179</v>
      </c>
      <c r="P386" s="37" t="s">
        <v>274</v>
      </c>
      <c r="Q386" s="37" t="s">
        <v>157</v>
      </c>
      <c r="R386" s="37">
        <v>124</v>
      </c>
      <c r="S386" s="37">
        <v>52755.276527338705</v>
      </c>
      <c r="T386" s="37" t="s">
        <v>1297</v>
      </c>
      <c r="U386" s="37">
        <v>6541654.2893899996</v>
      </c>
      <c r="V386" s="37" t="s">
        <v>55</v>
      </c>
      <c r="W386" s="37" t="s">
        <v>56</v>
      </c>
      <c r="X386" s="37" t="s">
        <v>70</v>
      </c>
    </row>
    <row r="387" spans="1:24" s="39" customFormat="1" ht="16" customHeight="1" x14ac:dyDescent="0.35">
      <c r="A387" s="37" t="s">
        <v>153</v>
      </c>
      <c r="B387" s="37" t="s">
        <v>58</v>
      </c>
      <c r="C387" s="37" t="s">
        <v>1209</v>
      </c>
      <c r="D387" s="78">
        <v>847</v>
      </c>
      <c r="E387" s="37">
        <v>8471170</v>
      </c>
      <c r="F387" s="37" t="s">
        <v>1286</v>
      </c>
      <c r="G387" s="79">
        <v>1</v>
      </c>
      <c r="H387" s="37" t="s">
        <v>385</v>
      </c>
      <c r="I387" s="37" t="s">
        <v>154</v>
      </c>
      <c r="J387" s="37" t="s">
        <v>60</v>
      </c>
      <c r="K387" s="37" t="s">
        <v>50</v>
      </c>
      <c r="L387" s="37">
        <v>847001</v>
      </c>
      <c r="M387" s="37" t="s">
        <v>61</v>
      </c>
      <c r="N387" s="37">
        <v>200179</v>
      </c>
      <c r="O387" s="37" t="str">
        <f t="shared" ref="O387:O388" si="9">CONCATENATE(D387,".",E387,".",G387,".",H387,".",J387,".",L387,".",N387)</f>
        <v>847.8471170.1.428090.000000.847001.200179</v>
      </c>
      <c r="P387" s="37" t="s">
        <v>156</v>
      </c>
      <c r="Q387" s="37" t="s">
        <v>157</v>
      </c>
      <c r="R387" s="37">
        <v>3</v>
      </c>
      <c r="S387" s="37">
        <v>15000</v>
      </c>
      <c r="T387" s="37" t="s">
        <v>1300</v>
      </c>
      <c r="U387" s="37">
        <v>45000</v>
      </c>
      <c r="V387" s="37" t="s">
        <v>55</v>
      </c>
      <c r="W387" s="37" t="s">
        <v>56</v>
      </c>
      <c r="X387" s="37" t="s">
        <v>70</v>
      </c>
    </row>
    <row r="388" spans="1:24" s="39" customFormat="1" ht="16" customHeight="1" x14ac:dyDescent="0.35">
      <c r="A388" s="37">
        <v>0</v>
      </c>
      <c r="B388" s="37" t="s">
        <v>58</v>
      </c>
      <c r="C388" s="37" t="s">
        <v>1209</v>
      </c>
      <c r="D388" s="78">
        <v>847</v>
      </c>
      <c r="E388" s="37">
        <v>8471170</v>
      </c>
      <c r="F388" s="37" t="s">
        <v>1286</v>
      </c>
      <c r="G388" s="79">
        <v>1</v>
      </c>
      <c r="H388" s="37" t="s">
        <v>905</v>
      </c>
      <c r="I388" s="37" t="s">
        <v>213</v>
      </c>
      <c r="J388" s="37" t="s">
        <v>60</v>
      </c>
      <c r="K388" s="37" t="s">
        <v>50</v>
      </c>
      <c r="L388" s="37">
        <v>847001</v>
      </c>
      <c r="M388" s="37" t="s">
        <v>192</v>
      </c>
      <c r="N388" s="37">
        <v>300180</v>
      </c>
      <c r="O388" s="37" t="str">
        <f t="shared" si="9"/>
        <v>847.8471170.1.495110.000000.847001.300180</v>
      </c>
      <c r="P388" s="37" t="s">
        <v>215</v>
      </c>
      <c r="Q388" s="37" t="s">
        <v>157</v>
      </c>
      <c r="R388" s="37">
        <v>3</v>
      </c>
      <c r="S388" s="37">
        <v>100000</v>
      </c>
      <c r="T388" s="37" t="s">
        <v>1349</v>
      </c>
      <c r="U388" s="37">
        <v>300000</v>
      </c>
      <c r="V388" s="37" t="s">
        <v>210</v>
      </c>
      <c r="W388" s="37" t="s">
        <v>197</v>
      </c>
      <c r="X388" s="37" t="s">
        <v>70</v>
      </c>
    </row>
    <row r="389" spans="1:24" s="39" customFormat="1" ht="16" customHeight="1" x14ac:dyDescent="0.35">
      <c r="A389" s="39" t="s">
        <v>222</v>
      </c>
      <c r="B389" s="39" t="s">
        <v>58</v>
      </c>
      <c r="C389" s="39" t="s">
        <v>1784</v>
      </c>
      <c r="D389" s="80">
        <v>847</v>
      </c>
      <c r="E389" s="39">
        <v>8470405</v>
      </c>
      <c r="F389" s="39" t="s">
        <v>1785</v>
      </c>
      <c r="G389" s="81">
        <v>1</v>
      </c>
      <c r="H389" s="39">
        <v>420550</v>
      </c>
      <c r="I389" s="39" t="s">
        <v>225</v>
      </c>
      <c r="J389" s="39" t="s">
        <v>60</v>
      </c>
      <c r="K389" s="39" t="s">
        <v>50</v>
      </c>
      <c r="L389" s="39">
        <v>847001</v>
      </c>
      <c r="M389" s="39" t="s">
        <v>61</v>
      </c>
      <c r="N389" s="39">
        <v>200179</v>
      </c>
      <c r="O389" s="39" t="s">
        <v>1786</v>
      </c>
      <c r="P389" s="39" t="s">
        <v>227</v>
      </c>
      <c r="Q389" s="39" t="s">
        <v>157</v>
      </c>
      <c r="R389" s="39">
        <v>18</v>
      </c>
      <c r="S389" s="39">
        <v>1469</v>
      </c>
      <c r="T389" s="39" t="s">
        <v>2181</v>
      </c>
      <c r="U389" s="82">
        <v>26442</v>
      </c>
      <c r="V389" s="39" t="s">
        <v>55</v>
      </c>
      <c r="W389" s="39" t="s">
        <v>56</v>
      </c>
      <c r="X389" s="39" t="s">
        <v>264</v>
      </c>
    </row>
    <row r="390" spans="1:24" s="39" customFormat="1" ht="16" customHeight="1" x14ac:dyDescent="0.35">
      <c r="A390" s="39" t="s">
        <v>222</v>
      </c>
      <c r="B390" s="39" t="s">
        <v>238</v>
      </c>
      <c r="C390" s="39" t="s">
        <v>1784</v>
      </c>
      <c r="D390" s="80">
        <v>847</v>
      </c>
      <c r="E390" s="39">
        <v>8470405</v>
      </c>
      <c r="F390" s="39" t="s">
        <v>1785</v>
      </c>
      <c r="G390" s="81">
        <v>1</v>
      </c>
      <c r="H390" s="39">
        <v>421700</v>
      </c>
      <c r="I390" s="39" t="s">
        <v>239</v>
      </c>
      <c r="J390" s="39" t="s">
        <v>60</v>
      </c>
      <c r="K390" s="39" t="s">
        <v>50</v>
      </c>
      <c r="L390" s="39">
        <v>847001</v>
      </c>
      <c r="M390" s="39" t="s">
        <v>61</v>
      </c>
      <c r="N390" s="39">
        <v>200179</v>
      </c>
      <c r="O390" s="39" t="s">
        <v>1789</v>
      </c>
      <c r="P390" s="39" t="s">
        <v>241</v>
      </c>
      <c r="Q390" s="39" t="s">
        <v>157</v>
      </c>
      <c r="R390" s="39">
        <v>2</v>
      </c>
      <c r="S390" s="39">
        <v>140000</v>
      </c>
      <c r="T390" s="39" t="s">
        <v>2181</v>
      </c>
      <c r="U390" s="82">
        <v>280000</v>
      </c>
      <c r="V390" s="39" t="s">
        <v>210</v>
      </c>
      <c r="W390" s="39" t="s">
        <v>197</v>
      </c>
      <c r="X390" s="39" t="s">
        <v>834</v>
      </c>
    </row>
    <row r="391" spans="1:24" s="39" customFormat="1" ht="16" customHeight="1" x14ac:dyDescent="0.35">
      <c r="A391" s="39" t="s">
        <v>245</v>
      </c>
      <c r="B391" s="39" t="s">
        <v>246</v>
      </c>
      <c r="C391" s="39" t="s">
        <v>1784</v>
      </c>
      <c r="D391" s="80">
        <v>847</v>
      </c>
      <c r="E391" s="39">
        <v>8470405</v>
      </c>
      <c r="F391" s="39" t="s">
        <v>1785</v>
      </c>
      <c r="G391" s="81">
        <v>1</v>
      </c>
      <c r="H391" s="39">
        <v>425510</v>
      </c>
      <c r="I391" s="39" t="s">
        <v>247</v>
      </c>
      <c r="J391" s="39" t="s">
        <v>60</v>
      </c>
      <c r="K391" s="39" t="s">
        <v>50</v>
      </c>
      <c r="L391" s="39">
        <v>847001</v>
      </c>
      <c r="M391" s="39" t="s">
        <v>61</v>
      </c>
      <c r="N391" s="39">
        <v>200179</v>
      </c>
      <c r="O391" s="39" t="s">
        <v>1792</v>
      </c>
      <c r="P391" s="39" t="s">
        <v>249</v>
      </c>
      <c r="Q391" s="39" t="s">
        <v>250</v>
      </c>
      <c r="R391" s="39">
        <v>1</v>
      </c>
      <c r="S391" s="39">
        <v>15000</v>
      </c>
      <c r="T391" s="39" t="s">
        <v>2181</v>
      </c>
      <c r="U391" s="82">
        <v>15000</v>
      </c>
      <c r="V391" s="39" t="s">
        <v>55</v>
      </c>
      <c r="W391" s="39" t="s">
        <v>56</v>
      </c>
      <c r="X391" s="39" t="s">
        <v>480</v>
      </c>
    </row>
    <row r="392" spans="1:24" s="39" customFormat="1" ht="16" customHeight="1" x14ac:dyDescent="0.35">
      <c r="A392" s="39" t="s">
        <v>245</v>
      </c>
      <c r="B392" s="39" t="s">
        <v>58</v>
      </c>
      <c r="C392" s="39" t="s">
        <v>1784</v>
      </c>
      <c r="D392" s="80">
        <v>847</v>
      </c>
      <c r="E392" s="39">
        <v>8470405</v>
      </c>
      <c r="F392" s="39" t="s">
        <v>1785</v>
      </c>
      <c r="G392" s="81">
        <v>1</v>
      </c>
      <c r="H392" s="39">
        <v>425550</v>
      </c>
      <c r="I392" s="39" t="s">
        <v>253</v>
      </c>
      <c r="J392" s="39" t="s">
        <v>60</v>
      </c>
      <c r="K392" s="39" t="s">
        <v>50</v>
      </c>
      <c r="L392" s="39">
        <v>847001</v>
      </c>
      <c r="M392" s="39" t="s">
        <v>61</v>
      </c>
      <c r="N392" s="39">
        <v>200179</v>
      </c>
      <c r="O392" s="39" t="s">
        <v>1794</v>
      </c>
      <c r="P392" s="39" t="s">
        <v>255</v>
      </c>
      <c r="Q392" s="39" t="s">
        <v>256</v>
      </c>
      <c r="R392" s="39">
        <v>1</v>
      </c>
      <c r="S392" s="39">
        <v>15000</v>
      </c>
      <c r="T392" s="39" t="s">
        <v>2181</v>
      </c>
      <c r="U392" s="82">
        <v>15000</v>
      </c>
      <c r="V392" s="39" t="s">
        <v>55</v>
      </c>
      <c r="W392" s="39" t="s">
        <v>56</v>
      </c>
      <c r="X392" s="39" t="s">
        <v>618</v>
      </c>
    </row>
    <row r="393" spans="1:24" s="39" customFormat="1" ht="16" customHeight="1" x14ac:dyDescent="0.35">
      <c r="A393" s="39" t="s">
        <v>222</v>
      </c>
      <c r="B393" s="39" t="s">
        <v>58</v>
      </c>
      <c r="C393" s="39" t="s">
        <v>1784</v>
      </c>
      <c r="D393" s="80">
        <v>847</v>
      </c>
      <c r="E393" s="39">
        <v>8470405</v>
      </c>
      <c r="F393" s="39" t="s">
        <v>1785</v>
      </c>
      <c r="G393" s="81">
        <v>1</v>
      </c>
      <c r="H393" s="39">
        <v>425770</v>
      </c>
      <c r="I393" s="39" t="s">
        <v>367</v>
      </c>
      <c r="J393" s="39" t="s">
        <v>60</v>
      </c>
      <c r="K393" s="39" t="s">
        <v>50</v>
      </c>
      <c r="L393" s="39">
        <v>847001</v>
      </c>
      <c r="M393" s="39" t="s">
        <v>61</v>
      </c>
      <c r="N393" s="39">
        <v>200179</v>
      </c>
      <c r="O393" s="39" t="s">
        <v>1797</v>
      </c>
      <c r="P393" s="39" t="s">
        <v>926</v>
      </c>
      <c r="Q393" s="39" t="s">
        <v>157</v>
      </c>
      <c r="R393" s="39">
        <v>10</v>
      </c>
      <c r="S393" s="39">
        <v>5000</v>
      </c>
      <c r="T393" s="39" t="s">
        <v>2183</v>
      </c>
      <c r="U393" s="82">
        <v>50000</v>
      </c>
      <c r="V393" s="39" t="s">
        <v>55</v>
      </c>
      <c r="W393" s="39" t="s">
        <v>56</v>
      </c>
      <c r="X393" s="39" t="s">
        <v>252</v>
      </c>
    </row>
    <row r="394" spans="1:24" s="39" customFormat="1" ht="16" customHeight="1" x14ac:dyDescent="0.35">
      <c r="A394" s="39" t="s">
        <v>222</v>
      </c>
      <c r="B394" s="39" t="s">
        <v>58</v>
      </c>
      <c r="C394" s="39" t="s">
        <v>1784</v>
      </c>
      <c r="D394" s="80">
        <v>847</v>
      </c>
      <c r="E394" s="39">
        <v>8470405</v>
      </c>
      <c r="F394" s="39" t="s">
        <v>1785</v>
      </c>
      <c r="G394" s="81">
        <v>1</v>
      </c>
      <c r="H394" s="39">
        <v>427710</v>
      </c>
      <c r="I394" s="39" t="s">
        <v>1090</v>
      </c>
      <c r="J394" s="39" t="s">
        <v>60</v>
      </c>
      <c r="K394" s="39" t="s">
        <v>50</v>
      </c>
      <c r="L394" s="39">
        <v>847001</v>
      </c>
      <c r="M394" s="39" t="s">
        <v>61</v>
      </c>
      <c r="N394" s="39">
        <v>200179</v>
      </c>
      <c r="O394" s="39" t="s">
        <v>1799</v>
      </c>
      <c r="P394" s="39" t="s">
        <v>1092</v>
      </c>
      <c r="Q394" s="39" t="s">
        <v>157</v>
      </c>
      <c r="R394" s="39">
        <v>20</v>
      </c>
      <c r="S394" s="39">
        <v>1681</v>
      </c>
      <c r="T394" s="39" t="s">
        <v>2247</v>
      </c>
      <c r="U394" s="82">
        <v>33620</v>
      </c>
      <c r="V394" s="39" t="s">
        <v>55</v>
      </c>
      <c r="W394" s="39" t="s">
        <v>56</v>
      </c>
      <c r="X394" s="39" t="s">
        <v>480</v>
      </c>
    </row>
    <row r="395" spans="1:24" s="39" customFormat="1" ht="16" customHeight="1" x14ac:dyDescent="0.35">
      <c r="A395" s="39" t="s">
        <v>222</v>
      </c>
      <c r="B395" s="39" t="s">
        <v>220</v>
      </c>
      <c r="C395" s="39" t="s">
        <v>1784</v>
      </c>
      <c r="D395" s="80">
        <v>847</v>
      </c>
      <c r="E395" s="39">
        <v>8470405</v>
      </c>
      <c r="F395" s="39" t="s">
        <v>1785</v>
      </c>
      <c r="G395" s="81">
        <v>1</v>
      </c>
      <c r="H395" s="39">
        <v>435508</v>
      </c>
      <c r="I395" s="39" t="s">
        <v>405</v>
      </c>
      <c r="J395" s="39" t="s">
        <v>60</v>
      </c>
      <c r="K395" s="39" t="s">
        <v>50</v>
      </c>
      <c r="L395" s="39">
        <v>847001</v>
      </c>
      <c r="M395" s="39" t="s">
        <v>61</v>
      </c>
      <c r="N395" s="39">
        <v>200179</v>
      </c>
      <c r="O395" s="39" t="s">
        <v>1803</v>
      </c>
      <c r="P395" s="39" t="s">
        <v>482</v>
      </c>
      <c r="Q395" s="39" t="s">
        <v>157</v>
      </c>
      <c r="R395" s="39">
        <v>5</v>
      </c>
      <c r="S395" s="39">
        <v>40000</v>
      </c>
      <c r="T395" s="39" t="s">
        <v>2248</v>
      </c>
      <c r="U395" s="82">
        <v>200000</v>
      </c>
      <c r="V395" s="39" t="s">
        <v>55</v>
      </c>
      <c r="W395" s="39" t="s">
        <v>56</v>
      </c>
      <c r="X395" s="39" t="s">
        <v>880</v>
      </c>
    </row>
    <row r="396" spans="1:24" s="39" customFormat="1" ht="16" customHeight="1" x14ac:dyDescent="0.35">
      <c r="A396" s="39" t="s">
        <v>222</v>
      </c>
      <c r="B396" s="39" t="s">
        <v>58</v>
      </c>
      <c r="C396" s="39" t="s">
        <v>1784</v>
      </c>
      <c r="D396" s="80">
        <v>847</v>
      </c>
      <c r="E396" s="39">
        <v>8470405</v>
      </c>
      <c r="F396" s="39" t="s">
        <v>1785</v>
      </c>
      <c r="G396" s="81">
        <v>1</v>
      </c>
      <c r="H396" s="39">
        <v>435350</v>
      </c>
      <c r="I396" s="39" t="s">
        <v>399</v>
      </c>
      <c r="J396" s="39" t="s">
        <v>60</v>
      </c>
      <c r="K396" s="39" t="s">
        <v>50</v>
      </c>
      <c r="L396" s="39">
        <v>847001</v>
      </c>
      <c r="M396" s="39" t="s">
        <v>61</v>
      </c>
      <c r="N396" s="39">
        <v>200179</v>
      </c>
      <c r="O396" s="39" t="s">
        <v>1807</v>
      </c>
      <c r="P396" s="39" t="s">
        <v>401</v>
      </c>
      <c r="Q396" s="39" t="s">
        <v>157</v>
      </c>
      <c r="R396" s="39">
        <v>20</v>
      </c>
      <c r="S396" s="39">
        <v>1500</v>
      </c>
      <c r="T396" s="39" t="s">
        <v>2186</v>
      </c>
      <c r="U396" s="82">
        <v>30000</v>
      </c>
      <c r="V396" s="39" t="s">
        <v>55</v>
      </c>
      <c r="W396" s="39" t="s">
        <v>56</v>
      </c>
      <c r="X396" s="39" t="s">
        <v>480</v>
      </c>
    </row>
    <row r="397" spans="1:24" s="39" customFormat="1" ht="16" customHeight="1" x14ac:dyDescent="0.35">
      <c r="A397" s="39" t="s">
        <v>222</v>
      </c>
      <c r="B397" s="39" t="s">
        <v>58</v>
      </c>
      <c r="C397" s="39" t="s">
        <v>1784</v>
      </c>
      <c r="D397" s="80">
        <v>847</v>
      </c>
      <c r="E397" s="39">
        <v>8470410</v>
      </c>
      <c r="F397" s="39" t="s">
        <v>1822</v>
      </c>
      <c r="G397" s="81">
        <v>1</v>
      </c>
      <c r="H397" s="39">
        <v>425761</v>
      </c>
      <c r="I397" s="39" t="s">
        <v>1383</v>
      </c>
      <c r="J397" s="39" t="s">
        <v>60</v>
      </c>
      <c r="K397" s="39" t="s">
        <v>50</v>
      </c>
      <c r="L397" s="39">
        <v>847001</v>
      </c>
      <c r="M397" s="39" t="s">
        <v>61</v>
      </c>
      <c r="N397" s="39">
        <v>200179</v>
      </c>
      <c r="O397" s="39" t="s">
        <v>1823</v>
      </c>
      <c r="P397" s="39" t="s">
        <v>727</v>
      </c>
      <c r="Q397" s="39" t="s">
        <v>68</v>
      </c>
      <c r="R397" s="39">
        <v>5</v>
      </c>
      <c r="S397" s="39">
        <v>200</v>
      </c>
      <c r="T397" s="39" t="s">
        <v>1824</v>
      </c>
      <c r="U397" s="82">
        <v>1000</v>
      </c>
      <c r="V397" s="39" t="s">
        <v>55</v>
      </c>
      <c r="W397" s="39" t="s">
        <v>197</v>
      </c>
      <c r="X397" s="39" t="s">
        <v>384</v>
      </c>
    </row>
    <row r="398" spans="1:24" s="39" customFormat="1" ht="16" customHeight="1" x14ac:dyDescent="0.35">
      <c r="A398" s="39" t="s">
        <v>222</v>
      </c>
      <c r="B398" s="39" t="s">
        <v>58</v>
      </c>
      <c r="C398" s="39" t="s">
        <v>1784</v>
      </c>
      <c r="D398" s="80">
        <v>847</v>
      </c>
      <c r="E398" s="39">
        <v>8470410</v>
      </c>
      <c r="F398" s="39" t="s">
        <v>1822</v>
      </c>
      <c r="G398" s="81">
        <v>1</v>
      </c>
      <c r="H398" s="39">
        <v>425770</v>
      </c>
      <c r="I398" s="39" t="s">
        <v>367</v>
      </c>
      <c r="J398" s="39" t="s">
        <v>60</v>
      </c>
      <c r="K398" s="39" t="s">
        <v>50</v>
      </c>
      <c r="L398" s="39">
        <v>847001</v>
      </c>
      <c r="M398" s="39" t="s">
        <v>61</v>
      </c>
      <c r="N398" s="39">
        <v>200179</v>
      </c>
      <c r="O398" s="39" t="s">
        <v>1826</v>
      </c>
      <c r="P398" s="39" t="s">
        <v>369</v>
      </c>
      <c r="Q398" s="39" t="s">
        <v>157</v>
      </c>
      <c r="R398" s="39">
        <v>12</v>
      </c>
      <c r="S398" s="39">
        <v>12000</v>
      </c>
      <c r="T398" s="39" t="s">
        <v>1827</v>
      </c>
      <c r="U398" s="82">
        <v>144000</v>
      </c>
      <c r="V398" s="39" t="s">
        <v>55</v>
      </c>
      <c r="W398" s="39" t="s">
        <v>197</v>
      </c>
      <c r="X398" s="39" t="s">
        <v>480</v>
      </c>
    </row>
    <row r="399" spans="1:24" s="39" customFormat="1" ht="16" customHeight="1" x14ac:dyDescent="0.35">
      <c r="A399" s="39" t="s">
        <v>63</v>
      </c>
      <c r="B399" s="39" t="s">
        <v>64</v>
      </c>
      <c r="C399" s="39" t="s">
        <v>1784</v>
      </c>
      <c r="D399" s="80">
        <v>847</v>
      </c>
      <c r="E399" s="39">
        <v>8470410</v>
      </c>
      <c r="F399" s="39" t="s">
        <v>1822</v>
      </c>
      <c r="G399" s="81">
        <v>1</v>
      </c>
      <c r="H399" s="39">
        <v>426610</v>
      </c>
      <c r="I399" s="39" t="s">
        <v>74</v>
      </c>
      <c r="J399" s="39" t="s">
        <v>60</v>
      </c>
      <c r="K399" s="39" t="s">
        <v>50</v>
      </c>
      <c r="L399" s="39">
        <v>847001</v>
      </c>
      <c r="M399" s="39" t="s">
        <v>61</v>
      </c>
      <c r="N399" s="39">
        <v>200179</v>
      </c>
      <c r="O399" s="39" t="s">
        <v>1831</v>
      </c>
      <c r="P399" s="39" t="s">
        <v>274</v>
      </c>
      <c r="Q399" s="39" t="s">
        <v>157</v>
      </c>
      <c r="R399" s="39">
        <v>1</v>
      </c>
      <c r="S399" s="39">
        <v>5600</v>
      </c>
      <c r="T399" s="39" t="s">
        <v>1832</v>
      </c>
      <c r="U399" s="82">
        <v>5600</v>
      </c>
      <c r="V399" s="39" t="s">
        <v>55</v>
      </c>
      <c r="W399" s="39" t="s">
        <v>56</v>
      </c>
      <c r="X399" s="39" t="s">
        <v>480</v>
      </c>
    </row>
    <row r="400" spans="1:24" s="39" customFormat="1" ht="16" customHeight="1" x14ac:dyDescent="0.35">
      <c r="A400" s="39" t="s">
        <v>189</v>
      </c>
      <c r="B400" s="39" t="s">
        <v>58</v>
      </c>
      <c r="C400" s="39" t="s">
        <v>1784</v>
      </c>
      <c r="D400" s="80">
        <v>847</v>
      </c>
      <c r="E400" s="39">
        <v>8470410</v>
      </c>
      <c r="F400" s="39" t="s">
        <v>1822</v>
      </c>
      <c r="G400" s="81">
        <v>1</v>
      </c>
      <c r="H400" s="39">
        <v>435310</v>
      </c>
      <c r="I400" s="39" t="s">
        <v>1336</v>
      </c>
      <c r="J400" s="39" t="s">
        <v>60</v>
      </c>
      <c r="K400" s="39" t="s">
        <v>50</v>
      </c>
      <c r="L400" s="39">
        <v>847001</v>
      </c>
      <c r="M400" s="39" t="s">
        <v>61</v>
      </c>
      <c r="N400" s="39">
        <v>200179</v>
      </c>
      <c r="O400" s="39" t="s">
        <v>1834</v>
      </c>
      <c r="P400" s="39" t="s">
        <v>1347</v>
      </c>
      <c r="Q400" s="39" t="s">
        <v>157</v>
      </c>
      <c r="R400" s="39">
        <v>4</v>
      </c>
      <c r="S400" s="39">
        <v>21307</v>
      </c>
      <c r="T400" s="39" t="s">
        <v>1835</v>
      </c>
      <c r="U400" s="82">
        <v>85228</v>
      </c>
      <c r="V400" s="39" t="s">
        <v>55</v>
      </c>
      <c r="W400" s="39" t="s">
        <v>56</v>
      </c>
      <c r="X400" s="39" t="s">
        <v>480</v>
      </c>
    </row>
    <row r="401" spans="1:24" s="39" customFormat="1" ht="16" customHeight="1" x14ac:dyDescent="0.35">
      <c r="A401" s="39" t="s">
        <v>222</v>
      </c>
      <c r="B401" s="39" t="s">
        <v>58</v>
      </c>
      <c r="C401" s="39" t="s">
        <v>1784</v>
      </c>
      <c r="D401" s="80">
        <v>847</v>
      </c>
      <c r="E401" s="39">
        <v>8470410</v>
      </c>
      <c r="F401" s="39" t="s">
        <v>1822</v>
      </c>
      <c r="G401" s="81">
        <v>1</v>
      </c>
      <c r="H401" s="39">
        <v>435350</v>
      </c>
      <c r="I401" s="39" t="s">
        <v>399</v>
      </c>
      <c r="J401" s="39" t="s">
        <v>60</v>
      </c>
      <c r="K401" s="39" t="s">
        <v>50</v>
      </c>
      <c r="L401" s="39">
        <v>847001</v>
      </c>
      <c r="M401" s="39" t="s">
        <v>61</v>
      </c>
      <c r="N401" s="39">
        <v>200179</v>
      </c>
      <c r="O401" s="39" t="s">
        <v>1837</v>
      </c>
      <c r="P401" s="39" t="s">
        <v>401</v>
      </c>
      <c r="Q401" s="39" t="s">
        <v>157</v>
      </c>
      <c r="R401" s="39">
        <v>10</v>
      </c>
      <c r="S401" s="39">
        <v>10000</v>
      </c>
      <c r="T401" s="39" t="s">
        <v>1838</v>
      </c>
      <c r="U401" s="82">
        <v>100000</v>
      </c>
      <c r="V401" s="39" t="s">
        <v>55</v>
      </c>
      <c r="W401" s="39" t="s">
        <v>197</v>
      </c>
      <c r="X401" s="39" t="s">
        <v>480</v>
      </c>
    </row>
    <row r="402" spans="1:24" s="39" customFormat="1" ht="16" customHeight="1" x14ac:dyDescent="0.35">
      <c r="A402" s="39" t="s">
        <v>245</v>
      </c>
      <c r="B402" s="39" t="s">
        <v>246</v>
      </c>
      <c r="C402" s="39" t="s">
        <v>1784</v>
      </c>
      <c r="D402" s="80">
        <v>847</v>
      </c>
      <c r="E402" s="39">
        <v>8470415</v>
      </c>
      <c r="F402" s="39" t="s">
        <v>1842</v>
      </c>
      <c r="G402" s="81">
        <v>1</v>
      </c>
      <c r="H402" s="39">
        <v>425100</v>
      </c>
      <c r="I402" s="39" t="s">
        <v>1521</v>
      </c>
      <c r="J402" s="39" t="s">
        <v>60</v>
      </c>
      <c r="K402" s="39" t="s">
        <v>50</v>
      </c>
      <c r="L402" s="39">
        <v>847001</v>
      </c>
      <c r="M402" s="39" t="s">
        <v>61</v>
      </c>
      <c r="N402" s="39">
        <v>200179</v>
      </c>
      <c r="O402" s="39" t="s">
        <v>1851</v>
      </c>
      <c r="P402" s="39" t="s">
        <v>1185</v>
      </c>
      <c r="Q402" s="39" t="s">
        <v>269</v>
      </c>
      <c r="R402" s="39">
        <v>1</v>
      </c>
      <c r="S402" s="39">
        <v>50000</v>
      </c>
      <c r="T402" s="39" t="s">
        <v>2189</v>
      </c>
      <c r="U402" s="82">
        <v>50000</v>
      </c>
      <c r="V402" s="39" t="s">
        <v>55</v>
      </c>
      <c r="W402" s="39" t="s">
        <v>56</v>
      </c>
      <c r="X402" s="39" t="s">
        <v>834</v>
      </c>
    </row>
    <row r="403" spans="1:24" s="39" customFormat="1" ht="16" customHeight="1" x14ac:dyDescent="0.35">
      <c r="A403" s="39" t="s">
        <v>258</v>
      </c>
      <c r="B403" s="39" t="s">
        <v>350</v>
      </c>
      <c r="C403" s="39" t="s">
        <v>1784</v>
      </c>
      <c r="D403" s="80">
        <v>847</v>
      </c>
      <c r="E403" s="39">
        <v>8470415</v>
      </c>
      <c r="F403" s="39" t="s">
        <v>1842</v>
      </c>
      <c r="G403" s="81">
        <v>1</v>
      </c>
      <c r="H403" s="39">
        <v>425760</v>
      </c>
      <c r="I403" s="39" t="s">
        <v>352</v>
      </c>
      <c r="J403" s="39" t="s">
        <v>60</v>
      </c>
      <c r="K403" s="39" t="s">
        <v>50</v>
      </c>
      <c r="L403" s="39">
        <v>847001</v>
      </c>
      <c r="M403" s="39" t="s">
        <v>61</v>
      </c>
      <c r="N403" s="39">
        <v>200179</v>
      </c>
      <c r="O403" s="39" t="s">
        <v>1860</v>
      </c>
      <c r="P403" s="39" t="s">
        <v>2249</v>
      </c>
      <c r="Q403" s="39" t="s">
        <v>2250</v>
      </c>
      <c r="R403" s="39">
        <v>8</v>
      </c>
      <c r="S403" s="39">
        <v>2500</v>
      </c>
      <c r="T403" s="39" t="s">
        <v>2193</v>
      </c>
      <c r="U403" s="82">
        <v>20000</v>
      </c>
      <c r="V403" s="39" t="s">
        <v>55</v>
      </c>
      <c r="W403" s="39" t="s">
        <v>56</v>
      </c>
      <c r="X403" s="39" t="s">
        <v>230</v>
      </c>
    </row>
    <row r="404" spans="1:24" s="39" customFormat="1" ht="16" customHeight="1" x14ac:dyDescent="0.35">
      <c r="A404" s="39" t="s">
        <v>258</v>
      </c>
      <c r="B404" s="39" t="s">
        <v>58</v>
      </c>
      <c r="C404" s="39" t="s">
        <v>1784</v>
      </c>
      <c r="D404" s="80">
        <v>847</v>
      </c>
      <c r="E404" s="39">
        <v>8470415</v>
      </c>
      <c r="F404" s="39" t="s">
        <v>1842</v>
      </c>
      <c r="G404" s="81">
        <v>1</v>
      </c>
      <c r="H404" s="39">
        <v>425763</v>
      </c>
      <c r="I404" s="39" t="s">
        <v>359</v>
      </c>
      <c r="J404" s="39" t="s">
        <v>60</v>
      </c>
      <c r="K404" s="39" t="s">
        <v>50</v>
      </c>
      <c r="L404" s="39">
        <v>847001</v>
      </c>
      <c r="M404" s="39" t="s">
        <v>61</v>
      </c>
      <c r="N404" s="39">
        <v>200179</v>
      </c>
      <c r="O404" s="39" t="s">
        <v>1863</v>
      </c>
      <c r="P404" s="39" t="s">
        <v>1864</v>
      </c>
      <c r="Q404" s="39" t="s">
        <v>157</v>
      </c>
      <c r="R404" s="39">
        <v>3</v>
      </c>
      <c r="S404" s="39">
        <v>15000</v>
      </c>
      <c r="T404" s="39" t="s">
        <v>2194</v>
      </c>
      <c r="U404" s="82">
        <v>45000</v>
      </c>
      <c r="V404" s="39" t="s">
        <v>55</v>
      </c>
      <c r="W404" s="39" t="s">
        <v>56</v>
      </c>
      <c r="X404" s="39" t="s">
        <v>480</v>
      </c>
    </row>
    <row r="405" spans="1:24" s="39" customFormat="1" ht="16" customHeight="1" x14ac:dyDescent="0.35">
      <c r="A405" s="39" t="s">
        <v>258</v>
      </c>
      <c r="B405" s="39" t="s">
        <v>58</v>
      </c>
      <c r="C405" s="39" t="s">
        <v>1784</v>
      </c>
      <c r="D405" s="80">
        <v>847</v>
      </c>
      <c r="E405" s="39">
        <v>8470415</v>
      </c>
      <c r="F405" s="39" t="s">
        <v>1842</v>
      </c>
      <c r="G405" s="81">
        <v>1</v>
      </c>
      <c r="H405" s="39">
        <v>425763</v>
      </c>
      <c r="I405" s="39" t="s">
        <v>359</v>
      </c>
      <c r="J405" s="39" t="s">
        <v>60</v>
      </c>
      <c r="K405" s="39" t="s">
        <v>50</v>
      </c>
      <c r="L405" s="39">
        <v>847001</v>
      </c>
      <c r="M405" s="39" t="s">
        <v>61</v>
      </c>
      <c r="N405" s="39">
        <v>200179</v>
      </c>
      <c r="O405" s="39" t="s">
        <v>1863</v>
      </c>
      <c r="P405" s="39" t="s">
        <v>958</v>
      </c>
      <c r="Q405" s="39" t="s">
        <v>68</v>
      </c>
      <c r="R405" s="39">
        <v>20</v>
      </c>
      <c r="S405" s="39">
        <v>1200</v>
      </c>
      <c r="T405" s="39" t="s">
        <v>2251</v>
      </c>
      <c r="U405" s="82">
        <v>24000</v>
      </c>
      <c r="V405" s="39" t="s">
        <v>55</v>
      </c>
      <c r="W405" s="39" t="s">
        <v>56</v>
      </c>
      <c r="X405" s="39" t="s">
        <v>480</v>
      </c>
    </row>
    <row r="406" spans="1:24" s="39" customFormat="1" ht="16" customHeight="1" x14ac:dyDescent="0.35">
      <c r="A406" s="39" t="s">
        <v>258</v>
      </c>
      <c r="B406" s="39" t="s">
        <v>58</v>
      </c>
      <c r="C406" s="39" t="s">
        <v>1784</v>
      </c>
      <c r="D406" s="80">
        <v>847</v>
      </c>
      <c r="E406" s="39">
        <v>8470415</v>
      </c>
      <c r="F406" s="39" t="s">
        <v>1842</v>
      </c>
      <c r="G406" s="81">
        <v>1</v>
      </c>
      <c r="H406" s="39">
        <v>425763</v>
      </c>
      <c r="I406" s="39" t="s">
        <v>359</v>
      </c>
      <c r="J406" s="39" t="s">
        <v>60</v>
      </c>
      <c r="K406" s="39" t="s">
        <v>50</v>
      </c>
      <c r="L406" s="39">
        <v>847001</v>
      </c>
      <c r="M406" s="39" t="s">
        <v>61</v>
      </c>
      <c r="N406" s="39">
        <v>200179</v>
      </c>
      <c r="O406" s="39" t="s">
        <v>1863</v>
      </c>
      <c r="P406" s="39" t="s">
        <v>361</v>
      </c>
      <c r="Q406" s="39" t="s">
        <v>68</v>
      </c>
      <c r="R406" s="39">
        <v>120</v>
      </c>
      <c r="S406" s="39">
        <v>1000</v>
      </c>
      <c r="T406" s="39" t="s">
        <v>2196</v>
      </c>
      <c r="U406" s="82">
        <v>120000</v>
      </c>
      <c r="V406" s="39" t="s">
        <v>55</v>
      </c>
      <c r="W406" s="39" t="s">
        <v>56</v>
      </c>
      <c r="X406" s="39" t="s">
        <v>230</v>
      </c>
    </row>
    <row r="407" spans="1:24" s="39" customFormat="1" ht="16" customHeight="1" x14ac:dyDescent="0.35">
      <c r="A407" s="39" t="s">
        <v>222</v>
      </c>
      <c r="B407" s="39" t="s">
        <v>58</v>
      </c>
      <c r="C407" s="39" t="s">
        <v>1784</v>
      </c>
      <c r="D407" s="80">
        <v>847</v>
      </c>
      <c r="E407" s="39">
        <v>8470415</v>
      </c>
      <c r="F407" s="39" t="s">
        <v>1842</v>
      </c>
      <c r="G407" s="81">
        <v>1</v>
      </c>
      <c r="H407" s="39">
        <v>425770</v>
      </c>
      <c r="I407" s="39" t="s">
        <v>367</v>
      </c>
      <c r="J407" s="39" t="s">
        <v>60</v>
      </c>
      <c r="K407" s="39" t="s">
        <v>50</v>
      </c>
      <c r="L407" s="39">
        <v>847001</v>
      </c>
      <c r="M407" s="39" t="s">
        <v>61</v>
      </c>
      <c r="N407" s="39">
        <v>200179</v>
      </c>
      <c r="O407" s="39" t="s">
        <v>1872</v>
      </c>
      <c r="P407" s="39" t="s">
        <v>369</v>
      </c>
      <c r="Q407" s="39" t="s">
        <v>157</v>
      </c>
      <c r="R407" s="39">
        <v>30</v>
      </c>
      <c r="S407" s="39">
        <v>15000</v>
      </c>
      <c r="T407" s="39" t="s">
        <v>2252</v>
      </c>
      <c r="U407" s="82">
        <v>450000</v>
      </c>
      <c r="V407" s="39" t="s">
        <v>55</v>
      </c>
      <c r="W407" s="39" t="s">
        <v>56</v>
      </c>
      <c r="X407" s="39" t="s">
        <v>252</v>
      </c>
    </row>
    <row r="408" spans="1:24" s="39" customFormat="1" ht="16" customHeight="1" x14ac:dyDescent="0.35">
      <c r="A408" s="39" t="s">
        <v>222</v>
      </c>
      <c r="B408" s="39" t="s">
        <v>58</v>
      </c>
      <c r="C408" s="39" t="s">
        <v>1784</v>
      </c>
      <c r="D408" s="80">
        <v>847</v>
      </c>
      <c r="E408" s="39">
        <v>8470415</v>
      </c>
      <c r="F408" s="39" t="s">
        <v>1842</v>
      </c>
      <c r="G408" s="81">
        <v>1</v>
      </c>
      <c r="H408" s="39">
        <v>425770</v>
      </c>
      <c r="I408" s="39" t="s">
        <v>367</v>
      </c>
      <c r="J408" s="39" t="s">
        <v>60</v>
      </c>
      <c r="K408" s="39" t="s">
        <v>50</v>
      </c>
      <c r="L408" s="39">
        <v>847001</v>
      </c>
      <c r="M408" s="39" t="s">
        <v>61</v>
      </c>
      <c r="N408" s="39">
        <v>200179</v>
      </c>
      <c r="O408" s="39" t="s">
        <v>1872</v>
      </c>
      <c r="P408" s="39" t="s">
        <v>369</v>
      </c>
      <c r="Q408" s="39" t="s">
        <v>157</v>
      </c>
      <c r="R408" s="39">
        <v>5</v>
      </c>
      <c r="S408" s="39">
        <v>15000</v>
      </c>
      <c r="T408" s="39" t="s">
        <v>1877</v>
      </c>
      <c r="U408" s="82">
        <v>75000</v>
      </c>
      <c r="V408" s="39" t="s">
        <v>55</v>
      </c>
      <c r="W408" s="39" t="s">
        <v>56</v>
      </c>
      <c r="X408" s="39" t="s">
        <v>237</v>
      </c>
    </row>
    <row r="409" spans="1:24" s="39" customFormat="1" ht="16" customHeight="1" x14ac:dyDescent="0.35">
      <c r="A409" s="39" t="s">
        <v>189</v>
      </c>
      <c r="B409" s="39" t="s">
        <v>265</v>
      </c>
      <c r="C409" s="39" t="s">
        <v>1784</v>
      </c>
      <c r="D409" s="80">
        <v>847</v>
      </c>
      <c r="E409" s="39">
        <v>8470415</v>
      </c>
      <c r="F409" s="39" t="s">
        <v>1842</v>
      </c>
      <c r="G409" s="81">
        <v>1</v>
      </c>
      <c r="H409" s="39">
        <v>425900</v>
      </c>
      <c r="I409" s="39" t="s">
        <v>266</v>
      </c>
      <c r="J409" s="39" t="s">
        <v>60</v>
      </c>
      <c r="K409" s="39" t="s">
        <v>50</v>
      </c>
      <c r="L409" s="39">
        <v>847001</v>
      </c>
      <c r="M409" s="39" t="s">
        <v>61</v>
      </c>
      <c r="N409" s="39">
        <v>200179</v>
      </c>
      <c r="O409" s="39" t="s">
        <v>1879</v>
      </c>
      <c r="P409" s="39" t="s">
        <v>268</v>
      </c>
      <c r="Q409" s="39" t="s">
        <v>269</v>
      </c>
      <c r="R409" s="39">
        <v>12</v>
      </c>
      <c r="S409" s="39">
        <v>1500</v>
      </c>
      <c r="T409" s="39" t="s">
        <v>1880</v>
      </c>
      <c r="U409" s="82">
        <v>18000</v>
      </c>
      <c r="V409" s="39" t="s">
        <v>55</v>
      </c>
      <c r="W409" s="39" t="s">
        <v>56</v>
      </c>
      <c r="X409" s="39" t="s">
        <v>237</v>
      </c>
    </row>
    <row r="410" spans="1:24" s="39" customFormat="1" ht="16" customHeight="1" x14ac:dyDescent="0.35">
      <c r="A410" s="39" t="s">
        <v>189</v>
      </c>
      <c r="B410" s="39" t="s">
        <v>265</v>
      </c>
      <c r="C410" s="39" t="s">
        <v>1784</v>
      </c>
      <c r="D410" s="80">
        <v>847</v>
      </c>
      <c r="E410" s="39">
        <v>8470415</v>
      </c>
      <c r="F410" s="39" t="s">
        <v>1842</v>
      </c>
      <c r="G410" s="81">
        <v>1</v>
      </c>
      <c r="H410" s="39">
        <v>425900</v>
      </c>
      <c r="I410" s="39" t="s">
        <v>266</v>
      </c>
      <c r="J410" s="39" t="s">
        <v>60</v>
      </c>
      <c r="K410" s="39" t="s">
        <v>50</v>
      </c>
      <c r="L410" s="39">
        <v>847001</v>
      </c>
      <c r="M410" s="39" t="s">
        <v>61</v>
      </c>
      <c r="N410" s="39">
        <v>200179</v>
      </c>
      <c r="O410" s="39" t="s">
        <v>1879</v>
      </c>
      <c r="P410" s="39" t="s">
        <v>268</v>
      </c>
      <c r="Q410" s="39" t="s">
        <v>269</v>
      </c>
      <c r="R410" s="39">
        <v>1</v>
      </c>
      <c r="S410" s="39">
        <v>140000</v>
      </c>
      <c r="T410" s="39" t="s">
        <v>1882</v>
      </c>
      <c r="U410" s="82">
        <v>140000</v>
      </c>
      <c r="V410" s="39" t="s">
        <v>55</v>
      </c>
      <c r="W410" s="39" t="s">
        <v>56</v>
      </c>
      <c r="X410" s="39" t="s">
        <v>230</v>
      </c>
    </row>
    <row r="411" spans="1:24" s="39" customFormat="1" ht="16" customHeight="1" x14ac:dyDescent="0.35">
      <c r="A411" s="39" t="s">
        <v>63</v>
      </c>
      <c r="B411" s="39" t="s">
        <v>64</v>
      </c>
      <c r="C411" s="39" t="s">
        <v>1784</v>
      </c>
      <c r="D411" s="80">
        <v>847</v>
      </c>
      <c r="E411" s="39">
        <v>8470415</v>
      </c>
      <c r="F411" s="39" t="s">
        <v>1842</v>
      </c>
      <c r="G411" s="81">
        <v>1</v>
      </c>
      <c r="H411" s="39">
        <v>426610</v>
      </c>
      <c r="I411" s="39" t="s">
        <v>74</v>
      </c>
      <c r="J411" s="39" t="s">
        <v>60</v>
      </c>
      <c r="K411" s="39" t="s">
        <v>50</v>
      </c>
      <c r="L411" s="39">
        <v>847001</v>
      </c>
      <c r="M411" s="39" t="s">
        <v>61</v>
      </c>
      <c r="N411" s="39">
        <v>200179</v>
      </c>
      <c r="O411" s="39" t="s">
        <v>1885</v>
      </c>
      <c r="P411" s="39" t="s">
        <v>274</v>
      </c>
      <c r="Q411" s="39" t="s">
        <v>157</v>
      </c>
      <c r="R411" s="39">
        <v>1</v>
      </c>
      <c r="S411" s="39">
        <v>97617</v>
      </c>
      <c r="T411" s="39" t="s">
        <v>1886</v>
      </c>
      <c r="U411" s="82">
        <v>97617</v>
      </c>
      <c r="V411" s="39" t="s">
        <v>55</v>
      </c>
      <c r="W411" s="39" t="s">
        <v>56</v>
      </c>
      <c r="X411" s="39" t="s">
        <v>230</v>
      </c>
    </row>
    <row r="412" spans="1:24" s="39" customFormat="1" ht="16" customHeight="1" x14ac:dyDescent="0.35">
      <c r="A412" s="39" t="s">
        <v>63</v>
      </c>
      <c r="B412" s="39" t="s">
        <v>64</v>
      </c>
      <c r="C412" s="39" t="s">
        <v>1784</v>
      </c>
      <c r="D412" s="80">
        <v>847</v>
      </c>
      <c r="E412" s="39">
        <v>8470415</v>
      </c>
      <c r="F412" s="39" t="s">
        <v>1842</v>
      </c>
      <c r="G412" s="81">
        <v>1</v>
      </c>
      <c r="H412" s="39">
        <v>426610</v>
      </c>
      <c r="I412" s="39" t="s">
        <v>74</v>
      </c>
      <c r="J412" s="39" t="s">
        <v>60</v>
      </c>
      <c r="K412" s="39" t="s">
        <v>50</v>
      </c>
      <c r="L412" s="39">
        <v>847001</v>
      </c>
      <c r="M412" s="39" t="s">
        <v>61</v>
      </c>
      <c r="N412" s="39">
        <v>200179</v>
      </c>
      <c r="O412" s="39" t="s">
        <v>1885</v>
      </c>
      <c r="P412" s="39" t="s">
        <v>274</v>
      </c>
      <c r="Q412" s="39" t="s">
        <v>157</v>
      </c>
      <c r="R412" s="39">
        <v>1</v>
      </c>
      <c r="S412" s="39">
        <v>30000</v>
      </c>
      <c r="T412" s="39" t="s">
        <v>2198</v>
      </c>
      <c r="U412" s="82">
        <v>30000</v>
      </c>
      <c r="V412" s="39" t="s">
        <v>55</v>
      </c>
      <c r="W412" s="39" t="s">
        <v>56</v>
      </c>
      <c r="X412" s="39" t="s">
        <v>230</v>
      </c>
    </row>
    <row r="413" spans="1:24" s="39" customFormat="1" ht="16" customHeight="1" x14ac:dyDescent="0.35">
      <c r="A413" s="39" t="s">
        <v>63</v>
      </c>
      <c r="B413" s="39" t="s">
        <v>64</v>
      </c>
      <c r="C413" s="39" t="s">
        <v>1784</v>
      </c>
      <c r="D413" s="80">
        <v>847</v>
      </c>
      <c r="E413" s="39">
        <v>8470415</v>
      </c>
      <c r="F413" s="39" t="s">
        <v>1842</v>
      </c>
      <c r="G413" s="81">
        <v>1</v>
      </c>
      <c r="H413" s="39">
        <v>426610</v>
      </c>
      <c r="I413" s="39" t="s">
        <v>74</v>
      </c>
      <c r="J413" s="39" t="s">
        <v>60</v>
      </c>
      <c r="K413" s="39" t="s">
        <v>50</v>
      </c>
      <c r="L413" s="39">
        <v>847001</v>
      </c>
      <c r="M413" s="39" t="s">
        <v>61</v>
      </c>
      <c r="N413" s="39">
        <v>200179</v>
      </c>
      <c r="O413" s="39" t="s">
        <v>1885</v>
      </c>
      <c r="P413" s="39" t="s">
        <v>274</v>
      </c>
      <c r="Q413" s="39" t="s">
        <v>157</v>
      </c>
      <c r="R413" s="39">
        <v>1</v>
      </c>
      <c r="S413" s="39">
        <v>31195</v>
      </c>
      <c r="T413" s="39" t="s">
        <v>2199</v>
      </c>
      <c r="U413" s="82">
        <v>31195</v>
      </c>
      <c r="V413" s="39" t="s">
        <v>55</v>
      </c>
      <c r="W413" s="39" t="s">
        <v>56</v>
      </c>
      <c r="X413" s="39" t="s">
        <v>230</v>
      </c>
    </row>
    <row r="414" spans="1:24" s="39" customFormat="1" ht="16" customHeight="1" x14ac:dyDescent="0.35">
      <c r="A414" s="39" t="s">
        <v>245</v>
      </c>
      <c r="B414" s="39" t="s">
        <v>246</v>
      </c>
      <c r="C414" s="39" t="s">
        <v>1784</v>
      </c>
      <c r="D414" s="80">
        <v>847</v>
      </c>
      <c r="E414" s="39">
        <v>8470415</v>
      </c>
      <c r="F414" s="39" t="s">
        <v>1842</v>
      </c>
      <c r="G414" s="81">
        <v>1</v>
      </c>
      <c r="H414" s="39">
        <v>428640</v>
      </c>
      <c r="I414" s="39" t="s">
        <v>279</v>
      </c>
      <c r="J414" s="39" t="s">
        <v>60</v>
      </c>
      <c r="K414" s="39" t="s">
        <v>50</v>
      </c>
      <c r="L414" s="39">
        <v>847001</v>
      </c>
      <c r="M414" s="39" t="s">
        <v>61</v>
      </c>
      <c r="N414" s="39">
        <v>200179</v>
      </c>
      <c r="O414" s="39" t="s">
        <v>1897</v>
      </c>
      <c r="P414" s="39" t="s">
        <v>645</v>
      </c>
      <c r="Q414" s="39" t="s">
        <v>269</v>
      </c>
      <c r="R414" s="39">
        <v>1</v>
      </c>
      <c r="S414" s="39">
        <v>25000</v>
      </c>
      <c r="T414" s="39" t="s">
        <v>1898</v>
      </c>
      <c r="U414" s="82">
        <v>25000</v>
      </c>
      <c r="V414" s="39" t="s">
        <v>55</v>
      </c>
      <c r="W414" s="39" t="s">
        <v>56</v>
      </c>
      <c r="X414" s="39" t="s">
        <v>384</v>
      </c>
    </row>
    <row r="415" spans="1:24" s="39" customFormat="1" ht="16" customHeight="1" x14ac:dyDescent="0.35">
      <c r="A415" s="39" t="s">
        <v>153</v>
      </c>
      <c r="B415" s="39" t="s">
        <v>58</v>
      </c>
      <c r="C415" s="39" t="s">
        <v>1784</v>
      </c>
      <c r="D415" s="80">
        <v>847</v>
      </c>
      <c r="E415" s="39">
        <v>8470415</v>
      </c>
      <c r="F415" s="39" t="s">
        <v>1842</v>
      </c>
      <c r="G415" s="81">
        <v>1</v>
      </c>
      <c r="H415" s="39">
        <v>428090</v>
      </c>
      <c r="I415" s="39" t="s">
        <v>154</v>
      </c>
      <c r="J415" s="39" t="s">
        <v>60</v>
      </c>
      <c r="K415" s="39" t="s">
        <v>50</v>
      </c>
      <c r="L415" s="39">
        <v>847001</v>
      </c>
      <c r="M415" s="39" t="s">
        <v>61</v>
      </c>
      <c r="N415" s="39">
        <v>200179</v>
      </c>
      <c r="O415" s="39" t="s">
        <v>1854</v>
      </c>
      <c r="P415" s="39" t="s">
        <v>156</v>
      </c>
      <c r="Q415" s="39" t="s">
        <v>157</v>
      </c>
      <c r="R415" s="39">
        <v>10</v>
      </c>
      <c r="S415" s="39">
        <v>500</v>
      </c>
      <c r="T415" s="39" t="s">
        <v>2191</v>
      </c>
      <c r="U415" s="82">
        <v>5000</v>
      </c>
      <c r="V415" s="39" t="s">
        <v>55</v>
      </c>
      <c r="W415" s="39" t="s">
        <v>56</v>
      </c>
      <c r="X415" s="39" t="s">
        <v>384</v>
      </c>
    </row>
    <row r="416" spans="1:24" s="39" customFormat="1" ht="16" customHeight="1" x14ac:dyDescent="0.35">
      <c r="A416" s="39" t="s">
        <v>222</v>
      </c>
      <c r="B416" s="39" t="s">
        <v>58</v>
      </c>
      <c r="C416" s="39" t="s">
        <v>1784</v>
      </c>
      <c r="D416" s="80">
        <v>847</v>
      </c>
      <c r="E416" s="39">
        <v>8470415</v>
      </c>
      <c r="F416" s="39" t="s">
        <v>1842</v>
      </c>
      <c r="G416" s="81">
        <v>1</v>
      </c>
      <c r="H416" s="39">
        <v>432209</v>
      </c>
      <c r="I416" s="39" t="s">
        <v>393</v>
      </c>
      <c r="J416" s="39" t="s">
        <v>60</v>
      </c>
      <c r="K416" s="39" t="s">
        <v>50</v>
      </c>
      <c r="L416" s="39">
        <v>847001</v>
      </c>
      <c r="M416" s="39" t="s">
        <v>61</v>
      </c>
      <c r="N416" s="39">
        <v>200179</v>
      </c>
      <c r="O416" s="39" t="s">
        <v>1900</v>
      </c>
      <c r="P416" s="39" t="s">
        <v>288</v>
      </c>
      <c r="Q416" s="39" t="s">
        <v>157</v>
      </c>
      <c r="R416" s="39">
        <v>1</v>
      </c>
      <c r="S416" s="39">
        <v>526000</v>
      </c>
      <c r="T416" s="39" t="s">
        <v>2253</v>
      </c>
      <c r="U416" s="82">
        <v>526000</v>
      </c>
      <c r="V416" s="39" t="s">
        <v>55</v>
      </c>
      <c r="W416" s="39" t="s">
        <v>56</v>
      </c>
      <c r="X416" s="39" t="s">
        <v>230</v>
      </c>
    </row>
    <row r="417" spans="1:24" s="39" customFormat="1" ht="16" customHeight="1" x14ac:dyDescent="0.35">
      <c r="A417" s="39" t="s">
        <v>222</v>
      </c>
      <c r="B417" s="39" t="s">
        <v>58</v>
      </c>
      <c r="C417" s="39" t="s">
        <v>1784</v>
      </c>
      <c r="D417" s="80">
        <v>847</v>
      </c>
      <c r="E417" s="39">
        <v>8470415</v>
      </c>
      <c r="F417" s="39" t="s">
        <v>1842</v>
      </c>
      <c r="G417" s="81">
        <v>1</v>
      </c>
      <c r="H417" s="39">
        <v>435350</v>
      </c>
      <c r="I417" s="39" t="s">
        <v>399</v>
      </c>
      <c r="J417" s="39" t="s">
        <v>60</v>
      </c>
      <c r="K417" s="39" t="s">
        <v>50</v>
      </c>
      <c r="L417" s="39">
        <v>847001</v>
      </c>
      <c r="M417" s="39" t="s">
        <v>61</v>
      </c>
      <c r="N417" s="39">
        <v>200179</v>
      </c>
      <c r="O417" s="39" t="s">
        <v>1910</v>
      </c>
      <c r="P417" s="39" t="s">
        <v>401</v>
      </c>
      <c r="Q417" s="39" t="s">
        <v>157</v>
      </c>
      <c r="R417" s="39">
        <v>20</v>
      </c>
      <c r="S417" s="39">
        <v>15000</v>
      </c>
      <c r="T417" s="39" t="s">
        <v>1911</v>
      </c>
      <c r="U417" s="82">
        <v>300000</v>
      </c>
      <c r="V417" s="39" t="s">
        <v>55</v>
      </c>
      <c r="W417" s="39" t="s">
        <v>56</v>
      </c>
      <c r="X417" s="39" t="s">
        <v>480</v>
      </c>
    </row>
    <row r="418" spans="1:24" s="39" customFormat="1" ht="16" customHeight="1" x14ac:dyDescent="0.35">
      <c r="A418" s="39" t="s">
        <v>222</v>
      </c>
      <c r="B418" s="39" t="s">
        <v>220</v>
      </c>
      <c r="C418" s="39" t="s">
        <v>1784</v>
      </c>
      <c r="D418" s="80">
        <v>847</v>
      </c>
      <c r="E418" s="39">
        <v>8470415</v>
      </c>
      <c r="F418" s="39" t="s">
        <v>1842</v>
      </c>
      <c r="G418" s="81">
        <v>1</v>
      </c>
      <c r="H418" s="39">
        <v>435508</v>
      </c>
      <c r="I418" s="39" t="s">
        <v>405</v>
      </c>
      <c r="J418" s="39" t="s">
        <v>60</v>
      </c>
      <c r="K418" s="39" t="s">
        <v>50</v>
      </c>
      <c r="L418" s="39">
        <v>847001</v>
      </c>
      <c r="M418" s="39" t="s">
        <v>61</v>
      </c>
      <c r="N418" s="39">
        <v>200179</v>
      </c>
      <c r="O418" s="39" t="s">
        <v>1913</v>
      </c>
      <c r="P418" s="39" t="s">
        <v>482</v>
      </c>
      <c r="Q418" s="39" t="s">
        <v>157</v>
      </c>
      <c r="R418" s="39">
        <v>1</v>
      </c>
      <c r="S418" s="39">
        <v>900000</v>
      </c>
      <c r="T418" s="39" t="s">
        <v>2253</v>
      </c>
      <c r="U418" s="82">
        <v>900000</v>
      </c>
      <c r="V418" s="39" t="s">
        <v>55</v>
      </c>
      <c r="W418" s="39" t="s">
        <v>56</v>
      </c>
      <c r="X418" s="39" t="s">
        <v>230</v>
      </c>
    </row>
    <row r="419" spans="1:24" s="39" customFormat="1" ht="16" customHeight="1" x14ac:dyDescent="0.35">
      <c r="A419" s="39" t="s">
        <v>245</v>
      </c>
      <c r="B419" s="39" t="s">
        <v>58</v>
      </c>
      <c r="C419" s="39" t="s">
        <v>1784</v>
      </c>
      <c r="D419" s="80">
        <v>847</v>
      </c>
      <c r="E419" s="39">
        <v>8470415</v>
      </c>
      <c r="F419" s="39" t="s">
        <v>1842</v>
      </c>
      <c r="G419" s="81">
        <v>1</v>
      </c>
      <c r="H419" s="39">
        <v>427200</v>
      </c>
      <c r="I419" s="39" t="s">
        <v>1085</v>
      </c>
      <c r="J419" s="39" t="s">
        <v>60</v>
      </c>
      <c r="K419" s="39" t="s">
        <v>50</v>
      </c>
      <c r="L419" s="39">
        <v>847001</v>
      </c>
      <c r="M419" s="39" t="s">
        <v>61</v>
      </c>
      <c r="N419" s="39">
        <v>200179</v>
      </c>
      <c r="O419" s="39" t="s">
        <v>1858</v>
      </c>
      <c r="P419" s="39" t="s">
        <v>748</v>
      </c>
      <c r="Q419" s="39" t="s">
        <v>269</v>
      </c>
      <c r="R419" s="39">
        <v>1</v>
      </c>
      <c r="S419" s="39">
        <v>25000</v>
      </c>
      <c r="T419" s="39" t="s">
        <v>2192</v>
      </c>
      <c r="U419" s="82">
        <v>25000</v>
      </c>
      <c r="V419" s="39" t="s">
        <v>55</v>
      </c>
      <c r="W419" s="39" t="s">
        <v>56</v>
      </c>
      <c r="X419" s="39" t="s">
        <v>252</v>
      </c>
    </row>
    <row r="420" spans="1:24" s="39" customFormat="1" ht="16" customHeight="1" x14ac:dyDescent="0.35">
      <c r="A420" s="39" t="s">
        <v>161</v>
      </c>
      <c r="B420" s="39" t="s">
        <v>220</v>
      </c>
      <c r="C420" s="39" t="s">
        <v>1784</v>
      </c>
      <c r="D420" s="80">
        <v>847</v>
      </c>
      <c r="E420" s="39">
        <v>8470415</v>
      </c>
      <c r="F420" s="39" t="s">
        <v>1842</v>
      </c>
      <c r="G420" s="81">
        <v>1</v>
      </c>
      <c r="H420" s="39">
        <v>492316</v>
      </c>
      <c r="I420" s="39" t="s">
        <v>221</v>
      </c>
      <c r="J420" s="39" t="s">
        <v>60</v>
      </c>
      <c r="K420" s="39" t="s">
        <v>50</v>
      </c>
      <c r="L420" s="39">
        <v>847001</v>
      </c>
      <c r="M420" s="39" t="s">
        <v>192</v>
      </c>
      <c r="N420" s="39">
        <v>300180</v>
      </c>
      <c r="O420" s="39" t="s">
        <v>1924</v>
      </c>
      <c r="P420" s="39" t="s">
        <v>422</v>
      </c>
      <c r="Q420" s="39" t="s">
        <v>157</v>
      </c>
      <c r="R420" s="39">
        <v>1</v>
      </c>
      <c r="S420" s="39">
        <v>196260</v>
      </c>
      <c r="T420" s="39" t="s">
        <v>2202</v>
      </c>
      <c r="U420" s="82">
        <v>196260</v>
      </c>
      <c r="V420" s="39" t="s">
        <v>210</v>
      </c>
      <c r="W420" s="39" t="s">
        <v>197</v>
      </c>
      <c r="X420" s="39" t="s">
        <v>252</v>
      </c>
    </row>
    <row r="421" spans="1:24" s="39" customFormat="1" ht="16" customHeight="1" x14ac:dyDescent="0.35">
      <c r="A421" s="39" t="s">
        <v>161</v>
      </c>
      <c r="B421" s="39" t="s">
        <v>220</v>
      </c>
      <c r="C421" s="39" t="s">
        <v>1784</v>
      </c>
      <c r="D421" s="80">
        <v>847</v>
      </c>
      <c r="E421" s="39">
        <v>8470415</v>
      </c>
      <c r="F421" s="39" t="s">
        <v>1842</v>
      </c>
      <c r="G421" s="81">
        <v>1</v>
      </c>
      <c r="H421" s="39">
        <v>492316</v>
      </c>
      <c r="I421" s="39" t="s">
        <v>221</v>
      </c>
      <c r="J421" s="39" t="s">
        <v>60</v>
      </c>
      <c r="K421" s="39" t="s">
        <v>50</v>
      </c>
      <c r="L421" s="39">
        <v>847001</v>
      </c>
      <c r="M421" s="39" t="s">
        <v>192</v>
      </c>
      <c r="N421" s="39">
        <v>300180</v>
      </c>
      <c r="O421" s="39" t="s">
        <v>1924</v>
      </c>
      <c r="P421" s="39" t="s">
        <v>422</v>
      </c>
      <c r="Q421" s="39" t="s">
        <v>157</v>
      </c>
      <c r="R421" s="39">
        <v>3</v>
      </c>
      <c r="S421" s="39">
        <v>50000</v>
      </c>
      <c r="T421" s="39" t="s">
        <v>2254</v>
      </c>
      <c r="U421" s="82">
        <v>150000</v>
      </c>
      <c r="V421" s="39" t="s">
        <v>210</v>
      </c>
      <c r="W421" s="39" t="s">
        <v>197</v>
      </c>
      <c r="X421" s="39" t="s">
        <v>252</v>
      </c>
    </row>
    <row r="422" spans="1:24" s="39" customFormat="1" ht="16" customHeight="1" x14ac:dyDescent="0.35">
      <c r="A422" s="39" t="s">
        <v>245</v>
      </c>
      <c r="B422" s="39" t="s">
        <v>246</v>
      </c>
      <c r="C422" s="39" t="s">
        <v>1784</v>
      </c>
      <c r="D422" s="80">
        <v>847</v>
      </c>
      <c r="E422" s="39">
        <v>8470425</v>
      </c>
      <c r="F422" s="39" t="s">
        <v>1943</v>
      </c>
      <c r="G422" s="81">
        <v>1</v>
      </c>
      <c r="H422" s="39">
        <v>425510</v>
      </c>
      <c r="I422" s="39" t="s">
        <v>247</v>
      </c>
      <c r="J422" s="39" t="s">
        <v>60</v>
      </c>
      <c r="K422" s="39" t="s">
        <v>50</v>
      </c>
      <c r="L422" s="39">
        <v>847001</v>
      </c>
      <c r="M422" s="39" t="s">
        <v>61</v>
      </c>
      <c r="N422" s="39">
        <v>200179</v>
      </c>
      <c r="O422" s="39" t="s">
        <v>1944</v>
      </c>
      <c r="P422" s="39" t="s">
        <v>514</v>
      </c>
      <c r="Q422" s="39" t="s">
        <v>515</v>
      </c>
      <c r="R422" s="39">
        <v>9</v>
      </c>
      <c r="S422" s="39">
        <v>5000</v>
      </c>
      <c r="T422" s="39" t="s">
        <v>2255</v>
      </c>
      <c r="U422" s="82">
        <v>45000</v>
      </c>
      <c r="V422" s="39" t="s">
        <v>55</v>
      </c>
      <c r="W422" s="39" t="s">
        <v>56</v>
      </c>
      <c r="X422" s="39" t="s">
        <v>379</v>
      </c>
    </row>
    <row r="423" spans="1:24" s="39" customFormat="1" ht="16" customHeight="1" x14ac:dyDescent="0.35">
      <c r="A423" s="39" t="s">
        <v>245</v>
      </c>
      <c r="B423" s="39" t="s">
        <v>246</v>
      </c>
      <c r="C423" s="39" t="s">
        <v>1784</v>
      </c>
      <c r="D423" s="80">
        <v>847</v>
      </c>
      <c r="E423" s="39">
        <v>8470425</v>
      </c>
      <c r="F423" s="39" t="s">
        <v>1943</v>
      </c>
      <c r="G423" s="81">
        <v>1</v>
      </c>
      <c r="H423" s="39">
        <v>425510</v>
      </c>
      <c r="I423" s="39" t="s">
        <v>247</v>
      </c>
      <c r="J423" s="39" t="s">
        <v>60</v>
      </c>
      <c r="K423" s="39" t="s">
        <v>50</v>
      </c>
      <c r="L423" s="39">
        <v>847001</v>
      </c>
      <c r="M423" s="39" t="s">
        <v>61</v>
      </c>
      <c r="N423" s="39">
        <v>200179</v>
      </c>
      <c r="O423" s="39" t="s">
        <v>1944</v>
      </c>
      <c r="P423" s="39" t="s">
        <v>433</v>
      </c>
      <c r="Q423" s="39" t="s">
        <v>434</v>
      </c>
      <c r="R423" s="39">
        <v>1</v>
      </c>
      <c r="S423" s="39">
        <v>250000</v>
      </c>
      <c r="T423" s="39" t="s">
        <v>2256</v>
      </c>
      <c r="U423" s="82">
        <v>250000</v>
      </c>
      <c r="V423" s="39" t="s">
        <v>55</v>
      </c>
      <c r="W423" s="39" t="s">
        <v>56</v>
      </c>
      <c r="X423" s="39" t="s">
        <v>618</v>
      </c>
    </row>
    <row r="424" spans="1:24" s="39" customFormat="1" ht="16" customHeight="1" x14ac:dyDescent="0.35">
      <c r="A424" s="39" t="s">
        <v>245</v>
      </c>
      <c r="B424" s="39" t="s">
        <v>58</v>
      </c>
      <c r="C424" s="39" t="s">
        <v>1784</v>
      </c>
      <c r="D424" s="80">
        <v>847</v>
      </c>
      <c r="E424" s="39">
        <v>8470425</v>
      </c>
      <c r="F424" s="39" t="s">
        <v>1943</v>
      </c>
      <c r="G424" s="81">
        <v>1</v>
      </c>
      <c r="H424" s="39">
        <v>425550</v>
      </c>
      <c r="I424" s="39" t="s">
        <v>253</v>
      </c>
      <c r="J424" s="39" t="s">
        <v>60</v>
      </c>
      <c r="K424" s="39" t="s">
        <v>50</v>
      </c>
      <c r="L424" s="39">
        <v>847001</v>
      </c>
      <c r="M424" s="39" t="s">
        <v>61</v>
      </c>
      <c r="N424" s="39">
        <v>200179</v>
      </c>
      <c r="O424" s="39" t="s">
        <v>1947</v>
      </c>
      <c r="P424" s="39" t="s">
        <v>255</v>
      </c>
      <c r="Q424" s="39" t="s">
        <v>256</v>
      </c>
      <c r="R424" s="39">
        <v>15</v>
      </c>
      <c r="S424" s="39">
        <v>22500</v>
      </c>
      <c r="T424" s="39" t="s">
        <v>2257</v>
      </c>
      <c r="U424" s="82">
        <v>337500</v>
      </c>
      <c r="V424" s="39" t="s">
        <v>55</v>
      </c>
      <c r="W424" s="39" t="s">
        <v>56</v>
      </c>
      <c r="X424" s="39" t="s">
        <v>379</v>
      </c>
    </row>
    <row r="425" spans="1:24" s="39" customFormat="1" ht="16" customHeight="1" x14ac:dyDescent="0.35">
      <c r="A425" s="39" t="s">
        <v>222</v>
      </c>
      <c r="B425" s="39" t="s">
        <v>58</v>
      </c>
      <c r="C425" s="39" t="s">
        <v>1784</v>
      </c>
      <c r="D425" s="80">
        <v>847</v>
      </c>
      <c r="E425" s="39">
        <v>8470425</v>
      </c>
      <c r="F425" s="39" t="s">
        <v>1943</v>
      </c>
      <c r="G425" s="81">
        <v>1</v>
      </c>
      <c r="H425" s="39">
        <v>425770</v>
      </c>
      <c r="I425" s="39" t="s">
        <v>367</v>
      </c>
      <c r="J425" s="39" t="s">
        <v>60</v>
      </c>
      <c r="K425" s="39" t="s">
        <v>50</v>
      </c>
      <c r="L425" s="39">
        <v>847001</v>
      </c>
      <c r="M425" s="39" t="s">
        <v>61</v>
      </c>
      <c r="N425" s="39">
        <v>200179</v>
      </c>
      <c r="O425" s="39" t="s">
        <v>1949</v>
      </c>
      <c r="P425" s="39" t="s">
        <v>926</v>
      </c>
      <c r="Q425" s="39" t="s">
        <v>157</v>
      </c>
      <c r="R425" s="39">
        <v>5</v>
      </c>
      <c r="S425" s="39">
        <v>22500</v>
      </c>
      <c r="T425" s="39" t="s">
        <v>2258</v>
      </c>
      <c r="U425" s="82">
        <v>112500</v>
      </c>
      <c r="V425" s="39" t="s">
        <v>55</v>
      </c>
      <c r="W425" s="39" t="s">
        <v>56</v>
      </c>
      <c r="X425" s="39" t="s">
        <v>834</v>
      </c>
    </row>
    <row r="426" spans="1:24" s="39" customFormat="1" ht="16" customHeight="1" x14ac:dyDescent="0.35">
      <c r="A426" s="39" t="s">
        <v>189</v>
      </c>
      <c r="B426" s="39" t="s">
        <v>265</v>
      </c>
      <c r="C426" s="39" t="s">
        <v>1784</v>
      </c>
      <c r="D426" s="80">
        <v>847</v>
      </c>
      <c r="E426" s="39">
        <v>8470425</v>
      </c>
      <c r="F426" s="39" t="s">
        <v>1943</v>
      </c>
      <c r="G426" s="81">
        <v>1</v>
      </c>
      <c r="H426" s="39">
        <v>425900</v>
      </c>
      <c r="I426" s="39" t="s">
        <v>266</v>
      </c>
      <c r="J426" s="39" t="s">
        <v>60</v>
      </c>
      <c r="K426" s="39" t="s">
        <v>50</v>
      </c>
      <c r="L426" s="39">
        <v>847001</v>
      </c>
      <c r="M426" s="39" t="s">
        <v>61</v>
      </c>
      <c r="N426" s="39">
        <v>200179</v>
      </c>
      <c r="O426" s="39" t="s">
        <v>1951</v>
      </c>
      <c r="P426" s="39" t="s">
        <v>268</v>
      </c>
      <c r="Q426" s="39" t="s">
        <v>269</v>
      </c>
      <c r="R426" s="39">
        <v>5</v>
      </c>
      <c r="S426" s="39">
        <v>20000</v>
      </c>
      <c r="T426" s="39" t="s">
        <v>1952</v>
      </c>
      <c r="U426" s="82">
        <v>100000</v>
      </c>
      <c r="V426" s="39" t="s">
        <v>55</v>
      </c>
      <c r="W426" s="39" t="s">
        <v>56</v>
      </c>
      <c r="X426" s="39" t="s">
        <v>379</v>
      </c>
    </row>
    <row r="427" spans="1:24" s="39" customFormat="1" ht="16" customHeight="1" x14ac:dyDescent="0.35">
      <c r="A427" s="39" t="s">
        <v>189</v>
      </c>
      <c r="B427" s="39" t="s">
        <v>265</v>
      </c>
      <c r="C427" s="39" t="s">
        <v>1784</v>
      </c>
      <c r="D427" s="80">
        <v>847</v>
      </c>
      <c r="E427" s="39">
        <v>8470425</v>
      </c>
      <c r="F427" s="39" t="s">
        <v>1943</v>
      </c>
      <c r="G427" s="81">
        <v>1</v>
      </c>
      <c r="H427" s="39">
        <v>425900</v>
      </c>
      <c r="I427" s="39" t="s">
        <v>266</v>
      </c>
      <c r="J427" s="39" t="s">
        <v>60</v>
      </c>
      <c r="K427" s="39" t="s">
        <v>50</v>
      </c>
      <c r="L427" s="39">
        <v>847001</v>
      </c>
      <c r="M427" s="39" t="s">
        <v>61</v>
      </c>
      <c r="N427" s="39">
        <v>200179</v>
      </c>
      <c r="O427" s="39" t="s">
        <v>1951</v>
      </c>
      <c r="P427" s="39" t="s">
        <v>268</v>
      </c>
      <c r="Q427" s="39" t="s">
        <v>269</v>
      </c>
      <c r="R427" s="39">
        <v>2</v>
      </c>
      <c r="S427" s="39">
        <v>10000</v>
      </c>
      <c r="T427" s="39" t="s">
        <v>1953</v>
      </c>
      <c r="U427" s="82">
        <v>20000</v>
      </c>
      <c r="V427" s="39" t="s">
        <v>55</v>
      </c>
      <c r="W427" s="39" t="s">
        <v>56</v>
      </c>
      <c r="X427" s="39" t="s">
        <v>1333</v>
      </c>
    </row>
    <row r="428" spans="1:24" s="39" customFormat="1" ht="16" customHeight="1" x14ac:dyDescent="0.35">
      <c r="A428" s="39" t="s">
        <v>63</v>
      </c>
      <c r="B428" s="39" t="s">
        <v>64</v>
      </c>
      <c r="C428" s="39" t="s">
        <v>1784</v>
      </c>
      <c r="D428" s="80">
        <v>847</v>
      </c>
      <c r="E428" s="39">
        <v>8470425</v>
      </c>
      <c r="F428" s="39" t="s">
        <v>1943</v>
      </c>
      <c r="G428" s="81">
        <v>1</v>
      </c>
      <c r="H428" s="39">
        <v>426610</v>
      </c>
      <c r="I428" s="39" t="s">
        <v>74</v>
      </c>
      <c r="J428" s="39" t="s">
        <v>60</v>
      </c>
      <c r="K428" s="39" t="s">
        <v>50</v>
      </c>
      <c r="L428" s="39">
        <v>847001</v>
      </c>
      <c r="M428" s="39" t="s">
        <v>61</v>
      </c>
      <c r="N428" s="39">
        <v>200179</v>
      </c>
      <c r="O428" s="39" t="s">
        <v>1954</v>
      </c>
      <c r="P428" s="39" t="s">
        <v>960</v>
      </c>
      <c r="Q428" s="39" t="s">
        <v>68</v>
      </c>
      <c r="R428" s="39">
        <v>10</v>
      </c>
      <c r="S428" s="39">
        <v>40000</v>
      </c>
      <c r="T428" s="39" t="s">
        <v>2259</v>
      </c>
      <c r="U428" s="82">
        <v>400000</v>
      </c>
      <c r="V428" s="39" t="s">
        <v>55</v>
      </c>
      <c r="W428" s="39" t="s">
        <v>56</v>
      </c>
      <c r="X428" s="39" t="s">
        <v>834</v>
      </c>
    </row>
    <row r="429" spans="1:24" s="39" customFormat="1" ht="16" customHeight="1" x14ac:dyDescent="0.35">
      <c r="A429" s="39" t="s">
        <v>153</v>
      </c>
      <c r="B429" s="39" t="s">
        <v>58</v>
      </c>
      <c r="C429" s="39" t="s">
        <v>1784</v>
      </c>
      <c r="D429" s="80">
        <v>847</v>
      </c>
      <c r="E429" s="39">
        <v>8470425</v>
      </c>
      <c r="F429" s="39" t="s">
        <v>1943</v>
      </c>
      <c r="G429" s="81">
        <v>1</v>
      </c>
      <c r="H429" s="39">
        <v>428090</v>
      </c>
      <c r="I429" s="39" t="s">
        <v>154</v>
      </c>
      <c r="J429" s="39" t="s">
        <v>60</v>
      </c>
      <c r="K429" s="39" t="s">
        <v>50</v>
      </c>
      <c r="L429" s="39">
        <v>847001</v>
      </c>
      <c r="M429" s="39" t="s">
        <v>61</v>
      </c>
      <c r="N429" s="39">
        <v>200179</v>
      </c>
      <c r="O429" s="39" t="s">
        <v>1956</v>
      </c>
      <c r="P429" s="39" t="s">
        <v>387</v>
      </c>
      <c r="Q429" s="39" t="s">
        <v>157</v>
      </c>
      <c r="R429" s="39">
        <v>5</v>
      </c>
      <c r="S429" s="39">
        <v>22500</v>
      </c>
      <c r="T429" s="39" t="s">
        <v>2260</v>
      </c>
      <c r="U429" s="82">
        <v>112500</v>
      </c>
      <c r="V429" s="39" t="s">
        <v>55</v>
      </c>
      <c r="W429" s="39" t="s">
        <v>56</v>
      </c>
      <c r="X429" s="39" t="s">
        <v>379</v>
      </c>
    </row>
    <row r="430" spans="1:24" s="39" customFormat="1" ht="16" customHeight="1" x14ac:dyDescent="0.35">
      <c r="A430" s="39" t="s">
        <v>222</v>
      </c>
      <c r="B430" s="39" t="s">
        <v>58</v>
      </c>
      <c r="C430" s="39" t="s">
        <v>1784</v>
      </c>
      <c r="D430" s="80">
        <v>847</v>
      </c>
      <c r="E430" s="39">
        <v>8470425</v>
      </c>
      <c r="F430" s="39" t="s">
        <v>1943</v>
      </c>
      <c r="G430" s="81">
        <v>1</v>
      </c>
      <c r="H430" s="39">
        <v>435350</v>
      </c>
      <c r="I430" s="39" t="s">
        <v>399</v>
      </c>
      <c r="J430" s="39" t="s">
        <v>60</v>
      </c>
      <c r="K430" s="39" t="s">
        <v>50</v>
      </c>
      <c r="L430" s="39">
        <v>847001</v>
      </c>
      <c r="M430" s="39" t="s">
        <v>61</v>
      </c>
      <c r="N430" s="39">
        <v>200179</v>
      </c>
      <c r="O430" s="39" t="s">
        <v>1958</v>
      </c>
      <c r="P430" s="39" t="s">
        <v>401</v>
      </c>
      <c r="Q430" s="39" t="s">
        <v>157</v>
      </c>
      <c r="R430" s="39">
        <v>25</v>
      </c>
      <c r="S430" s="39">
        <v>10000</v>
      </c>
      <c r="T430" s="39" t="s">
        <v>2261</v>
      </c>
      <c r="U430" s="82">
        <v>250000</v>
      </c>
      <c r="V430" s="39" t="s">
        <v>55</v>
      </c>
      <c r="W430" s="39" t="s">
        <v>56</v>
      </c>
      <c r="X430" s="39" t="s">
        <v>480</v>
      </c>
    </row>
    <row r="431" spans="1:24" s="39" customFormat="1" ht="16" customHeight="1" x14ac:dyDescent="0.35">
      <c r="A431" s="39" t="s">
        <v>222</v>
      </c>
      <c r="B431" s="39" t="s">
        <v>220</v>
      </c>
      <c r="C431" s="39" t="s">
        <v>1784</v>
      </c>
      <c r="D431" s="80">
        <v>847</v>
      </c>
      <c r="E431" s="39">
        <v>8470425</v>
      </c>
      <c r="F431" s="39" t="s">
        <v>1943</v>
      </c>
      <c r="G431" s="81">
        <v>1</v>
      </c>
      <c r="H431" s="39">
        <v>435508</v>
      </c>
      <c r="I431" s="39" t="s">
        <v>405</v>
      </c>
      <c r="J431" s="39" t="s">
        <v>60</v>
      </c>
      <c r="K431" s="39" t="s">
        <v>50</v>
      </c>
      <c r="L431" s="39">
        <v>847001</v>
      </c>
      <c r="M431" s="39" t="s">
        <v>61</v>
      </c>
      <c r="N431" s="39">
        <v>200179</v>
      </c>
      <c r="O431" s="39" t="s">
        <v>1960</v>
      </c>
      <c r="P431" s="39" t="s">
        <v>482</v>
      </c>
      <c r="Q431" s="39" t="s">
        <v>157</v>
      </c>
      <c r="R431" s="39">
        <v>20</v>
      </c>
      <c r="S431" s="39">
        <v>50000</v>
      </c>
      <c r="T431" s="39" t="s">
        <v>2262</v>
      </c>
      <c r="U431" s="82">
        <v>1000000</v>
      </c>
      <c r="V431" s="39" t="s">
        <v>55</v>
      </c>
      <c r="W431" s="39" t="s">
        <v>56</v>
      </c>
      <c r="X431" s="39" t="s">
        <v>834</v>
      </c>
    </row>
    <row r="432" spans="1:24" s="39" customFormat="1" ht="16" customHeight="1" x14ac:dyDescent="0.35">
      <c r="A432" s="39" t="s">
        <v>63</v>
      </c>
      <c r="B432" s="39" t="s">
        <v>64</v>
      </c>
      <c r="C432" s="39" t="s">
        <v>1784</v>
      </c>
      <c r="D432" s="80">
        <v>847</v>
      </c>
      <c r="E432" s="39">
        <v>8470425</v>
      </c>
      <c r="F432" s="39" t="s">
        <v>1943</v>
      </c>
      <c r="G432" s="81">
        <v>1</v>
      </c>
      <c r="H432" s="39">
        <v>492310</v>
      </c>
      <c r="I432" s="39" t="s">
        <v>191</v>
      </c>
      <c r="J432" s="39" t="s">
        <v>60</v>
      </c>
      <c r="K432" s="39" t="s">
        <v>50</v>
      </c>
      <c r="L432" s="39">
        <v>847001</v>
      </c>
      <c r="M432" s="39" t="s">
        <v>192</v>
      </c>
      <c r="N432" s="39">
        <v>300180</v>
      </c>
      <c r="O432" s="39" t="s">
        <v>1967</v>
      </c>
      <c r="P432" s="39" t="s">
        <v>1614</v>
      </c>
      <c r="Q432" s="39" t="s">
        <v>68</v>
      </c>
      <c r="R432" s="39">
        <v>10</v>
      </c>
      <c r="S432" s="39">
        <v>75000</v>
      </c>
      <c r="T432" s="39" t="s">
        <v>2263</v>
      </c>
      <c r="U432" s="82">
        <v>750000</v>
      </c>
      <c r="V432" s="39" t="s">
        <v>55</v>
      </c>
      <c r="X432" s="39" t="s">
        <v>834</v>
      </c>
    </row>
    <row r="433" spans="1:24" s="39" customFormat="1" ht="16" customHeight="1" x14ac:dyDescent="0.35">
      <c r="A433" s="39" t="s">
        <v>161</v>
      </c>
      <c r="B433" s="39" t="s">
        <v>220</v>
      </c>
      <c r="C433" s="39" t="s">
        <v>1784</v>
      </c>
      <c r="D433" s="80">
        <v>847</v>
      </c>
      <c r="E433" s="39">
        <v>8470425</v>
      </c>
      <c r="F433" s="39" t="s">
        <v>1943</v>
      </c>
      <c r="G433" s="81">
        <v>1</v>
      </c>
      <c r="H433" s="39">
        <v>492316</v>
      </c>
      <c r="I433" s="39" t="s">
        <v>221</v>
      </c>
      <c r="J433" s="39" t="s">
        <v>60</v>
      </c>
      <c r="K433" s="39" t="s">
        <v>50</v>
      </c>
      <c r="L433" s="39">
        <v>847001</v>
      </c>
      <c r="M433" s="39" t="s">
        <v>192</v>
      </c>
      <c r="N433" s="39">
        <v>300180</v>
      </c>
      <c r="O433" s="39" t="s">
        <v>1969</v>
      </c>
      <c r="P433" s="39" t="s">
        <v>495</v>
      </c>
      <c r="Q433" s="39" t="s">
        <v>157</v>
      </c>
      <c r="R433" s="39">
        <v>15</v>
      </c>
      <c r="S433" s="39">
        <v>200000</v>
      </c>
      <c r="T433" s="39" t="s">
        <v>2264</v>
      </c>
      <c r="U433" s="82">
        <v>3000000</v>
      </c>
      <c r="V433" s="39" t="s">
        <v>55</v>
      </c>
      <c r="W433" s="39" t="s">
        <v>56</v>
      </c>
      <c r="X433" s="39" t="s">
        <v>834</v>
      </c>
    </row>
    <row r="434" spans="1:24" s="39" customFormat="1" ht="16" customHeight="1" x14ac:dyDescent="0.35">
      <c r="A434" s="39" t="s">
        <v>222</v>
      </c>
      <c r="B434" s="39" t="s">
        <v>58</v>
      </c>
      <c r="C434" s="39" t="s">
        <v>1784</v>
      </c>
      <c r="D434" s="80">
        <v>847</v>
      </c>
      <c r="E434" s="39">
        <v>8470430</v>
      </c>
      <c r="F434" s="39" t="s">
        <v>1974</v>
      </c>
      <c r="G434" s="81">
        <v>1</v>
      </c>
      <c r="H434" s="39">
        <v>425761</v>
      </c>
      <c r="I434" s="39" t="s">
        <v>1383</v>
      </c>
      <c r="J434" s="39" t="s">
        <v>60</v>
      </c>
      <c r="K434" s="39" t="s">
        <v>50</v>
      </c>
      <c r="L434" s="39">
        <v>847001</v>
      </c>
      <c r="M434" s="39" t="s">
        <v>61</v>
      </c>
      <c r="N434" s="39">
        <v>200179</v>
      </c>
      <c r="O434" s="39" t="s">
        <v>1975</v>
      </c>
      <c r="P434" s="39" t="s">
        <v>727</v>
      </c>
      <c r="Q434" s="39" t="s">
        <v>68</v>
      </c>
      <c r="R434" s="39">
        <v>2</v>
      </c>
      <c r="S434" s="39">
        <v>4250</v>
      </c>
      <c r="T434" s="39" t="s">
        <v>2218</v>
      </c>
      <c r="U434" s="82">
        <v>8500</v>
      </c>
      <c r="V434" s="39" t="s">
        <v>55</v>
      </c>
      <c r="W434" s="39" t="s">
        <v>56</v>
      </c>
      <c r="X434" s="39" t="s">
        <v>384</v>
      </c>
    </row>
    <row r="435" spans="1:24" s="39" customFormat="1" ht="16" customHeight="1" x14ac:dyDescent="0.35">
      <c r="A435" s="39" t="s">
        <v>222</v>
      </c>
      <c r="B435" s="39" t="s">
        <v>58</v>
      </c>
      <c r="C435" s="39" t="s">
        <v>1784</v>
      </c>
      <c r="D435" s="80">
        <v>847</v>
      </c>
      <c r="E435" s="39">
        <v>8470430</v>
      </c>
      <c r="F435" s="39" t="s">
        <v>1974</v>
      </c>
      <c r="G435" s="81">
        <v>1</v>
      </c>
      <c r="H435" s="39">
        <v>425770</v>
      </c>
      <c r="I435" s="39" t="s">
        <v>367</v>
      </c>
      <c r="J435" s="39" t="s">
        <v>60</v>
      </c>
      <c r="K435" s="39" t="s">
        <v>50</v>
      </c>
      <c r="L435" s="39">
        <v>847001</v>
      </c>
      <c r="M435" s="39" t="s">
        <v>61</v>
      </c>
      <c r="N435" s="39">
        <v>200179</v>
      </c>
      <c r="O435" s="39" t="s">
        <v>1978</v>
      </c>
      <c r="P435" s="39" t="s">
        <v>369</v>
      </c>
      <c r="Q435" s="39" t="s">
        <v>157</v>
      </c>
      <c r="R435" s="39">
        <v>10</v>
      </c>
      <c r="S435" s="39">
        <v>37342.5</v>
      </c>
      <c r="T435" s="39" t="s">
        <v>1979</v>
      </c>
      <c r="U435" s="82">
        <v>373425</v>
      </c>
      <c r="V435" s="39" t="s">
        <v>55</v>
      </c>
      <c r="W435" s="39" t="s">
        <v>56</v>
      </c>
      <c r="X435" s="39" t="s">
        <v>480</v>
      </c>
    </row>
    <row r="436" spans="1:24" s="39" customFormat="1" ht="16" customHeight="1" x14ac:dyDescent="0.35">
      <c r="A436" s="39" t="s">
        <v>189</v>
      </c>
      <c r="B436" s="39" t="s">
        <v>265</v>
      </c>
      <c r="C436" s="39" t="s">
        <v>1784</v>
      </c>
      <c r="D436" s="80">
        <v>847</v>
      </c>
      <c r="E436" s="39">
        <v>8470430</v>
      </c>
      <c r="F436" s="39" t="s">
        <v>1974</v>
      </c>
      <c r="G436" s="81">
        <v>1</v>
      </c>
      <c r="H436" s="39">
        <v>425900</v>
      </c>
      <c r="I436" s="39" t="s">
        <v>266</v>
      </c>
      <c r="J436" s="39" t="s">
        <v>60</v>
      </c>
      <c r="K436" s="39" t="s">
        <v>50</v>
      </c>
      <c r="L436" s="39">
        <v>847001</v>
      </c>
      <c r="M436" s="39" t="s">
        <v>61</v>
      </c>
      <c r="N436" s="39">
        <v>200179</v>
      </c>
      <c r="O436" s="39" t="s">
        <v>1981</v>
      </c>
      <c r="P436" s="39" t="s">
        <v>268</v>
      </c>
      <c r="Q436" s="39" t="s">
        <v>269</v>
      </c>
      <c r="R436" s="39">
        <v>4</v>
      </c>
      <c r="S436" s="39">
        <v>3000</v>
      </c>
      <c r="T436" s="39" t="s">
        <v>1982</v>
      </c>
      <c r="U436" s="82">
        <v>12000</v>
      </c>
      <c r="V436" s="39" t="s">
        <v>55</v>
      </c>
      <c r="W436" s="39" t="s">
        <v>56</v>
      </c>
      <c r="X436" s="39" t="s">
        <v>816</v>
      </c>
    </row>
    <row r="437" spans="1:24" s="39" customFormat="1" ht="16" customHeight="1" x14ac:dyDescent="0.35">
      <c r="A437" s="39" t="s">
        <v>63</v>
      </c>
      <c r="B437" s="39" t="s">
        <v>64</v>
      </c>
      <c r="C437" s="39" t="s">
        <v>1784</v>
      </c>
      <c r="D437" s="80">
        <v>847</v>
      </c>
      <c r="E437" s="39">
        <v>8470430</v>
      </c>
      <c r="F437" s="39" t="s">
        <v>1974</v>
      </c>
      <c r="G437" s="81">
        <v>1</v>
      </c>
      <c r="H437" s="39">
        <v>426610</v>
      </c>
      <c r="I437" s="39" t="s">
        <v>74</v>
      </c>
      <c r="J437" s="39" t="s">
        <v>60</v>
      </c>
      <c r="K437" s="39" t="s">
        <v>50</v>
      </c>
      <c r="L437" s="39">
        <v>847001</v>
      </c>
      <c r="M437" s="39" t="s">
        <v>61</v>
      </c>
      <c r="N437" s="39">
        <v>200179</v>
      </c>
      <c r="O437" s="39" t="s">
        <v>1984</v>
      </c>
      <c r="P437" s="39" t="s">
        <v>274</v>
      </c>
      <c r="Q437" s="39" t="s">
        <v>157</v>
      </c>
      <c r="R437" s="39">
        <v>3</v>
      </c>
      <c r="S437" s="39">
        <v>8717.3333333333339</v>
      </c>
      <c r="T437" s="39" t="s">
        <v>1985</v>
      </c>
      <c r="U437" s="82">
        <v>26152</v>
      </c>
      <c r="V437" s="39" t="s">
        <v>55</v>
      </c>
      <c r="W437" s="39" t="s">
        <v>56</v>
      </c>
      <c r="X437" s="39" t="s">
        <v>816</v>
      </c>
    </row>
    <row r="438" spans="1:24" s="39" customFormat="1" ht="16" customHeight="1" x14ac:dyDescent="0.35">
      <c r="A438" s="39" t="s">
        <v>222</v>
      </c>
      <c r="B438" s="39" t="s">
        <v>58</v>
      </c>
      <c r="C438" s="39" t="s">
        <v>1784</v>
      </c>
      <c r="D438" s="80">
        <v>847</v>
      </c>
      <c r="E438" s="39">
        <v>8470430</v>
      </c>
      <c r="F438" s="39" t="s">
        <v>1974</v>
      </c>
      <c r="G438" s="81">
        <v>1</v>
      </c>
      <c r="H438" s="39">
        <v>432209</v>
      </c>
      <c r="I438" s="39" t="s">
        <v>393</v>
      </c>
      <c r="J438" s="39" t="s">
        <v>60</v>
      </c>
      <c r="K438" s="39" t="s">
        <v>50</v>
      </c>
      <c r="L438" s="39">
        <v>847001</v>
      </c>
      <c r="M438" s="39" t="s">
        <v>61</v>
      </c>
      <c r="N438" s="39">
        <v>200179</v>
      </c>
      <c r="O438" s="39" t="s">
        <v>1987</v>
      </c>
      <c r="P438" s="39" t="s">
        <v>470</v>
      </c>
      <c r="Q438" s="39" t="s">
        <v>157</v>
      </c>
      <c r="R438" s="39">
        <v>1</v>
      </c>
      <c r="S438" s="39">
        <v>1575</v>
      </c>
      <c r="T438" s="39" t="s">
        <v>2265</v>
      </c>
      <c r="U438" s="82">
        <v>1575</v>
      </c>
      <c r="V438" s="39" t="s">
        <v>55</v>
      </c>
      <c r="W438" s="39" t="s">
        <v>56</v>
      </c>
      <c r="X438" s="39" t="s">
        <v>70</v>
      </c>
    </row>
    <row r="439" spans="1:24" s="39" customFormat="1" ht="16" customHeight="1" x14ac:dyDescent="0.35">
      <c r="A439" s="39" t="s">
        <v>222</v>
      </c>
      <c r="B439" s="39" t="s">
        <v>220</v>
      </c>
      <c r="C439" s="39" t="s">
        <v>1784</v>
      </c>
      <c r="D439" s="80">
        <v>847</v>
      </c>
      <c r="E439" s="39">
        <v>8470430</v>
      </c>
      <c r="F439" s="39" t="s">
        <v>1974</v>
      </c>
      <c r="G439" s="81">
        <v>1</v>
      </c>
      <c r="H439" s="39">
        <v>435508</v>
      </c>
      <c r="I439" s="39" t="s">
        <v>405</v>
      </c>
      <c r="J439" s="39" t="s">
        <v>60</v>
      </c>
      <c r="K439" s="39" t="s">
        <v>50</v>
      </c>
      <c r="L439" s="39">
        <v>847001</v>
      </c>
      <c r="M439" s="39" t="s">
        <v>61</v>
      </c>
      <c r="N439" s="39">
        <v>200179</v>
      </c>
      <c r="O439" s="39" t="s">
        <v>1990</v>
      </c>
      <c r="P439" s="39" t="s">
        <v>482</v>
      </c>
      <c r="Q439" s="39" t="s">
        <v>157</v>
      </c>
      <c r="R439" s="39">
        <v>2</v>
      </c>
      <c r="S439" s="39">
        <v>42300</v>
      </c>
      <c r="T439" s="39" t="s">
        <v>2266</v>
      </c>
      <c r="U439" s="82">
        <v>84600</v>
      </c>
      <c r="V439" s="39" t="s">
        <v>55</v>
      </c>
      <c r="W439" s="39" t="s">
        <v>56</v>
      </c>
      <c r="X439" s="39" t="s">
        <v>816</v>
      </c>
    </row>
    <row r="440" spans="1:24" s="39" customFormat="1" ht="16" customHeight="1" x14ac:dyDescent="0.35">
      <c r="A440" s="39" t="s">
        <v>222</v>
      </c>
      <c r="B440" s="39" t="s">
        <v>58</v>
      </c>
      <c r="C440" s="39" t="s">
        <v>1784</v>
      </c>
      <c r="D440" s="80">
        <v>847</v>
      </c>
      <c r="E440" s="39">
        <v>8470440</v>
      </c>
      <c r="F440" s="39" t="s">
        <v>2001</v>
      </c>
      <c r="G440" s="81">
        <v>1</v>
      </c>
      <c r="H440" s="39">
        <v>420550</v>
      </c>
      <c r="I440" s="39" t="s">
        <v>225</v>
      </c>
      <c r="J440" s="39" t="s">
        <v>60</v>
      </c>
      <c r="K440" s="39" t="s">
        <v>50</v>
      </c>
      <c r="L440" s="39">
        <v>847001</v>
      </c>
      <c r="M440" s="39" t="s">
        <v>61</v>
      </c>
      <c r="N440" s="39">
        <v>200179</v>
      </c>
      <c r="O440" s="39" t="s">
        <v>2002</v>
      </c>
      <c r="P440" s="39" t="s">
        <v>227</v>
      </c>
      <c r="R440" s="39">
        <v>4</v>
      </c>
      <c r="S440" s="39">
        <v>140000</v>
      </c>
      <c r="T440" s="39" t="s">
        <v>2221</v>
      </c>
      <c r="U440" s="82">
        <v>560000</v>
      </c>
      <c r="V440" s="39" t="s">
        <v>1483</v>
      </c>
      <c r="W440" s="39" t="s">
        <v>56</v>
      </c>
      <c r="X440" s="39" t="s">
        <v>230</v>
      </c>
    </row>
    <row r="441" spans="1:24" s="39" customFormat="1" ht="16" customHeight="1" x14ac:dyDescent="0.35">
      <c r="A441" s="39" t="s">
        <v>222</v>
      </c>
      <c r="B441" s="39" t="s">
        <v>58</v>
      </c>
      <c r="C441" s="39" t="s">
        <v>1784</v>
      </c>
      <c r="D441" s="80">
        <v>847</v>
      </c>
      <c r="E441" s="39">
        <v>8470440</v>
      </c>
      <c r="F441" s="39" t="s">
        <v>2001</v>
      </c>
      <c r="G441" s="81">
        <v>1</v>
      </c>
      <c r="H441" s="39">
        <v>420570</v>
      </c>
      <c r="I441" s="39" t="s">
        <v>231</v>
      </c>
      <c r="J441" s="39" t="s">
        <v>60</v>
      </c>
      <c r="K441" s="39" t="s">
        <v>50</v>
      </c>
      <c r="L441" s="39">
        <v>847001</v>
      </c>
      <c r="M441" s="39" t="s">
        <v>61</v>
      </c>
      <c r="N441" s="39">
        <v>200179</v>
      </c>
      <c r="O441" s="39" t="s">
        <v>2006</v>
      </c>
      <c r="P441" s="39" t="s">
        <v>233</v>
      </c>
      <c r="R441" s="39">
        <v>10</v>
      </c>
      <c r="S441" s="39">
        <v>15000</v>
      </c>
      <c r="T441" s="39" t="s">
        <v>2222</v>
      </c>
      <c r="U441" s="82">
        <v>150000</v>
      </c>
      <c r="V441" s="39" t="s">
        <v>1483</v>
      </c>
      <c r="W441" s="39" t="s">
        <v>56</v>
      </c>
      <c r="X441" s="39" t="s">
        <v>230</v>
      </c>
    </row>
    <row r="442" spans="1:24" s="39" customFormat="1" ht="16" customHeight="1" x14ac:dyDescent="0.35">
      <c r="A442" s="39" t="s">
        <v>222</v>
      </c>
      <c r="B442" s="39" t="s">
        <v>238</v>
      </c>
      <c r="C442" s="39" t="s">
        <v>1784</v>
      </c>
      <c r="D442" s="80">
        <v>847</v>
      </c>
      <c r="E442" s="39">
        <v>8470440</v>
      </c>
      <c r="F442" s="39" t="s">
        <v>2001</v>
      </c>
      <c r="G442" s="81">
        <v>1</v>
      </c>
      <c r="H442" s="39">
        <v>421700</v>
      </c>
      <c r="I442" s="39" t="s">
        <v>239</v>
      </c>
      <c r="J442" s="39" t="s">
        <v>60</v>
      </c>
      <c r="K442" s="39" t="s">
        <v>50</v>
      </c>
      <c r="L442" s="39">
        <v>847001</v>
      </c>
      <c r="M442" s="39" t="s">
        <v>61</v>
      </c>
      <c r="N442" s="39">
        <v>200179</v>
      </c>
      <c r="O442" s="39" t="s">
        <v>2009</v>
      </c>
      <c r="P442" s="39" t="s">
        <v>241</v>
      </c>
      <c r="R442" s="39">
        <v>2</v>
      </c>
      <c r="S442" s="39">
        <v>140000</v>
      </c>
      <c r="T442" s="39" t="s">
        <v>2223</v>
      </c>
      <c r="U442" s="82">
        <v>280000</v>
      </c>
      <c r="V442" s="39" t="s">
        <v>1483</v>
      </c>
      <c r="W442" s="39" t="s">
        <v>197</v>
      </c>
      <c r="X442" s="39" t="s">
        <v>230</v>
      </c>
    </row>
    <row r="443" spans="1:24" s="39" customFormat="1" ht="16" customHeight="1" x14ac:dyDescent="0.35">
      <c r="A443" s="39" t="s">
        <v>245</v>
      </c>
      <c r="B443" s="39" t="s">
        <v>246</v>
      </c>
      <c r="C443" s="39" t="s">
        <v>1784</v>
      </c>
      <c r="D443" s="80">
        <v>847</v>
      </c>
      <c r="E443" s="39">
        <v>8470440</v>
      </c>
      <c r="F443" s="39" t="s">
        <v>2001</v>
      </c>
      <c r="G443" s="81">
        <v>1</v>
      </c>
      <c r="H443" s="39">
        <v>425100</v>
      </c>
      <c r="I443" s="39" t="s">
        <v>1521</v>
      </c>
      <c r="J443" s="39" t="s">
        <v>60</v>
      </c>
      <c r="K443" s="39" t="s">
        <v>50</v>
      </c>
      <c r="L443" s="39">
        <v>847001</v>
      </c>
      <c r="M443" s="39" t="s">
        <v>61</v>
      </c>
      <c r="N443" s="39">
        <v>200179</v>
      </c>
      <c r="O443" s="39" t="s">
        <v>2013</v>
      </c>
      <c r="P443" s="39" t="s">
        <v>1522</v>
      </c>
      <c r="R443" s="39">
        <v>2</v>
      </c>
      <c r="S443" s="39">
        <v>5000</v>
      </c>
      <c r="T443" s="39" t="s">
        <v>2225</v>
      </c>
      <c r="U443" s="82">
        <v>10000</v>
      </c>
      <c r="V443" s="39" t="s">
        <v>1483</v>
      </c>
      <c r="W443" s="39" t="s">
        <v>56</v>
      </c>
      <c r="X443" s="39" t="s">
        <v>230</v>
      </c>
    </row>
    <row r="444" spans="1:24" s="39" customFormat="1" ht="16" customHeight="1" x14ac:dyDescent="0.35">
      <c r="A444" s="39" t="s">
        <v>245</v>
      </c>
      <c r="B444" s="39" t="s">
        <v>246</v>
      </c>
      <c r="C444" s="39" t="s">
        <v>1784</v>
      </c>
      <c r="D444" s="80">
        <v>847</v>
      </c>
      <c r="E444" s="39">
        <v>8470440</v>
      </c>
      <c r="F444" s="39" t="s">
        <v>2001</v>
      </c>
      <c r="G444" s="81">
        <v>1</v>
      </c>
      <c r="H444" s="39">
        <v>425510</v>
      </c>
      <c r="I444" s="39" t="s">
        <v>247</v>
      </c>
      <c r="J444" s="39" t="s">
        <v>60</v>
      </c>
      <c r="K444" s="39" t="s">
        <v>50</v>
      </c>
      <c r="L444" s="39">
        <v>847001</v>
      </c>
      <c r="M444" s="39" t="s">
        <v>61</v>
      </c>
      <c r="N444" s="39">
        <v>200179</v>
      </c>
      <c r="O444" s="39" t="s">
        <v>2017</v>
      </c>
      <c r="P444" s="39" t="s">
        <v>433</v>
      </c>
      <c r="R444" s="39">
        <v>15</v>
      </c>
      <c r="S444" s="39">
        <v>15000</v>
      </c>
      <c r="T444" s="39" t="s">
        <v>2226</v>
      </c>
      <c r="U444" s="82">
        <v>225000</v>
      </c>
      <c r="V444" s="39" t="s">
        <v>1483</v>
      </c>
      <c r="W444" s="39" t="s">
        <v>56</v>
      </c>
      <c r="X444" s="39" t="s">
        <v>230</v>
      </c>
    </row>
    <row r="445" spans="1:24" s="39" customFormat="1" ht="16" customHeight="1" x14ac:dyDescent="0.35">
      <c r="A445" s="39" t="s">
        <v>245</v>
      </c>
      <c r="B445" s="39" t="s">
        <v>58</v>
      </c>
      <c r="C445" s="39" t="s">
        <v>1784</v>
      </c>
      <c r="D445" s="80">
        <v>847</v>
      </c>
      <c r="E445" s="39">
        <v>8470440</v>
      </c>
      <c r="F445" s="39" t="s">
        <v>2001</v>
      </c>
      <c r="G445" s="81">
        <v>1</v>
      </c>
      <c r="H445" s="39">
        <v>425550</v>
      </c>
      <c r="I445" s="39" t="s">
        <v>253</v>
      </c>
      <c r="J445" s="39" t="s">
        <v>60</v>
      </c>
      <c r="K445" s="39" t="s">
        <v>50</v>
      </c>
      <c r="L445" s="39">
        <v>847001</v>
      </c>
      <c r="M445" s="39" t="s">
        <v>61</v>
      </c>
      <c r="N445" s="39">
        <v>200179</v>
      </c>
      <c r="O445" s="39" t="s">
        <v>2021</v>
      </c>
      <c r="P445" s="39" t="s">
        <v>255</v>
      </c>
      <c r="R445" s="39">
        <v>15</v>
      </c>
      <c r="S445" s="39">
        <v>15000</v>
      </c>
      <c r="T445" s="39" t="s">
        <v>2227</v>
      </c>
      <c r="U445" s="82">
        <v>225000</v>
      </c>
      <c r="V445" s="39" t="s">
        <v>1483</v>
      </c>
      <c r="W445" s="39" t="s">
        <v>56</v>
      </c>
      <c r="X445" s="39" t="s">
        <v>230</v>
      </c>
    </row>
    <row r="446" spans="1:24" s="39" customFormat="1" ht="16" customHeight="1" x14ac:dyDescent="0.35">
      <c r="A446" s="39" t="s">
        <v>222</v>
      </c>
      <c r="B446" s="39" t="s">
        <v>58</v>
      </c>
      <c r="C446" s="39" t="s">
        <v>1784</v>
      </c>
      <c r="D446" s="80">
        <v>847</v>
      </c>
      <c r="E446" s="39">
        <v>8470440</v>
      </c>
      <c r="F446" s="39" t="s">
        <v>2001</v>
      </c>
      <c r="G446" s="81">
        <v>1</v>
      </c>
      <c r="H446" s="39">
        <v>425761</v>
      </c>
      <c r="I446" s="39" t="s">
        <v>1383</v>
      </c>
      <c r="J446" s="39" t="s">
        <v>60</v>
      </c>
      <c r="K446" s="39" t="s">
        <v>50</v>
      </c>
      <c r="L446" s="39">
        <v>847001</v>
      </c>
      <c r="M446" s="39" t="s">
        <v>61</v>
      </c>
      <c r="N446" s="39">
        <v>200179</v>
      </c>
      <c r="O446" s="39" t="s">
        <v>2025</v>
      </c>
      <c r="P446" s="39" t="s">
        <v>727</v>
      </c>
      <c r="R446" s="39">
        <v>300</v>
      </c>
      <c r="S446" s="39">
        <v>2500</v>
      </c>
      <c r="T446" s="39" t="s">
        <v>2228</v>
      </c>
      <c r="U446" s="82">
        <v>750000</v>
      </c>
      <c r="V446" s="39" t="s">
        <v>2027</v>
      </c>
      <c r="W446" s="39" t="s">
        <v>56</v>
      </c>
      <c r="X446" s="39" t="s">
        <v>230</v>
      </c>
    </row>
    <row r="447" spans="1:24" s="39" customFormat="1" ht="16" customHeight="1" x14ac:dyDescent="0.35">
      <c r="A447" s="39" t="s">
        <v>222</v>
      </c>
      <c r="B447" s="39" t="s">
        <v>58</v>
      </c>
      <c r="C447" s="39" t="s">
        <v>1784</v>
      </c>
      <c r="D447" s="80">
        <v>847</v>
      </c>
      <c r="E447" s="39">
        <v>8470440</v>
      </c>
      <c r="F447" s="39" t="s">
        <v>2001</v>
      </c>
      <c r="G447" s="81">
        <v>1</v>
      </c>
      <c r="H447" s="39">
        <v>425770</v>
      </c>
      <c r="I447" s="39" t="s">
        <v>367</v>
      </c>
      <c r="J447" s="39" t="s">
        <v>60</v>
      </c>
      <c r="K447" s="39" t="s">
        <v>50</v>
      </c>
      <c r="L447" s="39">
        <v>847001</v>
      </c>
      <c r="M447" s="39" t="s">
        <v>61</v>
      </c>
      <c r="N447" s="39">
        <v>200179</v>
      </c>
      <c r="O447" s="39" t="s">
        <v>2028</v>
      </c>
      <c r="P447" s="39" t="s">
        <v>369</v>
      </c>
      <c r="R447" s="39">
        <v>15</v>
      </c>
      <c r="S447" s="39">
        <v>20000</v>
      </c>
      <c r="T447" s="39" t="s">
        <v>2229</v>
      </c>
      <c r="U447" s="82">
        <v>300000</v>
      </c>
      <c r="V447" s="39" t="s">
        <v>1483</v>
      </c>
      <c r="W447" s="39" t="s">
        <v>56</v>
      </c>
      <c r="X447" s="39" t="s">
        <v>230</v>
      </c>
    </row>
    <row r="448" spans="1:24" s="39" customFormat="1" ht="16" customHeight="1" x14ac:dyDescent="0.35">
      <c r="A448" s="39" t="s">
        <v>63</v>
      </c>
      <c r="B448" s="39" t="s">
        <v>64</v>
      </c>
      <c r="C448" s="39" t="s">
        <v>1784</v>
      </c>
      <c r="D448" s="80">
        <v>847</v>
      </c>
      <c r="E448" s="39">
        <v>8470440</v>
      </c>
      <c r="F448" s="39" t="s">
        <v>2001</v>
      </c>
      <c r="G448" s="81">
        <v>1</v>
      </c>
      <c r="H448" s="39">
        <v>426610</v>
      </c>
      <c r="I448" s="39" t="s">
        <v>74</v>
      </c>
      <c r="J448" s="39" t="s">
        <v>60</v>
      </c>
      <c r="K448" s="39" t="s">
        <v>50</v>
      </c>
      <c r="L448" s="39">
        <v>847001</v>
      </c>
      <c r="M448" s="39" t="s">
        <v>61</v>
      </c>
      <c r="N448" s="39">
        <v>200179</v>
      </c>
      <c r="O448" s="39" t="s">
        <v>2035</v>
      </c>
      <c r="P448" s="39" t="s">
        <v>75</v>
      </c>
      <c r="R448" s="39">
        <v>4</v>
      </c>
      <c r="S448" s="39">
        <v>30000</v>
      </c>
      <c r="T448" s="39" t="s">
        <v>2230</v>
      </c>
      <c r="U448" s="82">
        <v>120000</v>
      </c>
      <c r="V448" s="39" t="s">
        <v>1483</v>
      </c>
      <c r="W448" s="39" t="s">
        <v>56</v>
      </c>
      <c r="X448" s="39" t="s">
        <v>230</v>
      </c>
    </row>
    <row r="449" spans="1:24" s="39" customFormat="1" ht="16" customHeight="1" x14ac:dyDescent="0.35">
      <c r="A449" s="39" t="s">
        <v>222</v>
      </c>
      <c r="B449" s="39" t="s">
        <v>58</v>
      </c>
      <c r="C449" s="39" t="s">
        <v>1784</v>
      </c>
      <c r="D449" s="80">
        <v>847</v>
      </c>
      <c r="E449" s="39">
        <v>8470440</v>
      </c>
      <c r="F449" s="39" t="s">
        <v>2001</v>
      </c>
      <c r="G449" s="81">
        <v>1</v>
      </c>
      <c r="H449" s="39">
        <v>427710</v>
      </c>
      <c r="I449" s="39" t="s">
        <v>1090</v>
      </c>
      <c r="J449" s="39" t="s">
        <v>60</v>
      </c>
      <c r="K449" s="39" t="s">
        <v>50</v>
      </c>
      <c r="L449" s="39">
        <v>847001</v>
      </c>
      <c r="M449" s="39" t="s">
        <v>61</v>
      </c>
      <c r="N449" s="39">
        <v>200179</v>
      </c>
      <c r="O449" s="39" t="s">
        <v>2039</v>
      </c>
      <c r="P449" s="39" t="s">
        <v>1092</v>
      </c>
      <c r="R449" s="39">
        <v>15</v>
      </c>
      <c r="S449" s="39">
        <v>1000</v>
      </c>
      <c r="T449" s="39" t="s">
        <v>2231</v>
      </c>
      <c r="U449" s="82">
        <v>15000</v>
      </c>
      <c r="V449" s="39" t="s">
        <v>1483</v>
      </c>
      <c r="W449" s="39" t="s">
        <v>56</v>
      </c>
      <c r="X449" s="39" t="s">
        <v>230</v>
      </c>
    </row>
    <row r="450" spans="1:24" s="39" customFormat="1" ht="16" customHeight="1" x14ac:dyDescent="0.35">
      <c r="A450" s="39" t="s">
        <v>153</v>
      </c>
      <c r="B450" s="39" t="s">
        <v>58</v>
      </c>
      <c r="C450" s="39" t="s">
        <v>1784</v>
      </c>
      <c r="D450" s="80">
        <v>847</v>
      </c>
      <c r="E450" s="39">
        <v>8470440</v>
      </c>
      <c r="F450" s="39" t="s">
        <v>2001</v>
      </c>
      <c r="G450" s="81">
        <v>1</v>
      </c>
      <c r="H450" s="39">
        <v>428090</v>
      </c>
      <c r="I450" s="39" t="s">
        <v>154</v>
      </c>
      <c r="J450" s="39" t="s">
        <v>60</v>
      </c>
      <c r="K450" s="39" t="s">
        <v>50</v>
      </c>
      <c r="L450" s="39">
        <v>847001</v>
      </c>
      <c r="M450" s="39" t="s">
        <v>61</v>
      </c>
      <c r="N450" s="39">
        <v>200179</v>
      </c>
      <c r="O450" s="39" t="s">
        <v>2041</v>
      </c>
      <c r="P450" s="39" t="s">
        <v>156</v>
      </c>
      <c r="R450" s="39">
        <v>15</v>
      </c>
      <c r="S450" s="39">
        <v>15000</v>
      </c>
      <c r="T450" s="39" t="s">
        <v>2232</v>
      </c>
      <c r="U450" s="82">
        <v>225000</v>
      </c>
      <c r="V450" s="39" t="s">
        <v>1483</v>
      </c>
      <c r="W450" s="39" t="s">
        <v>56</v>
      </c>
      <c r="X450" s="39" t="s">
        <v>230</v>
      </c>
    </row>
    <row r="451" spans="1:24" s="39" customFormat="1" ht="16" customHeight="1" x14ac:dyDescent="0.35">
      <c r="A451" s="39" t="s">
        <v>245</v>
      </c>
      <c r="B451" s="39" t="s">
        <v>246</v>
      </c>
      <c r="C451" s="39" t="s">
        <v>1784</v>
      </c>
      <c r="D451" s="80">
        <v>847</v>
      </c>
      <c r="E451" s="39">
        <v>8470440</v>
      </c>
      <c r="F451" s="39" t="s">
        <v>2001</v>
      </c>
      <c r="G451" s="81">
        <v>1</v>
      </c>
      <c r="H451" s="39">
        <v>428640</v>
      </c>
      <c r="I451" s="39" t="s">
        <v>279</v>
      </c>
      <c r="J451" s="39" t="s">
        <v>60</v>
      </c>
      <c r="K451" s="39" t="s">
        <v>50</v>
      </c>
      <c r="L451" s="39">
        <v>847001</v>
      </c>
      <c r="M451" s="39" t="s">
        <v>61</v>
      </c>
      <c r="N451" s="39">
        <v>200179</v>
      </c>
      <c r="O451" s="39" t="s">
        <v>2045</v>
      </c>
      <c r="P451" s="39" t="s">
        <v>645</v>
      </c>
      <c r="R451" s="39">
        <v>20</v>
      </c>
      <c r="S451" s="39">
        <v>5000</v>
      </c>
      <c r="T451" s="39" t="s">
        <v>2233</v>
      </c>
      <c r="U451" s="82">
        <v>100000</v>
      </c>
      <c r="V451" s="39" t="s">
        <v>1483</v>
      </c>
      <c r="W451" s="39" t="s">
        <v>56</v>
      </c>
      <c r="X451" s="39" t="s">
        <v>230</v>
      </c>
    </row>
    <row r="452" spans="1:24" s="39" customFormat="1" ht="16" customHeight="1" x14ac:dyDescent="0.35">
      <c r="A452" s="39" t="s">
        <v>222</v>
      </c>
      <c r="B452" s="39" t="s">
        <v>58</v>
      </c>
      <c r="C452" s="39" t="s">
        <v>1784</v>
      </c>
      <c r="D452" s="80">
        <v>847</v>
      </c>
      <c r="E452" s="39">
        <v>8470440</v>
      </c>
      <c r="F452" s="39" t="s">
        <v>2001</v>
      </c>
      <c r="G452" s="81">
        <v>1</v>
      </c>
      <c r="H452" s="39">
        <v>435340</v>
      </c>
      <c r="I452" s="39" t="s">
        <v>655</v>
      </c>
      <c r="J452" s="39" t="s">
        <v>60</v>
      </c>
      <c r="K452" s="39" t="s">
        <v>50</v>
      </c>
      <c r="L452" s="39">
        <v>847001</v>
      </c>
      <c r="M452" s="39" t="s">
        <v>61</v>
      </c>
      <c r="N452" s="39">
        <v>200179</v>
      </c>
      <c r="O452" s="39" t="s">
        <v>2049</v>
      </c>
      <c r="P452" s="39" t="s">
        <v>882</v>
      </c>
      <c r="R452" s="39">
        <v>4</v>
      </c>
      <c r="S452" s="39">
        <v>30000</v>
      </c>
      <c r="T452" s="39" t="s">
        <v>2234</v>
      </c>
      <c r="U452" s="82">
        <v>120000</v>
      </c>
      <c r="V452" s="39" t="s">
        <v>1483</v>
      </c>
      <c r="W452" s="39" t="s">
        <v>56</v>
      </c>
      <c r="X452" s="39" t="s">
        <v>230</v>
      </c>
    </row>
    <row r="453" spans="1:24" s="39" customFormat="1" ht="16" customHeight="1" x14ac:dyDescent="0.35">
      <c r="A453" s="39" t="s">
        <v>222</v>
      </c>
      <c r="B453" s="39" t="s">
        <v>58</v>
      </c>
      <c r="C453" s="39" t="s">
        <v>1784</v>
      </c>
      <c r="D453" s="80">
        <v>847</v>
      </c>
      <c r="E453" s="39">
        <v>8470440</v>
      </c>
      <c r="F453" s="39" t="s">
        <v>2001</v>
      </c>
      <c r="G453" s="81">
        <v>1</v>
      </c>
      <c r="H453" s="39">
        <v>435350</v>
      </c>
      <c r="I453" s="39" t="s">
        <v>399</v>
      </c>
      <c r="J453" s="39" t="s">
        <v>60</v>
      </c>
      <c r="K453" s="39" t="s">
        <v>50</v>
      </c>
      <c r="L453" s="39">
        <v>847001</v>
      </c>
      <c r="M453" s="39" t="s">
        <v>61</v>
      </c>
      <c r="N453" s="39">
        <v>200179</v>
      </c>
      <c r="O453" s="39" t="s">
        <v>2052</v>
      </c>
      <c r="P453" s="39" t="s">
        <v>401</v>
      </c>
      <c r="R453" s="39">
        <v>20</v>
      </c>
      <c r="S453" s="39">
        <v>2000</v>
      </c>
      <c r="T453" s="39" t="s">
        <v>2235</v>
      </c>
      <c r="U453" s="82">
        <v>40000</v>
      </c>
      <c r="V453" s="39" t="s">
        <v>1483</v>
      </c>
      <c r="W453" s="39" t="s">
        <v>56</v>
      </c>
      <c r="X453" s="39" t="s">
        <v>230</v>
      </c>
    </row>
    <row r="454" spans="1:24" s="39" customFormat="1" ht="16" customHeight="1" x14ac:dyDescent="0.35">
      <c r="A454" s="39" t="s">
        <v>222</v>
      </c>
      <c r="B454" s="39" t="s">
        <v>58</v>
      </c>
      <c r="C454" s="39" t="s">
        <v>1784</v>
      </c>
      <c r="D454" s="80">
        <v>847</v>
      </c>
      <c r="E454" s="39">
        <v>8470440</v>
      </c>
      <c r="F454" s="39" t="s">
        <v>2001</v>
      </c>
      <c r="G454" s="81">
        <v>1</v>
      </c>
      <c r="H454" s="39">
        <v>436600</v>
      </c>
      <c r="I454" s="39" t="s">
        <v>416</v>
      </c>
      <c r="J454" s="39" t="s">
        <v>60</v>
      </c>
      <c r="K454" s="39" t="s">
        <v>50</v>
      </c>
      <c r="L454" s="39">
        <v>847001</v>
      </c>
      <c r="M454" s="39" t="s">
        <v>61</v>
      </c>
      <c r="N454" s="39">
        <v>200179</v>
      </c>
      <c r="O454" s="39" t="s">
        <v>2054</v>
      </c>
      <c r="P454" s="39" t="s">
        <v>418</v>
      </c>
      <c r="R454" s="39">
        <v>15</v>
      </c>
      <c r="S454" s="39">
        <v>1500</v>
      </c>
      <c r="T454" s="39" t="s">
        <v>2236</v>
      </c>
      <c r="U454" s="82">
        <v>22500</v>
      </c>
      <c r="V454" s="39" t="s">
        <v>1483</v>
      </c>
      <c r="W454" s="39" t="s">
        <v>56</v>
      </c>
      <c r="X454" s="39" t="s">
        <v>230</v>
      </c>
    </row>
    <row r="455" spans="1:24" s="39" customFormat="1" ht="16" customHeight="1" x14ac:dyDescent="0.35">
      <c r="A455" s="39" t="s">
        <v>245</v>
      </c>
      <c r="B455" s="39" t="s">
        <v>246</v>
      </c>
      <c r="C455" s="39" t="s">
        <v>1784</v>
      </c>
      <c r="D455" s="80">
        <v>847</v>
      </c>
      <c r="E455" s="39">
        <v>8470445</v>
      </c>
      <c r="F455" s="39" t="s">
        <v>2056</v>
      </c>
      <c r="G455" s="81">
        <v>1</v>
      </c>
      <c r="H455" s="39">
        <v>425100</v>
      </c>
      <c r="I455" s="39" t="s">
        <v>1521</v>
      </c>
      <c r="J455" s="39" t="s">
        <v>60</v>
      </c>
      <c r="K455" s="39" t="s">
        <v>50</v>
      </c>
      <c r="L455" s="39">
        <v>847001</v>
      </c>
      <c r="M455" s="39" t="s">
        <v>61</v>
      </c>
      <c r="N455" s="39">
        <v>200179</v>
      </c>
      <c r="O455" s="39" t="s">
        <v>2057</v>
      </c>
      <c r="P455" s="39" t="s">
        <v>1185</v>
      </c>
      <c r="Q455" s="39" t="s">
        <v>269</v>
      </c>
      <c r="R455" s="39">
        <v>1</v>
      </c>
      <c r="S455" s="39">
        <v>100000</v>
      </c>
      <c r="T455" s="39" t="s">
        <v>2267</v>
      </c>
      <c r="U455" s="82">
        <v>100000</v>
      </c>
      <c r="V455" s="39" t="s">
        <v>210</v>
      </c>
      <c r="W455" s="39" t="s">
        <v>56</v>
      </c>
      <c r="X455" s="39" t="s">
        <v>252</v>
      </c>
    </row>
    <row r="456" spans="1:24" s="39" customFormat="1" ht="16" customHeight="1" x14ac:dyDescent="0.35">
      <c r="A456" s="39" t="s">
        <v>258</v>
      </c>
      <c r="B456" s="39" t="s">
        <v>58</v>
      </c>
      <c r="C456" s="39" t="s">
        <v>1784</v>
      </c>
      <c r="D456" s="80">
        <v>847</v>
      </c>
      <c r="E456" s="39">
        <v>8470445</v>
      </c>
      <c r="F456" s="39" t="s">
        <v>2056</v>
      </c>
      <c r="G456" s="81">
        <v>1</v>
      </c>
      <c r="H456" s="39">
        <v>425720</v>
      </c>
      <c r="I456" s="39" t="s">
        <v>620</v>
      </c>
      <c r="J456" s="39" t="s">
        <v>60</v>
      </c>
      <c r="K456" s="39" t="s">
        <v>50</v>
      </c>
      <c r="L456" s="39">
        <v>847001</v>
      </c>
      <c r="M456" s="39" t="s">
        <v>61</v>
      </c>
      <c r="N456" s="39">
        <v>200179</v>
      </c>
      <c r="O456" s="39" t="s">
        <v>2062</v>
      </c>
      <c r="P456" s="39" t="s">
        <v>622</v>
      </c>
      <c r="Q456" s="39" t="s">
        <v>623</v>
      </c>
      <c r="R456" s="39">
        <v>1</v>
      </c>
      <c r="S456" s="39">
        <v>36730</v>
      </c>
      <c r="T456" s="39" t="s">
        <v>2063</v>
      </c>
      <c r="U456" s="82">
        <v>36730</v>
      </c>
      <c r="V456" s="39" t="s">
        <v>55</v>
      </c>
      <c r="W456" s="39" t="s">
        <v>56</v>
      </c>
      <c r="X456" s="39" t="s">
        <v>70</v>
      </c>
    </row>
    <row r="457" spans="1:24" s="39" customFormat="1" ht="16" customHeight="1" x14ac:dyDescent="0.35">
      <c r="A457" s="39" t="s">
        <v>258</v>
      </c>
      <c r="B457" s="39" t="s">
        <v>350</v>
      </c>
      <c r="C457" s="39" t="s">
        <v>1784</v>
      </c>
      <c r="D457" s="80">
        <v>847</v>
      </c>
      <c r="E457" s="39">
        <v>8470445</v>
      </c>
      <c r="F457" s="39" t="s">
        <v>2056</v>
      </c>
      <c r="G457" s="81">
        <v>1</v>
      </c>
      <c r="H457" s="39">
        <v>425760</v>
      </c>
      <c r="I457" s="39" t="s">
        <v>352</v>
      </c>
      <c r="J457" s="39" t="s">
        <v>60</v>
      </c>
      <c r="K457" s="39" t="s">
        <v>50</v>
      </c>
      <c r="L457" s="39">
        <v>847001</v>
      </c>
      <c r="M457" s="39" t="s">
        <v>61</v>
      </c>
      <c r="N457" s="39">
        <v>200179</v>
      </c>
      <c r="O457" s="39" t="s">
        <v>2065</v>
      </c>
      <c r="P457" s="39" t="s">
        <v>440</v>
      </c>
      <c r="Q457" s="39" t="s">
        <v>441</v>
      </c>
      <c r="R457" s="39">
        <v>1</v>
      </c>
      <c r="S457" s="39">
        <v>165000</v>
      </c>
      <c r="T457" s="39" t="s">
        <v>2268</v>
      </c>
      <c r="U457" s="82">
        <v>165000</v>
      </c>
      <c r="V457" s="39" t="s">
        <v>210</v>
      </c>
      <c r="W457" s="39" t="s">
        <v>56</v>
      </c>
      <c r="X457" s="39" t="s">
        <v>384</v>
      </c>
    </row>
    <row r="458" spans="1:24" s="39" customFormat="1" ht="16" customHeight="1" x14ac:dyDescent="0.35">
      <c r="A458" s="39" t="s">
        <v>258</v>
      </c>
      <c r="B458" s="39" t="s">
        <v>58</v>
      </c>
      <c r="C458" s="39" t="s">
        <v>1784</v>
      </c>
      <c r="D458" s="80">
        <v>847</v>
      </c>
      <c r="E458" s="39">
        <v>8470445</v>
      </c>
      <c r="F458" s="39" t="s">
        <v>2056</v>
      </c>
      <c r="G458" s="81">
        <v>1</v>
      </c>
      <c r="H458" s="39">
        <v>425763</v>
      </c>
      <c r="I458" s="39" t="s">
        <v>359</v>
      </c>
      <c r="J458" s="39" t="s">
        <v>60</v>
      </c>
      <c r="K458" s="39" t="s">
        <v>50</v>
      </c>
      <c r="L458" s="39">
        <v>847001</v>
      </c>
      <c r="M458" s="39" t="s">
        <v>61</v>
      </c>
      <c r="N458" s="39">
        <v>200179</v>
      </c>
      <c r="O458" s="39" t="s">
        <v>2068</v>
      </c>
      <c r="P458" s="39" t="s">
        <v>361</v>
      </c>
      <c r="Q458" s="39" t="s">
        <v>68</v>
      </c>
      <c r="R458" s="39">
        <v>30</v>
      </c>
      <c r="S458" s="39">
        <v>500</v>
      </c>
      <c r="T458" s="39" t="s">
        <v>2069</v>
      </c>
      <c r="U458" s="82">
        <v>15000</v>
      </c>
      <c r="V458" s="39" t="s">
        <v>55</v>
      </c>
      <c r="W458" s="39" t="s">
        <v>56</v>
      </c>
      <c r="X458" s="39" t="s">
        <v>384</v>
      </c>
    </row>
    <row r="459" spans="1:24" s="39" customFormat="1" ht="16" customHeight="1" x14ac:dyDescent="0.35">
      <c r="A459" s="39" t="s">
        <v>222</v>
      </c>
      <c r="B459" s="39" t="s">
        <v>58</v>
      </c>
      <c r="C459" s="39" t="s">
        <v>1784</v>
      </c>
      <c r="D459" s="80">
        <v>847</v>
      </c>
      <c r="E459" s="39">
        <v>8470445</v>
      </c>
      <c r="F459" s="39" t="s">
        <v>2056</v>
      </c>
      <c r="G459" s="81">
        <v>1</v>
      </c>
      <c r="H459" s="39">
        <v>425770</v>
      </c>
      <c r="I459" s="39" t="s">
        <v>367</v>
      </c>
      <c r="J459" s="39" t="s">
        <v>60</v>
      </c>
      <c r="K459" s="39" t="s">
        <v>50</v>
      </c>
      <c r="L459" s="39">
        <v>847001</v>
      </c>
      <c r="M459" s="39" t="s">
        <v>61</v>
      </c>
      <c r="N459" s="39">
        <v>200179</v>
      </c>
      <c r="O459" s="39" t="s">
        <v>2070</v>
      </c>
      <c r="P459" s="39" t="s">
        <v>369</v>
      </c>
      <c r="Q459" s="39" t="s">
        <v>157</v>
      </c>
      <c r="R459" s="39">
        <v>40</v>
      </c>
      <c r="S459" s="39">
        <v>15000</v>
      </c>
      <c r="T459" s="39" t="s">
        <v>2269</v>
      </c>
      <c r="U459" s="82">
        <v>600000</v>
      </c>
      <c r="V459" s="39" t="s">
        <v>55</v>
      </c>
      <c r="W459" s="39" t="s">
        <v>56</v>
      </c>
      <c r="X459" s="39" t="s">
        <v>230</v>
      </c>
    </row>
    <row r="460" spans="1:24" s="39" customFormat="1" ht="16" customHeight="1" x14ac:dyDescent="0.35">
      <c r="A460" s="39" t="s">
        <v>63</v>
      </c>
      <c r="B460" s="39" t="s">
        <v>64</v>
      </c>
      <c r="C460" s="39" t="s">
        <v>1784</v>
      </c>
      <c r="D460" s="80">
        <v>847</v>
      </c>
      <c r="E460" s="39">
        <v>8470445</v>
      </c>
      <c r="F460" s="39" t="s">
        <v>2056</v>
      </c>
      <c r="G460" s="81">
        <v>1</v>
      </c>
      <c r="H460" s="39">
        <v>426610</v>
      </c>
      <c r="I460" s="39" t="s">
        <v>74</v>
      </c>
      <c r="J460" s="39" t="s">
        <v>60</v>
      </c>
      <c r="K460" s="39" t="s">
        <v>50</v>
      </c>
      <c r="L460" s="39">
        <v>847001</v>
      </c>
      <c r="M460" s="39" t="s">
        <v>61</v>
      </c>
      <c r="N460" s="39">
        <v>200179</v>
      </c>
      <c r="O460" s="39" t="s">
        <v>2075</v>
      </c>
      <c r="P460" s="39" t="s">
        <v>274</v>
      </c>
      <c r="Q460" s="39" t="s">
        <v>157</v>
      </c>
      <c r="R460" s="39">
        <v>1</v>
      </c>
      <c r="S460" s="39">
        <v>25000</v>
      </c>
      <c r="T460" s="39" t="s">
        <v>2270</v>
      </c>
      <c r="U460" s="82">
        <v>25000</v>
      </c>
      <c r="V460" s="39" t="s">
        <v>55</v>
      </c>
      <c r="W460" s="39" t="s">
        <v>56</v>
      </c>
      <c r="X460" s="39" t="s">
        <v>230</v>
      </c>
    </row>
    <row r="461" spans="1:24" s="39" customFormat="1" ht="16" customHeight="1" x14ac:dyDescent="0.35">
      <c r="A461" s="39" t="s">
        <v>222</v>
      </c>
      <c r="B461" s="39" t="s">
        <v>58</v>
      </c>
      <c r="C461" s="39" t="s">
        <v>1784</v>
      </c>
      <c r="D461" s="80">
        <v>847</v>
      </c>
      <c r="E461" s="39">
        <v>8470445</v>
      </c>
      <c r="F461" s="39" t="s">
        <v>2056</v>
      </c>
      <c r="G461" s="81">
        <v>1</v>
      </c>
      <c r="H461" s="39">
        <v>435350</v>
      </c>
      <c r="I461" s="39" t="s">
        <v>399</v>
      </c>
      <c r="J461" s="39" t="s">
        <v>60</v>
      </c>
      <c r="K461" s="39" t="s">
        <v>50</v>
      </c>
      <c r="L461" s="39">
        <v>847001</v>
      </c>
      <c r="M461" s="39" t="s">
        <v>61</v>
      </c>
      <c r="N461" s="39">
        <v>200179</v>
      </c>
      <c r="O461" s="39" t="s">
        <v>2078</v>
      </c>
      <c r="P461" s="39" t="s">
        <v>401</v>
      </c>
      <c r="Q461" s="39" t="s">
        <v>157</v>
      </c>
      <c r="R461" s="39">
        <v>55</v>
      </c>
      <c r="S461" s="39">
        <v>16000</v>
      </c>
      <c r="T461" s="39" t="s">
        <v>2271</v>
      </c>
      <c r="U461" s="82">
        <v>880000</v>
      </c>
      <c r="V461" s="39" t="s">
        <v>55</v>
      </c>
      <c r="W461" s="39" t="s">
        <v>56</v>
      </c>
      <c r="X461" s="39" t="s">
        <v>480</v>
      </c>
    </row>
    <row r="462" spans="1:24" s="39" customFormat="1" ht="16" customHeight="1" x14ac:dyDescent="0.35">
      <c r="A462" s="39" t="s">
        <v>222</v>
      </c>
      <c r="B462" s="39" t="s">
        <v>58</v>
      </c>
      <c r="C462" s="39" t="s">
        <v>1784</v>
      </c>
      <c r="D462" s="80">
        <v>847</v>
      </c>
      <c r="E462" s="39">
        <v>8470445</v>
      </c>
      <c r="F462" s="39" t="s">
        <v>2056</v>
      </c>
      <c r="G462" s="81">
        <v>1</v>
      </c>
      <c r="H462" s="39">
        <v>427710</v>
      </c>
      <c r="I462" s="39" t="s">
        <v>1090</v>
      </c>
      <c r="J462" s="39" t="s">
        <v>60</v>
      </c>
      <c r="K462" s="39" t="s">
        <v>50</v>
      </c>
      <c r="L462" s="39">
        <v>847001</v>
      </c>
      <c r="M462" s="39" t="s">
        <v>61</v>
      </c>
      <c r="N462" s="39">
        <v>200179</v>
      </c>
      <c r="O462" s="39" t="s">
        <v>2081</v>
      </c>
      <c r="P462" s="39" t="s">
        <v>1092</v>
      </c>
      <c r="Q462" s="39" t="s">
        <v>157</v>
      </c>
      <c r="R462" s="39">
        <v>1</v>
      </c>
      <c r="S462" s="39">
        <v>13700</v>
      </c>
      <c r="T462" s="39" t="s">
        <v>2272</v>
      </c>
      <c r="U462" s="82">
        <v>13700</v>
      </c>
      <c r="V462" s="39" t="s">
        <v>55</v>
      </c>
      <c r="W462" s="39" t="s">
        <v>56</v>
      </c>
      <c r="X462" s="39" t="s">
        <v>237</v>
      </c>
    </row>
    <row r="463" spans="1:24" s="39" customFormat="1" ht="16" customHeight="1" x14ac:dyDescent="0.35">
      <c r="A463" s="39" t="s">
        <v>189</v>
      </c>
      <c r="B463" s="39" t="s">
        <v>265</v>
      </c>
      <c r="C463" s="39" t="s">
        <v>1784</v>
      </c>
      <c r="D463" s="80">
        <v>847</v>
      </c>
      <c r="E463" s="39">
        <v>8470445</v>
      </c>
      <c r="F463" s="39" t="s">
        <v>2056</v>
      </c>
      <c r="G463" s="81">
        <v>1</v>
      </c>
      <c r="H463" s="39">
        <v>425900</v>
      </c>
      <c r="I463" s="39" t="s">
        <v>266</v>
      </c>
      <c r="J463" s="39" t="s">
        <v>60</v>
      </c>
      <c r="K463" s="39" t="s">
        <v>50</v>
      </c>
      <c r="L463" s="39">
        <v>847001</v>
      </c>
      <c r="M463" s="39" t="s">
        <v>61</v>
      </c>
      <c r="N463" s="39">
        <v>200179</v>
      </c>
      <c r="O463" s="39" t="s">
        <v>2084</v>
      </c>
      <c r="P463" s="39" t="s">
        <v>268</v>
      </c>
      <c r="Q463" s="39" t="s">
        <v>269</v>
      </c>
      <c r="R463" s="39">
        <v>12</v>
      </c>
      <c r="S463" s="39">
        <v>10000</v>
      </c>
      <c r="T463" s="39" t="s">
        <v>2085</v>
      </c>
      <c r="U463" s="82">
        <v>120000</v>
      </c>
      <c r="V463" s="39" t="s">
        <v>55</v>
      </c>
      <c r="W463" s="39" t="s">
        <v>56</v>
      </c>
      <c r="X463" s="39" t="s">
        <v>237</v>
      </c>
    </row>
    <row r="464" spans="1:24" s="39" customFormat="1" ht="16" customHeight="1" x14ac:dyDescent="0.35">
      <c r="A464" s="39" t="s">
        <v>222</v>
      </c>
      <c r="B464" s="39" t="s">
        <v>58</v>
      </c>
      <c r="C464" s="39" t="s">
        <v>1784</v>
      </c>
      <c r="D464" s="80">
        <v>847</v>
      </c>
      <c r="E464" s="39">
        <v>8470445</v>
      </c>
      <c r="F464" s="39" t="s">
        <v>2056</v>
      </c>
      <c r="G464" s="81">
        <v>1</v>
      </c>
      <c r="H464" s="39">
        <v>420550</v>
      </c>
      <c r="I464" s="39" t="s">
        <v>225</v>
      </c>
      <c r="J464" s="39" t="s">
        <v>60</v>
      </c>
      <c r="K464" s="39" t="s">
        <v>50</v>
      </c>
      <c r="L464" s="39">
        <v>847001</v>
      </c>
      <c r="M464" s="39" t="s">
        <v>61</v>
      </c>
      <c r="N464" s="39">
        <v>200179</v>
      </c>
      <c r="O464" s="39" t="s">
        <v>2087</v>
      </c>
      <c r="P464" s="39" t="s">
        <v>227</v>
      </c>
      <c r="Q464" s="39" t="s">
        <v>157</v>
      </c>
      <c r="R464" s="39">
        <v>1</v>
      </c>
      <c r="S464" s="39">
        <v>200000</v>
      </c>
      <c r="T464" s="39" t="s">
        <v>2088</v>
      </c>
      <c r="U464" s="82">
        <v>200000</v>
      </c>
      <c r="V464" s="39" t="s">
        <v>55</v>
      </c>
      <c r="W464" s="39" t="s">
        <v>56</v>
      </c>
      <c r="X464" s="39" t="s">
        <v>237</v>
      </c>
    </row>
    <row r="465" spans="1:24" s="39" customFormat="1" ht="16" customHeight="1" x14ac:dyDescent="0.35">
      <c r="A465" s="39" t="s">
        <v>222</v>
      </c>
      <c r="B465" s="39" t="s">
        <v>220</v>
      </c>
      <c r="C465" s="39" t="s">
        <v>1784</v>
      </c>
      <c r="D465" s="80">
        <v>847</v>
      </c>
      <c r="E465" s="39">
        <v>8470445</v>
      </c>
      <c r="F465" s="39" t="s">
        <v>2056</v>
      </c>
      <c r="G465" s="81">
        <v>1</v>
      </c>
      <c r="H465" s="39">
        <v>435508</v>
      </c>
      <c r="I465" s="39" t="s">
        <v>405</v>
      </c>
      <c r="J465" s="39" t="s">
        <v>60</v>
      </c>
      <c r="K465" s="39" t="s">
        <v>2093</v>
      </c>
      <c r="L465" s="39">
        <v>847001</v>
      </c>
      <c r="M465" s="39" t="s">
        <v>61</v>
      </c>
      <c r="N465" s="39">
        <v>200179</v>
      </c>
      <c r="O465" s="39" t="s">
        <v>2273</v>
      </c>
      <c r="P465" s="39" t="s">
        <v>482</v>
      </c>
      <c r="Q465" s="39" t="s">
        <v>157</v>
      </c>
      <c r="R465" s="39">
        <v>10</v>
      </c>
      <c r="S465" s="39">
        <v>600000</v>
      </c>
      <c r="T465" s="39" t="s">
        <v>2274</v>
      </c>
      <c r="U465" s="82">
        <v>6000000</v>
      </c>
      <c r="V465" s="39" t="s">
        <v>210</v>
      </c>
      <c r="W465" s="39" t="s">
        <v>197</v>
      </c>
      <c r="X465" s="39" t="s">
        <v>70</v>
      </c>
    </row>
    <row r="466" spans="1:24" s="39" customFormat="1" ht="16" customHeight="1" x14ac:dyDescent="0.35">
      <c r="A466" s="39" t="s">
        <v>222</v>
      </c>
      <c r="B466" s="39" t="s">
        <v>58</v>
      </c>
      <c r="C466" s="39" t="s">
        <v>1784</v>
      </c>
      <c r="D466" s="80">
        <v>847</v>
      </c>
      <c r="E466" s="39">
        <v>8470450</v>
      </c>
      <c r="F466" s="39" t="s">
        <v>2100</v>
      </c>
      <c r="G466" s="81">
        <v>1</v>
      </c>
      <c r="H466" s="39">
        <v>425761</v>
      </c>
      <c r="I466" s="39" t="s">
        <v>1383</v>
      </c>
      <c r="J466" s="39" t="s">
        <v>60</v>
      </c>
      <c r="K466" s="39" t="s">
        <v>50</v>
      </c>
      <c r="L466" s="39">
        <v>847001</v>
      </c>
      <c r="M466" s="39" t="s">
        <v>61</v>
      </c>
      <c r="N466" s="39">
        <v>200179</v>
      </c>
      <c r="O466" s="39" t="s">
        <v>2101</v>
      </c>
      <c r="P466" s="39" t="s">
        <v>727</v>
      </c>
      <c r="Q466" s="39" t="s">
        <v>68</v>
      </c>
      <c r="R466" s="39">
        <v>1</v>
      </c>
      <c r="S466" s="39">
        <v>600000</v>
      </c>
      <c r="T466" s="39" t="s">
        <v>2102</v>
      </c>
      <c r="U466" s="82">
        <v>600000</v>
      </c>
      <c r="V466" s="39" t="s">
        <v>55</v>
      </c>
      <c r="W466" s="39" t="s">
        <v>56</v>
      </c>
      <c r="X466" s="39" t="s">
        <v>230</v>
      </c>
    </row>
    <row r="467" spans="1:24" s="39" customFormat="1" ht="16" customHeight="1" x14ac:dyDescent="0.35">
      <c r="A467" s="39" t="s">
        <v>222</v>
      </c>
      <c r="B467" s="39" t="s">
        <v>58</v>
      </c>
      <c r="C467" s="39" t="s">
        <v>1784</v>
      </c>
      <c r="D467" s="80">
        <v>847</v>
      </c>
      <c r="E467" s="39">
        <v>8470450</v>
      </c>
      <c r="F467" s="39" t="s">
        <v>2100</v>
      </c>
      <c r="G467" s="81">
        <v>1</v>
      </c>
      <c r="H467" s="39">
        <v>425770</v>
      </c>
      <c r="I467" s="39" t="s">
        <v>367</v>
      </c>
      <c r="J467" s="39" t="s">
        <v>60</v>
      </c>
      <c r="K467" s="39" t="s">
        <v>50</v>
      </c>
      <c r="L467" s="39">
        <v>847001</v>
      </c>
      <c r="M467" s="39" t="s">
        <v>61</v>
      </c>
      <c r="N467" s="39">
        <v>200179</v>
      </c>
      <c r="O467" s="39" t="s">
        <v>2104</v>
      </c>
      <c r="P467" s="39" t="s">
        <v>369</v>
      </c>
      <c r="Q467" s="39" t="s">
        <v>157</v>
      </c>
      <c r="R467" s="39">
        <v>14</v>
      </c>
      <c r="S467" s="39">
        <v>15000</v>
      </c>
      <c r="T467" s="39" t="s">
        <v>2275</v>
      </c>
      <c r="U467" s="82">
        <v>210000</v>
      </c>
      <c r="V467" s="39" t="s">
        <v>55</v>
      </c>
      <c r="W467" s="39" t="s">
        <v>56</v>
      </c>
      <c r="X467" s="39" t="s">
        <v>252</v>
      </c>
    </row>
    <row r="468" spans="1:24" s="39" customFormat="1" ht="16" customHeight="1" x14ac:dyDescent="0.35">
      <c r="A468" s="39" t="s">
        <v>63</v>
      </c>
      <c r="B468" s="39" t="s">
        <v>64</v>
      </c>
      <c r="C468" s="39" t="s">
        <v>1784</v>
      </c>
      <c r="D468" s="80">
        <v>847</v>
      </c>
      <c r="E468" s="39">
        <v>8470450</v>
      </c>
      <c r="F468" s="39" t="s">
        <v>2100</v>
      </c>
      <c r="G468" s="81">
        <v>1</v>
      </c>
      <c r="H468" s="39">
        <v>426610</v>
      </c>
      <c r="I468" s="39" t="s">
        <v>74</v>
      </c>
      <c r="J468" s="39" t="s">
        <v>60</v>
      </c>
      <c r="K468" s="39" t="s">
        <v>50</v>
      </c>
      <c r="L468" s="39">
        <v>847001</v>
      </c>
      <c r="M468" s="39" t="s">
        <v>61</v>
      </c>
      <c r="N468" s="39">
        <v>200179</v>
      </c>
      <c r="O468" s="39" t="s">
        <v>2107</v>
      </c>
      <c r="P468" s="39" t="s">
        <v>274</v>
      </c>
      <c r="Q468" s="39" t="s">
        <v>157</v>
      </c>
      <c r="R468" s="39">
        <v>1</v>
      </c>
      <c r="S468" s="39">
        <v>81000</v>
      </c>
      <c r="T468" s="39" t="s">
        <v>2276</v>
      </c>
      <c r="U468" s="82">
        <v>81000</v>
      </c>
      <c r="V468" s="39" t="s">
        <v>55</v>
      </c>
      <c r="W468" s="39" t="s">
        <v>56</v>
      </c>
      <c r="X468" s="39" t="s">
        <v>70</v>
      </c>
    </row>
    <row r="469" spans="1:24" s="39" customFormat="1" ht="16" customHeight="1" x14ac:dyDescent="0.35">
      <c r="A469" s="39" t="s">
        <v>222</v>
      </c>
      <c r="B469" s="39" t="s">
        <v>58</v>
      </c>
      <c r="C469" s="39" t="s">
        <v>1784</v>
      </c>
      <c r="D469" s="80">
        <v>847</v>
      </c>
      <c r="E469" s="39">
        <v>8470450</v>
      </c>
      <c r="F469" s="39" t="s">
        <v>2100</v>
      </c>
      <c r="G469" s="81">
        <v>1</v>
      </c>
      <c r="H469" s="39">
        <v>435508</v>
      </c>
      <c r="I469" s="39" t="s">
        <v>405</v>
      </c>
      <c r="J469" s="39" t="s">
        <v>60</v>
      </c>
      <c r="K469" s="39" t="s">
        <v>50</v>
      </c>
      <c r="L469" s="39">
        <v>847001</v>
      </c>
      <c r="M469" s="39" t="s">
        <v>61</v>
      </c>
      <c r="N469" s="39">
        <v>200179</v>
      </c>
      <c r="O469" s="39" t="s">
        <v>2114</v>
      </c>
      <c r="P469" s="39" t="s">
        <v>407</v>
      </c>
      <c r="Q469" s="39" t="s">
        <v>157</v>
      </c>
      <c r="R469" s="39">
        <v>1</v>
      </c>
      <c r="S469" s="39">
        <v>320000</v>
      </c>
      <c r="T469" s="39" t="s">
        <v>2115</v>
      </c>
      <c r="U469" s="82">
        <v>320000</v>
      </c>
      <c r="V469" s="39" t="s">
        <v>55</v>
      </c>
      <c r="W469" s="39" t="s">
        <v>56</v>
      </c>
      <c r="X469" s="39" t="s">
        <v>70</v>
      </c>
    </row>
    <row r="470" spans="1:24" s="39" customFormat="1" ht="16" customHeight="1" x14ac:dyDescent="0.35">
      <c r="A470" s="39" t="s">
        <v>222</v>
      </c>
      <c r="B470" s="39" t="s">
        <v>220</v>
      </c>
      <c r="C470" s="39" t="s">
        <v>1784</v>
      </c>
      <c r="D470" s="80">
        <v>847</v>
      </c>
      <c r="E470" s="39">
        <v>8470450</v>
      </c>
      <c r="F470" s="39" t="s">
        <v>2100</v>
      </c>
      <c r="G470" s="81">
        <v>1</v>
      </c>
      <c r="H470" s="39">
        <v>435350</v>
      </c>
      <c r="I470" s="39" t="s">
        <v>399</v>
      </c>
      <c r="J470" s="39" t="s">
        <v>60</v>
      </c>
      <c r="K470" s="39" t="s">
        <v>50</v>
      </c>
      <c r="L470" s="39">
        <v>847001</v>
      </c>
      <c r="M470" s="39" t="s">
        <v>61</v>
      </c>
      <c r="N470" s="39">
        <v>200179</v>
      </c>
      <c r="O470" s="39" t="s">
        <v>2112</v>
      </c>
      <c r="P470" s="39" t="s">
        <v>401</v>
      </c>
      <c r="Q470" s="39" t="s">
        <v>157</v>
      </c>
      <c r="R470" s="39">
        <v>14</v>
      </c>
      <c r="S470" s="39">
        <v>10000</v>
      </c>
      <c r="T470" s="39" t="s">
        <v>2113</v>
      </c>
      <c r="U470" s="82">
        <v>140000</v>
      </c>
      <c r="V470" s="39" t="s">
        <v>55</v>
      </c>
      <c r="W470" s="39" t="s">
        <v>56</v>
      </c>
      <c r="X470" s="39" t="s">
        <v>252</v>
      </c>
    </row>
    <row r="471" spans="1:24" s="39" customFormat="1" ht="16" customHeight="1" x14ac:dyDescent="0.35">
      <c r="A471" s="39" t="s">
        <v>161</v>
      </c>
      <c r="B471" s="39" t="s">
        <v>220</v>
      </c>
      <c r="C471" s="39" t="s">
        <v>1784</v>
      </c>
      <c r="D471" s="80">
        <v>847</v>
      </c>
      <c r="E471" s="39">
        <v>8470450</v>
      </c>
      <c r="F471" s="39" t="s">
        <v>2100</v>
      </c>
      <c r="G471" s="81">
        <v>1</v>
      </c>
      <c r="H471" s="39">
        <v>492310</v>
      </c>
      <c r="I471" s="39" t="s">
        <v>191</v>
      </c>
      <c r="J471" s="39" t="s">
        <v>60</v>
      </c>
      <c r="K471" s="39" t="s">
        <v>50</v>
      </c>
      <c r="L471" s="39">
        <v>847001</v>
      </c>
      <c r="M471" s="39" t="s">
        <v>192</v>
      </c>
      <c r="N471" s="39">
        <v>300180</v>
      </c>
      <c r="O471" s="39" t="s">
        <v>2117</v>
      </c>
      <c r="P471" s="39" t="s">
        <v>1614</v>
      </c>
      <c r="Q471" s="39" t="s">
        <v>68</v>
      </c>
      <c r="R471" s="39">
        <v>5</v>
      </c>
      <c r="S471" s="39">
        <v>20000</v>
      </c>
      <c r="T471" s="39" t="s">
        <v>2242</v>
      </c>
      <c r="U471" s="82">
        <v>100000</v>
      </c>
      <c r="V471" s="39" t="s">
        <v>55</v>
      </c>
      <c r="W471" s="39" t="s">
        <v>56</v>
      </c>
      <c r="X471" s="39" t="s">
        <v>70</v>
      </c>
    </row>
    <row r="472" spans="1:24" s="39" customFormat="1" ht="16" customHeight="1" x14ac:dyDescent="0.35">
      <c r="A472" s="39" t="s">
        <v>258</v>
      </c>
      <c r="B472" s="39" t="s">
        <v>350</v>
      </c>
      <c r="C472" s="39" t="s">
        <v>1784</v>
      </c>
      <c r="D472" s="80">
        <v>847</v>
      </c>
      <c r="E472" s="39">
        <v>8470455</v>
      </c>
      <c r="F472" s="39" t="s">
        <v>2132</v>
      </c>
      <c r="G472" s="81">
        <v>1</v>
      </c>
      <c r="H472" s="39">
        <v>425760</v>
      </c>
      <c r="I472" s="39" t="s">
        <v>352</v>
      </c>
      <c r="J472" s="39" t="s">
        <v>60</v>
      </c>
      <c r="K472" s="39" t="s">
        <v>50</v>
      </c>
      <c r="L472" s="39">
        <v>847001</v>
      </c>
      <c r="M472" s="39" t="s">
        <v>61</v>
      </c>
      <c r="N472" s="39">
        <v>200179</v>
      </c>
      <c r="O472" s="39" t="s">
        <v>2133</v>
      </c>
      <c r="P472" s="39" t="s">
        <v>354</v>
      </c>
      <c r="Q472" s="39" t="s">
        <v>262</v>
      </c>
      <c r="R472" s="39">
        <v>101</v>
      </c>
      <c r="S472" s="39">
        <v>150</v>
      </c>
      <c r="T472" s="39" t="s">
        <v>2134</v>
      </c>
      <c r="U472" s="82">
        <v>15150</v>
      </c>
      <c r="V472" s="39" t="s">
        <v>55</v>
      </c>
      <c r="W472" s="39" t="s">
        <v>56</v>
      </c>
      <c r="X472" s="39" t="s">
        <v>365</v>
      </c>
    </row>
    <row r="473" spans="1:24" s="39" customFormat="1" ht="16" customHeight="1" x14ac:dyDescent="0.35">
      <c r="A473" s="39" t="s">
        <v>222</v>
      </c>
      <c r="B473" s="39" t="s">
        <v>58</v>
      </c>
      <c r="C473" s="39" t="s">
        <v>1784</v>
      </c>
      <c r="D473" s="80">
        <v>847</v>
      </c>
      <c r="E473" s="39">
        <v>8470455</v>
      </c>
      <c r="F473" s="39" t="s">
        <v>2132</v>
      </c>
      <c r="G473" s="81">
        <v>1</v>
      </c>
      <c r="H473" s="39">
        <v>425770</v>
      </c>
      <c r="I473" s="39" t="s">
        <v>367</v>
      </c>
      <c r="J473" s="39" t="s">
        <v>60</v>
      </c>
      <c r="K473" s="39" t="s">
        <v>50</v>
      </c>
      <c r="L473" s="39">
        <v>847001</v>
      </c>
      <c r="M473" s="39" t="s">
        <v>61</v>
      </c>
      <c r="N473" s="39">
        <v>200179</v>
      </c>
      <c r="O473" s="39" t="s">
        <v>2138</v>
      </c>
      <c r="P473" s="39" t="s">
        <v>369</v>
      </c>
      <c r="Q473" s="39" t="s">
        <v>157</v>
      </c>
      <c r="R473" s="39">
        <v>10</v>
      </c>
      <c r="S473" s="39">
        <v>16000</v>
      </c>
      <c r="T473" s="39" t="s">
        <v>2139</v>
      </c>
      <c r="U473" s="82">
        <v>160000</v>
      </c>
      <c r="V473" s="39" t="s">
        <v>55</v>
      </c>
      <c r="W473" s="39" t="s">
        <v>56</v>
      </c>
      <c r="X473" s="39" t="s">
        <v>252</v>
      </c>
    </row>
    <row r="474" spans="1:24" s="39" customFormat="1" ht="16" customHeight="1" x14ac:dyDescent="0.35">
      <c r="A474" s="39" t="s">
        <v>189</v>
      </c>
      <c r="B474" s="39" t="s">
        <v>265</v>
      </c>
      <c r="C474" s="39" t="s">
        <v>1784</v>
      </c>
      <c r="D474" s="80">
        <v>847</v>
      </c>
      <c r="E474" s="39">
        <v>8470455</v>
      </c>
      <c r="F474" s="39" t="s">
        <v>2132</v>
      </c>
      <c r="G474" s="81">
        <v>1</v>
      </c>
      <c r="H474" s="39">
        <v>425900</v>
      </c>
      <c r="I474" s="39" t="s">
        <v>266</v>
      </c>
      <c r="J474" s="39" t="s">
        <v>60</v>
      </c>
      <c r="K474" s="39" t="s">
        <v>50</v>
      </c>
      <c r="L474" s="39">
        <v>847001</v>
      </c>
      <c r="M474" s="39" t="s">
        <v>61</v>
      </c>
      <c r="N474" s="39">
        <v>200179</v>
      </c>
      <c r="O474" s="39" t="s">
        <v>2143</v>
      </c>
      <c r="P474" s="39" t="s">
        <v>268</v>
      </c>
      <c r="Q474" s="39" t="s">
        <v>269</v>
      </c>
      <c r="R474" s="39">
        <v>3</v>
      </c>
      <c r="S474" s="39">
        <v>15000</v>
      </c>
      <c r="T474" s="39" t="s">
        <v>2144</v>
      </c>
      <c r="U474" s="82">
        <v>45000</v>
      </c>
      <c r="V474" s="39" t="s">
        <v>210</v>
      </c>
      <c r="W474" s="39" t="s">
        <v>56</v>
      </c>
      <c r="X474" s="39" t="s">
        <v>230</v>
      </c>
    </row>
    <row r="475" spans="1:24" s="39" customFormat="1" ht="16" customHeight="1" x14ac:dyDescent="0.35">
      <c r="A475" s="39" t="s">
        <v>63</v>
      </c>
      <c r="B475" s="39" t="s">
        <v>64</v>
      </c>
      <c r="C475" s="39" t="s">
        <v>1784</v>
      </c>
      <c r="D475" s="80">
        <v>847</v>
      </c>
      <c r="E475" s="39">
        <v>8470455</v>
      </c>
      <c r="F475" s="39" t="s">
        <v>2132</v>
      </c>
      <c r="G475" s="81">
        <v>1</v>
      </c>
      <c r="H475" s="39">
        <v>426610</v>
      </c>
      <c r="I475" s="39" t="s">
        <v>74</v>
      </c>
      <c r="J475" s="39" t="s">
        <v>60</v>
      </c>
      <c r="K475" s="39" t="s">
        <v>50</v>
      </c>
      <c r="L475" s="39">
        <v>847001</v>
      </c>
      <c r="M475" s="39" t="s">
        <v>61</v>
      </c>
      <c r="N475" s="39">
        <v>200179</v>
      </c>
      <c r="O475" s="39" t="s">
        <v>2148</v>
      </c>
      <c r="P475" s="39" t="s">
        <v>960</v>
      </c>
      <c r="Q475" s="39" t="s">
        <v>68</v>
      </c>
      <c r="R475" s="39">
        <v>10</v>
      </c>
      <c r="S475" s="39">
        <v>5000</v>
      </c>
      <c r="T475" s="39" t="s">
        <v>2149</v>
      </c>
      <c r="U475" s="82">
        <v>50000</v>
      </c>
      <c r="V475" s="39" t="s">
        <v>55</v>
      </c>
      <c r="W475" s="39" t="s">
        <v>56</v>
      </c>
      <c r="X475" s="39" t="s">
        <v>480</v>
      </c>
    </row>
    <row r="476" spans="1:24" s="39" customFormat="1" ht="16" customHeight="1" x14ac:dyDescent="0.35">
      <c r="A476" s="39" t="s">
        <v>153</v>
      </c>
      <c r="B476" s="39" t="s">
        <v>58</v>
      </c>
      <c r="C476" s="39" t="s">
        <v>1784</v>
      </c>
      <c r="D476" s="80">
        <v>847</v>
      </c>
      <c r="E476" s="39">
        <v>8470455</v>
      </c>
      <c r="F476" s="39" t="s">
        <v>2132</v>
      </c>
      <c r="G476" s="81">
        <v>1</v>
      </c>
      <c r="H476" s="39">
        <v>428090</v>
      </c>
      <c r="I476" s="39" t="s">
        <v>154</v>
      </c>
      <c r="J476" s="39" t="s">
        <v>60</v>
      </c>
      <c r="K476" s="39" t="s">
        <v>50</v>
      </c>
      <c r="L476" s="39">
        <v>847001</v>
      </c>
      <c r="M476" s="39" t="s">
        <v>61</v>
      </c>
      <c r="N476" s="39">
        <v>200179</v>
      </c>
      <c r="O476" s="39" t="s">
        <v>2153</v>
      </c>
      <c r="P476" s="39" t="s">
        <v>156</v>
      </c>
      <c r="Q476" s="39" t="s">
        <v>157</v>
      </c>
      <c r="R476" s="39">
        <v>3</v>
      </c>
      <c r="S476" s="39">
        <v>25000</v>
      </c>
      <c r="T476" s="39" t="s">
        <v>2154</v>
      </c>
      <c r="U476" s="82">
        <v>75000</v>
      </c>
      <c r="V476" s="39" t="s">
        <v>210</v>
      </c>
      <c r="W476" s="39" t="s">
        <v>56</v>
      </c>
      <c r="X476" s="39" t="s">
        <v>230</v>
      </c>
    </row>
    <row r="477" spans="1:24" s="39" customFormat="1" ht="16" customHeight="1" x14ac:dyDescent="0.35">
      <c r="A477" s="39" t="s">
        <v>245</v>
      </c>
      <c r="B477" s="39" t="s">
        <v>246</v>
      </c>
      <c r="C477" s="39" t="s">
        <v>1784</v>
      </c>
      <c r="D477" s="80">
        <v>847</v>
      </c>
      <c r="E477" s="39">
        <v>8470455</v>
      </c>
      <c r="F477" s="39" t="s">
        <v>2132</v>
      </c>
      <c r="G477" s="81">
        <v>1</v>
      </c>
      <c r="H477" s="39">
        <v>428640</v>
      </c>
      <c r="I477" s="39" t="s">
        <v>279</v>
      </c>
      <c r="J477" s="39" t="s">
        <v>60</v>
      </c>
      <c r="K477" s="39" t="s">
        <v>50</v>
      </c>
      <c r="L477" s="39">
        <v>847001</v>
      </c>
      <c r="M477" s="39" t="s">
        <v>61</v>
      </c>
      <c r="N477" s="39">
        <v>200179</v>
      </c>
      <c r="O477" s="39" t="s">
        <v>2155</v>
      </c>
      <c r="P477" s="39" t="s">
        <v>1395</v>
      </c>
      <c r="Q477" s="39" t="s">
        <v>269</v>
      </c>
      <c r="R477" s="39">
        <v>7</v>
      </c>
      <c r="S477" s="39">
        <v>2500</v>
      </c>
      <c r="T477" s="39" t="s">
        <v>2156</v>
      </c>
      <c r="U477" s="82">
        <v>17500</v>
      </c>
      <c r="V477" s="39" t="s">
        <v>210</v>
      </c>
      <c r="W477" s="39" t="s">
        <v>56</v>
      </c>
      <c r="X477" s="39" t="s">
        <v>384</v>
      </c>
    </row>
    <row r="478" spans="1:24" s="39" customFormat="1" ht="16" customHeight="1" x14ac:dyDescent="0.35">
      <c r="A478" s="39" t="s">
        <v>222</v>
      </c>
      <c r="B478" s="39" t="s">
        <v>58</v>
      </c>
      <c r="C478" s="39" t="s">
        <v>1784</v>
      </c>
      <c r="D478" s="80">
        <v>847</v>
      </c>
      <c r="E478" s="39">
        <v>8470455</v>
      </c>
      <c r="F478" s="39" t="s">
        <v>2132</v>
      </c>
      <c r="G478" s="81">
        <v>1</v>
      </c>
      <c r="H478" s="39">
        <v>432209</v>
      </c>
      <c r="I478" s="39" t="s">
        <v>393</v>
      </c>
      <c r="J478" s="39" t="s">
        <v>60</v>
      </c>
      <c r="K478" s="39" t="s">
        <v>50</v>
      </c>
      <c r="L478" s="39">
        <v>847001</v>
      </c>
      <c r="M478" s="39" t="s">
        <v>61</v>
      </c>
      <c r="N478" s="39">
        <v>200179</v>
      </c>
      <c r="O478" s="39" t="s">
        <v>2157</v>
      </c>
      <c r="P478" s="39" t="s">
        <v>470</v>
      </c>
      <c r="Q478" s="39" t="s">
        <v>157</v>
      </c>
      <c r="R478" s="39">
        <v>2</v>
      </c>
      <c r="S478" s="39">
        <v>300000</v>
      </c>
      <c r="T478" s="39" t="s">
        <v>2158</v>
      </c>
      <c r="U478" s="82">
        <v>600000</v>
      </c>
      <c r="V478" s="39" t="s">
        <v>55</v>
      </c>
      <c r="W478" s="39" t="s">
        <v>56</v>
      </c>
      <c r="X478" s="39" t="s">
        <v>365</v>
      </c>
    </row>
    <row r="479" spans="1:24" s="39" customFormat="1" ht="16" customHeight="1" x14ac:dyDescent="0.35">
      <c r="A479" s="39" t="s">
        <v>222</v>
      </c>
      <c r="B479" s="39" t="s">
        <v>58</v>
      </c>
      <c r="C479" s="39" t="s">
        <v>1784</v>
      </c>
      <c r="D479" s="80">
        <v>847</v>
      </c>
      <c r="E479" s="39">
        <v>8470455</v>
      </c>
      <c r="F479" s="39" t="s">
        <v>2132</v>
      </c>
      <c r="G479" s="81">
        <v>1</v>
      </c>
      <c r="H479" s="39">
        <v>435350</v>
      </c>
      <c r="I479" s="39" t="s">
        <v>399</v>
      </c>
      <c r="J479" s="39" t="s">
        <v>60</v>
      </c>
      <c r="K479" s="39" t="s">
        <v>50</v>
      </c>
      <c r="L479" s="39">
        <v>847001</v>
      </c>
      <c r="M479" s="39" t="s">
        <v>61</v>
      </c>
      <c r="N479" s="39">
        <v>200179</v>
      </c>
      <c r="O479" s="39" t="s">
        <v>2162</v>
      </c>
      <c r="P479" s="39" t="s">
        <v>401</v>
      </c>
      <c r="Q479" s="39" t="s">
        <v>157</v>
      </c>
      <c r="R479" s="39">
        <v>20</v>
      </c>
      <c r="S479" s="39">
        <v>10000</v>
      </c>
      <c r="T479" s="39" t="s">
        <v>2163</v>
      </c>
      <c r="U479" s="82">
        <v>200000</v>
      </c>
      <c r="V479" s="39" t="s">
        <v>55</v>
      </c>
      <c r="W479" s="39" t="s">
        <v>56</v>
      </c>
      <c r="X479" s="39" t="s">
        <v>480</v>
      </c>
    </row>
    <row r="480" spans="1:24" s="39" customFormat="1" ht="16" customHeight="1" x14ac:dyDescent="0.35">
      <c r="A480" s="39" t="s">
        <v>222</v>
      </c>
      <c r="B480" s="39" t="s">
        <v>220</v>
      </c>
      <c r="C480" s="39" t="s">
        <v>1784</v>
      </c>
      <c r="D480" s="80">
        <v>847</v>
      </c>
      <c r="E480" s="39">
        <v>8470455</v>
      </c>
      <c r="F480" s="39" t="s">
        <v>2132</v>
      </c>
      <c r="G480" s="81">
        <v>1</v>
      </c>
      <c r="H480" s="39">
        <v>435508</v>
      </c>
      <c r="I480" s="39" t="s">
        <v>405</v>
      </c>
      <c r="J480" s="39" t="s">
        <v>60</v>
      </c>
      <c r="K480" s="39" t="s">
        <v>50</v>
      </c>
      <c r="L480" s="39">
        <v>847001</v>
      </c>
      <c r="M480" s="39" t="s">
        <v>61</v>
      </c>
      <c r="N480" s="39">
        <v>200179</v>
      </c>
      <c r="O480" s="39" t="s">
        <v>2167</v>
      </c>
      <c r="P480" s="39" t="s">
        <v>482</v>
      </c>
      <c r="Q480" s="39" t="s">
        <v>157</v>
      </c>
      <c r="R480" s="39">
        <v>102</v>
      </c>
      <c r="S480" s="39">
        <v>11000</v>
      </c>
      <c r="T480" s="39" t="s">
        <v>2168</v>
      </c>
      <c r="U480" s="82">
        <v>1122000</v>
      </c>
      <c r="V480" s="39" t="s">
        <v>55</v>
      </c>
      <c r="W480" s="39" t="s">
        <v>56</v>
      </c>
      <c r="X480" s="39" t="s">
        <v>230</v>
      </c>
    </row>
    <row r="481" spans="1:24" s="39" customFormat="1" ht="16" customHeight="1" x14ac:dyDescent="0.35">
      <c r="A481" s="39" t="s">
        <v>189</v>
      </c>
      <c r="B481" s="39" t="s">
        <v>58</v>
      </c>
      <c r="C481" s="39" t="s">
        <v>1784</v>
      </c>
      <c r="D481" s="80">
        <v>847</v>
      </c>
      <c r="E481" s="39">
        <v>8470455</v>
      </c>
      <c r="F481" s="39" t="s">
        <v>2132</v>
      </c>
      <c r="G481" s="81">
        <v>1</v>
      </c>
      <c r="H481" s="39">
        <v>436110</v>
      </c>
      <c r="I481" s="39" t="s">
        <v>190</v>
      </c>
      <c r="J481" s="39" t="s">
        <v>60</v>
      </c>
      <c r="K481" s="39" t="s">
        <v>50</v>
      </c>
      <c r="L481" s="39">
        <v>847001</v>
      </c>
      <c r="M481" s="39" t="s">
        <v>61</v>
      </c>
      <c r="N481" s="39">
        <v>200179</v>
      </c>
      <c r="O481" s="39" t="s">
        <v>2172</v>
      </c>
      <c r="P481" s="39" t="s">
        <v>411</v>
      </c>
      <c r="Q481" s="39" t="s">
        <v>157</v>
      </c>
      <c r="R481" s="39">
        <v>10</v>
      </c>
      <c r="S481" s="39">
        <v>1000</v>
      </c>
      <c r="T481" s="39" t="s">
        <v>2173</v>
      </c>
      <c r="U481" s="82">
        <v>10000</v>
      </c>
      <c r="V481" s="39" t="s">
        <v>55</v>
      </c>
      <c r="W481" s="39" t="s">
        <v>56</v>
      </c>
      <c r="X481" s="39" t="s">
        <v>480</v>
      </c>
    </row>
    <row r="482" spans="1:24" s="39" customFormat="1" ht="16" customHeight="1" x14ac:dyDescent="0.35">
      <c r="A482" s="39" t="s">
        <v>161</v>
      </c>
      <c r="B482" s="39" t="s">
        <v>220</v>
      </c>
      <c r="C482" s="39" t="s">
        <v>1784</v>
      </c>
      <c r="D482" s="80">
        <v>847</v>
      </c>
      <c r="E482" s="39">
        <v>8470455</v>
      </c>
      <c r="F482" s="39" t="s">
        <v>2132</v>
      </c>
      <c r="G482" s="81">
        <v>1</v>
      </c>
      <c r="H482" s="39">
        <v>492316</v>
      </c>
      <c r="I482" s="39" t="s">
        <v>221</v>
      </c>
      <c r="J482" s="39" t="s">
        <v>60</v>
      </c>
      <c r="K482" s="39" t="s">
        <v>50</v>
      </c>
      <c r="L482" s="39">
        <v>847001</v>
      </c>
      <c r="M482" s="39" t="s">
        <v>192</v>
      </c>
      <c r="N482" s="39">
        <v>300180</v>
      </c>
      <c r="O482" s="39" t="s">
        <v>2177</v>
      </c>
      <c r="P482" s="39" t="s">
        <v>422</v>
      </c>
      <c r="Q482" s="39" t="s">
        <v>157</v>
      </c>
      <c r="R482" s="39">
        <v>10</v>
      </c>
      <c r="S482" s="39">
        <v>300000</v>
      </c>
      <c r="T482" s="39" t="s">
        <v>2178</v>
      </c>
      <c r="U482" s="82">
        <v>3000000</v>
      </c>
      <c r="V482" s="39" t="s">
        <v>55</v>
      </c>
      <c r="W482" s="39" t="s">
        <v>197</v>
      </c>
      <c r="X482" s="39" t="s">
        <v>365</v>
      </c>
    </row>
    <row r="483" spans="1:24" s="39" customFormat="1" ht="16" customHeight="1" x14ac:dyDescent="0.35">
      <c r="A483" s="39" t="s">
        <v>71</v>
      </c>
      <c r="B483" s="39" t="s">
        <v>1010</v>
      </c>
      <c r="C483" s="39" t="s">
        <v>2277</v>
      </c>
      <c r="D483" s="80">
        <v>847</v>
      </c>
      <c r="E483" s="39">
        <v>8470130</v>
      </c>
      <c r="F483" s="39" t="s">
        <v>2278</v>
      </c>
      <c r="G483" s="81">
        <v>1</v>
      </c>
      <c r="H483" s="39">
        <v>421000</v>
      </c>
      <c r="I483" s="39" t="s">
        <v>1011</v>
      </c>
      <c r="J483" s="39" t="s">
        <v>60</v>
      </c>
      <c r="K483" s="39" t="s">
        <v>50</v>
      </c>
      <c r="L483" s="39">
        <v>847001</v>
      </c>
      <c r="M483" s="39" t="s">
        <v>61</v>
      </c>
      <c r="N483" s="39">
        <v>200179</v>
      </c>
      <c r="O483" s="39" t="s">
        <v>2279</v>
      </c>
      <c r="P483" s="39" t="s">
        <v>2365</v>
      </c>
      <c r="Q483" s="39" t="s">
        <v>269</v>
      </c>
      <c r="R483" s="39">
        <v>1</v>
      </c>
      <c r="S483" s="39">
        <v>540000</v>
      </c>
      <c r="T483" s="39" t="s">
        <v>2280</v>
      </c>
      <c r="U483" s="82">
        <v>540000</v>
      </c>
      <c r="V483" s="39" t="s">
        <v>210</v>
      </c>
      <c r="W483" s="39" t="s">
        <v>56</v>
      </c>
      <c r="X483" s="39" t="s">
        <v>480</v>
      </c>
    </row>
    <row r="484" spans="1:24" s="39" customFormat="1" ht="16" customHeight="1" x14ac:dyDescent="0.35">
      <c r="A484" s="39" t="s">
        <v>63</v>
      </c>
      <c r="B484" s="39" t="s">
        <v>64</v>
      </c>
      <c r="C484" s="39" t="s">
        <v>2277</v>
      </c>
      <c r="D484" s="80">
        <v>847</v>
      </c>
      <c r="E484" s="39">
        <v>8470130</v>
      </c>
      <c r="F484" s="39" t="s">
        <v>2278</v>
      </c>
      <c r="G484" s="81">
        <v>1</v>
      </c>
      <c r="H484" s="39">
        <v>426610</v>
      </c>
      <c r="I484" s="39" t="s">
        <v>74</v>
      </c>
      <c r="J484" s="39" t="s">
        <v>60</v>
      </c>
      <c r="K484" s="39" t="s">
        <v>50</v>
      </c>
      <c r="L484" s="39">
        <v>847001</v>
      </c>
      <c r="M484" s="39" t="s">
        <v>61</v>
      </c>
      <c r="N484" s="39">
        <v>200179</v>
      </c>
      <c r="O484" s="39" t="s">
        <v>2283</v>
      </c>
      <c r="P484" s="39" t="s">
        <v>274</v>
      </c>
      <c r="Q484" s="39" t="s">
        <v>157</v>
      </c>
      <c r="R484" s="39">
        <v>8</v>
      </c>
      <c r="S484" s="39">
        <v>22500</v>
      </c>
      <c r="T484" s="39" t="s">
        <v>2284</v>
      </c>
      <c r="U484" s="82">
        <v>180000</v>
      </c>
      <c r="V484" s="39" t="s">
        <v>210</v>
      </c>
      <c r="W484" s="39" t="s">
        <v>56</v>
      </c>
      <c r="X484" s="39" t="s">
        <v>237</v>
      </c>
    </row>
    <row r="485" spans="1:24" s="39" customFormat="1" ht="16" customHeight="1" x14ac:dyDescent="0.35">
      <c r="A485" s="39" t="s">
        <v>153</v>
      </c>
      <c r="B485" s="39" t="s">
        <v>58</v>
      </c>
      <c r="C485" s="39" t="s">
        <v>2277</v>
      </c>
      <c r="D485" s="80">
        <v>847</v>
      </c>
      <c r="E485" s="39">
        <v>8470130</v>
      </c>
      <c r="F485" s="39" t="s">
        <v>2278</v>
      </c>
      <c r="G485" s="81">
        <v>1</v>
      </c>
      <c r="H485" s="39">
        <v>428090</v>
      </c>
      <c r="I485" s="39" t="s">
        <v>154</v>
      </c>
      <c r="J485" s="39" t="s">
        <v>60</v>
      </c>
      <c r="K485" s="39" t="s">
        <v>50</v>
      </c>
      <c r="L485" s="39">
        <v>847001</v>
      </c>
      <c r="M485" s="39" t="s">
        <v>61</v>
      </c>
      <c r="N485" s="39">
        <v>200179</v>
      </c>
      <c r="O485" s="39" t="s">
        <v>2288</v>
      </c>
      <c r="P485" s="39" t="s">
        <v>156</v>
      </c>
      <c r="Q485" s="39" t="s">
        <v>157</v>
      </c>
      <c r="R485" s="39">
        <v>1</v>
      </c>
      <c r="S485" s="39">
        <v>551250</v>
      </c>
      <c r="T485" s="39" t="s">
        <v>2366</v>
      </c>
      <c r="U485" s="82">
        <v>551250</v>
      </c>
      <c r="V485" s="39" t="s">
        <v>210</v>
      </c>
      <c r="W485" s="39" t="s">
        <v>56</v>
      </c>
      <c r="X485" s="39" t="s">
        <v>636</v>
      </c>
    </row>
    <row r="486" spans="1:24" s="39" customFormat="1" ht="16" customHeight="1" x14ac:dyDescent="0.35">
      <c r="A486" s="39" t="s">
        <v>245</v>
      </c>
      <c r="B486" s="39" t="s">
        <v>246</v>
      </c>
      <c r="C486" s="39" t="s">
        <v>2277</v>
      </c>
      <c r="D486" s="80">
        <v>847</v>
      </c>
      <c r="E486" s="39">
        <v>8470140</v>
      </c>
      <c r="F486" s="39" t="s">
        <v>2293</v>
      </c>
      <c r="G486" s="81">
        <v>1</v>
      </c>
      <c r="H486" s="39">
        <v>425100</v>
      </c>
      <c r="I486" s="39" t="s">
        <v>1521</v>
      </c>
      <c r="J486" s="39" t="s">
        <v>60</v>
      </c>
      <c r="K486" s="39" t="s">
        <v>50</v>
      </c>
      <c r="L486" s="39">
        <v>847001</v>
      </c>
      <c r="M486" s="39" t="s">
        <v>61</v>
      </c>
      <c r="N486" s="39">
        <v>200179</v>
      </c>
      <c r="O486" s="39" t="s">
        <v>2294</v>
      </c>
      <c r="P486" s="39" t="s">
        <v>1581</v>
      </c>
      <c r="Q486" s="39" t="s">
        <v>269</v>
      </c>
      <c r="R486" s="39">
        <v>4</v>
      </c>
      <c r="S486" s="39">
        <v>500000</v>
      </c>
      <c r="T486" s="39" t="s">
        <v>2295</v>
      </c>
      <c r="U486" s="82">
        <v>2000000</v>
      </c>
      <c r="V486" s="39" t="s">
        <v>55</v>
      </c>
      <c r="W486" s="39" t="s">
        <v>56</v>
      </c>
      <c r="X486" s="39" t="s">
        <v>379</v>
      </c>
    </row>
    <row r="487" spans="1:24" s="39" customFormat="1" ht="16" customHeight="1" x14ac:dyDescent="0.35">
      <c r="A487" s="39" t="s">
        <v>245</v>
      </c>
      <c r="B487" s="39" t="s">
        <v>246</v>
      </c>
      <c r="C487" s="39" t="s">
        <v>2277</v>
      </c>
      <c r="D487" s="80">
        <v>847</v>
      </c>
      <c r="E487" s="39">
        <v>8470140</v>
      </c>
      <c r="F487" s="39" t="s">
        <v>2293</v>
      </c>
      <c r="G487" s="81">
        <v>1</v>
      </c>
      <c r="H487" s="39">
        <v>425100</v>
      </c>
      <c r="I487" s="39" t="s">
        <v>1521</v>
      </c>
      <c r="J487" s="39" t="s">
        <v>60</v>
      </c>
      <c r="K487" s="39" t="s">
        <v>50</v>
      </c>
      <c r="L487" s="39">
        <v>847001</v>
      </c>
      <c r="M487" s="39" t="s">
        <v>61</v>
      </c>
      <c r="N487" s="39">
        <v>200179</v>
      </c>
      <c r="O487" s="39" t="s">
        <v>2294</v>
      </c>
      <c r="P487" s="39" t="s">
        <v>2299</v>
      </c>
      <c r="Q487" s="39" t="s">
        <v>269</v>
      </c>
      <c r="R487" s="39">
        <v>2</v>
      </c>
      <c r="S487" s="39">
        <v>580000</v>
      </c>
      <c r="T487" s="39" t="s">
        <v>2300</v>
      </c>
      <c r="U487" s="82">
        <v>1160000</v>
      </c>
      <c r="V487" s="39" t="s">
        <v>55</v>
      </c>
      <c r="W487" s="39" t="s">
        <v>56</v>
      </c>
      <c r="X487" s="39" t="s">
        <v>379</v>
      </c>
    </row>
    <row r="488" spans="1:24" s="39" customFormat="1" ht="16" customHeight="1" x14ac:dyDescent="0.35">
      <c r="A488" s="39" t="s">
        <v>245</v>
      </c>
      <c r="B488" s="39" t="s">
        <v>246</v>
      </c>
      <c r="C488" s="39" t="s">
        <v>2277</v>
      </c>
      <c r="D488" s="80">
        <v>847</v>
      </c>
      <c r="E488" s="39">
        <v>8470140</v>
      </c>
      <c r="F488" s="39" t="s">
        <v>2293</v>
      </c>
      <c r="G488" s="81">
        <v>1</v>
      </c>
      <c r="H488" s="39">
        <v>425100</v>
      </c>
      <c r="I488" s="39" t="s">
        <v>1521</v>
      </c>
      <c r="J488" s="39" t="s">
        <v>60</v>
      </c>
      <c r="K488" s="39" t="s">
        <v>50</v>
      </c>
      <c r="L488" s="39">
        <v>847001</v>
      </c>
      <c r="M488" s="39" t="s">
        <v>61</v>
      </c>
      <c r="N488" s="39">
        <v>200179</v>
      </c>
      <c r="O488" s="39" t="s">
        <v>2294</v>
      </c>
      <c r="P488" s="39" t="s">
        <v>2301</v>
      </c>
      <c r="Q488" s="39" t="s">
        <v>269</v>
      </c>
      <c r="R488" s="39">
        <v>8</v>
      </c>
      <c r="S488" s="39">
        <v>160000</v>
      </c>
      <c r="T488" s="39" t="s">
        <v>2302</v>
      </c>
      <c r="U488" s="82">
        <v>1280000</v>
      </c>
      <c r="V488" s="39" t="s">
        <v>55</v>
      </c>
      <c r="W488" s="39" t="s">
        <v>56</v>
      </c>
      <c r="X488" s="39" t="s">
        <v>379</v>
      </c>
    </row>
    <row r="489" spans="1:24" s="39" customFormat="1" ht="16" customHeight="1" x14ac:dyDescent="0.35">
      <c r="A489" s="39" t="s">
        <v>245</v>
      </c>
      <c r="B489" s="39" t="s">
        <v>246</v>
      </c>
      <c r="C489" s="39" t="s">
        <v>2277</v>
      </c>
      <c r="D489" s="80">
        <v>847</v>
      </c>
      <c r="E489" s="39">
        <v>8470140</v>
      </c>
      <c r="F489" s="39" t="s">
        <v>2293</v>
      </c>
      <c r="G489" s="81">
        <v>1</v>
      </c>
      <c r="H489" s="39">
        <v>425100</v>
      </c>
      <c r="I489" s="39" t="s">
        <v>1521</v>
      </c>
      <c r="J489" s="39" t="s">
        <v>60</v>
      </c>
      <c r="K489" s="39" t="s">
        <v>50</v>
      </c>
      <c r="L489" s="39">
        <v>847001</v>
      </c>
      <c r="M489" s="39" t="s">
        <v>61</v>
      </c>
      <c r="N489" s="39">
        <v>200179</v>
      </c>
      <c r="O489" s="39" t="s">
        <v>2294</v>
      </c>
      <c r="P489" s="39" t="s">
        <v>2303</v>
      </c>
      <c r="Q489" s="39" t="s">
        <v>269</v>
      </c>
      <c r="R489" s="39">
        <v>2</v>
      </c>
      <c r="S489" s="39">
        <v>393320</v>
      </c>
      <c r="T489" s="39" t="s">
        <v>2304</v>
      </c>
      <c r="U489" s="82">
        <v>786640</v>
      </c>
      <c r="V489" s="39" t="s">
        <v>55</v>
      </c>
      <c r="W489" s="39" t="s">
        <v>56</v>
      </c>
      <c r="X489" s="39" t="s">
        <v>379</v>
      </c>
    </row>
    <row r="490" spans="1:24" s="39" customFormat="1" ht="16" customHeight="1" x14ac:dyDescent="0.35">
      <c r="A490" s="39" t="s">
        <v>245</v>
      </c>
      <c r="B490" s="39" t="s">
        <v>246</v>
      </c>
      <c r="C490" s="39" t="s">
        <v>2277</v>
      </c>
      <c r="D490" s="80">
        <v>847</v>
      </c>
      <c r="E490" s="39">
        <v>8470140</v>
      </c>
      <c r="F490" s="39" t="s">
        <v>2293</v>
      </c>
      <c r="G490" s="81">
        <v>1</v>
      </c>
      <c r="H490" s="39">
        <v>425100</v>
      </c>
      <c r="I490" s="39" t="s">
        <v>1521</v>
      </c>
      <c r="J490" s="39" t="s">
        <v>60</v>
      </c>
      <c r="K490" s="39" t="s">
        <v>50</v>
      </c>
      <c r="L490" s="39">
        <v>847001</v>
      </c>
      <c r="M490" s="39" t="s">
        <v>61</v>
      </c>
      <c r="N490" s="39">
        <v>200179</v>
      </c>
      <c r="O490" s="39" t="s">
        <v>2294</v>
      </c>
      <c r="P490" s="39" t="s">
        <v>2305</v>
      </c>
      <c r="Q490" s="39" t="s">
        <v>2306</v>
      </c>
      <c r="R490" s="39">
        <v>6</v>
      </c>
      <c r="S490" s="39">
        <v>100500</v>
      </c>
      <c r="T490" s="39" t="s">
        <v>2307</v>
      </c>
      <c r="U490" s="82">
        <v>603000</v>
      </c>
      <c r="V490" s="39" t="s">
        <v>55</v>
      </c>
      <c r="W490" s="39" t="s">
        <v>56</v>
      </c>
      <c r="X490" s="39" t="s">
        <v>379</v>
      </c>
    </row>
    <row r="491" spans="1:24" s="39" customFormat="1" ht="16" customHeight="1" x14ac:dyDescent="0.35">
      <c r="A491" s="39" t="s">
        <v>245</v>
      </c>
      <c r="B491" s="39" t="s">
        <v>246</v>
      </c>
      <c r="C491" s="39" t="s">
        <v>2277</v>
      </c>
      <c r="D491" s="80">
        <v>847</v>
      </c>
      <c r="E491" s="39">
        <v>8470140</v>
      </c>
      <c r="F491" s="39" t="s">
        <v>2293</v>
      </c>
      <c r="G491" s="81">
        <v>1</v>
      </c>
      <c r="H491" s="39">
        <v>425100</v>
      </c>
      <c r="I491" s="39" t="s">
        <v>1521</v>
      </c>
      <c r="J491" s="39" t="s">
        <v>60</v>
      </c>
      <c r="K491" s="39" t="s">
        <v>50</v>
      </c>
      <c r="L491" s="39">
        <v>847001</v>
      </c>
      <c r="M491" s="39" t="s">
        <v>61</v>
      </c>
      <c r="N491" s="39">
        <v>200179</v>
      </c>
      <c r="O491" s="39" t="s">
        <v>2294</v>
      </c>
      <c r="P491" s="39" t="s">
        <v>2308</v>
      </c>
      <c r="Q491" s="39" t="s">
        <v>269</v>
      </c>
      <c r="R491" s="39">
        <v>4</v>
      </c>
      <c r="S491" s="39">
        <v>500000</v>
      </c>
      <c r="T491" s="39" t="s">
        <v>2309</v>
      </c>
      <c r="U491" s="82">
        <v>2000000</v>
      </c>
      <c r="V491" s="39" t="s">
        <v>55</v>
      </c>
      <c r="W491" s="39" t="s">
        <v>56</v>
      </c>
      <c r="X491" s="39" t="s">
        <v>379</v>
      </c>
    </row>
    <row r="492" spans="1:24" s="39" customFormat="1" ht="16" customHeight="1" x14ac:dyDescent="0.35">
      <c r="A492" s="39" t="s">
        <v>245</v>
      </c>
      <c r="B492" s="39" t="s">
        <v>246</v>
      </c>
      <c r="C492" s="39" t="s">
        <v>2277</v>
      </c>
      <c r="D492" s="80">
        <v>847</v>
      </c>
      <c r="E492" s="39">
        <v>8470140</v>
      </c>
      <c r="F492" s="39" t="s">
        <v>2293</v>
      </c>
      <c r="G492" s="81">
        <v>1</v>
      </c>
      <c r="H492" s="39">
        <v>425100</v>
      </c>
      <c r="I492" s="39" t="s">
        <v>1521</v>
      </c>
      <c r="J492" s="39" t="s">
        <v>60</v>
      </c>
      <c r="K492" s="39" t="s">
        <v>50</v>
      </c>
      <c r="L492" s="39">
        <v>847001</v>
      </c>
      <c r="M492" s="39" t="s">
        <v>61</v>
      </c>
      <c r="N492" s="39">
        <v>200179</v>
      </c>
      <c r="O492" s="39" t="s">
        <v>2294</v>
      </c>
      <c r="P492" s="39" t="s">
        <v>1185</v>
      </c>
      <c r="Q492" s="39" t="s">
        <v>269</v>
      </c>
      <c r="R492" s="39">
        <v>4</v>
      </c>
      <c r="S492" s="39">
        <v>800000</v>
      </c>
      <c r="T492" s="39" t="s">
        <v>2310</v>
      </c>
      <c r="U492" s="82">
        <v>3200000</v>
      </c>
      <c r="V492" s="39" t="s">
        <v>55</v>
      </c>
      <c r="W492" s="39" t="s">
        <v>56</v>
      </c>
      <c r="X492" s="39" t="s">
        <v>379</v>
      </c>
    </row>
    <row r="493" spans="1:24" s="39" customFormat="1" ht="16" customHeight="1" x14ac:dyDescent="0.35">
      <c r="A493" s="39" t="s">
        <v>245</v>
      </c>
      <c r="B493" s="39" t="s">
        <v>246</v>
      </c>
      <c r="C493" s="39" t="s">
        <v>2277</v>
      </c>
      <c r="D493" s="80">
        <v>847</v>
      </c>
      <c r="E493" s="39">
        <v>8470140</v>
      </c>
      <c r="F493" s="39" t="s">
        <v>2293</v>
      </c>
      <c r="G493" s="81">
        <v>1</v>
      </c>
      <c r="H493" s="39">
        <v>425100</v>
      </c>
      <c r="I493" s="39" t="s">
        <v>1521</v>
      </c>
      <c r="J493" s="39" t="s">
        <v>60</v>
      </c>
      <c r="K493" s="39" t="s">
        <v>50</v>
      </c>
      <c r="L493" s="39">
        <v>847001</v>
      </c>
      <c r="M493" s="39" t="s">
        <v>61</v>
      </c>
      <c r="N493" s="39">
        <v>200179</v>
      </c>
      <c r="O493" s="39" t="s">
        <v>2294</v>
      </c>
      <c r="P493" s="39" t="s">
        <v>1522</v>
      </c>
      <c r="Q493" s="39" t="s">
        <v>269</v>
      </c>
      <c r="R493" s="39">
        <v>8</v>
      </c>
      <c r="S493" s="39">
        <v>500000</v>
      </c>
      <c r="T493" s="39" t="s">
        <v>2313</v>
      </c>
      <c r="U493" s="82">
        <v>4000000</v>
      </c>
      <c r="V493" s="39" t="s">
        <v>55</v>
      </c>
      <c r="W493" s="39" t="s">
        <v>56</v>
      </c>
      <c r="X493" s="39" t="s">
        <v>379</v>
      </c>
    </row>
    <row r="494" spans="1:24" s="39" customFormat="1" ht="16" customHeight="1" x14ac:dyDescent="0.35">
      <c r="A494" s="39" t="s">
        <v>245</v>
      </c>
      <c r="B494" s="39" t="s">
        <v>246</v>
      </c>
      <c r="C494" s="39" t="s">
        <v>2277</v>
      </c>
      <c r="D494" s="80">
        <v>847</v>
      </c>
      <c r="E494" s="39">
        <v>8470140</v>
      </c>
      <c r="F494" s="39" t="s">
        <v>2293</v>
      </c>
      <c r="G494" s="81">
        <v>1</v>
      </c>
      <c r="H494" s="39">
        <v>425100</v>
      </c>
      <c r="I494" s="39" t="s">
        <v>1521</v>
      </c>
      <c r="J494" s="39" t="s">
        <v>60</v>
      </c>
      <c r="K494" s="39" t="s">
        <v>50</v>
      </c>
      <c r="L494" s="39">
        <v>847001</v>
      </c>
      <c r="M494" s="39" t="s">
        <v>61</v>
      </c>
      <c r="N494" s="39">
        <v>200179</v>
      </c>
      <c r="O494" s="39" t="s">
        <v>2294</v>
      </c>
      <c r="P494" s="39" t="s">
        <v>1639</v>
      </c>
      <c r="Q494" s="39" t="s">
        <v>269</v>
      </c>
      <c r="R494" s="39">
        <v>14</v>
      </c>
      <c r="S494" s="39">
        <v>100000</v>
      </c>
      <c r="T494" s="39" t="s">
        <v>2313</v>
      </c>
      <c r="U494" s="82">
        <v>1400000</v>
      </c>
      <c r="V494" s="39" t="s">
        <v>55</v>
      </c>
      <c r="W494" s="39" t="s">
        <v>56</v>
      </c>
      <c r="X494" s="39" t="s">
        <v>379</v>
      </c>
    </row>
    <row r="495" spans="1:24" s="39" customFormat="1" ht="16" customHeight="1" x14ac:dyDescent="0.35">
      <c r="A495" s="39" t="s">
        <v>245</v>
      </c>
      <c r="B495" s="39" t="s">
        <v>246</v>
      </c>
      <c r="C495" s="39" t="s">
        <v>2277</v>
      </c>
      <c r="D495" s="80">
        <v>847</v>
      </c>
      <c r="E495" s="39">
        <v>8470140</v>
      </c>
      <c r="F495" s="39" t="s">
        <v>2293</v>
      </c>
      <c r="G495" s="81">
        <v>1</v>
      </c>
      <c r="H495" s="39">
        <v>425510</v>
      </c>
      <c r="I495" s="39" t="s">
        <v>247</v>
      </c>
      <c r="J495" s="39" t="s">
        <v>60</v>
      </c>
      <c r="K495" s="39" t="s">
        <v>50</v>
      </c>
      <c r="L495" s="39">
        <v>847001</v>
      </c>
      <c r="M495" s="39" t="s">
        <v>61</v>
      </c>
      <c r="N495" s="39">
        <v>200179</v>
      </c>
      <c r="O495" s="39" t="s">
        <v>2314</v>
      </c>
      <c r="P495" s="39" t="s">
        <v>344</v>
      </c>
      <c r="Q495" s="39" t="s">
        <v>256</v>
      </c>
      <c r="R495" s="39">
        <v>1</v>
      </c>
      <c r="S495" s="39">
        <v>220000</v>
      </c>
      <c r="T495" s="39" t="s">
        <v>2315</v>
      </c>
      <c r="U495" s="82">
        <v>220000</v>
      </c>
      <c r="V495" s="39" t="s">
        <v>55</v>
      </c>
      <c r="W495" s="39" t="s">
        <v>56</v>
      </c>
      <c r="X495" s="39" t="s">
        <v>379</v>
      </c>
    </row>
    <row r="496" spans="1:24" s="39" customFormat="1" ht="16" customHeight="1" x14ac:dyDescent="0.35">
      <c r="A496" s="39" t="s">
        <v>245</v>
      </c>
      <c r="B496" s="39" t="s">
        <v>246</v>
      </c>
      <c r="C496" s="39" t="s">
        <v>2277</v>
      </c>
      <c r="D496" s="80">
        <v>847</v>
      </c>
      <c r="E496" s="39">
        <v>8470140</v>
      </c>
      <c r="F496" s="39" t="s">
        <v>2293</v>
      </c>
      <c r="G496" s="81">
        <v>1</v>
      </c>
      <c r="H496" s="39">
        <v>425510</v>
      </c>
      <c r="I496" s="39" t="s">
        <v>247</v>
      </c>
      <c r="J496" s="39" t="s">
        <v>60</v>
      </c>
      <c r="K496" s="39" t="s">
        <v>50</v>
      </c>
      <c r="L496" s="39">
        <v>847001</v>
      </c>
      <c r="M496" s="39" t="s">
        <v>61</v>
      </c>
      <c r="N496" s="39">
        <v>200179</v>
      </c>
      <c r="O496" s="39" t="s">
        <v>2314</v>
      </c>
      <c r="P496" s="39" t="s">
        <v>672</v>
      </c>
      <c r="Q496" s="39" t="s">
        <v>673</v>
      </c>
      <c r="R496" s="39">
        <v>10</v>
      </c>
      <c r="S496" s="39">
        <v>390000</v>
      </c>
      <c r="T496" s="39" t="s">
        <v>2316</v>
      </c>
      <c r="U496" s="82">
        <v>3900000</v>
      </c>
      <c r="V496" s="39" t="s">
        <v>55</v>
      </c>
      <c r="W496" s="39" t="s">
        <v>56</v>
      </c>
      <c r="X496" s="39" t="s">
        <v>379</v>
      </c>
    </row>
    <row r="497" spans="1:24" s="39" customFormat="1" ht="16" customHeight="1" x14ac:dyDescent="0.35">
      <c r="A497" s="39" t="s">
        <v>245</v>
      </c>
      <c r="B497" s="39" t="s">
        <v>246</v>
      </c>
      <c r="C497" s="39" t="s">
        <v>2277</v>
      </c>
      <c r="D497" s="80">
        <v>847</v>
      </c>
      <c r="E497" s="39">
        <v>8470140</v>
      </c>
      <c r="F497" s="39" t="s">
        <v>2293</v>
      </c>
      <c r="G497" s="81">
        <v>1</v>
      </c>
      <c r="H497" s="39">
        <v>425510</v>
      </c>
      <c r="I497" s="39" t="s">
        <v>247</v>
      </c>
      <c r="J497" s="39" t="s">
        <v>60</v>
      </c>
      <c r="K497" s="39" t="s">
        <v>50</v>
      </c>
      <c r="L497" s="39">
        <v>847001</v>
      </c>
      <c r="M497" s="39" t="s">
        <v>61</v>
      </c>
      <c r="N497" s="39">
        <v>200179</v>
      </c>
      <c r="O497" s="39" t="s">
        <v>2314</v>
      </c>
      <c r="P497" s="39" t="s">
        <v>433</v>
      </c>
      <c r="Q497" s="39" t="s">
        <v>434</v>
      </c>
      <c r="R497" s="39">
        <v>6</v>
      </c>
      <c r="S497" s="39">
        <v>810895</v>
      </c>
      <c r="T497" s="39" t="s">
        <v>2317</v>
      </c>
      <c r="U497" s="82">
        <v>4865370</v>
      </c>
      <c r="V497" s="39" t="s">
        <v>55</v>
      </c>
      <c r="W497" s="39" t="s">
        <v>56</v>
      </c>
      <c r="X497" s="39" t="s">
        <v>379</v>
      </c>
    </row>
    <row r="498" spans="1:24" s="39" customFormat="1" ht="16" customHeight="1" x14ac:dyDescent="0.35">
      <c r="A498" s="39" t="s">
        <v>245</v>
      </c>
      <c r="B498" s="39" t="s">
        <v>58</v>
      </c>
      <c r="C498" s="39" t="s">
        <v>2277</v>
      </c>
      <c r="D498" s="80">
        <v>847</v>
      </c>
      <c r="E498" s="39">
        <v>8470140</v>
      </c>
      <c r="F498" s="39" t="s">
        <v>2293</v>
      </c>
      <c r="G498" s="81">
        <v>1</v>
      </c>
      <c r="H498" s="39">
        <v>425550</v>
      </c>
      <c r="I498" s="39" t="s">
        <v>253</v>
      </c>
      <c r="J498" s="39" t="s">
        <v>60</v>
      </c>
      <c r="K498" s="39" t="s">
        <v>50</v>
      </c>
      <c r="L498" s="39">
        <v>847001</v>
      </c>
      <c r="M498" s="39" t="s">
        <v>61</v>
      </c>
      <c r="N498" s="39">
        <v>200179</v>
      </c>
      <c r="O498" s="39" t="s">
        <v>2318</v>
      </c>
      <c r="P498" s="39" t="s">
        <v>255</v>
      </c>
      <c r="Q498" s="39" t="s">
        <v>256</v>
      </c>
      <c r="R498" s="39">
        <v>6</v>
      </c>
      <c r="S498" s="39">
        <v>500300</v>
      </c>
      <c r="T498" s="39" t="s">
        <v>2319</v>
      </c>
      <c r="U498" s="82">
        <v>3001800</v>
      </c>
      <c r="V498" s="39" t="s">
        <v>55</v>
      </c>
      <c r="W498" s="39" t="s">
        <v>56</v>
      </c>
      <c r="X498" s="39" t="s">
        <v>379</v>
      </c>
    </row>
    <row r="499" spans="1:24" s="39" customFormat="1" ht="16" customHeight="1" x14ac:dyDescent="0.35">
      <c r="A499" s="39" t="s">
        <v>258</v>
      </c>
      <c r="B499" s="39" t="s">
        <v>58</v>
      </c>
      <c r="C499" s="39" t="s">
        <v>2277</v>
      </c>
      <c r="D499" s="80">
        <v>847</v>
      </c>
      <c r="E499" s="39">
        <v>8470140</v>
      </c>
      <c r="F499" s="39" t="s">
        <v>2293</v>
      </c>
      <c r="G499" s="81">
        <v>1</v>
      </c>
      <c r="H499" s="39">
        <v>425763</v>
      </c>
      <c r="I499" s="39" t="s">
        <v>359</v>
      </c>
      <c r="J499" s="39" t="s">
        <v>60</v>
      </c>
      <c r="K499" s="39" t="s">
        <v>2320</v>
      </c>
      <c r="L499" s="39">
        <v>847001</v>
      </c>
      <c r="M499" s="39" t="s">
        <v>61</v>
      </c>
      <c r="N499" s="39">
        <v>200179</v>
      </c>
      <c r="O499" s="39" t="s">
        <v>2368</v>
      </c>
      <c r="P499" s="39" t="s">
        <v>361</v>
      </c>
      <c r="Q499" s="39" t="s">
        <v>68</v>
      </c>
      <c r="S499" s="39">
        <v>100000</v>
      </c>
      <c r="T499" s="39" t="s">
        <v>2322</v>
      </c>
      <c r="U499" s="82">
        <v>0</v>
      </c>
      <c r="V499" s="39" t="s">
        <v>55</v>
      </c>
      <c r="W499" s="39" t="s">
        <v>56</v>
      </c>
      <c r="X499" s="39" t="s">
        <v>379</v>
      </c>
    </row>
    <row r="500" spans="1:24" s="39" customFormat="1" ht="16" customHeight="1" x14ac:dyDescent="0.35">
      <c r="A500" s="39" t="s">
        <v>245</v>
      </c>
      <c r="B500" s="39" t="s">
        <v>246</v>
      </c>
      <c r="C500" s="39" t="s">
        <v>2277</v>
      </c>
      <c r="D500" s="80">
        <v>847</v>
      </c>
      <c r="E500" s="39">
        <v>8470140</v>
      </c>
      <c r="F500" s="39" t="s">
        <v>2293</v>
      </c>
      <c r="G500" s="81">
        <v>1</v>
      </c>
      <c r="H500" s="39">
        <v>427100</v>
      </c>
      <c r="I500" s="39" t="s">
        <v>2323</v>
      </c>
      <c r="J500" s="39" t="s">
        <v>60</v>
      </c>
      <c r="K500" s="39" t="s">
        <v>50</v>
      </c>
      <c r="L500" s="39">
        <v>847001</v>
      </c>
      <c r="M500" s="39" t="s">
        <v>61</v>
      </c>
      <c r="N500" s="39">
        <v>200179</v>
      </c>
      <c r="O500" s="39" t="s">
        <v>2324</v>
      </c>
      <c r="P500" s="39" t="s">
        <v>2325</v>
      </c>
      <c r="Q500" s="39" t="s">
        <v>269</v>
      </c>
      <c r="R500" s="39">
        <v>1</v>
      </c>
      <c r="S500" s="39">
        <v>100000</v>
      </c>
      <c r="T500" s="39" t="s">
        <v>2326</v>
      </c>
      <c r="U500" s="82">
        <v>100000</v>
      </c>
      <c r="V500" s="39" t="s">
        <v>55</v>
      </c>
      <c r="W500" s="39" t="s">
        <v>56</v>
      </c>
      <c r="X500" s="39" t="s">
        <v>379</v>
      </c>
    </row>
    <row r="501" spans="1:24" s="39" customFormat="1" ht="16" customHeight="1" x14ac:dyDescent="0.35">
      <c r="A501" s="39" t="s">
        <v>245</v>
      </c>
      <c r="B501" s="39" t="s">
        <v>246</v>
      </c>
      <c r="C501" s="39" t="s">
        <v>2277</v>
      </c>
      <c r="D501" s="80">
        <v>847</v>
      </c>
      <c r="E501" s="39">
        <v>8470140</v>
      </c>
      <c r="F501" s="39" t="s">
        <v>2293</v>
      </c>
      <c r="G501" s="81">
        <v>1</v>
      </c>
      <c r="H501" s="39">
        <v>427100</v>
      </c>
      <c r="I501" s="39" t="s">
        <v>2323</v>
      </c>
      <c r="J501" s="39" t="s">
        <v>60</v>
      </c>
      <c r="K501" s="39" t="s">
        <v>50</v>
      </c>
      <c r="L501" s="39">
        <v>847001</v>
      </c>
      <c r="M501" s="39" t="s">
        <v>61</v>
      </c>
      <c r="N501" s="39">
        <v>200179</v>
      </c>
      <c r="O501" s="39" t="s">
        <v>2324</v>
      </c>
      <c r="P501" s="39" t="s">
        <v>2327</v>
      </c>
      <c r="Q501" s="39" t="s">
        <v>269</v>
      </c>
      <c r="R501" s="39">
        <v>1</v>
      </c>
      <c r="S501" s="39">
        <v>2400000</v>
      </c>
      <c r="T501" s="39" t="s">
        <v>2328</v>
      </c>
      <c r="U501" s="82">
        <v>2400000</v>
      </c>
      <c r="V501" s="39" t="s">
        <v>55</v>
      </c>
      <c r="W501" s="39" t="s">
        <v>56</v>
      </c>
      <c r="X501" s="39" t="s">
        <v>379</v>
      </c>
    </row>
    <row r="502" spans="1:24" s="39" customFormat="1" ht="16" customHeight="1" x14ac:dyDescent="0.35">
      <c r="A502" s="39" t="s">
        <v>245</v>
      </c>
      <c r="B502" s="39" t="s">
        <v>58</v>
      </c>
      <c r="C502" s="39" t="s">
        <v>2277</v>
      </c>
      <c r="D502" s="80">
        <v>847</v>
      </c>
      <c r="E502" s="39">
        <v>8470140</v>
      </c>
      <c r="F502" s="39" t="s">
        <v>2293</v>
      </c>
      <c r="G502" s="81">
        <v>1</v>
      </c>
      <c r="H502" s="39">
        <v>427200</v>
      </c>
      <c r="I502" s="39" t="s">
        <v>1085</v>
      </c>
      <c r="J502" s="39" t="s">
        <v>60</v>
      </c>
      <c r="K502" s="39" t="s">
        <v>50</v>
      </c>
      <c r="L502" s="39">
        <v>847001</v>
      </c>
      <c r="M502" s="39" t="s">
        <v>61</v>
      </c>
      <c r="N502" s="39">
        <v>200179</v>
      </c>
      <c r="O502" s="39" t="s">
        <v>2330</v>
      </c>
      <c r="P502" s="39" t="s">
        <v>1087</v>
      </c>
      <c r="Q502" s="39" t="s">
        <v>269</v>
      </c>
      <c r="R502" s="39">
        <v>40</v>
      </c>
      <c r="S502" s="39">
        <v>3375</v>
      </c>
      <c r="T502" s="39" t="s">
        <v>2331</v>
      </c>
      <c r="U502" s="82">
        <v>135000</v>
      </c>
      <c r="V502" s="39" t="s">
        <v>55</v>
      </c>
      <c r="W502" s="39" t="s">
        <v>56</v>
      </c>
      <c r="X502" s="39" t="s">
        <v>379</v>
      </c>
    </row>
    <row r="503" spans="1:24" s="39" customFormat="1" ht="16" customHeight="1" x14ac:dyDescent="0.35">
      <c r="A503" s="39" t="s">
        <v>245</v>
      </c>
      <c r="B503" s="39" t="s">
        <v>58</v>
      </c>
      <c r="C503" s="39" t="s">
        <v>2277</v>
      </c>
      <c r="D503" s="80">
        <v>847</v>
      </c>
      <c r="E503" s="39">
        <v>8470140</v>
      </c>
      <c r="F503" s="39" t="s">
        <v>2293</v>
      </c>
      <c r="G503" s="81">
        <v>1</v>
      </c>
      <c r="H503" s="39">
        <v>427200</v>
      </c>
      <c r="I503" s="39" t="s">
        <v>1085</v>
      </c>
      <c r="J503" s="39" t="s">
        <v>60</v>
      </c>
      <c r="K503" s="39" t="s">
        <v>50</v>
      </c>
      <c r="L503" s="39">
        <v>847001</v>
      </c>
      <c r="M503" s="39" t="s">
        <v>61</v>
      </c>
      <c r="N503" s="39">
        <v>200179</v>
      </c>
      <c r="O503" s="39" t="s">
        <v>2330</v>
      </c>
      <c r="P503" s="39" t="s">
        <v>2334</v>
      </c>
      <c r="Q503" s="39" t="s">
        <v>269</v>
      </c>
      <c r="R503" s="39">
        <v>30</v>
      </c>
      <c r="S503" s="39">
        <v>2666.6666599999999</v>
      </c>
      <c r="T503" s="39" t="s">
        <v>2335</v>
      </c>
      <c r="U503" s="82">
        <v>79999.999799999991</v>
      </c>
      <c r="V503" s="39" t="s">
        <v>55</v>
      </c>
      <c r="W503" s="39" t="s">
        <v>56</v>
      </c>
      <c r="X503" s="39" t="s">
        <v>379</v>
      </c>
    </row>
    <row r="504" spans="1:24" s="39" customFormat="1" ht="16" customHeight="1" x14ac:dyDescent="0.35">
      <c r="A504" s="39" t="s">
        <v>245</v>
      </c>
      <c r="B504" s="39" t="s">
        <v>58</v>
      </c>
      <c r="C504" s="39" t="s">
        <v>2277</v>
      </c>
      <c r="D504" s="80">
        <v>847</v>
      </c>
      <c r="E504" s="39">
        <v>8470140</v>
      </c>
      <c r="F504" s="39" t="s">
        <v>2293</v>
      </c>
      <c r="G504" s="81">
        <v>1</v>
      </c>
      <c r="H504" s="39">
        <v>427200</v>
      </c>
      <c r="I504" s="39" t="s">
        <v>1085</v>
      </c>
      <c r="J504" s="39" t="s">
        <v>60</v>
      </c>
      <c r="K504" s="39" t="s">
        <v>50</v>
      </c>
      <c r="L504" s="39">
        <v>847001</v>
      </c>
      <c r="M504" s="39" t="s">
        <v>61</v>
      </c>
      <c r="N504" s="39">
        <v>200179</v>
      </c>
      <c r="O504" s="39" t="s">
        <v>2330</v>
      </c>
      <c r="P504" s="39" t="s">
        <v>2336</v>
      </c>
      <c r="Q504" s="39" t="s">
        <v>269</v>
      </c>
      <c r="R504" s="39">
        <v>15</v>
      </c>
      <c r="S504" s="39">
        <v>2333.3332999999998</v>
      </c>
      <c r="T504" s="39" t="s">
        <v>2337</v>
      </c>
      <c r="U504" s="82">
        <v>34999.999499999998</v>
      </c>
      <c r="V504" s="39" t="s">
        <v>55</v>
      </c>
      <c r="W504" s="39" t="s">
        <v>56</v>
      </c>
      <c r="X504" s="39" t="s">
        <v>379</v>
      </c>
    </row>
    <row r="505" spans="1:24" s="39" customFormat="1" ht="16" customHeight="1" x14ac:dyDescent="0.35">
      <c r="A505" s="39" t="s">
        <v>245</v>
      </c>
      <c r="B505" s="39" t="s">
        <v>58</v>
      </c>
      <c r="C505" s="39" t="s">
        <v>2277</v>
      </c>
      <c r="D505" s="80">
        <v>847</v>
      </c>
      <c r="E505" s="39">
        <v>8470140</v>
      </c>
      <c r="F505" s="39" t="s">
        <v>2293</v>
      </c>
      <c r="G505" s="81">
        <v>1</v>
      </c>
      <c r="H505" s="39">
        <v>427200</v>
      </c>
      <c r="I505" s="39" t="s">
        <v>1085</v>
      </c>
      <c r="J505" s="39" t="s">
        <v>60</v>
      </c>
      <c r="K505" s="39" t="s">
        <v>50</v>
      </c>
      <c r="L505" s="39">
        <v>847001</v>
      </c>
      <c r="M505" s="39" t="s">
        <v>61</v>
      </c>
      <c r="N505" s="39">
        <v>200179</v>
      </c>
      <c r="O505" s="39" t="s">
        <v>2330</v>
      </c>
      <c r="P505" s="39" t="s">
        <v>748</v>
      </c>
      <c r="Q505" s="39" t="s">
        <v>269</v>
      </c>
      <c r="R505" s="39">
        <v>2000</v>
      </c>
      <c r="S505" s="39">
        <v>100</v>
      </c>
      <c r="T505" s="39" t="s">
        <v>2338</v>
      </c>
      <c r="U505" s="82">
        <v>200000</v>
      </c>
      <c r="V505" s="39" t="s">
        <v>55</v>
      </c>
      <c r="W505" s="39" t="s">
        <v>56</v>
      </c>
      <c r="X505" s="39" t="s">
        <v>379</v>
      </c>
    </row>
    <row r="506" spans="1:24" s="39" customFormat="1" ht="16" customHeight="1" x14ac:dyDescent="0.35">
      <c r="A506" s="39" t="s">
        <v>245</v>
      </c>
      <c r="B506" s="39" t="s">
        <v>58</v>
      </c>
      <c r="C506" s="39" t="s">
        <v>2277</v>
      </c>
      <c r="D506" s="80">
        <v>847</v>
      </c>
      <c r="E506" s="39">
        <v>8470140</v>
      </c>
      <c r="F506" s="39" t="s">
        <v>2293</v>
      </c>
      <c r="G506" s="81">
        <v>1</v>
      </c>
      <c r="H506" s="39">
        <v>427200</v>
      </c>
      <c r="I506" s="39" t="s">
        <v>1085</v>
      </c>
      <c r="J506" s="39" t="s">
        <v>60</v>
      </c>
      <c r="K506" s="39" t="s">
        <v>50</v>
      </c>
      <c r="L506" s="39">
        <v>847001</v>
      </c>
      <c r="M506" s="39" t="s">
        <v>61</v>
      </c>
      <c r="N506" s="39">
        <v>200179</v>
      </c>
      <c r="O506" s="39" t="s">
        <v>2330</v>
      </c>
      <c r="P506" s="39" t="s">
        <v>2339</v>
      </c>
      <c r="Q506" s="39" t="s">
        <v>269</v>
      </c>
      <c r="R506" s="39">
        <v>3000</v>
      </c>
      <c r="S506" s="39">
        <v>100</v>
      </c>
      <c r="T506" s="39" t="s">
        <v>2340</v>
      </c>
      <c r="U506" s="82">
        <v>300000</v>
      </c>
      <c r="V506" s="39" t="s">
        <v>55</v>
      </c>
      <c r="W506" s="39" t="s">
        <v>56</v>
      </c>
      <c r="X506" s="39" t="s">
        <v>379</v>
      </c>
    </row>
    <row r="507" spans="1:24" s="39" customFormat="1" ht="16" customHeight="1" x14ac:dyDescent="0.35">
      <c r="A507" s="39" t="s">
        <v>245</v>
      </c>
      <c r="B507" s="39" t="s">
        <v>246</v>
      </c>
      <c r="C507" s="39" t="s">
        <v>2277</v>
      </c>
      <c r="D507" s="80">
        <v>847</v>
      </c>
      <c r="E507" s="39">
        <v>8470140</v>
      </c>
      <c r="F507" s="39" t="s">
        <v>2293</v>
      </c>
      <c r="G507" s="81">
        <v>1</v>
      </c>
      <c r="H507" s="39">
        <v>428640</v>
      </c>
      <c r="I507" s="39" t="s">
        <v>279</v>
      </c>
      <c r="J507" s="39" t="s">
        <v>60</v>
      </c>
      <c r="K507" s="39" t="s">
        <v>50</v>
      </c>
      <c r="L507" s="39">
        <v>847001</v>
      </c>
      <c r="M507" s="39" t="s">
        <v>61</v>
      </c>
      <c r="N507" s="39">
        <v>200179</v>
      </c>
      <c r="O507" s="39" t="s">
        <v>2341</v>
      </c>
      <c r="P507" s="39" t="s">
        <v>281</v>
      </c>
      <c r="Q507" s="39" t="s">
        <v>269</v>
      </c>
      <c r="R507" s="39">
        <v>100</v>
      </c>
      <c r="S507" s="39">
        <v>1100</v>
      </c>
      <c r="T507" s="39" t="s">
        <v>2342</v>
      </c>
      <c r="U507" s="82">
        <v>110000</v>
      </c>
      <c r="V507" s="39" t="s">
        <v>55</v>
      </c>
      <c r="W507" s="39" t="s">
        <v>56</v>
      </c>
      <c r="X507" s="39" t="s">
        <v>379</v>
      </c>
    </row>
    <row r="508" spans="1:24" s="39" customFormat="1" ht="16" customHeight="1" x14ac:dyDescent="0.35">
      <c r="A508" s="39" t="s">
        <v>245</v>
      </c>
      <c r="B508" s="39" t="s">
        <v>246</v>
      </c>
      <c r="C508" s="39" t="s">
        <v>2277</v>
      </c>
      <c r="D508" s="80">
        <v>847</v>
      </c>
      <c r="E508" s="39">
        <v>8470140</v>
      </c>
      <c r="F508" s="39" t="s">
        <v>2293</v>
      </c>
      <c r="G508" s="81">
        <v>1</v>
      </c>
      <c r="H508" s="39">
        <v>428640</v>
      </c>
      <c r="I508" s="39" t="s">
        <v>279</v>
      </c>
      <c r="J508" s="39" t="s">
        <v>60</v>
      </c>
      <c r="K508" s="39" t="s">
        <v>50</v>
      </c>
      <c r="L508" s="39">
        <v>847001</v>
      </c>
      <c r="M508" s="39" t="s">
        <v>61</v>
      </c>
      <c r="N508" s="39">
        <v>200179</v>
      </c>
      <c r="O508" s="39" t="s">
        <v>2341</v>
      </c>
      <c r="P508" s="39" t="s">
        <v>645</v>
      </c>
      <c r="Q508" s="39" t="s">
        <v>269</v>
      </c>
      <c r="R508" s="39">
        <v>100</v>
      </c>
      <c r="S508" s="39">
        <v>3600</v>
      </c>
      <c r="T508" s="39" t="s">
        <v>2343</v>
      </c>
      <c r="U508" s="82">
        <v>360000</v>
      </c>
      <c r="V508" s="39" t="s">
        <v>55</v>
      </c>
      <c r="W508" s="39" t="s">
        <v>56</v>
      </c>
      <c r="X508" s="39" t="s">
        <v>379</v>
      </c>
    </row>
    <row r="509" spans="1:24" s="39" customFormat="1" ht="16" customHeight="1" x14ac:dyDescent="0.35">
      <c r="A509" s="39" t="s">
        <v>245</v>
      </c>
      <c r="B509" s="39" t="s">
        <v>246</v>
      </c>
      <c r="C509" s="39" t="s">
        <v>2277</v>
      </c>
      <c r="D509" s="80">
        <v>847</v>
      </c>
      <c r="E509" s="39">
        <v>8470140</v>
      </c>
      <c r="F509" s="39" t="s">
        <v>2293</v>
      </c>
      <c r="G509" s="81">
        <v>1</v>
      </c>
      <c r="H509" s="39">
        <v>428640</v>
      </c>
      <c r="I509" s="39" t="s">
        <v>279</v>
      </c>
      <c r="J509" s="39" t="s">
        <v>60</v>
      </c>
      <c r="K509" s="39" t="s">
        <v>50</v>
      </c>
      <c r="L509" s="39">
        <v>847001</v>
      </c>
      <c r="M509" s="39" t="s">
        <v>61</v>
      </c>
      <c r="N509" s="39">
        <v>200179</v>
      </c>
      <c r="O509" s="39" t="s">
        <v>2341</v>
      </c>
      <c r="P509" s="39" t="s">
        <v>1533</v>
      </c>
      <c r="Q509" s="39" t="s">
        <v>269</v>
      </c>
      <c r="R509" s="39">
        <v>3000</v>
      </c>
      <c r="S509" s="39">
        <v>50</v>
      </c>
      <c r="T509" s="39" t="s">
        <v>2344</v>
      </c>
      <c r="U509" s="82">
        <v>150000</v>
      </c>
      <c r="V509" s="39" t="s">
        <v>55</v>
      </c>
      <c r="W509" s="39" t="s">
        <v>56</v>
      </c>
      <c r="X509" s="39" t="s">
        <v>379</v>
      </c>
    </row>
    <row r="510" spans="1:24" s="39" customFormat="1" ht="16" customHeight="1" x14ac:dyDescent="0.35">
      <c r="A510" s="39" t="s">
        <v>245</v>
      </c>
      <c r="B510" s="39" t="s">
        <v>246</v>
      </c>
      <c r="C510" s="39" t="s">
        <v>2277</v>
      </c>
      <c r="D510" s="80">
        <v>847</v>
      </c>
      <c r="E510" s="39">
        <v>8470140</v>
      </c>
      <c r="F510" s="39" t="s">
        <v>2293</v>
      </c>
      <c r="G510" s="81">
        <v>1</v>
      </c>
      <c r="H510" s="39">
        <v>428640</v>
      </c>
      <c r="I510" s="39" t="s">
        <v>279</v>
      </c>
      <c r="J510" s="39" t="s">
        <v>60</v>
      </c>
      <c r="K510" s="39" t="s">
        <v>50</v>
      </c>
      <c r="L510" s="39">
        <v>847001</v>
      </c>
      <c r="M510" s="39" t="s">
        <v>61</v>
      </c>
      <c r="N510" s="39">
        <v>200179</v>
      </c>
      <c r="O510" s="39" t="s">
        <v>2341</v>
      </c>
      <c r="P510" s="39" t="s">
        <v>1452</v>
      </c>
      <c r="Q510" s="39" t="s">
        <v>269</v>
      </c>
      <c r="R510" s="39">
        <v>3000</v>
      </c>
      <c r="S510" s="39">
        <v>100</v>
      </c>
      <c r="T510" s="39" t="s">
        <v>2345</v>
      </c>
      <c r="U510" s="82">
        <v>300000</v>
      </c>
      <c r="V510" s="39" t="s">
        <v>55</v>
      </c>
      <c r="W510" s="39" t="s">
        <v>56</v>
      </c>
      <c r="X510" s="39" t="s">
        <v>379</v>
      </c>
    </row>
    <row r="511" spans="1:24" s="39" customFormat="1" ht="16" customHeight="1" x14ac:dyDescent="0.35">
      <c r="A511" s="39" t="s">
        <v>189</v>
      </c>
      <c r="B511" s="39" t="s">
        <v>58</v>
      </c>
      <c r="C511" s="39" t="s">
        <v>2277</v>
      </c>
      <c r="D511" s="80">
        <v>847</v>
      </c>
      <c r="E511" s="39">
        <v>8470140</v>
      </c>
      <c r="F511" s="39" t="s">
        <v>2293</v>
      </c>
      <c r="G511" s="81">
        <v>1</v>
      </c>
      <c r="H511" s="39">
        <v>435310</v>
      </c>
      <c r="I511" s="39" t="s">
        <v>1336</v>
      </c>
      <c r="J511" s="39" t="s">
        <v>60</v>
      </c>
      <c r="K511" s="39" t="s">
        <v>50</v>
      </c>
      <c r="L511" s="39">
        <v>847001</v>
      </c>
      <c r="M511" s="39" t="s">
        <v>61</v>
      </c>
      <c r="N511" s="39">
        <v>200179</v>
      </c>
      <c r="O511" s="39" t="s">
        <v>2346</v>
      </c>
      <c r="P511" s="39" t="s">
        <v>1347</v>
      </c>
      <c r="Q511" s="39" t="s">
        <v>157</v>
      </c>
      <c r="R511" s="39">
        <v>2</v>
      </c>
      <c r="S511" s="39">
        <v>5000</v>
      </c>
      <c r="T511" s="39" t="s">
        <v>2347</v>
      </c>
      <c r="U511" s="82">
        <v>10000</v>
      </c>
      <c r="V511" s="39" t="s">
        <v>55</v>
      </c>
      <c r="W511" s="39" t="s">
        <v>56</v>
      </c>
      <c r="X511" s="39" t="s">
        <v>379</v>
      </c>
    </row>
    <row r="512" spans="1:24" s="39" customFormat="1" ht="16" customHeight="1" x14ac:dyDescent="0.35">
      <c r="A512" s="39" t="s">
        <v>245</v>
      </c>
      <c r="B512" s="39" t="s">
        <v>246</v>
      </c>
      <c r="C512" s="39" t="s">
        <v>2277</v>
      </c>
      <c r="D512" s="80">
        <v>847</v>
      </c>
      <c r="E512" s="39">
        <v>8470140</v>
      </c>
      <c r="F512" s="39" t="s">
        <v>2293</v>
      </c>
      <c r="G512" s="81">
        <v>1</v>
      </c>
      <c r="H512" s="39">
        <v>435519</v>
      </c>
      <c r="I512" s="39" t="s">
        <v>2348</v>
      </c>
      <c r="J512" s="39" t="s">
        <v>60</v>
      </c>
      <c r="K512" s="39" t="s">
        <v>50</v>
      </c>
      <c r="L512" s="39">
        <v>847001</v>
      </c>
      <c r="M512" s="39" t="s">
        <v>61</v>
      </c>
      <c r="N512" s="39">
        <v>200179</v>
      </c>
      <c r="O512" s="39" t="s">
        <v>2349</v>
      </c>
      <c r="P512" s="39" t="s">
        <v>2350</v>
      </c>
      <c r="Q512" s="39" t="s">
        <v>157</v>
      </c>
      <c r="R512" s="39">
        <v>1</v>
      </c>
      <c r="S512" s="39">
        <v>135000</v>
      </c>
      <c r="T512" s="39" t="s">
        <v>2351</v>
      </c>
      <c r="U512" s="82">
        <v>135000</v>
      </c>
      <c r="V512" s="39" t="s">
        <v>55</v>
      </c>
      <c r="W512" s="39" t="s">
        <v>56</v>
      </c>
      <c r="X512" s="39" t="s">
        <v>379</v>
      </c>
    </row>
    <row r="513" spans="1:24" s="39" customFormat="1" ht="16" customHeight="1" x14ac:dyDescent="0.35">
      <c r="A513" s="39" t="s">
        <v>63</v>
      </c>
      <c r="B513" s="39" t="s">
        <v>64</v>
      </c>
      <c r="C513" s="39" t="s">
        <v>2277</v>
      </c>
      <c r="D513" s="80">
        <v>847</v>
      </c>
      <c r="E513" s="39">
        <v>8470140</v>
      </c>
      <c r="F513" s="39" t="s">
        <v>2293</v>
      </c>
      <c r="G513" s="81">
        <v>1</v>
      </c>
      <c r="H513" s="39">
        <v>492310</v>
      </c>
      <c r="I513" s="39" t="s">
        <v>191</v>
      </c>
      <c r="J513" s="39" t="s">
        <v>60</v>
      </c>
      <c r="K513" s="39" t="s">
        <v>50</v>
      </c>
      <c r="L513" s="39">
        <v>847001</v>
      </c>
      <c r="M513" s="39" t="s">
        <v>192</v>
      </c>
      <c r="N513" s="39">
        <v>300180</v>
      </c>
      <c r="O513" s="39" t="s">
        <v>2352</v>
      </c>
      <c r="P513" s="39" t="s">
        <v>1614</v>
      </c>
      <c r="Q513" s="39" t="s">
        <v>68</v>
      </c>
      <c r="R513" s="39">
        <v>2</v>
      </c>
      <c r="S513" s="39">
        <v>100000</v>
      </c>
      <c r="T513" s="39" t="s">
        <v>2353</v>
      </c>
      <c r="U513" s="82">
        <v>200000</v>
      </c>
      <c r="V513" s="39" t="s">
        <v>55</v>
      </c>
      <c r="W513" s="39" t="s">
        <v>56</v>
      </c>
      <c r="X513" s="39" t="s">
        <v>379</v>
      </c>
    </row>
    <row r="514" spans="1:24" s="39" customFormat="1" ht="16" customHeight="1" x14ac:dyDescent="0.35">
      <c r="A514" s="39" t="s">
        <v>189</v>
      </c>
      <c r="B514" s="39" t="s">
        <v>265</v>
      </c>
      <c r="C514" s="39" t="s">
        <v>2277</v>
      </c>
      <c r="D514" s="80">
        <v>847</v>
      </c>
      <c r="E514" s="39">
        <v>8470910</v>
      </c>
      <c r="F514" s="39" t="s">
        <v>2354</v>
      </c>
      <c r="G514" s="81">
        <v>1</v>
      </c>
      <c r="H514" s="39">
        <v>425900</v>
      </c>
      <c r="I514" s="39" t="s">
        <v>266</v>
      </c>
      <c r="J514" s="39" t="s">
        <v>60</v>
      </c>
      <c r="K514" s="39" t="s">
        <v>50</v>
      </c>
      <c r="L514" s="39">
        <v>847001</v>
      </c>
      <c r="M514" s="39" t="s">
        <v>61</v>
      </c>
      <c r="N514" s="39">
        <v>200179</v>
      </c>
      <c r="O514" s="39" t="s">
        <v>2367</v>
      </c>
      <c r="P514" s="39" t="s">
        <v>268</v>
      </c>
      <c r="Q514" s="39" t="s">
        <v>269</v>
      </c>
      <c r="R514" s="39">
        <v>10</v>
      </c>
      <c r="S514" s="39">
        <v>5000</v>
      </c>
      <c r="T514" s="39" t="s">
        <v>2355</v>
      </c>
      <c r="U514" s="82">
        <v>50000</v>
      </c>
      <c r="V514" s="39" t="s">
        <v>55</v>
      </c>
      <c r="W514" s="39" t="s">
        <v>56</v>
      </c>
      <c r="X514" s="39" t="s">
        <v>237</v>
      </c>
    </row>
    <row r="515" spans="1:24" s="39" customFormat="1" ht="16" customHeight="1" x14ac:dyDescent="0.35">
      <c r="A515" s="39" t="s">
        <v>153</v>
      </c>
      <c r="B515" s="39" t="s">
        <v>58</v>
      </c>
      <c r="C515" s="39" t="s">
        <v>2277</v>
      </c>
      <c r="D515" s="80">
        <v>847</v>
      </c>
      <c r="E515" s="39">
        <v>8470910</v>
      </c>
      <c r="F515" s="39" t="s">
        <v>2354</v>
      </c>
      <c r="G515" s="81">
        <v>1</v>
      </c>
      <c r="H515" s="39">
        <v>428090</v>
      </c>
      <c r="I515" s="39" t="s">
        <v>154</v>
      </c>
      <c r="J515" s="39" t="s">
        <v>60</v>
      </c>
      <c r="K515" s="39" t="s">
        <v>50</v>
      </c>
      <c r="L515" s="39">
        <v>847001</v>
      </c>
      <c r="M515" s="39" t="s">
        <v>61</v>
      </c>
      <c r="N515" s="39">
        <v>200179</v>
      </c>
      <c r="O515" s="39" t="s">
        <v>2357</v>
      </c>
      <c r="P515" s="39" t="s">
        <v>387</v>
      </c>
      <c r="Q515" s="39" t="s">
        <v>157</v>
      </c>
      <c r="R515" s="39">
        <v>10</v>
      </c>
      <c r="S515" s="39">
        <v>100000</v>
      </c>
      <c r="T515" s="39" t="s">
        <v>2358</v>
      </c>
      <c r="U515" s="82">
        <v>1000000</v>
      </c>
      <c r="V515" s="39" t="s">
        <v>210</v>
      </c>
      <c r="W515" s="39" t="s">
        <v>56</v>
      </c>
      <c r="X515" s="39" t="s">
        <v>237</v>
      </c>
    </row>
    <row r="516" spans="1:24" s="39" customFormat="1" ht="16" customHeight="1" x14ac:dyDescent="0.35">
      <c r="A516" s="39" t="s">
        <v>189</v>
      </c>
      <c r="B516" s="39" t="s">
        <v>58</v>
      </c>
      <c r="C516" s="39" t="s">
        <v>2277</v>
      </c>
      <c r="D516" s="80">
        <v>847</v>
      </c>
      <c r="E516" s="39">
        <v>8470910</v>
      </c>
      <c r="F516" s="39" t="s">
        <v>2354</v>
      </c>
      <c r="G516" s="81">
        <v>1</v>
      </c>
      <c r="H516" s="39">
        <v>429900</v>
      </c>
      <c r="I516" s="39" t="s">
        <v>2359</v>
      </c>
      <c r="J516" s="39" t="s">
        <v>60</v>
      </c>
      <c r="K516" s="39" t="s">
        <v>50</v>
      </c>
      <c r="L516" s="39">
        <v>847001</v>
      </c>
      <c r="M516" s="39" t="s">
        <v>61</v>
      </c>
      <c r="N516" s="39">
        <v>200179</v>
      </c>
      <c r="O516" s="39" t="s">
        <v>2360</v>
      </c>
      <c r="P516" s="39" t="s">
        <v>2361</v>
      </c>
      <c r="Q516" s="39" t="s">
        <v>1418</v>
      </c>
      <c r="R516" s="39">
        <v>3</v>
      </c>
      <c r="S516" s="39">
        <v>1000000</v>
      </c>
      <c r="T516" s="39" t="s">
        <v>2362</v>
      </c>
      <c r="U516" s="82">
        <v>3000000</v>
      </c>
      <c r="V516" s="39" t="s">
        <v>210</v>
      </c>
      <c r="W516" s="39" t="s">
        <v>56</v>
      </c>
      <c r="X516" s="39" t="s">
        <v>237</v>
      </c>
    </row>
    <row r="517" spans="1:24" s="39" customFormat="1" ht="16" customHeight="1" x14ac:dyDescent="0.35">
      <c r="A517" s="39" t="s">
        <v>222</v>
      </c>
      <c r="B517" s="39" t="s">
        <v>58</v>
      </c>
      <c r="C517" s="39" t="s">
        <v>2277</v>
      </c>
      <c r="D517" s="80">
        <v>847</v>
      </c>
      <c r="E517" s="39">
        <v>8470910</v>
      </c>
      <c r="F517" s="39" t="s">
        <v>2354</v>
      </c>
      <c r="G517" s="81">
        <v>1</v>
      </c>
      <c r="H517" s="39">
        <v>420570</v>
      </c>
      <c r="I517" s="39" t="s">
        <v>231</v>
      </c>
      <c r="J517" s="39" t="s">
        <v>60</v>
      </c>
      <c r="K517" s="39" t="s">
        <v>50</v>
      </c>
      <c r="L517" s="39">
        <v>847001</v>
      </c>
      <c r="M517" s="39" t="s">
        <v>61</v>
      </c>
      <c r="N517" s="39">
        <v>200179</v>
      </c>
      <c r="O517" s="39" t="s">
        <v>2363</v>
      </c>
      <c r="P517" s="39" t="s">
        <v>233</v>
      </c>
      <c r="Q517" s="39" t="s">
        <v>234</v>
      </c>
      <c r="R517" s="39">
        <v>10</v>
      </c>
      <c r="S517" s="39">
        <v>1500000</v>
      </c>
      <c r="T517" s="39" t="s">
        <v>2364</v>
      </c>
      <c r="U517" s="82">
        <v>15000000</v>
      </c>
      <c r="V517" s="39" t="s">
        <v>210</v>
      </c>
      <c r="W517" s="39" t="s">
        <v>56</v>
      </c>
      <c r="X517" s="39" t="s">
        <v>237</v>
      </c>
    </row>
    <row r="518" spans="1:24" s="39" customFormat="1" ht="16" customHeight="1" x14ac:dyDescent="0.35">
      <c r="A518" s="39" t="s">
        <v>245</v>
      </c>
      <c r="B518" s="39" t="s">
        <v>246</v>
      </c>
      <c r="C518" s="39" t="s">
        <v>47</v>
      </c>
      <c r="D518" s="80">
        <v>847</v>
      </c>
      <c r="E518" s="39">
        <v>8470510</v>
      </c>
      <c r="F518" s="39" t="s">
        <v>2369</v>
      </c>
      <c r="G518" s="81">
        <v>1</v>
      </c>
      <c r="H518" s="39">
        <v>425510</v>
      </c>
      <c r="I518" s="39" t="s">
        <v>247</v>
      </c>
      <c r="J518" s="39" t="s">
        <v>60</v>
      </c>
      <c r="K518" s="39" t="s">
        <v>50</v>
      </c>
      <c r="L518" s="39">
        <v>847001</v>
      </c>
      <c r="M518" s="39" t="s">
        <v>61</v>
      </c>
      <c r="N518" s="39">
        <v>200179</v>
      </c>
      <c r="O518" s="39" t="s">
        <v>2600</v>
      </c>
      <c r="P518" s="39" t="s">
        <v>514</v>
      </c>
      <c r="Q518" s="39">
        <v>1</v>
      </c>
      <c r="R518" s="39">
        <v>1</v>
      </c>
      <c r="S518" s="39">
        <v>50000</v>
      </c>
      <c r="T518" s="39" t="s">
        <v>2370</v>
      </c>
      <c r="U518" s="82">
        <v>50000</v>
      </c>
      <c r="V518" s="39" t="s">
        <v>55</v>
      </c>
      <c r="W518" s="39" t="s">
        <v>56</v>
      </c>
      <c r="X518" s="39" t="s">
        <v>816</v>
      </c>
    </row>
    <row r="519" spans="1:24" s="39" customFormat="1" ht="16" customHeight="1" x14ac:dyDescent="0.35">
      <c r="A519" s="39" t="s">
        <v>189</v>
      </c>
      <c r="B519" s="39" t="s">
        <v>265</v>
      </c>
      <c r="C519" s="39" t="s">
        <v>47</v>
      </c>
      <c r="D519" s="80">
        <v>847</v>
      </c>
      <c r="E519" s="39">
        <v>8470510</v>
      </c>
      <c r="F519" s="39" t="s">
        <v>2369</v>
      </c>
      <c r="G519" s="81">
        <v>1</v>
      </c>
      <c r="H519" s="39">
        <v>425900</v>
      </c>
      <c r="I519" s="39" t="s">
        <v>266</v>
      </c>
      <c r="J519" s="39" t="s">
        <v>60</v>
      </c>
      <c r="K519" s="39" t="s">
        <v>50</v>
      </c>
      <c r="L519" s="39">
        <v>847001</v>
      </c>
      <c r="M519" s="39" t="s">
        <v>61</v>
      </c>
      <c r="N519" s="39">
        <v>200179</v>
      </c>
      <c r="O519" s="39" t="s">
        <v>2601</v>
      </c>
      <c r="P519" s="39" t="s">
        <v>268</v>
      </c>
      <c r="Q519" s="39">
        <v>1</v>
      </c>
      <c r="R519" s="39">
        <v>1</v>
      </c>
      <c r="S519" s="39">
        <v>60000</v>
      </c>
      <c r="T519" s="39" t="s">
        <v>2373</v>
      </c>
      <c r="U519" s="82">
        <v>60000</v>
      </c>
      <c r="V519" s="39" t="s">
        <v>55</v>
      </c>
      <c r="W519" s="39" t="s">
        <v>56</v>
      </c>
      <c r="X519" s="39" t="s">
        <v>816</v>
      </c>
    </row>
    <row r="520" spans="1:24" s="39" customFormat="1" ht="16" customHeight="1" x14ac:dyDescent="0.35">
      <c r="A520" s="39" t="s">
        <v>153</v>
      </c>
      <c r="B520" s="39" t="s">
        <v>58</v>
      </c>
      <c r="C520" s="39" t="s">
        <v>47</v>
      </c>
      <c r="D520" s="80">
        <v>847</v>
      </c>
      <c r="E520" s="39">
        <v>8470510</v>
      </c>
      <c r="F520" s="39" t="s">
        <v>2369</v>
      </c>
      <c r="G520" s="81">
        <v>1</v>
      </c>
      <c r="H520" s="39">
        <v>428090</v>
      </c>
      <c r="I520" s="39" t="s">
        <v>154</v>
      </c>
      <c r="J520" s="39" t="s">
        <v>60</v>
      </c>
      <c r="K520" s="39" t="s">
        <v>50</v>
      </c>
      <c r="L520" s="39">
        <v>847001</v>
      </c>
      <c r="M520" s="39" t="s">
        <v>61</v>
      </c>
      <c r="N520" s="39">
        <v>200179</v>
      </c>
      <c r="O520" s="39" t="s">
        <v>2602</v>
      </c>
      <c r="P520" s="39" t="s">
        <v>156</v>
      </c>
      <c r="Q520" s="39">
        <v>1</v>
      </c>
      <c r="R520" s="39">
        <v>1</v>
      </c>
      <c r="S520" s="39">
        <v>200000</v>
      </c>
      <c r="T520" s="39" t="s">
        <v>2374</v>
      </c>
      <c r="U520" s="82">
        <v>200000</v>
      </c>
      <c r="V520" s="39" t="s">
        <v>55</v>
      </c>
      <c r="W520" s="39" t="s">
        <v>56</v>
      </c>
      <c r="X520" s="39" t="s">
        <v>816</v>
      </c>
    </row>
    <row r="521" spans="1:24" s="39" customFormat="1" ht="16" customHeight="1" x14ac:dyDescent="0.35">
      <c r="A521" s="39" t="s">
        <v>245</v>
      </c>
      <c r="B521" s="39" t="s">
        <v>246</v>
      </c>
      <c r="C521" s="39" t="s">
        <v>47</v>
      </c>
      <c r="D521" s="80">
        <v>847</v>
      </c>
      <c r="E521" s="39">
        <v>8470520</v>
      </c>
      <c r="F521" s="39" t="s">
        <v>2375</v>
      </c>
      <c r="G521" s="81">
        <v>1</v>
      </c>
      <c r="H521" s="39">
        <v>425510</v>
      </c>
      <c r="I521" s="39" t="s">
        <v>247</v>
      </c>
      <c r="J521" s="39" t="s">
        <v>60</v>
      </c>
      <c r="K521" s="39" t="s">
        <v>50</v>
      </c>
      <c r="L521" s="39">
        <v>847001</v>
      </c>
      <c r="M521" s="39" t="s">
        <v>61</v>
      </c>
      <c r="N521" s="39">
        <v>200179</v>
      </c>
      <c r="O521" s="39" t="s">
        <v>2603</v>
      </c>
      <c r="P521" s="39" t="s">
        <v>672</v>
      </c>
      <c r="Q521" s="39" t="s">
        <v>673</v>
      </c>
      <c r="R521" s="39">
        <v>1</v>
      </c>
      <c r="S521" s="39">
        <v>25000</v>
      </c>
      <c r="T521" s="39" t="s">
        <v>2604</v>
      </c>
      <c r="U521" s="82">
        <v>25000</v>
      </c>
      <c r="V521" s="39" t="s">
        <v>55</v>
      </c>
      <c r="W521" s="39" t="s">
        <v>56</v>
      </c>
      <c r="X521" s="39" t="s">
        <v>1025</v>
      </c>
    </row>
    <row r="522" spans="1:24" s="39" customFormat="1" ht="16" customHeight="1" x14ac:dyDescent="0.35">
      <c r="A522" s="39" t="s">
        <v>161</v>
      </c>
      <c r="B522" s="39" t="s">
        <v>58</v>
      </c>
      <c r="C522" s="39" t="s">
        <v>47</v>
      </c>
      <c r="D522" s="80">
        <v>847</v>
      </c>
      <c r="E522" s="39">
        <v>8470520</v>
      </c>
      <c r="F522" s="39" t="s">
        <v>2375</v>
      </c>
      <c r="G522" s="81">
        <v>1</v>
      </c>
      <c r="H522" s="39">
        <v>426100</v>
      </c>
      <c r="I522" s="39" t="s">
        <v>1071</v>
      </c>
      <c r="J522" s="39" t="s">
        <v>60</v>
      </c>
      <c r="K522" s="39" t="s">
        <v>50</v>
      </c>
      <c r="L522" s="39">
        <v>847001</v>
      </c>
      <c r="M522" s="39" t="s">
        <v>61</v>
      </c>
      <c r="N522" s="39">
        <v>200179</v>
      </c>
      <c r="O522" s="39" t="s">
        <v>2605</v>
      </c>
      <c r="P522" s="39" t="s">
        <v>2606</v>
      </c>
      <c r="Q522" s="39" t="s">
        <v>157</v>
      </c>
      <c r="R522" s="39">
        <v>1</v>
      </c>
      <c r="S522" s="39">
        <v>20000</v>
      </c>
      <c r="T522" s="39" t="s">
        <v>2607</v>
      </c>
      <c r="U522" s="82">
        <v>20000</v>
      </c>
      <c r="V522" s="39" t="s">
        <v>55</v>
      </c>
      <c r="W522" s="39" t="s">
        <v>56</v>
      </c>
      <c r="X522" s="39" t="s">
        <v>1025</v>
      </c>
    </row>
    <row r="523" spans="1:24" s="39" customFormat="1" ht="16" customHeight="1" x14ac:dyDescent="0.35">
      <c r="A523" s="39" t="s">
        <v>222</v>
      </c>
      <c r="B523" s="39" t="s">
        <v>58</v>
      </c>
      <c r="C523" s="39" t="s">
        <v>47</v>
      </c>
      <c r="D523" s="80">
        <v>847</v>
      </c>
      <c r="E523" s="39">
        <v>8470520</v>
      </c>
      <c r="F523" s="39" t="s">
        <v>2375</v>
      </c>
      <c r="G523" s="81">
        <v>1</v>
      </c>
      <c r="H523" s="39">
        <v>427710</v>
      </c>
      <c r="I523" s="39" t="s">
        <v>1090</v>
      </c>
      <c r="J523" s="39" t="s">
        <v>60</v>
      </c>
      <c r="K523" s="39" t="s">
        <v>50</v>
      </c>
      <c r="L523" s="39">
        <v>847001</v>
      </c>
      <c r="M523" s="39" t="s">
        <v>61</v>
      </c>
      <c r="N523" s="39">
        <v>200179</v>
      </c>
      <c r="O523" s="39" t="s">
        <v>2608</v>
      </c>
      <c r="P523" s="39" t="s">
        <v>1092</v>
      </c>
      <c r="Q523" s="39" t="s">
        <v>157</v>
      </c>
      <c r="R523" s="39">
        <v>1</v>
      </c>
      <c r="S523" s="39">
        <v>42000</v>
      </c>
      <c r="T523" s="39" t="s">
        <v>2380</v>
      </c>
      <c r="U523" s="82">
        <v>42000</v>
      </c>
      <c r="V523" s="39" t="s">
        <v>55</v>
      </c>
      <c r="W523" s="39" t="s">
        <v>56</v>
      </c>
      <c r="X523" s="39" t="s">
        <v>1025</v>
      </c>
    </row>
    <row r="524" spans="1:24" s="39" customFormat="1" ht="16" customHeight="1" x14ac:dyDescent="0.35">
      <c r="A524" s="39" t="s">
        <v>161</v>
      </c>
      <c r="B524" s="39" t="s">
        <v>58</v>
      </c>
      <c r="C524" s="39" t="s">
        <v>47</v>
      </c>
      <c r="D524" s="80">
        <v>847</v>
      </c>
      <c r="E524" s="39">
        <v>8470520</v>
      </c>
      <c r="F524" s="39" t="s">
        <v>2375</v>
      </c>
      <c r="G524" s="81">
        <v>1</v>
      </c>
      <c r="H524" s="39">
        <v>428200</v>
      </c>
      <c r="I524" s="39" t="s">
        <v>2383</v>
      </c>
      <c r="J524" s="39" t="s">
        <v>60</v>
      </c>
      <c r="K524" s="39" t="s">
        <v>50</v>
      </c>
      <c r="L524" s="39">
        <v>847001</v>
      </c>
      <c r="M524" s="39" t="s">
        <v>61</v>
      </c>
      <c r="N524" s="39">
        <v>200179</v>
      </c>
      <c r="O524" s="39" t="s">
        <v>2609</v>
      </c>
      <c r="P524" s="39" t="s">
        <v>2384</v>
      </c>
      <c r="Q524" s="39" t="s">
        <v>157</v>
      </c>
      <c r="U524" s="82">
        <v>0</v>
      </c>
      <c r="V524" s="39" t="s">
        <v>55</v>
      </c>
      <c r="W524" s="39" t="s">
        <v>56</v>
      </c>
      <c r="X524" s="39" t="s">
        <v>252</v>
      </c>
    </row>
    <row r="525" spans="1:24" s="39" customFormat="1" ht="16" customHeight="1" x14ac:dyDescent="0.35">
      <c r="A525" s="39" t="s">
        <v>161</v>
      </c>
      <c r="B525" s="39" t="s">
        <v>58</v>
      </c>
      <c r="C525" s="39" t="s">
        <v>47</v>
      </c>
      <c r="D525" s="80">
        <v>847</v>
      </c>
      <c r="E525" s="39">
        <v>8470520</v>
      </c>
      <c r="F525" s="39" t="s">
        <v>2375</v>
      </c>
      <c r="G525" s="81">
        <v>1</v>
      </c>
      <c r="H525" s="39">
        <v>428200</v>
      </c>
      <c r="I525" s="39" t="s">
        <v>2383</v>
      </c>
      <c r="J525" s="39" t="s">
        <v>60</v>
      </c>
      <c r="K525" s="39" t="s">
        <v>50</v>
      </c>
      <c r="L525" s="39">
        <v>847001</v>
      </c>
      <c r="M525" s="39" t="s">
        <v>61</v>
      </c>
      <c r="N525" s="39">
        <v>200179</v>
      </c>
      <c r="O525" s="39" t="s">
        <v>2609</v>
      </c>
      <c r="P525" s="39" t="s">
        <v>2384</v>
      </c>
      <c r="Q525" s="39" t="s">
        <v>157</v>
      </c>
      <c r="R525" s="39">
        <v>1</v>
      </c>
      <c r="S525" s="39">
        <v>70000</v>
      </c>
      <c r="T525" s="39" t="s">
        <v>2385</v>
      </c>
      <c r="U525" s="82">
        <v>70000</v>
      </c>
      <c r="V525" s="39" t="s">
        <v>55</v>
      </c>
      <c r="W525" s="39" t="s">
        <v>56</v>
      </c>
      <c r="X525" s="39" t="s">
        <v>1025</v>
      </c>
    </row>
    <row r="526" spans="1:24" s="39" customFormat="1" ht="16" customHeight="1" x14ac:dyDescent="0.35">
      <c r="A526" s="39" t="s">
        <v>161</v>
      </c>
      <c r="B526" s="39" t="s">
        <v>58</v>
      </c>
      <c r="C526" s="39" t="s">
        <v>47</v>
      </c>
      <c r="D526" s="80">
        <v>847</v>
      </c>
      <c r="E526" s="39">
        <v>8470520</v>
      </c>
      <c r="F526" s="39" t="s">
        <v>2375</v>
      </c>
      <c r="G526" s="81">
        <v>1</v>
      </c>
      <c r="H526" s="39">
        <v>428200</v>
      </c>
      <c r="I526" s="39" t="s">
        <v>2383</v>
      </c>
      <c r="J526" s="39" t="s">
        <v>60</v>
      </c>
      <c r="K526" s="39" t="s">
        <v>50</v>
      </c>
      <c r="L526" s="39">
        <v>847001</v>
      </c>
      <c r="M526" s="39" t="s">
        <v>61</v>
      </c>
      <c r="N526" s="39">
        <v>200179</v>
      </c>
      <c r="O526" s="39" t="s">
        <v>2609</v>
      </c>
      <c r="P526" s="39" t="s">
        <v>2384</v>
      </c>
      <c r="Q526" s="39" t="s">
        <v>157</v>
      </c>
      <c r="R526" s="39">
        <v>1</v>
      </c>
      <c r="S526" s="39">
        <v>60000</v>
      </c>
      <c r="T526" s="39" t="s">
        <v>2388</v>
      </c>
      <c r="U526" s="82">
        <v>60000</v>
      </c>
      <c r="V526" s="39" t="s">
        <v>55</v>
      </c>
      <c r="W526" s="39" t="s">
        <v>56</v>
      </c>
      <c r="X526" s="39" t="s">
        <v>1025</v>
      </c>
    </row>
    <row r="527" spans="1:24" s="39" customFormat="1" ht="16" customHeight="1" x14ac:dyDescent="0.35">
      <c r="A527" s="39" t="s">
        <v>161</v>
      </c>
      <c r="B527" s="39" t="s">
        <v>58</v>
      </c>
      <c r="C527" s="39" t="s">
        <v>47</v>
      </c>
      <c r="D527" s="80">
        <v>847</v>
      </c>
      <c r="E527" s="39">
        <v>8470520</v>
      </c>
      <c r="F527" s="39" t="s">
        <v>2375</v>
      </c>
      <c r="G527" s="81">
        <v>1</v>
      </c>
      <c r="H527" s="39">
        <v>428200</v>
      </c>
      <c r="I527" s="39" t="s">
        <v>2383</v>
      </c>
      <c r="J527" s="39" t="s">
        <v>60</v>
      </c>
      <c r="K527" s="39" t="s">
        <v>50</v>
      </c>
      <c r="L527" s="39">
        <v>847001</v>
      </c>
      <c r="M527" s="39" t="s">
        <v>61</v>
      </c>
      <c r="N527" s="39">
        <v>200179</v>
      </c>
      <c r="O527" s="39" t="s">
        <v>2609</v>
      </c>
      <c r="P527" s="39" t="s">
        <v>2384</v>
      </c>
      <c r="Q527" s="39" t="s">
        <v>157</v>
      </c>
      <c r="R527" s="39">
        <v>1</v>
      </c>
      <c r="S527" s="39">
        <v>35000</v>
      </c>
      <c r="T527" s="39" t="s">
        <v>2390</v>
      </c>
      <c r="U527" s="82">
        <v>35000</v>
      </c>
      <c r="V527" s="39" t="s">
        <v>55</v>
      </c>
      <c r="W527" s="39" t="s">
        <v>56</v>
      </c>
      <c r="X527" s="39" t="s">
        <v>1025</v>
      </c>
    </row>
    <row r="528" spans="1:24" s="39" customFormat="1" ht="16" customHeight="1" x14ac:dyDescent="0.35">
      <c r="A528" s="39" t="s">
        <v>161</v>
      </c>
      <c r="B528" s="39" t="s">
        <v>58</v>
      </c>
      <c r="C528" s="39" t="s">
        <v>47</v>
      </c>
      <c r="D528" s="80">
        <v>847</v>
      </c>
      <c r="E528" s="39">
        <v>8470520</v>
      </c>
      <c r="F528" s="39" t="s">
        <v>2375</v>
      </c>
      <c r="G528" s="81">
        <v>1</v>
      </c>
      <c r="H528" s="39">
        <v>428200</v>
      </c>
      <c r="I528" s="39" t="s">
        <v>2383</v>
      </c>
      <c r="J528" s="39" t="s">
        <v>60</v>
      </c>
      <c r="K528" s="39" t="s">
        <v>50</v>
      </c>
      <c r="L528" s="39">
        <v>847001</v>
      </c>
      <c r="M528" s="39" t="s">
        <v>61</v>
      </c>
      <c r="N528" s="39">
        <v>200179</v>
      </c>
      <c r="O528" s="39" t="s">
        <v>2609</v>
      </c>
      <c r="P528" s="39" t="s">
        <v>2384</v>
      </c>
      <c r="Q528" s="39" t="s">
        <v>157</v>
      </c>
      <c r="R528" s="39">
        <v>1</v>
      </c>
      <c r="S528" s="39">
        <v>30000</v>
      </c>
      <c r="T528" s="39" t="s">
        <v>2698</v>
      </c>
      <c r="U528" s="82">
        <v>30000</v>
      </c>
      <c r="V528" s="39" t="s">
        <v>55</v>
      </c>
      <c r="W528" s="39" t="s">
        <v>56</v>
      </c>
      <c r="X528" s="39" t="s">
        <v>1025</v>
      </c>
    </row>
    <row r="529" spans="1:24" s="39" customFormat="1" ht="16" customHeight="1" x14ac:dyDescent="0.35">
      <c r="A529" s="39" t="s">
        <v>161</v>
      </c>
      <c r="B529" s="39" t="s">
        <v>58</v>
      </c>
      <c r="C529" s="39" t="s">
        <v>47</v>
      </c>
      <c r="D529" s="80">
        <v>847</v>
      </c>
      <c r="E529" s="39">
        <v>8470520</v>
      </c>
      <c r="F529" s="39" t="s">
        <v>2375</v>
      </c>
      <c r="G529" s="81">
        <v>1</v>
      </c>
      <c r="H529" s="39">
        <v>428200</v>
      </c>
      <c r="I529" s="39" t="s">
        <v>2383</v>
      </c>
      <c r="J529" s="39" t="s">
        <v>60</v>
      </c>
      <c r="K529" s="39" t="s">
        <v>50</v>
      </c>
      <c r="L529" s="39">
        <v>847001</v>
      </c>
      <c r="M529" s="39" t="s">
        <v>61</v>
      </c>
      <c r="N529" s="39">
        <v>200179</v>
      </c>
      <c r="O529" s="39" t="s">
        <v>2609</v>
      </c>
      <c r="P529" s="39" t="s">
        <v>2384</v>
      </c>
      <c r="Q529" s="39" t="s">
        <v>157</v>
      </c>
      <c r="R529" s="39">
        <v>1</v>
      </c>
      <c r="S529" s="39">
        <v>50000</v>
      </c>
      <c r="T529" s="39" t="s">
        <v>2394</v>
      </c>
      <c r="U529" s="82">
        <v>50000</v>
      </c>
      <c r="V529" s="39" t="s">
        <v>55</v>
      </c>
      <c r="W529" s="39" t="s">
        <v>56</v>
      </c>
      <c r="X529" s="39" t="s">
        <v>1025</v>
      </c>
    </row>
    <row r="530" spans="1:24" s="39" customFormat="1" ht="16" customHeight="1" x14ac:dyDescent="0.35">
      <c r="A530" s="39" t="s">
        <v>161</v>
      </c>
      <c r="B530" s="39" t="s">
        <v>58</v>
      </c>
      <c r="C530" s="39" t="s">
        <v>47</v>
      </c>
      <c r="D530" s="80">
        <v>847</v>
      </c>
      <c r="E530" s="39">
        <v>8470520</v>
      </c>
      <c r="F530" s="39" t="s">
        <v>2375</v>
      </c>
      <c r="G530" s="81">
        <v>1</v>
      </c>
      <c r="H530" s="39">
        <v>428200</v>
      </c>
      <c r="I530" s="39" t="s">
        <v>2383</v>
      </c>
      <c r="J530" s="39" t="s">
        <v>60</v>
      </c>
      <c r="K530" s="39" t="s">
        <v>50</v>
      </c>
      <c r="L530" s="39">
        <v>847001</v>
      </c>
      <c r="M530" s="39" t="s">
        <v>61</v>
      </c>
      <c r="N530" s="39">
        <v>200179</v>
      </c>
      <c r="O530" s="39" t="s">
        <v>2609</v>
      </c>
      <c r="P530" s="39" t="s">
        <v>2384</v>
      </c>
      <c r="Q530" s="39" t="s">
        <v>157</v>
      </c>
      <c r="R530" s="39">
        <v>1</v>
      </c>
      <c r="S530" s="39">
        <v>80000</v>
      </c>
      <c r="T530" s="39" t="s">
        <v>2396</v>
      </c>
      <c r="U530" s="82">
        <v>80000</v>
      </c>
      <c r="V530" s="39" t="s">
        <v>55</v>
      </c>
      <c r="W530" s="39" t="s">
        <v>56</v>
      </c>
      <c r="X530" s="39" t="s">
        <v>1025</v>
      </c>
    </row>
    <row r="531" spans="1:24" s="39" customFormat="1" ht="16" customHeight="1" x14ac:dyDescent="0.35">
      <c r="A531" s="39" t="s">
        <v>161</v>
      </c>
      <c r="B531" s="39" t="s">
        <v>58</v>
      </c>
      <c r="C531" s="39" t="s">
        <v>47</v>
      </c>
      <c r="D531" s="80">
        <v>847</v>
      </c>
      <c r="E531" s="39">
        <v>8470520</v>
      </c>
      <c r="F531" s="39" t="s">
        <v>2375</v>
      </c>
      <c r="G531" s="81">
        <v>1</v>
      </c>
      <c r="H531" s="39">
        <v>428200</v>
      </c>
      <c r="I531" s="39" t="s">
        <v>2383</v>
      </c>
      <c r="J531" s="39" t="s">
        <v>60</v>
      </c>
      <c r="K531" s="39" t="s">
        <v>50</v>
      </c>
      <c r="L531" s="39">
        <v>847001</v>
      </c>
      <c r="M531" s="39" t="s">
        <v>61</v>
      </c>
      <c r="N531" s="39">
        <v>200179</v>
      </c>
      <c r="O531" s="39" t="s">
        <v>2609</v>
      </c>
      <c r="P531" s="39" t="s">
        <v>2384</v>
      </c>
      <c r="Q531" s="39" t="s">
        <v>157</v>
      </c>
      <c r="R531" s="39">
        <v>1</v>
      </c>
      <c r="S531" s="39">
        <v>25000</v>
      </c>
      <c r="T531" s="39" t="s">
        <v>2398</v>
      </c>
      <c r="U531" s="82">
        <v>25000</v>
      </c>
      <c r="V531" s="39" t="s">
        <v>55</v>
      </c>
      <c r="W531" s="39" t="s">
        <v>56</v>
      </c>
      <c r="X531" s="39" t="s">
        <v>1025</v>
      </c>
    </row>
    <row r="532" spans="1:24" s="39" customFormat="1" ht="16" customHeight="1" x14ac:dyDescent="0.35">
      <c r="A532" s="39" t="s">
        <v>161</v>
      </c>
      <c r="B532" s="39" t="s">
        <v>58</v>
      </c>
      <c r="C532" s="39" t="s">
        <v>47</v>
      </c>
      <c r="D532" s="80">
        <v>847</v>
      </c>
      <c r="E532" s="39">
        <v>8470520</v>
      </c>
      <c r="F532" s="39" t="s">
        <v>2375</v>
      </c>
      <c r="G532" s="81">
        <v>1</v>
      </c>
      <c r="H532" s="39">
        <v>428200</v>
      </c>
      <c r="I532" s="39" t="s">
        <v>2383</v>
      </c>
      <c r="J532" s="39" t="s">
        <v>60</v>
      </c>
      <c r="K532" s="39" t="s">
        <v>50</v>
      </c>
      <c r="L532" s="39">
        <v>847001</v>
      </c>
      <c r="M532" s="39" t="s">
        <v>61</v>
      </c>
      <c r="N532" s="39">
        <v>200179</v>
      </c>
      <c r="O532" s="39" t="s">
        <v>2609</v>
      </c>
      <c r="P532" s="39" t="s">
        <v>2384</v>
      </c>
      <c r="Q532" s="39" t="s">
        <v>157</v>
      </c>
      <c r="R532" s="39">
        <v>1</v>
      </c>
      <c r="S532" s="39">
        <v>40000</v>
      </c>
      <c r="T532" s="39" t="s">
        <v>2400</v>
      </c>
      <c r="U532" s="82">
        <v>40000</v>
      </c>
      <c r="V532" s="39" t="s">
        <v>55</v>
      </c>
      <c r="W532" s="39" t="s">
        <v>56</v>
      </c>
      <c r="X532" s="39" t="s">
        <v>1025</v>
      </c>
    </row>
    <row r="533" spans="1:24" s="39" customFormat="1" ht="16" customHeight="1" x14ac:dyDescent="0.35">
      <c r="A533" s="39" t="s">
        <v>161</v>
      </c>
      <c r="B533" s="39" t="s">
        <v>58</v>
      </c>
      <c r="C533" s="39" t="s">
        <v>47</v>
      </c>
      <c r="D533" s="80">
        <v>847</v>
      </c>
      <c r="E533" s="39">
        <v>8470520</v>
      </c>
      <c r="F533" s="39" t="s">
        <v>2375</v>
      </c>
      <c r="G533" s="81">
        <v>1</v>
      </c>
      <c r="H533" s="39">
        <v>428200</v>
      </c>
      <c r="I533" s="39" t="s">
        <v>2383</v>
      </c>
      <c r="J533" s="39" t="s">
        <v>60</v>
      </c>
      <c r="K533" s="39" t="s">
        <v>50</v>
      </c>
      <c r="L533" s="39">
        <v>847001</v>
      </c>
      <c r="M533" s="39" t="s">
        <v>61</v>
      </c>
      <c r="N533" s="39">
        <v>200179</v>
      </c>
      <c r="O533" s="39" t="s">
        <v>2609</v>
      </c>
      <c r="P533" s="39" t="s">
        <v>2384</v>
      </c>
      <c r="Q533" s="39" t="s">
        <v>157</v>
      </c>
      <c r="R533" s="39">
        <v>1</v>
      </c>
      <c r="S533" s="39">
        <v>50000</v>
      </c>
      <c r="T533" s="39" t="s">
        <v>2402</v>
      </c>
      <c r="U533" s="82">
        <v>50000</v>
      </c>
      <c r="V533" s="39" t="s">
        <v>55</v>
      </c>
      <c r="W533" s="39" t="s">
        <v>56</v>
      </c>
      <c r="X533" s="39" t="s">
        <v>1025</v>
      </c>
    </row>
    <row r="534" spans="1:24" s="39" customFormat="1" ht="16" customHeight="1" x14ac:dyDescent="0.35">
      <c r="A534" s="39" t="s">
        <v>161</v>
      </c>
      <c r="B534" s="39" t="s">
        <v>58</v>
      </c>
      <c r="C534" s="39" t="s">
        <v>47</v>
      </c>
      <c r="D534" s="80">
        <v>847</v>
      </c>
      <c r="E534" s="39">
        <v>8470520</v>
      </c>
      <c r="F534" s="39" t="s">
        <v>2375</v>
      </c>
      <c r="G534" s="81">
        <v>1</v>
      </c>
      <c r="H534" s="39">
        <v>428200</v>
      </c>
      <c r="I534" s="39" t="s">
        <v>2383</v>
      </c>
      <c r="J534" s="39" t="s">
        <v>60</v>
      </c>
      <c r="K534" s="39" t="s">
        <v>50</v>
      </c>
      <c r="L534" s="39">
        <v>847001</v>
      </c>
      <c r="M534" s="39" t="s">
        <v>61</v>
      </c>
      <c r="N534" s="39">
        <v>200179</v>
      </c>
      <c r="O534" s="39" t="s">
        <v>2609</v>
      </c>
      <c r="P534" s="39" t="s">
        <v>2384</v>
      </c>
      <c r="Q534" s="39" t="s">
        <v>157</v>
      </c>
      <c r="R534" s="39">
        <v>1</v>
      </c>
      <c r="S534" s="39">
        <v>15000</v>
      </c>
      <c r="T534" s="39" t="s">
        <v>2404</v>
      </c>
      <c r="U534" s="82">
        <v>15000</v>
      </c>
      <c r="V534" s="39" t="s">
        <v>55</v>
      </c>
      <c r="W534" s="39" t="s">
        <v>56</v>
      </c>
      <c r="X534" s="39" t="s">
        <v>816</v>
      </c>
    </row>
    <row r="535" spans="1:24" s="39" customFormat="1" ht="16" customHeight="1" x14ac:dyDescent="0.35">
      <c r="A535" s="39" t="s">
        <v>161</v>
      </c>
      <c r="B535" s="39" t="s">
        <v>58</v>
      </c>
      <c r="C535" s="39" t="s">
        <v>47</v>
      </c>
      <c r="D535" s="80">
        <v>847</v>
      </c>
      <c r="E535" s="39">
        <v>8470520</v>
      </c>
      <c r="F535" s="39" t="s">
        <v>2375</v>
      </c>
      <c r="G535" s="81">
        <v>1</v>
      </c>
      <c r="H535" s="39">
        <v>428200</v>
      </c>
      <c r="I535" s="39" t="s">
        <v>2383</v>
      </c>
      <c r="J535" s="39" t="s">
        <v>60</v>
      </c>
      <c r="K535" s="39" t="s">
        <v>50</v>
      </c>
      <c r="L535" s="39">
        <v>847001</v>
      </c>
      <c r="M535" s="39" t="s">
        <v>61</v>
      </c>
      <c r="N535" s="39">
        <v>200179</v>
      </c>
      <c r="O535" s="39" t="s">
        <v>2609</v>
      </c>
      <c r="P535" s="39" t="s">
        <v>2384</v>
      </c>
      <c r="Q535" s="39" t="s">
        <v>157</v>
      </c>
      <c r="R535" s="39">
        <v>1</v>
      </c>
      <c r="S535" s="39">
        <v>50000</v>
      </c>
      <c r="T535" s="39" t="s">
        <v>2405</v>
      </c>
      <c r="U535" s="82">
        <v>50000</v>
      </c>
      <c r="V535" s="39" t="s">
        <v>55</v>
      </c>
      <c r="W535" s="39" t="s">
        <v>56</v>
      </c>
      <c r="X535" s="39" t="s">
        <v>1025</v>
      </c>
    </row>
    <row r="536" spans="1:24" s="39" customFormat="1" ht="16" customHeight="1" x14ac:dyDescent="0.35">
      <c r="A536" s="39" t="s">
        <v>161</v>
      </c>
      <c r="B536" s="39" t="s">
        <v>58</v>
      </c>
      <c r="C536" s="39" t="s">
        <v>47</v>
      </c>
      <c r="D536" s="80">
        <v>847</v>
      </c>
      <c r="E536" s="39">
        <v>8470520</v>
      </c>
      <c r="F536" s="39" t="s">
        <v>2375</v>
      </c>
      <c r="G536" s="81">
        <v>1</v>
      </c>
      <c r="H536" s="39">
        <v>428200</v>
      </c>
      <c r="I536" s="39" t="s">
        <v>2383</v>
      </c>
      <c r="J536" s="39" t="s">
        <v>60</v>
      </c>
      <c r="K536" s="39" t="s">
        <v>50</v>
      </c>
      <c r="L536" s="39">
        <v>847001</v>
      </c>
      <c r="M536" s="39" t="s">
        <v>61</v>
      </c>
      <c r="N536" s="39">
        <v>200179</v>
      </c>
      <c r="O536" s="39" t="s">
        <v>2609</v>
      </c>
      <c r="P536" s="39" t="s">
        <v>2384</v>
      </c>
      <c r="Q536" s="39" t="s">
        <v>157</v>
      </c>
      <c r="R536" s="39">
        <v>1</v>
      </c>
      <c r="S536" s="39">
        <v>50000</v>
      </c>
      <c r="T536" s="39" t="s">
        <v>2407</v>
      </c>
      <c r="U536" s="82">
        <v>50000</v>
      </c>
      <c r="V536" s="39" t="s">
        <v>55</v>
      </c>
      <c r="W536" s="39" t="s">
        <v>56</v>
      </c>
      <c r="X536" s="39" t="s">
        <v>1025</v>
      </c>
    </row>
    <row r="537" spans="1:24" s="39" customFormat="1" ht="16" customHeight="1" x14ac:dyDescent="0.35">
      <c r="A537" s="39" t="s">
        <v>161</v>
      </c>
      <c r="B537" s="39" t="s">
        <v>58</v>
      </c>
      <c r="C537" s="39" t="s">
        <v>47</v>
      </c>
      <c r="D537" s="80">
        <v>847</v>
      </c>
      <c r="E537" s="39">
        <v>8470520</v>
      </c>
      <c r="F537" s="39" t="s">
        <v>2375</v>
      </c>
      <c r="G537" s="81">
        <v>1</v>
      </c>
      <c r="H537" s="39">
        <v>428200</v>
      </c>
      <c r="I537" s="39" t="s">
        <v>2383</v>
      </c>
      <c r="J537" s="39" t="s">
        <v>60</v>
      </c>
      <c r="K537" s="39" t="s">
        <v>50</v>
      </c>
      <c r="L537" s="39">
        <v>847001</v>
      </c>
      <c r="M537" s="39" t="s">
        <v>61</v>
      </c>
      <c r="N537" s="39">
        <v>200179</v>
      </c>
      <c r="O537" s="39" t="s">
        <v>2609</v>
      </c>
      <c r="P537" s="39" t="s">
        <v>2384</v>
      </c>
      <c r="Q537" s="39" t="s">
        <v>157</v>
      </c>
      <c r="R537" s="39">
        <v>1</v>
      </c>
      <c r="S537" s="39">
        <v>20000</v>
      </c>
      <c r="T537" s="39" t="s">
        <v>2409</v>
      </c>
      <c r="U537" s="82">
        <v>20000</v>
      </c>
      <c r="V537" s="39" t="s">
        <v>55</v>
      </c>
      <c r="W537" s="39" t="s">
        <v>56</v>
      </c>
      <c r="X537" s="39" t="s">
        <v>1025</v>
      </c>
    </row>
    <row r="538" spans="1:24" s="39" customFormat="1" ht="16" customHeight="1" x14ac:dyDescent="0.35">
      <c r="A538" s="39" t="s">
        <v>161</v>
      </c>
      <c r="B538" s="39" t="s">
        <v>58</v>
      </c>
      <c r="C538" s="39" t="s">
        <v>47</v>
      </c>
      <c r="D538" s="80">
        <v>847</v>
      </c>
      <c r="E538" s="39">
        <v>8470530</v>
      </c>
      <c r="F538" s="39" t="s">
        <v>2412</v>
      </c>
      <c r="G538" s="81">
        <v>1</v>
      </c>
      <c r="H538" s="39">
        <v>420310</v>
      </c>
      <c r="I538" s="39" t="s">
        <v>1474</v>
      </c>
      <c r="J538" s="39" t="s">
        <v>60</v>
      </c>
      <c r="K538" s="39" t="s">
        <v>2413</v>
      </c>
      <c r="L538" s="39">
        <v>847010</v>
      </c>
      <c r="M538" s="39" t="s">
        <v>61</v>
      </c>
      <c r="N538" s="39">
        <v>200179</v>
      </c>
      <c r="O538" s="39" t="s">
        <v>2610</v>
      </c>
      <c r="P538" s="39" t="s">
        <v>2414</v>
      </c>
      <c r="Q538" s="39" t="s">
        <v>515</v>
      </c>
      <c r="R538" s="39">
        <v>1</v>
      </c>
      <c r="S538" s="39">
        <v>4056438.64</v>
      </c>
      <c r="T538" s="39" t="s">
        <v>2415</v>
      </c>
      <c r="U538" s="82">
        <v>4056438.64</v>
      </c>
      <c r="V538" s="39" t="s">
        <v>55</v>
      </c>
      <c r="W538" s="39" t="s">
        <v>56</v>
      </c>
      <c r="X538" s="39" t="s">
        <v>816</v>
      </c>
    </row>
    <row r="539" spans="1:24" s="39" customFormat="1" ht="16" customHeight="1" x14ac:dyDescent="0.35">
      <c r="A539" s="39" t="s">
        <v>161</v>
      </c>
      <c r="B539" s="39" t="s">
        <v>58</v>
      </c>
      <c r="C539" s="39" t="s">
        <v>47</v>
      </c>
      <c r="D539" s="80">
        <v>847</v>
      </c>
      <c r="E539" s="39">
        <v>8470530</v>
      </c>
      <c r="F539" s="39" t="s">
        <v>2412</v>
      </c>
      <c r="G539" s="81">
        <v>1</v>
      </c>
      <c r="H539" s="39">
        <v>420310</v>
      </c>
      <c r="I539" s="39" t="s">
        <v>1474</v>
      </c>
      <c r="J539" s="39" t="s">
        <v>60</v>
      </c>
      <c r="K539" s="39" t="s">
        <v>2417</v>
      </c>
      <c r="L539" s="39">
        <v>847015</v>
      </c>
      <c r="M539" s="39" t="s">
        <v>61</v>
      </c>
      <c r="N539" s="39">
        <v>200179</v>
      </c>
      <c r="O539" s="39" t="s">
        <v>2611</v>
      </c>
      <c r="P539" s="39" t="s">
        <v>2414</v>
      </c>
      <c r="Q539" s="39" t="s">
        <v>515</v>
      </c>
      <c r="R539" s="39">
        <v>1</v>
      </c>
      <c r="S539" s="39">
        <v>747242</v>
      </c>
      <c r="T539" s="39" t="s">
        <v>2415</v>
      </c>
      <c r="U539" s="82">
        <v>747242</v>
      </c>
      <c r="V539" s="39" t="s">
        <v>55</v>
      </c>
      <c r="W539" s="39" t="s">
        <v>56</v>
      </c>
      <c r="X539" s="39" t="s">
        <v>816</v>
      </c>
    </row>
    <row r="540" spans="1:24" s="39" customFormat="1" ht="16" customHeight="1" x14ac:dyDescent="0.35">
      <c r="A540" s="39" t="s">
        <v>161</v>
      </c>
      <c r="B540" s="39" t="s">
        <v>58</v>
      </c>
      <c r="C540" s="39" t="s">
        <v>47</v>
      </c>
      <c r="D540" s="80">
        <v>847</v>
      </c>
      <c r="E540" s="39">
        <v>8470530</v>
      </c>
      <c r="F540" s="39" t="s">
        <v>2412</v>
      </c>
      <c r="G540" s="81">
        <v>1</v>
      </c>
      <c r="H540" s="39">
        <v>420310</v>
      </c>
      <c r="I540" s="39" t="s">
        <v>1474</v>
      </c>
      <c r="J540" s="39" t="s">
        <v>60</v>
      </c>
      <c r="K540" s="39" t="s">
        <v>2093</v>
      </c>
      <c r="L540" s="39">
        <v>847020</v>
      </c>
      <c r="M540" s="39" t="s">
        <v>61</v>
      </c>
      <c r="N540" s="39">
        <v>200179</v>
      </c>
      <c r="O540" s="39" t="s">
        <v>2612</v>
      </c>
      <c r="P540" s="39" t="s">
        <v>2414</v>
      </c>
      <c r="Q540" s="39" t="s">
        <v>515</v>
      </c>
      <c r="R540" s="39">
        <v>1</v>
      </c>
      <c r="S540" s="39">
        <v>4118107</v>
      </c>
      <c r="T540" s="39" t="s">
        <v>2415</v>
      </c>
      <c r="U540" s="82">
        <v>4118107</v>
      </c>
      <c r="V540" s="39" t="s">
        <v>55</v>
      </c>
      <c r="W540" s="39" t="s">
        <v>56</v>
      </c>
      <c r="X540" s="39" t="s">
        <v>816</v>
      </c>
    </row>
    <row r="541" spans="1:24" s="39" customFormat="1" ht="16" customHeight="1" x14ac:dyDescent="0.35">
      <c r="A541" s="39" t="s">
        <v>46</v>
      </c>
      <c r="B541" s="39" t="s">
        <v>46</v>
      </c>
      <c r="C541" s="39" t="s">
        <v>47</v>
      </c>
      <c r="D541" s="80">
        <v>847</v>
      </c>
      <c r="E541" s="39">
        <v>8470530</v>
      </c>
      <c r="F541" s="39" t="s">
        <v>2412</v>
      </c>
      <c r="G541" s="81">
        <v>1</v>
      </c>
      <c r="H541" s="39">
        <v>429900</v>
      </c>
      <c r="I541" s="39" t="s">
        <v>2359</v>
      </c>
      <c r="J541" s="39" t="s">
        <v>60</v>
      </c>
      <c r="K541" s="39" t="s">
        <v>2413</v>
      </c>
      <c r="L541" s="39" t="s">
        <v>2418</v>
      </c>
      <c r="M541" s="39" t="s">
        <v>46</v>
      </c>
      <c r="N541" s="39">
        <v>200179</v>
      </c>
      <c r="O541" s="39" t="s">
        <v>2613</v>
      </c>
      <c r="P541" s="39" t="s">
        <v>2361</v>
      </c>
      <c r="Q541" s="39" t="s">
        <v>1418</v>
      </c>
      <c r="R541" s="39">
        <v>1</v>
      </c>
      <c r="S541" s="39">
        <v>220000</v>
      </c>
      <c r="T541" s="39" t="s">
        <v>2419</v>
      </c>
      <c r="U541" s="82">
        <v>220000</v>
      </c>
      <c r="V541" s="39" t="s">
        <v>55</v>
      </c>
      <c r="W541" s="39" t="s">
        <v>56</v>
      </c>
      <c r="X541" s="39" t="s">
        <v>816</v>
      </c>
    </row>
    <row r="542" spans="1:24" s="39" customFormat="1" ht="16" customHeight="1" x14ac:dyDescent="0.35">
      <c r="A542" s="39" t="s">
        <v>71</v>
      </c>
      <c r="B542" s="39" t="s">
        <v>1010</v>
      </c>
      <c r="C542" s="39" t="s">
        <v>47</v>
      </c>
      <c r="D542" s="80">
        <v>847</v>
      </c>
      <c r="E542" s="39">
        <v>8470530</v>
      </c>
      <c r="F542" s="39" t="s">
        <v>2412</v>
      </c>
      <c r="G542" s="81">
        <v>1</v>
      </c>
      <c r="H542" s="39">
        <v>421000</v>
      </c>
      <c r="I542" s="39" t="s">
        <v>1011</v>
      </c>
      <c r="J542" s="39" t="s">
        <v>60</v>
      </c>
      <c r="K542" s="39" t="s">
        <v>2413</v>
      </c>
      <c r="L542" s="39">
        <v>847010</v>
      </c>
      <c r="M542" s="39" t="s">
        <v>61</v>
      </c>
      <c r="N542" s="39">
        <v>200179</v>
      </c>
      <c r="O542" s="39" t="s">
        <v>2614</v>
      </c>
      <c r="Q542" s="39" t="s">
        <v>269</v>
      </c>
      <c r="U542" s="82">
        <v>0</v>
      </c>
    </row>
    <row r="543" spans="1:24" s="39" customFormat="1" ht="16" customHeight="1" x14ac:dyDescent="0.35">
      <c r="A543" s="39" t="s">
        <v>71</v>
      </c>
      <c r="B543" s="39" t="s">
        <v>58</v>
      </c>
      <c r="C543" s="39" t="s">
        <v>47</v>
      </c>
      <c r="D543" s="80">
        <v>847</v>
      </c>
      <c r="E543" s="39">
        <v>8470530</v>
      </c>
      <c r="F543" s="39" t="s">
        <v>2412</v>
      </c>
      <c r="G543" s="81">
        <v>1</v>
      </c>
      <c r="H543" s="39">
        <v>421100</v>
      </c>
      <c r="I543" s="39" t="s">
        <v>72</v>
      </c>
      <c r="J543" s="39" t="s">
        <v>60</v>
      </c>
      <c r="K543" s="39" t="s">
        <v>2413</v>
      </c>
      <c r="L543" s="39">
        <v>847010</v>
      </c>
      <c r="M543" s="39" t="s">
        <v>61</v>
      </c>
      <c r="N543" s="39">
        <v>200179</v>
      </c>
      <c r="O543" s="39" t="s">
        <v>2615</v>
      </c>
      <c r="Q543" s="39" t="s">
        <v>62</v>
      </c>
      <c r="R543" s="39">
        <v>1</v>
      </c>
      <c r="U543" s="82">
        <v>0</v>
      </c>
    </row>
    <row r="544" spans="1:24" s="39" customFormat="1" ht="16" customHeight="1" x14ac:dyDescent="0.35">
      <c r="A544" s="39" t="s">
        <v>46</v>
      </c>
      <c r="B544" s="39" t="s">
        <v>46</v>
      </c>
      <c r="C544" s="39" t="s">
        <v>47</v>
      </c>
      <c r="D544" s="80">
        <v>847</v>
      </c>
      <c r="E544" s="39">
        <v>8470530</v>
      </c>
      <c r="F544" s="39" t="s">
        <v>2412</v>
      </c>
      <c r="G544" s="81">
        <v>1</v>
      </c>
      <c r="H544" s="39">
        <v>430110</v>
      </c>
      <c r="I544" s="39" t="s">
        <v>2425</v>
      </c>
      <c r="J544" s="39" t="s">
        <v>60</v>
      </c>
      <c r="K544" s="39" t="s">
        <v>2413</v>
      </c>
      <c r="L544" s="39">
        <v>847010</v>
      </c>
      <c r="M544" s="39" t="s">
        <v>46</v>
      </c>
      <c r="N544" s="39">
        <v>200179</v>
      </c>
      <c r="O544" s="39" t="s">
        <v>2699</v>
      </c>
      <c r="P544" s="39" t="s">
        <v>2426</v>
      </c>
      <c r="R544" s="39">
        <v>1</v>
      </c>
      <c r="S544" s="39">
        <v>233000</v>
      </c>
      <c r="T544" s="39" t="s">
        <v>2427</v>
      </c>
      <c r="U544" s="82">
        <v>233000</v>
      </c>
      <c r="V544" s="39" t="s">
        <v>55</v>
      </c>
      <c r="W544" s="39" t="s">
        <v>56</v>
      </c>
      <c r="X544" s="39" t="s">
        <v>816</v>
      </c>
    </row>
    <row r="545" spans="1:24" s="39" customFormat="1" ht="16" customHeight="1" x14ac:dyDescent="0.35">
      <c r="A545" s="39" t="s">
        <v>1535</v>
      </c>
      <c r="B545" s="39" t="s">
        <v>58</v>
      </c>
      <c r="C545" s="39" t="s">
        <v>47</v>
      </c>
      <c r="D545" s="80">
        <v>847</v>
      </c>
      <c r="E545" s="39">
        <v>8470530</v>
      </c>
      <c r="F545" s="39" t="s">
        <v>2412</v>
      </c>
      <c r="G545" s="81">
        <v>1</v>
      </c>
      <c r="H545" s="39">
        <v>430120</v>
      </c>
      <c r="I545" s="39" t="s">
        <v>2428</v>
      </c>
      <c r="J545" s="39" t="s">
        <v>60</v>
      </c>
      <c r="K545" s="39" t="s">
        <v>2429</v>
      </c>
      <c r="L545" s="39" t="s">
        <v>2430</v>
      </c>
      <c r="M545" s="39" t="s">
        <v>61</v>
      </c>
      <c r="N545" s="39">
        <v>200179</v>
      </c>
      <c r="O545" s="39" t="s">
        <v>2616</v>
      </c>
      <c r="P545" s="39" t="s">
        <v>2617</v>
      </c>
      <c r="Q545" s="39" t="s">
        <v>515</v>
      </c>
      <c r="R545" s="39">
        <v>1</v>
      </c>
      <c r="S545" s="39">
        <v>4725991</v>
      </c>
      <c r="T545" s="39" t="s">
        <v>2618</v>
      </c>
      <c r="U545" s="82">
        <v>4725991</v>
      </c>
      <c r="V545" s="39" t="s">
        <v>55</v>
      </c>
      <c r="W545" s="39" t="s">
        <v>56</v>
      </c>
      <c r="X545" s="39" t="s">
        <v>816</v>
      </c>
    </row>
    <row r="546" spans="1:24" s="39" customFormat="1" ht="16" customHeight="1" x14ac:dyDescent="0.35">
      <c r="A546" s="39" t="s">
        <v>1535</v>
      </c>
      <c r="B546" s="39" t="s">
        <v>58</v>
      </c>
      <c r="C546" s="39" t="s">
        <v>47</v>
      </c>
      <c r="D546" s="80">
        <v>847</v>
      </c>
      <c r="E546" s="39">
        <v>8470530</v>
      </c>
      <c r="F546" s="39" t="s">
        <v>2412</v>
      </c>
      <c r="G546" s="81">
        <v>1</v>
      </c>
      <c r="H546" s="39">
        <v>430120</v>
      </c>
      <c r="I546" s="39" t="s">
        <v>2428</v>
      </c>
      <c r="J546" s="39" t="s">
        <v>60</v>
      </c>
      <c r="K546" s="39" t="s">
        <v>2093</v>
      </c>
      <c r="L546" s="39">
        <v>847020</v>
      </c>
      <c r="M546" s="39" t="s">
        <v>61</v>
      </c>
      <c r="N546" s="39">
        <v>200179</v>
      </c>
      <c r="O546" s="39" t="s">
        <v>2619</v>
      </c>
      <c r="P546" s="39" t="s">
        <v>2617</v>
      </c>
      <c r="Q546" s="39" t="s">
        <v>515</v>
      </c>
      <c r="R546" s="39">
        <v>1</v>
      </c>
      <c r="S546" s="39">
        <v>18000000</v>
      </c>
      <c r="T546" s="39" t="s">
        <v>2620</v>
      </c>
      <c r="U546" s="82">
        <v>18000000</v>
      </c>
      <c r="V546" s="39" t="s">
        <v>55</v>
      </c>
      <c r="W546" s="39" t="s">
        <v>56</v>
      </c>
      <c r="X546" s="39" t="s">
        <v>816</v>
      </c>
    </row>
    <row r="547" spans="1:24" s="39" customFormat="1" ht="16" customHeight="1" x14ac:dyDescent="0.35">
      <c r="A547" s="39" t="s">
        <v>161</v>
      </c>
      <c r="B547" s="39" t="s">
        <v>58</v>
      </c>
      <c r="C547" s="39" t="s">
        <v>47</v>
      </c>
      <c r="D547" s="80">
        <v>847</v>
      </c>
      <c r="E547" s="39">
        <v>8470530</v>
      </c>
      <c r="F547" s="39" t="s">
        <v>2412</v>
      </c>
      <c r="G547" s="81">
        <v>1</v>
      </c>
      <c r="H547" s="39">
        <v>421600</v>
      </c>
      <c r="I547" s="39" t="s">
        <v>1475</v>
      </c>
      <c r="J547" s="39" t="s">
        <v>60</v>
      </c>
      <c r="K547" s="39" t="s">
        <v>2413</v>
      </c>
      <c r="L547" s="39">
        <v>847010</v>
      </c>
      <c r="M547" s="39" t="s">
        <v>61</v>
      </c>
      <c r="N547" s="39">
        <v>200179</v>
      </c>
      <c r="O547" s="39" t="s">
        <v>2621</v>
      </c>
      <c r="P547" s="39" t="s">
        <v>2433</v>
      </c>
      <c r="Q547" s="39" t="s">
        <v>269</v>
      </c>
      <c r="R547" s="39">
        <v>1</v>
      </c>
      <c r="S547" s="39">
        <v>4395006</v>
      </c>
      <c r="T547" s="39" t="s">
        <v>2434</v>
      </c>
      <c r="U547" s="82">
        <v>4395006</v>
      </c>
      <c r="V547" s="39" t="s">
        <v>55</v>
      </c>
      <c r="W547" s="39" t="s">
        <v>56</v>
      </c>
      <c r="X547" s="39" t="s">
        <v>816</v>
      </c>
    </row>
    <row r="548" spans="1:24" s="39" customFormat="1" ht="16" customHeight="1" x14ac:dyDescent="0.35">
      <c r="A548" s="39" t="s">
        <v>161</v>
      </c>
      <c r="B548" s="39" t="s">
        <v>58</v>
      </c>
      <c r="C548" s="39" t="s">
        <v>47</v>
      </c>
      <c r="D548" s="80">
        <v>847</v>
      </c>
      <c r="E548" s="39">
        <v>8470530</v>
      </c>
      <c r="F548" s="39" t="s">
        <v>2412</v>
      </c>
      <c r="G548" s="81">
        <v>1</v>
      </c>
      <c r="H548" s="39">
        <v>421600</v>
      </c>
      <c r="I548" s="39" t="s">
        <v>1475</v>
      </c>
      <c r="J548" s="39" t="s">
        <v>60</v>
      </c>
      <c r="K548" s="39" t="s">
        <v>2417</v>
      </c>
      <c r="L548" s="39">
        <v>847015</v>
      </c>
      <c r="M548" s="39" t="s">
        <v>61</v>
      </c>
      <c r="N548" s="39">
        <v>200179</v>
      </c>
      <c r="O548" s="39" t="s">
        <v>2622</v>
      </c>
      <c r="P548" s="39" t="s">
        <v>2433</v>
      </c>
      <c r="Q548" s="39" t="s">
        <v>269</v>
      </c>
      <c r="R548" s="39">
        <v>1</v>
      </c>
      <c r="S548" s="39">
        <v>2703285</v>
      </c>
      <c r="T548" s="39" t="s">
        <v>2435</v>
      </c>
      <c r="U548" s="82">
        <v>2703285</v>
      </c>
      <c r="V548" s="39" t="s">
        <v>55</v>
      </c>
      <c r="W548" s="39" t="s">
        <v>56</v>
      </c>
      <c r="X548" s="39" t="s">
        <v>816</v>
      </c>
    </row>
    <row r="549" spans="1:24" s="39" customFormat="1" ht="16" customHeight="1" x14ac:dyDescent="0.35">
      <c r="A549" s="39" t="s">
        <v>161</v>
      </c>
      <c r="B549" s="39" t="s">
        <v>58</v>
      </c>
      <c r="C549" s="39" t="s">
        <v>47</v>
      </c>
      <c r="D549" s="80">
        <v>847</v>
      </c>
      <c r="E549" s="39">
        <v>8470530</v>
      </c>
      <c r="F549" s="39" t="s">
        <v>2412</v>
      </c>
      <c r="G549" s="81">
        <v>1</v>
      </c>
      <c r="H549" s="39">
        <v>421600</v>
      </c>
      <c r="I549" s="39" t="s">
        <v>1475</v>
      </c>
      <c r="J549" s="39" t="s">
        <v>60</v>
      </c>
      <c r="K549" s="39" t="s">
        <v>2093</v>
      </c>
      <c r="L549" s="39">
        <v>847020</v>
      </c>
      <c r="M549" s="39" t="s">
        <v>61</v>
      </c>
      <c r="N549" s="39">
        <v>200179</v>
      </c>
      <c r="O549" s="39" t="s">
        <v>2623</v>
      </c>
      <c r="P549" s="39" t="s">
        <v>2433</v>
      </c>
      <c r="Q549" s="39" t="s">
        <v>269</v>
      </c>
      <c r="R549" s="39">
        <v>1</v>
      </c>
      <c r="S549" s="39">
        <v>2291635</v>
      </c>
      <c r="T549" s="39" t="s">
        <v>2436</v>
      </c>
      <c r="U549" s="82">
        <v>2291635</v>
      </c>
      <c r="V549" s="39" t="s">
        <v>55</v>
      </c>
      <c r="W549" s="39" t="s">
        <v>56</v>
      </c>
      <c r="X549" s="39" t="s">
        <v>816</v>
      </c>
    </row>
    <row r="550" spans="1:24" s="39" customFormat="1" ht="16" customHeight="1" x14ac:dyDescent="0.35">
      <c r="A550" s="39" t="s">
        <v>161</v>
      </c>
      <c r="B550" s="39" t="s">
        <v>58</v>
      </c>
      <c r="C550" s="39" t="s">
        <v>47</v>
      </c>
      <c r="D550" s="80">
        <v>847</v>
      </c>
      <c r="E550" s="39">
        <v>8470530</v>
      </c>
      <c r="F550" s="39" t="s">
        <v>2412</v>
      </c>
      <c r="G550" s="81">
        <v>1</v>
      </c>
      <c r="H550" s="39">
        <v>421600</v>
      </c>
      <c r="I550" s="39" t="s">
        <v>1475</v>
      </c>
      <c r="J550" s="39" t="s">
        <v>60</v>
      </c>
      <c r="K550" s="39" t="s">
        <v>2429</v>
      </c>
      <c r="L550" s="39">
        <v>847030</v>
      </c>
      <c r="M550" s="39" t="s">
        <v>61</v>
      </c>
      <c r="N550" s="39">
        <v>200179</v>
      </c>
      <c r="O550" s="39" t="s">
        <v>2624</v>
      </c>
      <c r="P550" s="39" t="s">
        <v>2433</v>
      </c>
      <c r="Q550" s="39" t="s">
        <v>269</v>
      </c>
      <c r="R550" s="39">
        <v>1</v>
      </c>
      <c r="S550" s="39">
        <v>439000</v>
      </c>
      <c r="T550" s="39" t="s">
        <v>2437</v>
      </c>
      <c r="U550" s="82">
        <v>439000</v>
      </c>
      <c r="V550" s="39" t="s">
        <v>55</v>
      </c>
      <c r="W550" s="39" t="s">
        <v>56</v>
      </c>
      <c r="X550" s="39" t="s">
        <v>816</v>
      </c>
    </row>
    <row r="551" spans="1:24" s="39" customFormat="1" ht="16" customHeight="1" x14ac:dyDescent="0.35">
      <c r="A551" s="39" t="s">
        <v>222</v>
      </c>
      <c r="B551" s="39" t="s">
        <v>238</v>
      </c>
      <c r="C551" s="39" t="s">
        <v>47</v>
      </c>
      <c r="D551" s="80">
        <v>847</v>
      </c>
      <c r="E551" s="39">
        <v>8470530</v>
      </c>
      <c r="F551" s="39" t="s">
        <v>2412</v>
      </c>
      <c r="G551" s="81">
        <v>1</v>
      </c>
      <c r="H551" s="39">
        <v>421700</v>
      </c>
      <c r="I551" s="39" t="s">
        <v>2438</v>
      </c>
      <c r="J551" s="39" t="s">
        <v>60</v>
      </c>
      <c r="K551" s="39" t="s">
        <v>2413</v>
      </c>
      <c r="L551" s="39">
        <v>847010</v>
      </c>
      <c r="M551" s="39" t="s">
        <v>61</v>
      </c>
      <c r="N551" s="39">
        <v>200179</v>
      </c>
      <c r="O551" s="39" t="s">
        <v>2625</v>
      </c>
      <c r="P551" s="39" t="s">
        <v>1017</v>
      </c>
      <c r="Q551" s="39" t="s">
        <v>157</v>
      </c>
      <c r="R551" s="39">
        <v>1</v>
      </c>
      <c r="U551" s="82"/>
    </row>
    <row r="552" spans="1:24" s="39" customFormat="1" ht="16" customHeight="1" x14ac:dyDescent="0.35">
      <c r="A552" s="39" t="s">
        <v>245</v>
      </c>
      <c r="B552" s="39" t="s">
        <v>246</v>
      </c>
      <c r="C552" s="39" t="s">
        <v>47</v>
      </c>
      <c r="D552" s="80">
        <v>847</v>
      </c>
      <c r="E552" s="39">
        <v>8470530</v>
      </c>
      <c r="F552" s="39" t="s">
        <v>2412</v>
      </c>
      <c r="G552" s="81">
        <v>1</v>
      </c>
      <c r="H552" s="39">
        <v>425510</v>
      </c>
      <c r="I552" s="39" t="s">
        <v>247</v>
      </c>
      <c r="J552" s="39" t="s">
        <v>60</v>
      </c>
      <c r="K552" s="39" t="s">
        <v>2413</v>
      </c>
      <c r="L552" s="39">
        <v>847010</v>
      </c>
      <c r="M552" s="39" t="s">
        <v>61</v>
      </c>
      <c r="N552" s="39">
        <v>200179</v>
      </c>
      <c r="O552" s="39" t="s">
        <v>2626</v>
      </c>
      <c r="P552" s="39" t="s">
        <v>344</v>
      </c>
      <c r="Q552" s="39" t="s">
        <v>256</v>
      </c>
      <c r="R552" s="39">
        <v>1</v>
      </c>
      <c r="S552" s="39">
        <v>70000</v>
      </c>
      <c r="T552" s="39" t="s">
        <v>2370</v>
      </c>
      <c r="U552" s="82">
        <v>70000</v>
      </c>
      <c r="V552" s="39" t="s">
        <v>55</v>
      </c>
      <c r="W552" s="39" t="s">
        <v>56</v>
      </c>
      <c r="X552" s="39" t="s">
        <v>816</v>
      </c>
    </row>
    <row r="553" spans="1:24" s="39" customFormat="1" ht="16" customHeight="1" x14ac:dyDescent="0.35">
      <c r="A553" s="39" t="s">
        <v>189</v>
      </c>
      <c r="B553" s="39" t="s">
        <v>265</v>
      </c>
      <c r="C553" s="39" t="s">
        <v>47</v>
      </c>
      <c r="D553" s="80">
        <v>847</v>
      </c>
      <c r="E553" s="39">
        <v>8470530</v>
      </c>
      <c r="F553" s="39" t="s">
        <v>2412</v>
      </c>
      <c r="G553" s="81">
        <v>1</v>
      </c>
      <c r="H553" s="39">
        <v>425900</v>
      </c>
      <c r="I553" s="39" t="s">
        <v>266</v>
      </c>
      <c r="J553" s="39" t="s">
        <v>60</v>
      </c>
      <c r="K553" s="39" t="s">
        <v>2413</v>
      </c>
      <c r="L553" s="39">
        <v>847010</v>
      </c>
      <c r="M553" s="39" t="s">
        <v>61</v>
      </c>
      <c r="N553" s="39">
        <v>200179</v>
      </c>
      <c r="O553" s="39" t="s">
        <v>2627</v>
      </c>
      <c r="P553" s="39" t="s">
        <v>268</v>
      </c>
      <c r="Q553" s="39" t="s">
        <v>269</v>
      </c>
      <c r="R553" s="39">
        <v>1</v>
      </c>
      <c r="S553" s="39">
        <v>60000</v>
      </c>
      <c r="T553" s="39" t="s">
        <v>2373</v>
      </c>
      <c r="U553" s="82">
        <v>60000</v>
      </c>
      <c r="V553" s="39" t="s">
        <v>55</v>
      </c>
      <c r="W553" s="39" t="s">
        <v>56</v>
      </c>
      <c r="X553" s="39" t="s">
        <v>816</v>
      </c>
    </row>
    <row r="554" spans="1:24" s="39" customFormat="1" ht="16" customHeight="1" x14ac:dyDescent="0.35">
      <c r="A554" s="39" t="s">
        <v>161</v>
      </c>
      <c r="B554" s="39" t="s">
        <v>58</v>
      </c>
      <c r="C554" s="39" t="s">
        <v>47</v>
      </c>
      <c r="D554" s="80">
        <v>847</v>
      </c>
      <c r="E554" s="39">
        <v>8470530</v>
      </c>
      <c r="F554" s="39" t="s">
        <v>2412</v>
      </c>
      <c r="G554" s="81">
        <v>1</v>
      </c>
      <c r="H554" s="39">
        <v>426220</v>
      </c>
      <c r="I554" s="39" t="s">
        <v>1477</v>
      </c>
      <c r="J554" s="39" t="s">
        <v>60</v>
      </c>
      <c r="K554" s="39" t="s">
        <v>2413</v>
      </c>
      <c r="L554" s="39">
        <v>847010</v>
      </c>
      <c r="M554" s="39" t="s">
        <v>61</v>
      </c>
      <c r="N554" s="39">
        <v>200179</v>
      </c>
      <c r="O554" s="39" t="s">
        <v>2628</v>
      </c>
      <c r="P554" s="39" t="s">
        <v>2440</v>
      </c>
      <c r="Q554" s="39" t="s">
        <v>157</v>
      </c>
      <c r="R554" s="39">
        <v>1</v>
      </c>
      <c r="S554" s="39">
        <v>960437</v>
      </c>
      <c r="T554" s="39" t="s">
        <v>2441</v>
      </c>
      <c r="U554" s="82">
        <v>960437</v>
      </c>
      <c r="V554" s="39" t="s">
        <v>55</v>
      </c>
      <c r="W554" s="39" t="s">
        <v>56</v>
      </c>
      <c r="X554" s="39" t="s">
        <v>816</v>
      </c>
    </row>
    <row r="555" spans="1:24" s="39" customFormat="1" ht="16" customHeight="1" x14ac:dyDescent="0.35">
      <c r="A555" s="39" t="s">
        <v>161</v>
      </c>
      <c r="B555" s="39" t="s">
        <v>58</v>
      </c>
      <c r="C555" s="39" t="s">
        <v>47</v>
      </c>
      <c r="D555" s="80">
        <v>847</v>
      </c>
      <c r="E555" s="39">
        <v>8470530</v>
      </c>
      <c r="F555" s="39" t="s">
        <v>2412</v>
      </c>
      <c r="G555" s="81">
        <v>1</v>
      </c>
      <c r="H555" s="39">
        <v>426220</v>
      </c>
      <c r="I555" s="39" t="s">
        <v>1477</v>
      </c>
      <c r="J555" s="39" t="s">
        <v>60</v>
      </c>
      <c r="K555" s="39" t="s">
        <v>2429</v>
      </c>
      <c r="L555" s="39">
        <v>847030</v>
      </c>
      <c r="M555" s="39" t="s">
        <v>61</v>
      </c>
      <c r="N555" s="39">
        <v>200179</v>
      </c>
      <c r="O555" s="39" t="s">
        <v>2629</v>
      </c>
      <c r="P555" s="39" t="s">
        <v>2440</v>
      </c>
      <c r="Q555" s="39" t="s">
        <v>157</v>
      </c>
      <c r="R555" s="39">
        <v>1</v>
      </c>
      <c r="S555" s="39">
        <v>23714</v>
      </c>
      <c r="T555" s="39" t="s">
        <v>2441</v>
      </c>
      <c r="U555" s="82">
        <v>23714</v>
      </c>
      <c r="V555" s="39" t="s">
        <v>55</v>
      </c>
      <c r="W555" s="39" t="s">
        <v>56</v>
      </c>
      <c r="X555" s="39" t="s">
        <v>816</v>
      </c>
    </row>
    <row r="556" spans="1:24" s="39" customFormat="1" ht="16" customHeight="1" x14ac:dyDescent="0.35">
      <c r="A556" s="39" t="s">
        <v>161</v>
      </c>
      <c r="B556" s="39" t="s">
        <v>58</v>
      </c>
      <c r="C556" s="39" t="s">
        <v>47</v>
      </c>
      <c r="D556" s="80">
        <v>847</v>
      </c>
      <c r="E556" s="39">
        <v>8470530</v>
      </c>
      <c r="F556" s="39" t="s">
        <v>2412</v>
      </c>
      <c r="G556" s="81">
        <v>1</v>
      </c>
      <c r="H556" s="39">
        <v>426250</v>
      </c>
      <c r="I556" s="39" t="s">
        <v>2442</v>
      </c>
      <c r="J556" s="39" t="s">
        <v>60</v>
      </c>
      <c r="K556" s="39" t="s">
        <v>2413</v>
      </c>
      <c r="L556" s="39">
        <v>847010</v>
      </c>
      <c r="M556" s="39" t="s">
        <v>61</v>
      </c>
      <c r="N556" s="39">
        <v>200179</v>
      </c>
      <c r="O556" s="39" t="s">
        <v>2630</v>
      </c>
      <c r="Q556" s="39" t="s">
        <v>62</v>
      </c>
      <c r="U556" s="82">
        <v>0</v>
      </c>
      <c r="X556" s="39" t="s">
        <v>816</v>
      </c>
    </row>
    <row r="557" spans="1:24" s="39" customFormat="1" ht="16" customHeight="1" x14ac:dyDescent="0.35">
      <c r="A557" s="39" t="s">
        <v>153</v>
      </c>
      <c r="B557" s="39" t="s">
        <v>58</v>
      </c>
      <c r="C557" s="39" t="s">
        <v>47</v>
      </c>
      <c r="D557" s="80">
        <v>847</v>
      </c>
      <c r="E557" s="39">
        <v>8470530</v>
      </c>
      <c r="F557" s="39" t="s">
        <v>2412</v>
      </c>
      <c r="G557" s="81">
        <v>1</v>
      </c>
      <c r="H557" s="39">
        <v>428090</v>
      </c>
      <c r="I557" s="39" t="s">
        <v>154</v>
      </c>
      <c r="J557" s="39" t="s">
        <v>60</v>
      </c>
      <c r="K557" s="39" t="s">
        <v>50</v>
      </c>
      <c r="L557" s="39">
        <v>847001</v>
      </c>
      <c r="M557" s="39" t="s">
        <v>61</v>
      </c>
      <c r="N557" s="39">
        <v>200179</v>
      </c>
      <c r="O557" s="39" t="s">
        <v>2631</v>
      </c>
      <c r="P557" s="39" t="s">
        <v>156</v>
      </c>
      <c r="Q557" s="39" t="s">
        <v>157</v>
      </c>
      <c r="R557" s="39">
        <v>1</v>
      </c>
      <c r="S557" s="39">
        <v>300000</v>
      </c>
      <c r="T557" s="39" t="s">
        <v>2260</v>
      </c>
      <c r="U557" s="82">
        <v>300000</v>
      </c>
      <c r="V557" s="39" t="s">
        <v>55</v>
      </c>
      <c r="W557" s="39" t="s">
        <v>56</v>
      </c>
      <c r="X557" s="39" t="s">
        <v>816</v>
      </c>
    </row>
    <row r="558" spans="1:24" s="39" customFormat="1" ht="16" customHeight="1" x14ac:dyDescent="0.35">
      <c r="A558" s="39" t="s">
        <v>161</v>
      </c>
      <c r="B558" s="39" t="s">
        <v>58</v>
      </c>
      <c r="C558" s="39" t="s">
        <v>47</v>
      </c>
      <c r="D558" s="80">
        <v>847</v>
      </c>
      <c r="E558" s="39">
        <v>8470530</v>
      </c>
      <c r="F558" s="39" t="s">
        <v>2412</v>
      </c>
      <c r="G558" s="81">
        <v>1</v>
      </c>
      <c r="H558" s="39">
        <v>432120</v>
      </c>
      <c r="I558" s="39" t="s">
        <v>1480</v>
      </c>
      <c r="J558" s="39" t="s">
        <v>60</v>
      </c>
      <c r="K558" s="39" t="s">
        <v>2413</v>
      </c>
      <c r="L558" s="39">
        <v>847010</v>
      </c>
      <c r="M558" s="39" t="s">
        <v>61</v>
      </c>
      <c r="N558" s="39">
        <v>200179</v>
      </c>
      <c r="O558" s="39" t="s">
        <v>2632</v>
      </c>
      <c r="P558" s="39" t="s">
        <v>2453</v>
      </c>
      <c r="Q558" s="39" t="s">
        <v>515</v>
      </c>
      <c r="R558" s="39">
        <v>1</v>
      </c>
      <c r="S558" s="39">
        <v>13077621</v>
      </c>
      <c r="T558" s="39" t="s">
        <v>2444</v>
      </c>
      <c r="U558" s="82">
        <v>13077621</v>
      </c>
      <c r="V558" s="39" t="s">
        <v>55</v>
      </c>
      <c r="W558" s="39" t="s">
        <v>56</v>
      </c>
      <c r="X558" s="39" t="s">
        <v>816</v>
      </c>
    </row>
    <row r="559" spans="1:24" s="39" customFormat="1" ht="16" customHeight="1" x14ac:dyDescent="0.35">
      <c r="A559" s="39" t="s">
        <v>161</v>
      </c>
      <c r="B559" s="39" t="s">
        <v>58</v>
      </c>
      <c r="C559" s="39" t="s">
        <v>47</v>
      </c>
      <c r="D559" s="80">
        <v>847</v>
      </c>
      <c r="E559" s="39">
        <v>8470530</v>
      </c>
      <c r="F559" s="39" t="s">
        <v>2412</v>
      </c>
      <c r="G559" s="81">
        <v>1</v>
      </c>
      <c r="H559" s="39">
        <v>432120</v>
      </c>
      <c r="I559" s="39" t="s">
        <v>1480</v>
      </c>
      <c r="J559" s="39" t="s">
        <v>60</v>
      </c>
      <c r="K559" s="39" t="s">
        <v>2413</v>
      </c>
      <c r="L559" s="39">
        <v>847010</v>
      </c>
      <c r="M559" s="39" t="s">
        <v>61</v>
      </c>
      <c r="N559" s="39">
        <v>200179</v>
      </c>
      <c r="O559" s="39" t="s">
        <v>2632</v>
      </c>
      <c r="P559" s="39" t="s">
        <v>2453</v>
      </c>
      <c r="Q559" s="39" t="s">
        <v>515</v>
      </c>
      <c r="R559" s="39">
        <v>1</v>
      </c>
      <c r="S559" s="39">
        <v>800000</v>
      </c>
      <c r="T559" s="39" t="s">
        <v>2445</v>
      </c>
      <c r="U559" s="82">
        <v>800000</v>
      </c>
      <c r="V559" s="39" t="s">
        <v>55</v>
      </c>
      <c r="W559" s="39" t="s">
        <v>56</v>
      </c>
      <c r="X559" s="39" t="s">
        <v>816</v>
      </c>
    </row>
    <row r="560" spans="1:24" s="39" customFormat="1" ht="16" customHeight="1" x14ac:dyDescent="0.35">
      <c r="A560" s="39" t="s">
        <v>161</v>
      </c>
      <c r="B560" s="39" t="s">
        <v>58</v>
      </c>
      <c r="C560" s="39" t="s">
        <v>47</v>
      </c>
      <c r="D560" s="80">
        <v>847</v>
      </c>
      <c r="E560" s="39">
        <v>8470530</v>
      </c>
      <c r="F560" s="39" t="s">
        <v>2412</v>
      </c>
      <c r="G560" s="81">
        <v>1</v>
      </c>
      <c r="H560" s="39">
        <v>432120</v>
      </c>
      <c r="I560" s="39" t="s">
        <v>1480</v>
      </c>
      <c r="J560" s="39" t="s">
        <v>60</v>
      </c>
      <c r="K560" s="39" t="s">
        <v>2413</v>
      </c>
      <c r="L560" s="39">
        <v>847010</v>
      </c>
      <c r="M560" s="39" t="s">
        <v>61</v>
      </c>
      <c r="N560" s="39">
        <v>200179</v>
      </c>
      <c r="O560" s="39" t="s">
        <v>2632</v>
      </c>
      <c r="P560" s="39" t="s">
        <v>2453</v>
      </c>
      <c r="Q560" s="39" t="s">
        <v>515</v>
      </c>
      <c r="R560" s="39">
        <v>1</v>
      </c>
      <c r="S560" s="39">
        <v>43500</v>
      </c>
      <c r="T560" s="39" t="s">
        <v>2446</v>
      </c>
      <c r="U560" s="82">
        <v>43500</v>
      </c>
      <c r="V560" s="39" t="s">
        <v>55</v>
      </c>
      <c r="W560" s="39" t="s">
        <v>56</v>
      </c>
      <c r="X560" s="39" t="s">
        <v>816</v>
      </c>
    </row>
    <row r="561" spans="1:24" s="39" customFormat="1" ht="16" customHeight="1" x14ac:dyDescent="0.35">
      <c r="A561" s="39" t="s">
        <v>161</v>
      </c>
      <c r="B561" s="39" t="s">
        <v>58</v>
      </c>
      <c r="C561" s="39" t="s">
        <v>47</v>
      </c>
      <c r="D561" s="80">
        <v>847</v>
      </c>
      <c r="E561" s="39">
        <v>8470530</v>
      </c>
      <c r="F561" s="39" t="s">
        <v>2412</v>
      </c>
      <c r="G561" s="81">
        <v>1</v>
      </c>
      <c r="H561" s="39">
        <v>432120</v>
      </c>
      <c r="I561" s="39" t="s">
        <v>1480</v>
      </c>
      <c r="J561" s="39" t="s">
        <v>60</v>
      </c>
      <c r="K561" s="39" t="s">
        <v>2417</v>
      </c>
      <c r="L561" s="39">
        <v>847015</v>
      </c>
      <c r="M561" s="39" t="s">
        <v>61</v>
      </c>
      <c r="N561" s="39">
        <v>200179</v>
      </c>
      <c r="O561" s="39" t="s">
        <v>2638</v>
      </c>
      <c r="Q561" s="39" t="s">
        <v>515</v>
      </c>
      <c r="U561" s="82"/>
      <c r="V561" s="39" t="s">
        <v>55</v>
      </c>
      <c r="W561" s="39" t="s">
        <v>56</v>
      </c>
      <c r="X561" s="39" t="s">
        <v>816</v>
      </c>
    </row>
    <row r="562" spans="1:24" s="39" customFormat="1" ht="16" customHeight="1" x14ac:dyDescent="0.35">
      <c r="A562" s="39" t="s">
        <v>161</v>
      </c>
      <c r="B562" s="39" t="s">
        <v>58</v>
      </c>
      <c r="C562" s="39" t="s">
        <v>47</v>
      </c>
      <c r="D562" s="80">
        <v>847</v>
      </c>
      <c r="E562" s="39">
        <v>8470530</v>
      </c>
      <c r="F562" s="39" t="s">
        <v>2412</v>
      </c>
      <c r="G562" s="81">
        <v>1</v>
      </c>
      <c r="H562" s="39">
        <v>432120</v>
      </c>
      <c r="I562" s="39" t="s">
        <v>1480</v>
      </c>
      <c r="J562" s="39" t="s">
        <v>60</v>
      </c>
      <c r="K562" s="39" t="s">
        <v>2093</v>
      </c>
      <c r="L562" s="39">
        <v>847020</v>
      </c>
      <c r="M562" s="39" t="s">
        <v>61</v>
      </c>
      <c r="N562" s="39">
        <v>200179</v>
      </c>
      <c r="O562" s="39" t="s">
        <v>2639</v>
      </c>
      <c r="P562" s="39" t="s">
        <v>2453</v>
      </c>
      <c r="Q562" s="39" t="s">
        <v>515</v>
      </c>
      <c r="R562" s="39">
        <v>1</v>
      </c>
      <c r="S562" s="39">
        <v>15393196</v>
      </c>
      <c r="T562" s="39" t="s">
        <v>2444</v>
      </c>
      <c r="U562" s="82">
        <v>15393196</v>
      </c>
      <c r="V562" s="39" t="s">
        <v>55</v>
      </c>
      <c r="W562" s="39" t="s">
        <v>56</v>
      </c>
      <c r="X562" s="39" t="s">
        <v>816</v>
      </c>
    </row>
    <row r="563" spans="1:24" s="39" customFormat="1" ht="16" customHeight="1" x14ac:dyDescent="0.35">
      <c r="A563" s="39" t="s">
        <v>161</v>
      </c>
      <c r="B563" s="39" t="s">
        <v>58</v>
      </c>
      <c r="C563" s="39">
        <v>0</v>
      </c>
      <c r="D563" s="80">
        <v>847</v>
      </c>
      <c r="E563" s="39">
        <v>8470530</v>
      </c>
      <c r="F563" s="39" t="s">
        <v>2412</v>
      </c>
      <c r="G563" s="81">
        <v>1</v>
      </c>
      <c r="H563" s="39">
        <v>432120</v>
      </c>
      <c r="I563" s="39" t="s">
        <v>1480</v>
      </c>
      <c r="J563" s="39" t="s">
        <v>60</v>
      </c>
      <c r="K563" s="39" t="s">
        <v>2093</v>
      </c>
      <c r="L563" s="39">
        <v>847020</v>
      </c>
      <c r="M563" s="39" t="s">
        <v>61</v>
      </c>
      <c r="N563" s="39">
        <v>200179</v>
      </c>
      <c r="O563" s="39" t="s">
        <v>2639</v>
      </c>
      <c r="P563" s="39" t="s">
        <v>2453</v>
      </c>
      <c r="Q563" s="39" t="s">
        <v>62</v>
      </c>
      <c r="R563" s="39">
        <v>1</v>
      </c>
      <c r="S563" s="39">
        <v>900000</v>
      </c>
      <c r="T563" s="39" t="s">
        <v>2445</v>
      </c>
      <c r="U563" s="82">
        <v>900000</v>
      </c>
      <c r="V563" s="39" t="s">
        <v>55</v>
      </c>
      <c r="W563" s="39" t="s">
        <v>56</v>
      </c>
      <c r="X563" s="39" t="s">
        <v>816</v>
      </c>
    </row>
    <row r="564" spans="1:24" s="39" customFormat="1" ht="16" customHeight="1" x14ac:dyDescent="0.35">
      <c r="A564" s="39" t="s">
        <v>161</v>
      </c>
      <c r="B564" s="39" t="s">
        <v>58</v>
      </c>
      <c r="C564" s="39">
        <v>0</v>
      </c>
      <c r="D564" s="80">
        <v>847</v>
      </c>
      <c r="E564" s="39">
        <v>8470530</v>
      </c>
      <c r="F564" s="39" t="s">
        <v>2412</v>
      </c>
      <c r="G564" s="81">
        <v>1</v>
      </c>
      <c r="H564" s="39">
        <v>432120</v>
      </c>
      <c r="I564" s="39" t="s">
        <v>1480</v>
      </c>
      <c r="J564" s="39" t="s">
        <v>60</v>
      </c>
      <c r="K564" s="39" t="s">
        <v>2093</v>
      </c>
      <c r="L564" s="39">
        <v>847020</v>
      </c>
      <c r="M564" s="39" t="s">
        <v>61</v>
      </c>
      <c r="N564" s="39">
        <v>200179</v>
      </c>
      <c r="O564" s="39" t="s">
        <v>2639</v>
      </c>
      <c r="P564" s="39" t="s">
        <v>2453</v>
      </c>
      <c r="Q564" s="39" t="s">
        <v>515</v>
      </c>
      <c r="R564" s="39">
        <v>1</v>
      </c>
      <c r="S564" s="39">
        <v>142000</v>
      </c>
      <c r="T564" s="39" t="s">
        <v>2446</v>
      </c>
      <c r="U564" s="82">
        <v>142000</v>
      </c>
      <c r="V564" s="39" t="s">
        <v>55</v>
      </c>
      <c r="W564" s="39" t="s">
        <v>56</v>
      </c>
      <c r="X564" s="39" t="s">
        <v>816</v>
      </c>
    </row>
    <row r="565" spans="1:24" s="39" customFormat="1" ht="16" customHeight="1" x14ac:dyDescent="0.35">
      <c r="A565" s="39" t="s">
        <v>161</v>
      </c>
      <c r="B565" s="39" t="s">
        <v>58</v>
      </c>
      <c r="C565" s="39" t="s">
        <v>47</v>
      </c>
      <c r="D565" s="80">
        <v>847</v>
      </c>
      <c r="E565" s="39">
        <v>8470530</v>
      </c>
      <c r="F565" s="39" t="s">
        <v>2412</v>
      </c>
      <c r="G565" s="81">
        <v>1</v>
      </c>
      <c r="H565" s="39">
        <v>432120</v>
      </c>
      <c r="I565" s="39" t="s">
        <v>1480</v>
      </c>
      <c r="J565" s="39" t="s">
        <v>60</v>
      </c>
      <c r="K565" s="39" t="s">
        <v>2429</v>
      </c>
      <c r="L565" s="39">
        <v>847030</v>
      </c>
      <c r="M565" s="39" t="s">
        <v>61</v>
      </c>
      <c r="N565" s="39">
        <v>200179</v>
      </c>
      <c r="O565" s="39" t="s">
        <v>2642</v>
      </c>
      <c r="P565" s="39" t="s">
        <v>2453</v>
      </c>
      <c r="Q565" s="39" t="s">
        <v>515</v>
      </c>
      <c r="R565" s="39">
        <v>1</v>
      </c>
      <c r="S565" s="39">
        <v>600000</v>
      </c>
      <c r="T565" s="39" t="s">
        <v>2700</v>
      </c>
      <c r="U565" s="82">
        <v>600000</v>
      </c>
      <c r="V565" s="39" t="s">
        <v>55</v>
      </c>
      <c r="W565" s="39" t="s">
        <v>56</v>
      </c>
      <c r="X565" s="39" t="s">
        <v>816</v>
      </c>
    </row>
    <row r="566" spans="1:24" s="39" customFormat="1" ht="16" customHeight="1" x14ac:dyDescent="0.35">
      <c r="A566" s="39" t="s">
        <v>161</v>
      </c>
      <c r="B566" s="39" t="s">
        <v>58</v>
      </c>
      <c r="C566" s="39" t="s">
        <v>47</v>
      </c>
      <c r="D566" s="80">
        <v>847</v>
      </c>
      <c r="E566" s="39">
        <v>8470530</v>
      </c>
      <c r="F566" s="39" t="s">
        <v>2412</v>
      </c>
      <c r="G566" s="81">
        <v>1</v>
      </c>
      <c r="H566" s="39">
        <v>432120</v>
      </c>
      <c r="I566" s="39" t="s">
        <v>1480</v>
      </c>
      <c r="J566" s="39" t="s">
        <v>60</v>
      </c>
      <c r="K566" s="39" t="s">
        <v>2429</v>
      </c>
      <c r="L566" s="39">
        <v>847030</v>
      </c>
      <c r="M566" s="39" t="s">
        <v>61</v>
      </c>
      <c r="N566" s="39">
        <v>200179</v>
      </c>
      <c r="O566" s="39" t="s">
        <v>2642</v>
      </c>
      <c r="P566" s="39" t="s">
        <v>2453</v>
      </c>
      <c r="Q566" s="39" t="s">
        <v>515</v>
      </c>
      <c r="R566" s="39">
        <v>1</v>
      </c>
      <c r="S566" s="39">
        <v>315252</v>
      </c>
      <c r="T566" s="39" t="s">
        <v>2644</v>
      </c>
      <c r="U566" s="82">
        <v>315252</v>
      </c>
      <c r="V566" s="39" t="s">
        <v>55</v>
      </c>
      <c r="W566" s="39" t="s">
        <v>56</v>
      </c>
      <c r="X566" s="39" t="s">
        <v>816</v>
      </c>
    </row>
    <row r="567" spans="1:24" s="39" customFormat="1" ht="16" customHeight="1" x14ac:dyDescent="0.35">
      <c r="A567" s="39" t="s">
        <v>161</v>
      </c>
      <c r="B567" s="39" t="s">
        <v>58</v>
      </c>
      <c r="C567" s="39" t="s">
        <v>47</v>
      </c>
      <c r="D567" s="80">
        <v>847</v>
      </c>
      <c r="E567" s="39">
        <v>8470530</v>
      </c>
      <c r="F567" s="39" t="s">
        <v>2412</v>
      </c>
      <c r="G567" s="81">
        <v>1</v>
      </c>
      <c r="H567" s="39">
        <v>432120</v>
      </c>
      <c r="I567" s="39" t="s">
        <v>1480</v>
      </c>
      <c r="J567" s="39" t="s">
        <v>60</v>
      </c>
      <c r="K567" s="39" t="s">
        <v>2429</v>
      </c>
      <c r="L567" s="39">
        <v>847030</v>
      </c>
      <c r="M567" s="39" t="s">
        <v>61</v>
      </c>
      <c r="N567" s="39">
        <v>200179</v>
      </c>
      <c r="O567" s="39" t="s">
        <v>2642</v>
      </c>
      <c r="P567" s="39" t="s">
        <v>2453</v>
      </c>
      <c r="Q567" s="39" t="s">
        <v>515</v>
      </c>
      <c r="R567" s="39">
        <v>1</v>
      </c>
      <c r="S567" s="39">
        <v>100000</v>
      </c>
      <c r="T567" s="39" t="s">
        <v>2645</v>
      </c>
      <c r="U567" s="82">
        <v>100000</v>
      </c>
      <c r="V567" s="39" t="s">
        <v>55</v>
      </c>
      <c r="W567" s="39" t="s">
        <v>56</v>
      </c>
      <c r="X567" s="39" t="s">
        <v>816</v>
      </c>
    </row>
    <row r="568" spans="1:24" s="39" customFormat="1" ht="16" customHeight="1" x14ac:dyDescent="0.35">
      <c r="A568" s="39" t="s">
        <v>161</v>
      </c>
      <c r="B568" s="39" t="s">
        <v>58</v>
      </c>
      <c r="C568" s="39" t="s">
        <v>47</v>
      </c>
      <c r="D568" s="80">
        <v>847</v>
      </c>
      <c r="E568" s="39">
        <v>8470530</v>
      </c>
      <c r="F568" s="39" t="s">
        <v>2412</v>
      </c>
      <c r="G568" s="81">
        <v>1</v>
      </c>
      <c r="H568" s="39">
        <v>432120</v>
      </c>
      <c r="I568" s="39" t="s">
        <v>1480</v>
      </c>
      <c r="J568" s="39" t="s">
        <v>60</v>
      </c>
      <c r="K568" s="39" t="s">
        <v>2429</v>
      </c>
      <c r="L568" s="39">
        <v>847030</v>
      </c>
      <c r="M568" s="39" t="s">
        <v>61</v>
      </c>
      <c r="N568" s="39">
        <v>200179</v>
      </c>
      <c r="O568" s="39" t="s">
        <v>2642</v>
      </c>
      <c r="P568" s="39" t="s">
        <v>2453</v>
      </c>
      <c r="Q568" s="39" t="s">
        <v>515</v>
      </c>
      <c r="R568" s="39">
        <v>1</v>
      </c>
      <c r="S568" s="39">
        <v>240000</v>
      </c>
      <c r="T568" s="39" t="s">
        <v>2464</v>
      </c>
      <c r="U568" s="82">
        <v>240000</v>
      </c>
      <c r="V568" s="39" t="s">
        <v>55</v>
      </c>
      <c r="W568" s="39" t="s">
        <v>56</v>
      </c>
      <c r="X568" s="39" t="s">
        <v>816</v>
      </c>
    </row>
    <row r="569" spans="1:24" s="39" customFormat="1" ht="16" customHeight="1" x14ac:dyDescent="0.35">
      <c r="A569" s="39" t="s">
        <v>161</v>
      </c>
      <c r="B569" s="39" t="s">
        <v>58</v>
      </c>
      <c r="C569" s="39" t="s">
        <v>47</v>
      </c>
      <c r="D569" s="80">
        <v>847</v>
      </c>
      <c r="E569" s="39">
        <v>8470530</v>
      </c>
      <c r="F569" s="39" t="s">
        <v>2412</v>
      </c>
      <c r="G569" s="81">
        <v>1</v>
      </c>
      <c r="H569" s="39">
        <v>432120</v>
      </c>
      <c r="I569" s="39" t="s">
        <v>1480</v>
      </c>
      <c r="J569" s="39" t="s">
        <v>60</v>
      </c>
      <c r="K569" s="39" t="s">
        <v>2429</v>
      </c>
      <c r="L569" s="39">
        <v>847030</v>
      </c>
      <c r="M569" s="39" t="s">
        <v>61</v>
      </c>
      <c r="N569" s="39">
        <v>200179</v>
      </c>
      <c r="O569" s="39" t="s">
        <v>2642</v>
      </c>
      <c r="P569" s="39" t="s">
        <v>2453</v>
      </c>
      <c r="Q569" s="39" t="s">
        <v>515</v>
      </c>
      <c r="R569" s="39">
        <v>1</v>
      </c>
      <c r="S569" s="39">
        <v>480000</v>
      </c>
      <c r="T569" s="39" t="s">
        <v>2465</v>
      </c>
      <c r="U569" s="82">
        <v>480000</v>
      </c>
      <c r="V569" s="39" t="s">
        <v>55</v>
      </c>
      <c r="W569" s="39" t="s">
        <v>56</v>
      </c>
      <c r="X569" s="39" t="s">
        <v>816</v>
      </c>
    </row>
    <row r="570" spans="1:24" s="39" customFormat="1" ht="16" customHeight="1" x14ac:dyDescent="0.35">
      <c r="A570" s="39" t="s">
        <v>1535</v>
      </c>
      <c r="B570" s="39" t="s">
        <v>58</v>
      </c>
      <c r="C570" s="39" t="s">
        <v>47</v>
      </c>
      <c r="D570" s="80">
        <v>847</v>
      </c>
      <c r="E570" s="39">
        <v>8470530</v>
      </c>
      <c r="F570" s="39" t="s">
        <v>2412</v>
      </c>
      <c r="G570" s="81">
        <v>1</v>
      </c>
      <c r="H570" s="39">
        <v>432170</v>
      </c>
      <c r="I570" s="39" t="s">
        <v>1536</v>
      </c>
      <c r="J570" s="39" t="s">
        <v>60</v>
      </c>
      <c r="K570" s="39" t="s">
        <v>2413</v>
      </c>
      <c r="L570" s="39">
        <v>847010</v>
      </c>
      <c r="M570" s="39" t="s">
        <v>61</v>
      </c>
      <c r="N570" s="39">
        <v>200179</v>
      </c>
      <c r="O570" s="39" t="s">
        <v>2646</v>
      </c>
      <c r="P570" s="39" t="s">
        <v>1537</v>
      </c>
      <c r="Q570" s="39" t="s">
        <v>515</v>
      </c>
      <c r="R570" s="39">
        <v>1</v>
      </c>
      <c r="S570" s="39">
        <v>30000</v>
      </c>
      <c r="T570" s="39" t="s">
        <v>2466</v>
      </c>
      <c r="U570" s="82">
        <v>30000</v>
      </c>
      <c r="V570" s="39" t="s">
        <v>55</v>
      </c>
      <c r="W570" s="39" t="s">
        <v>56</v>
      </c>
      <c r="X570" s="39" t="s">
        <v>816</v>
      </c>
    </row>
    <row r="571" spans="1:24" s="39" customFormat="1" ht="16" customHeight="1" x14ac:dyDescent="0.35">
      <c r="A571" s="39" t="s">
        <v>161</v>
      </c>
      <c r="B571" s="39" t="s">
        <v>58</v>
      </c>
      <c r="C571" s="39" t="s">
        <v>47</v>
      </c>
      <c r="D571" s="80">
        <v>847</v>
      </c>
      <c r="E571" s="39">
        <v>8470530</v>
      </c>
      <c r="F571" s="39" t="s">
        <v>2412</v>
      </c>
      <c r="G571" s="81">
        <v>1</v>
      </c>
      <c r="H571" s="39">
        <v>432320</v>
      </c>
      <c r="I571" s="39" t="s">
        <v>2467</v>
      </c>
      <c r="J571" s="39" t="s">
        <v>60</v>
      </c>
      <c r="K571" s="39" t="s">
        <v>2413</v>
      </c>
      <c r="L571" s="39">
        <v>847010</v>
      </c>
      <c r="M571" s="39" t="s">
        <v>61</v>
      </c>
      <c r="N571" s="39">
        <v>200179</v>
      </c>
      <c r="O571" s="39" t="s">
        <v>2647</v>
      </c>
      <c r="P571" s="39" t="s">
        <v>2468</v>
      </c>
      <c r="Q571" s="39" t="s">
        <v>515</v>
      </c>
      <c r="R571" s="39">
        <v>1</v>
      </c>
      <c r="S571" s="39">
        <v>25000</v>
      </c>
      <c r="T571" s="39" t="s">
        <v>2469</v>
      </c>
      <c r="U571" s="82">
        <v>25000</v>
      </c>
      <c r="V571" s="39" t="s">
        <v>55</v>
      </c>
      <c r="W571" s="39" t="s">
        <v>56</v>
      </c>
      <c r="X571" s="39" t="s">
        <v>816</v>
      </c>
    </row>
    <row r="572" spans="1:24" s="39" customFormat="1" ht="16" customHeight="1" x14ac:dyDescent="0.35">
      <c r="A572" s="39" t="s">
        <v>161</v>
      </c>
      <c r="B572" s="39" t="s">
        <v>2474</v>
      </c>
      <c r="C572" s="39" t="s">
        <v>47</v>
      </c>
      <c r="D572" s="80">
        <v>847</v>
      </c>
      <c r="E572" s="39">
        <v>8470530</v>
      </c>
      <c r="F572" s="39" t="s">
        <v>2412</v>
      </c>
      <c r="G572" s="81">
        <v>1</v>
      </c>
      <c r="H572" s="39">
        <v>492200</v>
      </c>
      <c r="I572" s="39" t="s">
        <v>2475</v>
      </c>
      <c r="J572" s="39" t="s">
        <v>60</v>
      </c>
      <c r="K572" s="39" t="s">
        <v>50</v>
      </c>
      <c r="L572" s="39">
        <v>847001</v>
      </c>
      <c r="M572" s="39" t="s">
        <v>192</v>
      </c>
      <c r="N572" s="39">
        <v>300180</v>
      </c>
      <c r="O572" s="39" t="s">
        <v>2648</v>
      </c>
      <c r="P572" s="39" t="s">
        <v>2477</v>
      </c>
      <c r="Q572" s="39" t="s">
        <v>515</v>
      </c>
      <c r="R572" s="39">
        <v>1</v>
      </c>
      <c r="S572" s="39">
        <v>2520000</v>
      </c>
      <c r="T572" s="39" t="s">
        <v>2701</v>
      </c>
      <c r="U572" s="82">
        <v>2520000</v>
      </c>
      <c r="V572" s="39" t="s">
        <v>55</v>
      </c>
      <c r="W572" s="39" t="s">
        <v>56</v>
      </c>
      <c r="X572" s="39" t="s">
        <v>816</v>
      </c>
    </row>
    <row r="573" spans="1:24" s="39" customFormat="1" ht="16" customHeight="1" x14ac:dyDescent="0.35">
      <c r="A573" s="39" t="s">
        <v>161</v>
      </c>
      <c r="B573" s="39" t="s">
        <v>2474</v>
      </c>
      <c r="C573" s="39" t="s">
        <v>47</v>
      </c>
      <c r="D573" s="80">
        <v>847</v>
      </c>
      <c r="E573" s="39">
        <v>8470530</v>
      </c>
      <c r="F573" s="39" t="s">
        <v>2412</v>
      </c>
      <c r="G573" s="81">
        <v>1</v>
      </c>
      <c r="H573" s="39">
        <v>492200</v>
      </c>
      <c r="I573" s="39" t="s">
        <v>2475</v>
      </c>
      <c r="J573" s="39" t="s">
        <v>60</v>
      </c>
      <c r="K573" s="39" t="s">
        <v>2413</v>
      </c>
      <c r="L573" s="39">
        <v>847010</v>
      </c>
      <c r="M573" s="39" t="s">
        <v>192</v>
      </c>
      <c r="N573" s="39">
        <v>300180</v>
      </c>
      <c r="O573" s="39" t="s">
        <v>2649</v>
      </c>
      <c r="P573" s="39" t="s">
        <v>2477</v>
      </c>
      <c r="Q573" s="39" t="s">
        <v>515</v>
      </c>
      <c r="R573" s="39">
        <v>1</v>
      </c>
      <c r="S573" s="39">
        <v>120000</v>
      </c>
      <c r="T573" s="39" t="s">
        <v>2702</v>
      </c>
      <c r="U573" s="82">
        <v>120000</v>
      </c>
      <c r="V573" s="39" t="s">
        <v>55</v>
      </c>
      <c r="W573" s="39" t="s">
        <v>56</v>
      </c>
      <c r="X573" s="39" t="s">
        <v>816</v>
      </c>
    </row>
    <row r="574" spans="1:24" s="39" customFormat="1" ht="16" customHeight="1" x14ac:dyDescent="0.35">
      <c r="A574" s="39" t="s">
        <v>161</v>
      </c>
      <c r="B574" s="39" t="s">
        <v>2474</v>
      </c>
      <c r="C574" s="39">
        <v>0</v>
      </c>
      <c r="D574" s="80">
        <v>847</v>
      </c>
      <c r="E574" s="39">
        <v>8470530</v>
      </c>
      <c r="F574" s="39" t="s">
        <v>2412</v>
      </c>
      <c r="G574" s="81">
        <v>1</v>
      </c>
      <c r="H574" s="39">
        <v>492200</v>
      </c>
      <c r="I574" s="39" t="s">
        <v>2475</v>
      </c>
      <c r="J574" s="39" t="s">
        <v>60</v>
      </c>
      <c r="K574" s="39" t="s">
        <v>2413</v>
      </c>
      <c r="L574" s="39">
        <v>847010</v>
      </c>
      <c r="M574" s="39" t="s">
        <v>192</v>
      </c>
      <c r="N574" s="39">
        <v>300180</v>
      </c>
      <c r="O574" s="39" t="s">
        <v>2649</v>
      </c>
      <c r="P574" s="39" t="s">
        <v>2477</v>
      </c>
      <c r="Q574" s="39" t="s">
        <v>157</v>
      </c>
      <c r="R574" s="39">
        <v>1</v>
      </c>
      <c r="S574" s="39">
        <v>114999.99999999999</v>
      </c>
      <c r="T574" s="39" t="s">
        <v>2703</v>
      </c>
      <c r="U574" s="82">
        <v>114999.99999999999</v>
      </c>
      <c r="V574" s="39" t="s">
        <v>55</v>
      </c>
      <c r="W574" s="39" t="s">
        <v>56</v>
      </c>
      <c r="X574" s="39" t="s">
        <v>816</v>
      </c>
    </row>
    <row r="575" spans="1:24" s="39" customFormat="1" ht="16" customHeight="1" x14ac:dyDescent="0.35">
      <c r="A575" s="39" t="s">
        <v>161</v>
      </c>
      <c r="B575" s="39" t="s">
        <v>2474</v>
      </c>
      <c r="C575" s="39">
        <v>0</v>
      </c>
      <c r="D575" s="80">
        <v>847</v>
      </c>
      <c r="E575" s="39">
        <v>8470530</v>
      </c>
      <c r="F575" s="39" t="s">
        <v>2412</v>
      </c>
      <c r="G575" s="81">
        <v>1</v>
      </c>
      <c r="H575" s="39">
        <v>492200</v>
      </c>
      <c r="I575" s="39" t="s">
        <v>2475</v>
      </c>
      <c r="J575" s="39" t="s">
        <v>60</v>
      </c>
      <c r="K575" s="39" t="s">
        <v>2413</v>
      </c>
      <c r="L575" s="39">
        <v>847010</v>
      </c>
      <c r="M575" s="39" t="s">
        <v>192</v>
      </c>
      <c r="N575" s="39">
        <v>300180</v>
      </c>
      <c r="O575" s="39" t="s">
        <v>2649</v>
      </c>
      <c r="P575" s="39" t="s">
        <v>2477</v>
      </c>
      <c r="Q575" s="39" t="s">
        <v>157</v>
      </c>
      <c r="R575" s="39">
        <v>1</v>
      </c>
      <c r="S575" s="39">
        <v>114999.99999999999</v>
      </c>
      <c r="T575" s="39" t="s">
        <v>2704</v>
      </c>
      <c r="U575" s="82">
        <v>114999.99999999999</v>
      </c>
      <c r="V575" s="39" t="s">
        <v>55</v>
      </c>
      <c r="W575" s="39" t="s">
        <v>56</v>
      </c>
      <c r="X575" s="39" t="s">
        <v>816</v>
      </c>
    </row>
    <row r="576" spans="1:24" s="39" customFormat="1" ht="16" customHeight="1" x14ac:dyDescent="0.35">
      <c r="A576" s="39" t="s">
        <v>161</v>
      </c>
      <c r="B576" s="39" t="s">
        <v>2474</v>
      </c>
      <c r="C576" s="39">
        <v>0</v>
      </c>
      <c r="D576" s="80">
        <v>847</v>
      </c>
      <c r="E576" s="39">
        <v>8470530</v>
      </c>
      <c r="F576" s="39" t="s">
        <v>2412</v>
      </c>
      <c r="G576" s="81">
        <v>1</v>
      </c>
      <c r="H576" s="39">
        <v>492200</v>
      </c>
      <c r="I576" s="39" t="s">
        <v>2475</v>
      </c>
      <c r="J576" s="39" t="s">
        <v>60</v>
      </c>
      <c r="K576" s="39" t="s">
        <v>2413</v>
      </c>
      <c r="L576" s="39">
        <v>847010</v>
      </c>
      <c r="M576" s="39" t="s">
        <v>192</v>
      </c>
      <c r="N576" s="39">
        <v>300180</v>
      </c>
      <c r="O576" s="39" t="s">
        <v>2649</v>
      </c>
      <c r="P576" s="39" t="s">
        <v>2477</v>
      </c>
      <c r="Q576" s="39" t="s">
        <v>62</v>
      </c>
      <c r="R576" s="39">
        <v>1</v>
      </c>
      <c r="S576" s="39">
        <v>100000</v>
      </c>
      <c r="T576" s="39" t="s">
        <v>2654</v>
      </c>
      <c r="U576" s="82">
        <v>100000</v>
      </c>
      <c r="V576" s="39" t="s">
        <v>55</v>
      </c>
      <c r="W576" s="39" t="s">
        <v>56</v>
      </c>
      <c r="X576" s="39" t="s">
        <v>816</v>
      </c>
    </row>
    <row r="577" spans="1:25" s="39" customFormat="1" ht="16" customHeight="1" x14ac:dyDescent="0.35">
      <c r="A577" s="39" t="s">
        <v>161</v>
      </c>
      <c r="B577" s="39" t="s">
        <v>2474</v>
      </c>
      <c r="C577" s="39">
        <v>0</v>
      </c>
      <c r="D577" s="80">
        <v>847</v>
      </c>
      <c r="E577" s="39">
        <v>8470530</v>
      </c>
      <c r="F577" s="39" t="s">
        <v>2412</v>
      </c>
      <c r="G577" s="81">
        <v>1</v>
      </c>
      <c r="H577" s="39">
        <v>492200</v>
      </c>
      <c r="I577" s="39" t="s">
        <v>2475</v>
      </c>
      <c r="J577" s="39" t="s">
        <v>60</v>
      </c>
      <c r="K577" s="39" t="s">
        <v>2413</v>
      </c>
      <c r="L577" s="39">
        <v>847010</v>
      </c>
      <c r="M577" s="39" t="s">
        <v>192</v>
      </c>
      <c r="N577" s="39">
        <v>300180</v>
      </c>
      <c r="O577" s="39" t="s">
        <v>2649</v>
      </c>
      <c r="P577" s="39" t="s">
        <v>2477</v>
      </c>
      <c r="Q577" s="39" t="s">
        <v>62</v>
      </c>
      <c r="R577" s="39">
        <v>1</v>
      </c>
      <c r="S577" s="39">
        <v>100000</v>
      </c>
      <c r="T577" s="39" t="s">
        <v>2655</v>
      </c>
      <c r="U577" s="82">
        <v>100000</v>
      </c>
      <c r="V577" s="39" t="s">
        <v>55</v>
      </c>
      <c r="W577" s="39" t="s">
        <v>56</v>
      </c>
      <c r="X577" s="39" t="s">
        <v>816</v>
      </c>
    </row>
    <row r="578" spans="1:25" s="39" customFormat="1" ht="16" customHeight="1" x14ac:dyDescent="0.35">
      <c r="A578" s="39" t="s">
        <v>161</v>
      </c>
      <c r="B578" s="39" t="s">
        <v>2474</v>
      </c>
      <c r="C578" s="39">
        <v>0</v>
      </c>
      <c r="D578" s="80">
        <v>847</v>
      </c>
      <c r="E578" s="39">
        <v>8470530</v>
      </c>
      <c r="F578" s="39" t="s">
        <v>2412</v>
      </c>
      <c r="G578" s="81">
        <v>1</v>
      </c>
      <c r="H578" s="39">
        <v>492200</v>
      </c>
      <c r="I578" s="39" t="s">
        <v>2475</v>
      </c>
      <c r="J578" s="39" t="s">
        <v>60</v>
      </c>
      <c r="K578" s="39" t="s">
        <v>2413</v>
      </c>
      <c r="L578" s="39">
        <v>847010</v>
      </c>
      <c r="M578" s="39" t="s">
        <v>192</v>
      </c>
      <c r="N578" s="39">
        <v>300180</v>
      </c>
      <c r="O578" s="39" t="s">
        <v>2649</v>
      </c>
      <c r="P578" s="39" t="s">
        <v>2477</v>
      </c>
      <c r="Q578" s="39" t="s">
        <v>515</v>
      </c>
      <c r="R578" s="39">
        <v>1</v>
      </c>
      <c r="S578" s="39">
        <v>100000</v>
      </c>
      <c r="T578" s="39" t="s">
        <v>2705</v>
      </c>
      <c r="U578" s="82">
        <v>100000</v>
      </c>
      <c r="V578" s="39" t="s">
        <v>55</v>
      </c>
      <c r="W578" s="39" t="s">
        <v>56</v>
      </c>
      <c r="X578" s="39" t="s">
        <v>816</v>
      </c>
    </row>
    <row r="579" spans="1:25" s="39" customFormat="1" ht="16" customHeight="1" x14ac:dyDescent="0.35">
      <c r="A579" s="39" t="s">
        <v>161</v>
      </c>
      <c r="B579" s="39" t="s">
        <v>2474</v>
      </c>
      <c r="C579" s="39" t="s">
        <v>47</v>
      </c>
      <c r="D579" s="80">
        <v>847</v>
      </c>
      <c r="E579" s="39">
        <v>8470530</v>
      </c>
      <c r="F579" s="39" t="s">
        <v>2412</v>
      </c>
      <c r="G579" s="81">
        <v>1</v>
      </c>
      <c r="H579" s="39">
        <v>492610</v>
      </c>
      <c r="I579" s="39" t="s">
        <v>2537</v>
      </c>
      <c r="J579" s="39" t="s">
        <v>60</v>
      </c>
      <c r="K579" s="39" t="s">
        <v>2093</v>
      </c>
      <c r="L579" s="39">
        <v>847020</v>
      </c>
      <c r="M579" s="39" t="s">
        <v>192</v>
      </c>
      <c r="N579" s="39">
        <v>300180</v>
      </c>
      <c r="O579" s="39" t="s">
        <v>2673</v>
      </c>
      <c r="P579" s="39" t="s">
        <v>2538</v>
      </c>
      <c r="Q579" s="39" t="s">
        <v>515</v>
      </c>
      <c r="R579" s="39">
        <v>1</v>
      </c>
      <c r="S579" s="39">
        <v>100000</v>
      </c>
      <c r="T579" s="39" t="s">
        <v>2549</v>
      </c>
      <c r="U579" s="82">
        <v>100000</v>
      </c>
      <c r="V579" s="39" t="s">
        <v>55</v>
      </c>
      <c r="W579" s="39" t="s">
        <v>56</v>
      </c>
      <c r="X579" s="39" t="s">
        <v>816</v>
      </c>
    </row>
    <row r="580" spans="1:25" s="39" customFormat="1" ht="16" customHeight="1" x14ac:dyDescent="0.35">
      <c r="A580" s="39">
        <v>0</v>
      </c>
      <c r="B580" s="39" t="s">
        <v>58</v>
      </c>
      <c r="C580" s="39" t="s">
        <v>47</v>
      </c>
      <c r="D580" s="80">
        <v>847</v>
      </c>
      <c r="E580" s="39">
        <v>8470530</v>
      </c>
      <c r="F580" s="39" t="s">
        <v>2412</v>
      </c>
      <c r="G580" s="81">
        <v>1</v>
      </c>
      <c r="H580" s="39">
        <v>495110</v>
      </c>
      <c r="I580" s="39" t="s">
        <v>213</v>
      </c>
      <c r="J580" s="39" t="s">
        <v>60</v>
      </c>
      <c r="K580" s="39" t="s">
        <v>50</v>
      </c>
      <c r="L580" s="39">
        <v>847001</v>
      </c>
      <c r="M580" s="39" t="s">
        <v>192</v>
      </c>
      <c r="N580" s="39">
        <v>300180</v>
      </c>
      <c r="O580" s="39" t="s">
        <v>2667</v>
      </c>
      <c r="P580" s="39" t="s">
        <v>907</v>
      </c>
      <c r="Q580" s="39" t="s">
        <v>515</v>
      </c>
      <c r="R580" s="39">
        <v>1</v>
      </c>
      <c r="S580" s="39">
        <v>2500000</v>
      </c>
      <c r="T580" s="39" t="s">
        <v>2669</v>
      </c>
      <c r="U580" s="82">
        <v>2500000</v>
      </c>
      <c r="V580" s="39" t="s">
        <v>55</v>
      </c>
      <c r="W580" s="39" t="s">
        <v>56</v>
      </c>
      <c r="X580" s="39" t="s">
        <v>816</v>
      </c>
    </row>
    <row r="581" spans="1:25" s="39" customFormat="1" ht="16" customHeight="1" x14ac:dyDescent="0.35">
      <c r="A581" s="39" t="s">
        <v>71</v>
      </c>
      <c r="B581" s="39" t="s">
        <v>58</v>
      </c>
      <c r="C581" s="39" t="s">
        <v>47</v>
      </c>
      <c r="D581" s="80">
        <v>847</v>
      </c>
      <c r="E581" s="39">
        <v>8470540</v>
      </c>
      <c r="F581" s="39" t="s">
        <v>2557</v>
      </c>
      <c r="G581" s="81">
        <v>1</v>
      </c>
      <c r="H581" s="39">
        <v>421100</v>
      </c>
      <c r="I581" s="39" t="s">
        <v>2558</v>
      </c>
      <c r="J581" s="39" t="s">
        <v>60</v>
      </c>
      <c r="K581" s="39" t="s">
        <v>2413</v>
      </c>
      <c r="L581" s="39">
        <v>847010</v>
      </c>
      <c r="M581" s="39" t="s">
        <v>46</v>
      </c>
      <c r="N581" s="39">
        <v>100178</v>
      </c>
      <c r="O581" s="39" t="s">
        <v>2706</v>
      </c>
      <c r="P581" s="39" t="s">
        <v>2559</v>
      </c>
      <c r="Q581" s="39" t="s">
        <v>1423</v>
      </c>
      <c r="R581" s="39">
        <v>1</v>
      </c>
      <c r="S581" s="39">
        <v>1153248</v>
      </c>
      <c r="T581" s="39" t="s">
        <v>2675</v>
      </c>
      <c r="U581" s="82">
        <v>1153248</v>
      </c>
      <c r="V581" s="39" t="s">
        <v>55</v>
      </c>
      <c r="W581" s="39" t="s">
        <v>56</v>
      </c>
      <c r="X581" s="39" t="s">
        <v>816</v>
      </c>
      <c r="Y581" s="39" t="s">
        <v>2707</v>
      </c>
    </row>
    <row r="582" spans="1:25" s="39" customFormat="1" ht="16" customHeight="1" x14ac:dyDescent="0.35">
      <c r="A582" s="39" t="s">
        <v>46</v>
      </c>
      <c r="B582" s="39" t="s">
        <v>46</v>
      </c>
      <c r="C582" s="39" t="s">
        <v>47</v>
      </c>
      <c r="D582" s="80">
        <v>847</v>
      </c>
      <c r="E582" s="39">
        <v>8470540</v>
      </c>
      <c r="F582" s="39" t="s">
        <v>2557</v>
      </c>
      <c r="G582" s="81">
        <v>1</v>
      </c>
      <c r="H582" s="39">
        <v>413310</v>
      </c>
      <c r="I582" s="39" t="s">
        <v>2558</v>
      </c>
      <c r="J582" s="39" t="s">
        <v>60</v>
      </c>
      <c r="K582" s="39" t="s">
        <v>2413</v>
      </c>
      <c r="L582" s="39">
        <v>847010</v>
      </c>
      <c r="M582" s="39" t="s">
        <v>2708</v>
      </c>
      <c r="N582" s="39">
        <v>100178</v>
      </c>
      <c r="O582" s="39" t="s">
        <v>2709</v>
      </c>
      <c r="P582" s="39" t="s">
        <v>2559</v>
      </c>
      <c r="Q582" s="39" t="s">
        <v>1423</v>
      </c>
      <c r="R582" s="39">
        <v>1</v>
      </c>
      <c r="S582" s="39">
        <v>421800</v>
      </c>
      <c r="T582" s="39" t="s">
        <v>2677</v>
      </c>
      <c r="U582" s="82">
        <v>421800</v>
      </c>
      <c r="V582" s="39" t="s">
        <v>55</v>
      </c>
      <c r="W582" s="39" t="s">
        <v>56</v>
      </c>
      <c r="X582" s="39" t="s">
        <v>816</v>
      </c>
      <c r="Y582" s="39" t="s">
        <v>2707</v>
      </c>
    </row>
    <row r="583" spans="1:25" s="39" customFormat="1" ht="16" customHeight="1" x14ac:dyDescent="0.35">
      <c r="A583" s="39" t="s">
        <v>46</v>
      </c>
      <c r="B583" s="39" t="s">
        <v>46</v>
      </c>
      <c r="C583" s="39" t="s">
        <v>47</v>
      </c>
      <c r="D583" s="80">
        <v>847</v>
      </c>
      <c r="E583" s="39">
        <v>8470540</v>
      </c>
      <c r="F583" s="39" t="s">
        <v>2557</v>
      </c>
      <c r="G583" s="81">
        <v>1</v>
      </c>
      <c r="H583" s="39">
        <v>413310</v>
      </c>
      <c r="I583" s="39" t="s">
        <v>2558</v>
      </c>
      <c r="J583" s="39" t="s">
        <v>60</v>
      </c>
      <c r="K583" s="39" t="s">
        <v>2413</v>
      </c>
      <c r="L583" s="39">
        <v>847010</v>
      </c>
      <c r="M583" s="39" t="s">
        <v>2708</v>
      </c>
      <c r="N583" s="39">
        <v>100178</v>
      </c>
      <c r="O583" s="39" t="s">
        <v>2709</v>
      </c>
      <c r="P583" s="39" t="s">
        <v>2559</v>
      </c>
      <c r="Q583" s="39" t="s">
        <v>1423</v>
      </c>
      <c r="R583" s="39">
        <v>1</v>
      </c>
      <c r="S583" s="39">
        <v>190000</v>
      </c>
      <c r="T583" s="39" t="s">
        <v>2678</v>
      </c>
      <c r="U583" s="82">
        <v>190000</v>
      </c>
      <c r="V583" s="39" t="s">
        <v>55</v>
      </c>
      <c r="W583" s="39" t="s">
        <v>56</v>
      </c>
      <c r="X583" s="39" t="s">
        <v>816</v>
      </c>
      <c r="Y583" s="39" t="s">
        <v>2707</v>
      </c>
    </row>
    <row r="584" spans="1:25" s="39" customFormat="1" ht="16" customHeight="1" x14ac:dyDescent="0.35">
      <c r="A584" s="39" t="s">
        <v>46</v>
      </c>
      <c r="B584" s="39" t="s">
        <v>46</v>
      </c>
      <c r="C584" s="39" t="s">
        <v>47</v>
      </c>
      <c r="D584" s="80">
        <v>847</v>
      </c>
      <c r="E584" s="39">
        <v>8470540</v>
      </c>
      <c r="F584" s="39" t="s">
        <v>2557</v>
      </c>
      <c r="G584" s="81">
        <v>1</v>
      </c>
      <c r="H584" s="39">
        <v>413310</v>
      </c>
      <c r="I584" s="39" t="s">
        <v>2558</v>
      </c>
      <c r="J584" s="39" t="s">
        <v>60</v>
      </c>
      <c r="K584" s="39" t="s">
        <v>2413</v>
      </c>
      <c r="L584" s="39">
        <v>847010</v>
      </c>
      <c r="M584" s="39" t="s">
        <v>2708</v>
      </c>
      <c r="N584" s="39">
        <v>100178</v>
      </c>
      <c r="O584" s="39" t="s">
        <v>2709</v>
      </c>
      <c r="P584" s="39" t="s">
        <v>2559</v>
      </c>
      <c r="Q584" s="39" t="s">
        <v>1423</v>
      </c>
      <c r="R584" s="39">
        <v>1</v>
      </c>
      <c r="S584" s="39">
        <v>447260</v>
      </c>
      <c r="T584" s="39" t="s">
        <v>2566</v>
      </c>
      <c r="U584" s="82">
        <v>447260</v>
      </c>
      <c r="V584" s="39" t="s">
        <v>55</v>
      </c>
      <c r="W584" s="39" t="s">
        <v>56</v>
      </c>
      <c r="X584" s="39" t="s">
        <v>816</v>
      </c>
      <c r="Y584" s="39" t="s">
        <v>2707</v>
      </c>
    </row>
    <row r="585" spans="1:25" s="39" customFormat="1" ht="16" customHeight="1" x14ac:dyDescent="0.35">
      <c r="A585" s="39" t="s">
        <v>189</v>
      </c>
      <c r="B585" s="39" t="s">
        <v>58</v>
      </c>
      <c r="C585" s="39" t="s">
        <v>47</v>
      </c>
      <c r="D585" s="80">
        <v>847</v>
      </c>
      <c r="E585" s="39">
        <v>8470540</v>
      </c>
      <c r="F585" s="39" t="s">
        <v>2557</v>
      </c>
      <c r="G585" s="81">
        <v>1</v>
      </c>
      <c r="H585" s="39">
        <v>422900</v>
      </c>
      <c r="I585" s="39" t="s">
        <v>1139</v>
      </c>
      <c r="J585" s="39" t="s">
        <v>60</v>
      </c>
      <c r="K585" s="39" t="s">
        <v>2413</v>
      </c>
      <c r="L585" s="39" t="s">
        <v>2418</v>
      </c>
      <c r="M585" s="39" t="s">
        <v>61</v>
      </c>
      <c r="N585" s="39">
        <v>200179</v>
      </c>
      <c r="O585" s="39" t="s">
        <v>2679</v>
      </c>
      <c r="P585" s="39" t="s">
        <v>2567</v>
      </c>
      <c r="Q585" s="39" t="s">
        <v>1109</v>
      </c>
      <c r="R585" s="39">
        <v>1</v>
      </c>
      <c r="S585" s="39">
        <v>900000</v>
      </c>
      <c r="T585" s="39" t="s">
        <v>2568</v>
      </c>
      <c r="U585" s="82">
        <v>900000</v>
      </c>
      <c r="V585" s="39" t="s">
        <v>55</v>
      </c>
      <c r="W585" s="39" t="s">
        <v>56</v>
      </c>
      <c r="X585" s="39" t="s">
        <v>816</v>
      </c>
    </row>
    <row r="586" spans="1:25" s="39" customFormat="1" ht="16" customHeight="1" x14ac:dyDescent="0.35">
      <c r="A586" s="39" t="s">
        <v>161</v>
      </c>
      <c r="B586" s="39" t="s">
        <v>58</v>
      </c>
      <c r="C586" s="39" t="s">
        <v>47</v>
      </c>
      <c r="D586" s="80">
        <v>847</v>
      </c>
      <c r="E586" s="39">
        <v>8470540</v>
      </c>
      <c r="F586" s="39" t="s">
        <v>2557</v>
      </c>
      <c r="G586" s="81">
        <v>1</v>
      </c>
      <c r="H586" s="39">
        <v>426800</v>
      </c>
      <c r="I586" s="39" t="s">
        <v>2552</v>
      </c>
      <c r="J586" s="39" t="s">
        <v>60</v>
      </c>
      <c r="K586" s="39" t="s">
        <v>2413</v>
      </c>
      <c r="L586" s="39">
        <v>847010</v>
      </c>
      <c r="M586" s="39" t="s">
        <v>61</v>
      </c>
      <c r="N586" s="39">
        <v>200179</v>
      </c>
      <c r="O586" s="39" t="s">
        <v>2680</v>
      </c>
      <c r="P586" s="39" t="s">
        <v>2569</v>
      </c>
      <c r="Q586" s="39" t="s">
        <v>68</v>
      </c>
      <c r="R586" s="39">
        <v>1</v>
      </c>
      <c r="S586" s="39">
        <v>10000</v>
      </c>
      <c r="T586" s="39" t="s">
        <v>2570</v>
      </c>
      <c r="U586" s="82">
        <v>10000</v>
      </c>
      <c r="V586" s="39" t="s">
        <v>55</v>
      </c>
      <c r="W586" s="39" t="s">
        <v>56</v>
      </c>
      <c r="X586" s="39" t="s">
        <v>816</v>
      </c>
    </row>
    <row r="587" spans="1:25" s="39" customFormat="1" ht="16" customHeight="1" x14ac:dyDescent="0.35">
      <c r="A587" s="39" t="s">
        <v>71</v>
      </c>
      <c r="B587" s="39" t="s">
        <v>58</v>
      </c>
      <c r="C587" s="39" t="s">
        <v>47</v>
      </c>
      <c r="D587" s="80">
        <v>847</v>
      </c>
      <c r="E587" s="39">
        <v>8470540</v>
      </c>
      <c r="F587" s="39" t="s">
        <v>2557</v>
      </c>
      <c r="G587" s="81">
        <v>1</v>
      </c>
      <c r="H587" s="39">
        <v>426900</v>
      </c>
      <c r="I587" s="39" t="s">
        <v>1080</v>
      </c>
      <c r="J587" s="39" t="s">
        <v>60</v>
      </c>
      <c r="K587" s="39" t="s">
        <v>2413</v>
      </c>
      <c r="L587" s="39">
        <v>847010</v>
      </c>
      <c r="M587" s="39" t="s">
        <v>61</v>
      </c>
      <c r="N587" s="39">
        <v>200179</v>
      </c>
      <c r="O587" s="39" t="s">
        <v>2681</v>
      </c>
      <c r="P587" s="39" t="s">
        <v>2571</v>
      </c>
      <c r="Q587" s="39" t="s">
        <v>157</v>
      </c>
      <c r="R587" s="39">
        <v>1</v>
      </c>
      <c r="S587" s="39">
        <v>30000</v>
      </c>
      <c r="T587" s="39" t="s">
        <v>2572</v>
      </c>
      <c r="U587" s="82">
        <v>30000</v>
      </c>
      <c r="V587" s="39" t="s">
        <v>55</v>
      </c>
      <c r="W587" s="39" t="s">
        <v>56</v>
      </c>
      <c r="X587" s="39" t="s">
        <v>816</v>
      </c>
    </row>
    <row r="588" spans="1:25" s="39" customFormat="1" ht="16" customHeight="1" x14ac:dyDescent="0.35">
      <c r="A588" s="39" t="s">
        <v>161</v>
      </c>
      <c r="B588" s="39" t="s">
        <v>58</v>
      </c>
      <c r="C588" s="39" t="s">
        <v>47</v>
      </c>
      <c r="D588" s="80">
        <v>847</v>
      </c>
      <c r="E588" s="39">
        <v>8470540</v>
      </c>
      <c r="F588" s="39" t="s">
        <v>2557</v>
      </c>
      <c r="G588" s="81">
        <v>1</v>
      </c>
      <c r="H588" s="39">
        <v>428111</v>
      </c>
      <c r="I588" s="39" t="s">
        <v>1478</v>
      </c>
      <c r="J588" s="39" t="s">
        <v>60</v>
      </c>
      <c r="K588" s="39" t="s">
        <v>2413</v>
      </c>
      <c r="L588" s="39">
        <v>847010</v>
      </c>
      <c r="M588" s="39" t="s">
        <v>61</v>
      </c>
      <c r="N588" s="39">
        <v>200179</v>
      </c>
      <c r="O588" s="39" t="s">
        <v>2682</v>
      </c>
      <c r="P588" s="39" t="s">
        <v>2573</v>
      </c>
      <c r="Q588" s="39" t="s">
        <v>2574</v>
      </c>
      <c r="R588" s="39">
        <v>1</v>
      </c>
      <c r="S588" s="39">
        <v>9664500</v>
      </c>
      <c r="T588" s="39" t="s">
        <v>2575</v>
      </c>
      <c r="U588" s="82">
        <v>9664500</v>
      </c>
      <c r="V588" s="39" t="s">
        <v>55</v>
      </c>
      <c r="W588" s="39" t="s">
        <v>56</v>
      </c>
      <c r="X588" s="39" t="s">
        <v>816</v>
      </c>
    </row>
    <row r="589" spans="1:25" s="39" customFormat="1" ht="16" customHeight="1" x14ac:dyDescent="0.35">
      <c r="A589" s="39" t="s">
        <v>161</v>
      </c>
      <c r="B589" s="39" t="s">
        <v>58</v>
      </c>
      <c r="C589" s="39" t="s">
        <v>47</v>
      </c>
      <c r="D589" s="80">
        <v>847</v>
      </c>
      <c r="E589" s="39">
        <v>8470540</v>
      </c>
      <c r="F589" s="39" t="s">
        <v>2557</v>
      </c>
      <c r="G589" s="81">
        <v>1</v>
      </c>
      <c r="H589" s="39">
        <v>428111</v>
      </c>
      <c r="I589" s="39" t="s">
        <v>1478</v>
      </c>
      <c r="J589" s="39" t="s">
        <v>60</v>
      </c>
      <c r="K589" s="39" t="s">
        <v>2417</v>
      </c>
      <c r="L589" s="39">
        <v>847015</v>
      </c>
      <c r="M589" s="39" t="s">
        <v>61</v>
      </c>
      <c r="N589" s="39">
        <v>200179</v>
      </c>
      <c r="O589" s="39" t="s">
        <v>2683</v>
      </c>
      <c r="P589" s="39" t="s">
        <v>2576</v>
      </c>
      <c r="Q589" s="39" t="s">
        <v>2574</v>
      </c>
      <c r="R589" s="39">
        <v>1</v>
      </c>
      <c r="S589" s="39">
        <v>4615084</v>
      </c>
      <c r="T589" s="39" t="s">
        <v>2575</v>
      </c>
      <c r="U589" s="82">
        <v>4615084</v>
      </c>
      <c r="V589" s="39" t="s">
        <v>55</v>
      </c>
      <c r="W589" s="39" t="s">
        <v>56</v>
      </c>
      <c r="X589" s="39" t="s">
        <v>816</v>
      </c>
    </row>
    <row r="590" spans="1:25" s="39" customFormat="1" ht="16" customHeight="1" x14ac:dyDescent="0.35">
      <c r="A590" s="39" t="s">
        <v>161</v>
      </c>
      <c r="B590" s="39" t="s">
        <v>58</v>
      </c>
      <c r="C590" s="39" t="s">
        <v>47</v>
      </c>
      <c r="D590" s="80">
        <v>847</v>
      </c>
      <c r="E590" s="39">
        <v>8470540</v>
      </c>
      <c r="F590" s="39" t="s">
        <v>2557</v>
      </c>
      <c r="G590" s="81">
        <v>1</v>
      </c>
      <c r="H590" s="39">
        <v>428111</v>
      </c>
      <c r="I590" s="39" t="s">
        <v>1478</v>
      </c>
      <c r="J590" s="39" t="s">
        <v>60</v>
      </c>
      <c r="K590" s="39" t="s">
        <v>2093</v>
      </c>
      <c r="L590" s="39">
        <v>847020</v>
      </c>
      <c r="M590" s="39" t="s">
        <v>61</v>
      </c>
      <c r="N590" s="39">
        <v>200179</v>
      </c>
      <c r="O590" s="39" t="s">
        <v>2684</v>
      </c>
      <c r="P590" s="39" t="s">
        <v>2576</v>
      </c>
      <c r="Q590" s="39" t="s">
        <v>2574</v>
      </c>
      <c r="R590" s="39">
        <v>1</v>
      </c>
      <c r="S590" s="39">
        <v>3976000</v>
      </c>
      <c r="T590" s="39" t="s">
        <v>2575</v>
      </c>
      <c r="U590" s="82">
        <v>3976000</v>
      </c>
      <c r="V590" s="39" t="s">
        <v>55</v>
      </c>
      <c r="W590" s="39" t="s">
        <v>56</v>
      </c>
      <c r="X590" s="39" t="s">
        <v>816</v>
      </c>
    </row>
    <row r="591" spans="1:25" s="39" customFormat="1" ht="16" customHeight="1" x14ac:dyDescent="0.35">
      <c r="A591" s="39" t="s">
        <v>161</v>
      </c>
      <c r="B591" s="39" t="s">
        <v>58</v>
      </c>
      <c r="C591" s="39" t="s">
        <v>47</v>
      </c>
      <c r="D591" s="80">
        <v>847</v>
      </c>
      <c r="E591" s="39">
        <v>8470540</v>
      </c>
      <c r="F591" s="39" t="s">
        <v>2557</v>
      </c>
      <c r="G591" s="81">
        <v>1</v>
      </c>
      <c r="H591" s="39">
        <v>428111</v>
      </c>
      <c r="I591" s="39" t="s">
        <v>1478</v>
      </c>
      <c r="J591" s="39" t="s">
        <v>60</v>
      </c>
      <c r="K591" s="39" t="s">
        <v>2429</v>
      </c>
      <c r="L591" s="39">
        <v>847030</v>
      </c>
      <c r="M591" s="39" t="s">
        <v>61</v>
      </c>
      <c r="N591" s="39">
        <v>200179</v>
      </c>
      <c r="O591" s="39" t="s">
        <v>2685</v>
      </c>
      <c r="P591" s="39" t="s">
        <v>2577</v>
      </c>
      <c r="Q591" s="39" t="s">
        <v>62</v>
      </c>
      <c r="R591" s="39">
        <v>1</v>
      </c>
      <c r="S591" s="39">
        <v>442627</v>
      </c>
      <c r="T591" s="39" t="s">
        <v>2575</v>
      </c>
      <c r="U591" s="82">
        <v>442627</v>
      </c>
      <c r="V591" s="39" t="s">
        <v>55</v>
      </c>
      <c r="W591" s="39" t="s">
        <v>56</v>
      </c>
      <c r="X591" s="39" t="s">
        <v>816</v>
      </c>
    </row>
    <row r="592" spans="1:25" s="39" customFormat="1" ht="16" customHeight="1" x14ac:dyDescent="0.35">
      <c r="A592" s="39" t="s">
        <v>161</v>
      </c>
      <c r="B592" s="39" t="s">
        <v>58</v>
      </c>
      <c r="C592" s="39" t="s">
        <v>47</v>
      </c>
      <c r="D592" s="80">
        <v>847</v>
      </c>
      <c r="E592" s="39">
        <v>8470540</v>
      </c>
      <c r="F592" s="39" t="s">
        <v>2557</v>
      </c>
      <c r="G592" s="81">
        <v>1</v>
      </c>
      <c r="H592" s="39">
        <v>428112</v>
      </c>
      <c r="I592" s="39" t="s">
        <v>1479</v>
      </c>
      <c r="J592" s="39" t="s">
        <v>60</v>
      </c>
      <c r="K592" s="39" t="s">
        <v>2413</v>
      </c>
      <c r="L592" s="39">
        <v>847010</v>
      </c>
      <c r="M592" s="39" t="s">
        <v>61</v>
      </c>
      <c r="N592" s="39">
        <v>200179</v>
      </c>
      <c r="O592" s="39" t="s">
        <v>2686</v>
      </c>
      <c r="P592" s="39" t="s">
        <v>2578</v>
      </c>
      <c r="Q592" s="39" t="s">
        <v>515</v>
      </c>
      <c r="R592" s="39">
        <v>1</v>
      </c>
      <c r="S592" s="39">
        <v>1500000</v>
      </c>
      <c r="T592" s="39" t="s">
        <v>2579</v>
      </c>
      <c r="U592" s="82">
        <v>1500000</v>
      </c>
      <c r="V592" s="39" t="s">
        <v>55</v>
      </c>
      <c r="W592" s="39" t="s">
        <v>56</v>
      </c>
      <c r="X592" s="39" t="s">
        <v>816</v>
      </c>
    </row>
    <row r="593" spans="1:24" s="39" customFormat="1" ht="16" customHeight="1" x14ac:dyDescent="0.35">
      <c r="A593" s="39" t="s">
        <v>161</v>
      </c>
      <c r="B593" s="39" t="s">
        <v>58</v>
      </c>
      <c r="C593" s="39" t="s">
        <v>47</v>
      </c>
      <c r="D593" s="80">
        <v>847</v>
      </c>
      <c r="E593" s="39">
        <v>8470540</v>
      </c>
      <c r="F593" s="39" t="s">
        <v>2557</v>
      </c>
      <c r="G593" s="81">
        <v>1</v>
      </c>
      <c r="H593" s="39">
        <v>428112</v>
      </c>
      <c r="I593" s="39" t="s">
        <v>1479</v>
      </c>
      <c r="J593" s="39" t="s">
        <v>60</v>
      </c>
      <c r="K593" s="39" t="s">
        <v>2417</v>
      </c>
      <c r="L593" s="39">
        <v>847015</v>
      </c>
      <c r="M593" s="39" t="s">
        <v>61</v>
      </c>
      <c r="N593" s="39">
        <v>200179</v>
      </c>
      <c r="O593" s="39" t="s">
        <v>2687</v>
      </c>
      <c r="P593" s="39" t="s">
        <v>2580</v>
      </c>
      <c r="Q593" s="39" t="s">
        <v>515</v>
      </c>
      <c r="R593" s="39">
        <v>1</v>
      </c>
      <c r="S593" s="39">
        <v>1681399</v>
      </c>
      <c r="T593" s="39" t="s">
        <v>2579</v>
      </c>
      <c r="U593" s="82">
        <v>1681399</v>
      </c>
      <c r="V593" s="39" t="s">
        <v>55</v>
      </c>
      <c r="W593" s="39" t="s">
        <v>56</v>
      </c>
      <c r="X593" s="39" t="s">
        <v>816</v>
      </c>
    </row>
    <row r="594" spans="1:24" s="39" customFormat="1" ht="16" customHeight="1" x14ac:dyDescent="0.35">
      <c r="A594" s="39" t="s">
        <v>161</v>
      </c>
      <c r="B594" s="39" t="s">
        <v>58</v>
      </c>
      <c r="C594" s="39" t="s">
        <v>47</v>
      </c>
      <c r="D594" s="80">
        <v>847</v>
      </c>
      <c r="E594" s="39">
        <v>8470540</v>
      </c>
      <c r="F594" s="39" t="s">
        <v>2557</v>
      </c>
      <c r="G594" s="81">
        <v>1</v>
      </c>
      <c r="H594" s="39">
        <v>428112</v>
      </c>
      <c r="I594" s="39" t="s">
        <v>1479</v>
      </c>
      <c r="J594" s="39" t="s">
        <v>60</v>
      </c>
      <c r="K594" s="39" t="s">
        <v>2093</v>
      </c>
      <c r="L594" s="39">
        <v>847020</v>
      </c>
      <c r="M594" s="39" t="s">
        <v>61</v>
      </c>
      <c r="N594" s="39">
        <v>200179</v>
      </c>
      <c r="O594" s="39" t="s">
        <v>2688</v>
      </c>
      <c r="P594" s="39" t="s">
        <v>2581</v>
      </c>
      <c r="Q594" s="39" t="s">
        <v>62</v>
      </c>
      <c r="R594" s="39">
        <v>1</v>
      </c>
      <c r="S594" s="39">
        <v>1873450</v>
      </c>
      <c r="T594" s="39" t="s">
        <v>2579</v>
      </c>
      <c r="U594" s="82">
        <v>1873450</v>
      </c>
      <c r="V594" s="39" t="s">
        <v>55</v>
      </c>
      <c r="W594" s="39" t="s">
        <v>56</v>
      </c>
      <c r="X594" s="39" t="s">
        <v>816</v>
      </c>
    </row>
    <row r="595" spans="1:24" s="39" customFormat="1" ht="16" customHeight="1" x14ac:dyDescent="0.35">
      <c r="A595" s="39" t="s">
        <v>161</v>
      </c>
      <c r="B595" s="39" t="s">
        <v>58</v>
      </c>
      <c r="C595" s="39" t="s">
        <v>47</v>
      </c>
      <c r="D595" s="80">
        <v>847</v>
      </c>
      <c r="E595" s="39">
        <v>8470540</v>
      </c>
      <c r="F595" s="39" t="s">
        <v>2557</v>
      </c>
      <c r="G595" s="81">
        <v>1</v>
      </c>
      <c r="H595" s="39">
        <v>428112</v>
      </c>
      <c r="I595" s="39" t="s">
        <v>1479</v>
      </c>
      <c r="J595" s="39" t="s">
        <v>60</v>
      </c>
      <c r="K595" s="39" t="s">
        <v>2429</v>
      </c>
      <c r="L595" s="39">
        <v>847030</v>
      </c>
      <c r="M595" s="39" t="s">
        <v>61</v>
      </c>
      <c r="N595" s="39">
        <v>200179</v>
      </c>
      <c r="O595" s="39" t="s">
        <v>2689</v>
      </c>
      <c r="P595" s="39" t="s">
        <v>2578</v>
      </c>
      <c r="Q595" s="39" t="s">
        <v>515</v>
      </c>
      <c r="R595" s="39">
        <v>1</v>
      </c>
      <c r="S595" s="39">
        <v>153570</v>
      </c>
      <c r="T595" s="39" t="s">
        <v>2579</v>
      </c>
      <c r="U595" s="82">
        <v>153570</v>
      </c>
      <c r="V595" s="39" t="s">
        <v>55</v>
      </c>
      <c r="W595" s="39" t="s">
        <v>56</v>
      </c>
      <c r="X595" s="39" t="s">
        <v>816</v>
      </c>
    </row>
    <row r="596" spans="1:24" s="39" customFormat="1" ht="16" customHeight="1" x14ac:dyDescent="0.35">
      <c r="A596" s="39" t="s">
        <v>189</v>
      </c>
      <c r="B596" s="39" t="s">
        <v>58</v>
      </c>
      <c r="C596" s="39" t="s">
        <v>47</v>
      </c>
      <c r="D596" s="80">
        <v>847</v>
      </c>
      <c r="E596" s="39">
        <v>8470540</v>
      </c>
      <c r="F596" s="39" t="s">
        <v>2557</v>
      </c>
      <c r="G596" s="81">
        <v>1</v>
      </c>
      <c r="H596" s="39">
        <v>429900</v>
      </c>
      <c r="I596" s="39" t="s">
        <v>2359</v>
      </c>
      <c r="J596" s="39" t="s">
        <v>60</v>
      </c>
      <c r="K596" s="39" t="s">
        <v>2413</v>
      </c>
      <c r="L596" s="39">
        <v>847010</v>
      </c>
      <c r="M596" s="39" t="s">
        <v>61</v>
      </c>
      <c r="N596" s="39">
        <v>200179</v>
      </c>
      <c r="O596" s="39" t="s">
        <v>2690</v>
      </c>
      <c r="P596" s="39" t="s">
        <v>2361</v>
      </c>
      <c r="Q596" s="39" t="s">
        <v>1418</v>
      </c>
      <c r="R596" s="39">
        <v>1</v>
      </c>
      <c r="S596" s="39">
        <v>44000</v>
      </c>
      <c r="T596" s="39" t="s">
        <v>2582</v>
      </c>
      <c r="U596" s="82">
        <v>44000</v>
      </c>
      <c r="V596" s="39" t="s">
        <v>55</v>
      </c>
      <c r="W596" s="39" t="s">
        <v>56</v>
      </c>
      <c r="X596" s="39" t="s">
        <v>816</v>
      </c>
    </row>
    <row r="597" spans="1:24" s="39" customFormat="1" ht="16" customHeight="1" x14ac:dyDescent="0.35">
      <c r="A597" s="39" t="s">
        <v>189</v>
      </c>
      <c r="B597" s="39" t="s">
        <v>58</v>
      </c>
      <c r="C597" s="39" t="s">
        <v>47</v>
      </c>
      <c r="D597" s="80">
        <v>847</v>
      </c>
      <c r="E597" s="39">
        <v>8470540</v>
      </c>
      <c r="F597" s="39" t="s">
        <v>2557</v>
      </c>
      <c r="G597" s="81">
        <v>1</v>
      </c>
      <c r="H597" s="39">
        <v>429900</v>
      </c>
      <c r="I597" s="39" t="s">
        <v>2359</v>
      </c>
      <c r="J597" s="39" t="s">
        <v>60</v>
      </c>
      <c r="K597" s="39" t="s">
        <v>2413</v>
      </c>
      <c r="L597" s="39">
        <v>847010</v>
      </c>
      <c r="M597" s="39" t="s">
        <v>61</v>
      </c>
      <c r="N597" s="39">
        <v>200179</v>
      </c>
      <c r="O597" s="39" t="s">
        <v>2690</v>
      </c>
      <c r="P597" s="39" t="s">
        <v>2361</v>
      </c>
      <c r="Q597" s="39" t="s">
        <v>1418</v>
      </c>
      <c r="R597" s="39">
        <v>1</v>
      </c>
      <c r="S597" s="39">
        <v>4000</v>
      </c>
      <c r="T597" s="39" t="s">
        <v>2583</v>
      </c>
      <c r="U597" s="82">
        <v>4000</v>
      </c>
      <c r="V597" s="39" t="s">
        <v>55</v>
      </c>
      <c r="W597" s="39" t="s">
        <v>56</v>
      </c>
      <c r="X597" s="39" t="s">
        <v>816</v>
      </c>
    </row>
    <row r="598" spans="1:24" s="39" customFormat="1" ht="16" customHeight="1" x14ac:dyDescent="0.35">
      <c r="A598" s="39" t="s">
        <v>161</v>
      </c>
      <c r="B598" s="39" t="s">
        <v>58</v>
      </c>
      <c r="C598" s="39" t="s">
        <v>47</v>
      </c>
      <c r="D598" s="80">
        <v>847</v>
      </c>
      <c r="E598" s="39">
        <v>8470540</v>
      </c>
      <c r="F598" s="39" t="s">
        <v>2557</v>
      </c>
      <c r="G598" s="81">
        <v>1</v>
      </c>
      <c r="H598" s="39">
        <v>430330</v>
      </c>
      <c r="I598" s="39" t="s">
        <v>2553</v>
      </c>
      <c r="J598" s="39" t="s">
        <v>60</v>
      </c>
      <c r="K598" s="39" t="s">
        <v>2413</v>
      </c>
      <c r="L598" s="39">
        <v>847010</v>
      </c>
      <c r="M598" s="39" t="s">
        <v>61</v>
      </c>
      <c r="N598" s="39">
        <v>200179</v>
      </c>
      <c r="O598" s="39" t="s">
        <v>2691</v>
      </c>
      <c r="P598" s="39" t="s">
        <v>2584</v>
      </c>
      <c r="Q598" s="39" t="s">
        <v>269</v>
      </c>
      <c r="R598" s="39">
        <v>1</v>
      </c>
      <c r="S598" s="39">
        <v>1100000</v>
      </c>
      <c r="T598" s="39" t="s">
        <v>2585</v>
      </c>
      <c r="U598" s="82">
        <v>1100000</v>
      </c>
      <c r="V598" s="39" t="s">
        <v>55</v>
      </c>
      <c r="W598" s="39" t="s">
        <v>56</v>
      </c>
      <c r="X598" s="39" t="s">
        <v>816</v>
      </c>
    </row>
    <row r="599" spans="1:24" s="39" customFormat="1" ht="16" customHeight="1" x14ac:dyDescent="0.35">
      <c r="A599" s="39" t="s">
        <v>161</v>
      </c>
      <c r="B599" s="39" t="s">
        <v>58</v>
      </c>
      <c r="C599" s="39" t="s">
        <v>47</v>
      </c>
      <c r="D599" s="80">
        <v>847</v>
      </c>
      <c r="E599" s="39">
        <v>8470540</v>
      </c>
      <c r="F599" s="39" t="s">
        <v>2557</v>
      </c>
      <c r="G599" s="81">
        <v>1</v>
      </c>
      <c r="H599" s="39">
        <v>430330</v>
      </c>
      <c r="I599" s="39" t="s">
        <v>2553</v>
      </c>
      <c r="J599" s="39" t="s">
        <v>60</v>
      </c>
      <c r="K599" s="39" t="s">
        <v>2413</v>
      </c>
      <c r="L599" s="39">
        <v>847010</v>
      </c>
      <c r="M599" s="39" t="s">
        <v>61</v>
      </c>
      <c r="N599" s="39">
        <v>200179</v>
      </c>
      <c r="O599" s="39" t="s">
        <v>2691</v>
      </c>
      <c r="P599" s="39" t="s">
        <v>2584</v>
      </c>
      <c r="Q599" s="39" t="s">
        <v>269</v>
      </c>
      <c r="R599" s="39">
        <v>1</v>
      </c>
      <c r="S599" s="39">
        <v>770120.77</v>
      </c>
      <c r="T599" s="39" t="s">
        <v>2586</v>
      </c>
      <c r="U599" s="82">
        <v>770120.77</v>
      </c>
      <c r="V599" s="39" t="s">
        <v>55</v>
      </c>
      <c r="W599" s="39" t="s">
        <v>56</v>
      </c>
      <c r="X599" s="39" t="s">
        <v>816</v>
      </c>
    </row>
    <row r="600" spans="1:24" s="39" customFormat="1" ht="16" customHeight="1" x14ac:dyDescent="0.35">
      <c r="A600" s="39" t="s">
        <v>161</v>
      </c>
      <c r="B600" s="39" t="s">
        <v>58</v>
      </c>
      <c r="C600" s="39" t="s">
        <v>47</v>
      </c>
      <c r="D600" s="80">
        <v>847</v>
      </c>
      <c r="E600" s="39">
        <v>8470540</v>
      </c>
      <c r="F600" s="39" t="s">
        <v>2557</v>
      </c>
      <c r="G600" s="81">
        <v>1</v>
      </c>
      <c r="H600" s="39">
        <v>432540</v>
      </c>
      <c r="I600" s="39" t="s">
        <v>2554</v>
      </c>
      <c r="J600" s="39" t="s">
        <v>60</v>
      </c>
      <c r="K600" s="39" t="s">
        <v>2413</v>
      </c>
      <c r="L600" s="39">
        <v>847010</v>
      </c>
      <c r="M600" s="39" t="s">
        <v>61</v>
      </c>
      <c r="N600" s="39">
        <v>200179</v>
      </c>
      <c r="O600" s="39" t="s">
        <v>2692</v>
      </c>
      <c r="P600" s="39" t="s">
        <v>2710</v>
      </c>
      <c r="Q600" s="39" t="s">
        <v>2588</v>
      </c>
      <c r="R600" s="39">
        <v>1</v>
      </c>
      <c r="S600" s="39">
        <v>140000</v>
      </c>
      <c r="T600" s="39" t="s">
        <v>2589</v>
      </c>
      <c r="U600" s="82">
        <v>140000</v>
      </c>
      <c r="V600" s="39" t="s">
        <v>55</v>
      </c>
      <c r="W600" s="39" t="s">
        <v>56</v>
      </c>
      <c r="X600" s="39" t="s">
        <v>816</v>
      </c>
    </row>
    <row r="601" spans="1:24" s="39" customFormat="1" ht="16" customHeight="1" x14ac:dyDescent="0.35">
      <c r="A601" s="39" t="s">
        <v>189</v>
      </c>
      <c r="B601" s="39" t="s">
        <v>58</v>
      </c>
      <c r="C601" s="39" t="s">
        <v>47</v>
      </c>
      <c r="D601" s="80">
        <v>847</v>
      </c>
      <c r="E601" s="39">
        <v>8470540</v>
      </c>
      <c r="F601" s="39" t="s">
        <v>2557</v>
      </c>
      <c r="G601" s="81">
        <v>1</v>
      </c>
      <c r="H601" s="39">
        <v>435410</v>
      </c>
      <c r="I601" s="39" t="s">
        <v>2590</v>
      </c>
      <c r="J601" s="39" t="s">
        <v>60</v>
      </c>
      <c r="K601" s="39" t="s">
        <v>2093</v>
      </c>
      <c r="L601" s="39">
        <v>847020</v>
      </c>
      <c r="M601" s="39" t="s">
        <v>61</v>
      </c>
      <c r="N601" s="39">
        <v>200179</v>
      </c>
      <c r="O601" s="39" t="s">
        <v>2694</v>
      </c>
      <c r="P601" s="39" t="s">
        <v>2591</v>
      </c>
      <c r="Q601" s="39" t="s">
        <v>157</v>
      </c>
      <c r="R601" s="39">
        <v>1</v>
      </c>
      <c r="S601" s="39">
        <v>840000</v>
      </c>
      <c r="T601" s="39" t="s">
        <v>2592</v>
      </c>
      <c r="U601" s="82">
        <v>840000</v>
      </c>
      <c r="V601" s="39" t="s">
        <v>55</v>
      </c>
      <c r="W601" s="39" t="s">
        <v>56</v>
      </c>
      <c r="X601" s="39" t="s">
        <v>816</v>
      </c>
    </row>
    <row r="602" spans="1:24" s="39" customFormat="1" ht="16" customHeight="1" x14ac:dyDescent="0.35">
      <c r="A602" s="39" t="s">
        <v>161</v>
      </c>
      <c r="B602" s="39" t="s">
        <v>58</v>
      </c>
      <c r="C602" s="39" t="s">
        <v>47</v>
      </c>
      <c r="D602" s="80">
        <v>847</v>
      </c>
      <c r="E602" s="39">
        <v>8470540</v>
      </c>
      <c r="F602" s="39" t="s">
        <v>2557</v>
      </c>
      <c r="G602" s="81">
        <v>1</v>
      </c>
      <c r="H602" s="39">
        <v>435740</v>
      </c>
      <c r="I602" s="39" t="s">
        <v>2593</v>
      </c>
      <c r="J602" s="39" t="s">
        <v>60</v>
      </c>
      <c r="K602" s="39" t="s">
        <v>2413</v>
      </c>
      <c r="L602" s="39">
        <v>847010</v>
      </c>
      <c r="M602" s="39" t="s">
        <v>61</v>
      </c>
      <c r="N602" s="39">
        <v>200179</v>
      </c>
      <c r="O602" s="39" t="s">
        <v>2695</v>
      </c>
      <c r="P602" s="39" t="s">
        <v>2594</v>
      </c>
      <c r="Q602" s="39" t="s">
        <v>2595</v>
      </c>
      <c r="R602" s="39">
        <v>1</v>
      </c>
      <c r="S602" s="39">
        <v>336000</v>
      </c>
      <c r="T602" s="39" t="s">
        <v>2596</v>
      </c>
      <c r="U602" s="82">
        <v>336000</v>
      </c>
      <c r="V602" s="39" t="s">
        <v>55</v>
      </c>
      <c r="W602" s="39" t="s">
        <v>56</v>
      </c>
      <c r="X602" s="39" t="s">
        <v>816</v>
      </c>
    </row>
    <row r="603" spans="1:24" s="39" customFormat="1" ht="16" customHeight="1" x14ac:dyDescent="0.35">
      <c r="A603" s="39" t="s">
        <v>46</v>
      </c>
      <c r="B603" s="39" t="s">
        <v>46</v>
      </c>
      <c r="C603" s="39" t="s">
        <v>47</v>
      </c>
      <c r="D603" s="80">
        <v>847</v>
      </c>
      <c r="E603" s="39">
        <v>8470540</v>
      </c>
      <c r="F603" s="39" t="s">
        <v>2557</v>
      </c>
      <c r="G603" s="81">
        <v>1</v>
      </c>
      <c r="H603" s="39">
        <v>426250</v>
      </c>
      <c r="I603" s="39" t="s">
        <v>2442</v>
      </c>
      <c r="J603" s="39" t="s">
        <v>60</v>
      </c>
      <c r="K603" s="39" t="s">
        <v>2413</v>
      </c>
      <c r="L603" s="39">
        <v>847010</v>
      </c>
      <c r="M603" s="39" t="s">
        <v>61</v>
      </c>
      <c r="N603" s="39">
        <v>200179</v>
      </c>
      <c r="O603" s="39" t="s">
        <v>2696</v>
      </c>
      <c r="P603" s="39" t="s">
        <v>2597</v>
      </c>
      <c r="Q603" s="39" t="s">
        <v>269</v>
      </c>
      <c r="R603" s="39">
        <v>1</v>
      </c>
      <c r="S603" s="39">
        <v>50000</v>
      </c>
      <c r="T603" s="39" t="s">
        <v>2598</v>
      </c>
      <c r="U603" s="82">
        <v>50000</v>
      </c>
      <c r="V603" s="39" t="s">
        <v>55</v>
      </c>
      <c r="W603" s="39" t="s">
        <v>56</v>
      </c>
      <c r="X603" s="39" t="s">
        <v>816</v>
      </c>
    </row>
    <row r="604" spans="1:24" s="39" customFormat="1" ht="16" customHeight="1" x14ac:dyDescent="0.35">
      <c r="A604" s="39" t="s">
        <v>189</v>
      </c>
      <c r="B604" s="39" t="s">
        <v>58</v>
      </c>
      <c r="C604" s="39" t="s">
        <v>47</v>
      </c>
      <c r="D604" s="80">
        <v>847</v>
      </c>
      <c r="E604" s="39">
        <v>8470540</v>
      </c>
      <c r="F604" s="39" t="s">
        <v>2557</v>
      </c>
      <c r="G604" s="81">
        <v>1</v>
      </c>
      <c r="H604" s="39">
        <v>436110</v>
      </c>
      <c r="I604" s="39" t="s">
        <v>190</v>
      </c>
      <c r="J604" s="39" t="s">
        <v>60</v>
      </c>
      <c r="K604" s="39" t="s">
        <v>2413</v>
      </c>
      <c r="L604" s="39">
        <v>847010</v>
      </c>
      <c r="M604" s="39" t="s">
        <v>61</v>
      </c>
      <c r="N604" s="39">
        <v>200179</v>
      </c>
      <c r="O604" s="39" t="s">
        <v>2697</v>
      </c>
      <c r="P604" s="39" t="s">
        <v>488</v>
      </c>
      <c r="Q604" s="39" t="s">
        <v>157</v>
      </c>
      <c r="R604" s="39">
        <v>1</v>
      </c>
      <c r="S604" s="39">
        <v>94500</v>
      </c>
      <c r="T604" s="39" t="s">
        <v>2599</v>
      </c>
      <c r="U604" s="82">
        <v>94500</v>
      </c>
      <c r="V604" s="39" t="s">
        <v>55</v>
      </c>
      <c r="W604" s="39" t="s">
        <v>56</v>
      </c>
      <c r="X604" s="39" t="s">
        <v>816</v>
      </c>
    </row>
    <row r="605" spans="1:24" s="39" customFormat="1" ht="16" customHeight="1" x14ac:dyDescent="0.35">
      <c r="A605" s="39" t="s">
        <v>222</v>
      </c>
      <c r="B605" s="39" t="s">
        <v>58</v>
      </c>
      <c r="C605" s="39" t="s">
        <v>2711</v>
      </c>
      <c r="D605" s="80">
        <v>847</v>
      </c>
      <c r="E605" s="39">
        <v>8470110</v>
      </c>
      <c r="F605" s="39" t="s">
        <v>2712</v>
      </c>
      <c r="G605" s="81">
        <v>1</v>
      </c>
      <c r="H605" s="39">
        <v>420550</v>
      </c>
      <c r="I605" s="39" t="s">
        <v>225</v>
      </c>
      <c r="J605" s="39" t="s">
        <v>60</v>
      </c>
      <c r="K605" s="39" t="s">
        <v>50</v>
      </c>
      <c r="L605" s="39">
        <v>847001</v>
      </c>
      <c r="M605" s="39" t="s">
        <v>61</v>
      </c>
      <c r="N605" s="39">
        <v>200179</v>
      </c>
      <c r="O605" s="39" t="s">
        <v>2713</v>
      </c>
      <c r="P605" s="39" t="s">
        <v>227</v>
      </c>
      <c r="Q605" s="39" t="s">
        <v>157</v>
      </c>
      <c r="R605" s="39">
        <v>1</v>
      </c>
      <c r="S605" s="39">
        <v>100000</v>
      </c>
      <c r="T605" s="39" t="s">
        <v>2714</v>
      </c>
      <c r="U605" s="82">
        <v>100000</v>
      </c>
      <c r="V605" s="39" t="s">
        <v>210</v>
      </c>
      <c r="W605" s="39" t="s">
        <v>197</v>
      </c>
      <c r="X605" s="39" t="s">
        <v>237</v>
      </c>
    </row>
    <row r="606" spans="1:24" s="39" customFormat="1" ht="16" customHeight="1" x14ac:dyDescent="0.35">
      <c r="A606" s="39" t="s">
        <v>222</v>
      </c>
      <c r="B606" s="39" t="s">
        <v>58</v>
      </c>
      <c r="C606" s="39" t="s">
        <v>2711</v>
      </c>
      <c r="D606" s="80">
        <v>847</v>
      </c>
      <c r="E606" s="39">
        <v>8470110</v>
      </c>
      <c r="F606" s="39" t="s">
        <v>2712</v>
      </c>
      <c r="G606" s="81">
        <v>1</v>
      </c>
      <c r="H606" s="39">
        <v>420570</v>
      </c>
      <c r="I606" s="39" t="s">
        <v>231</v>
      </c>
      <c r="J606" s="39" t="s">
        <v>60</v>
      </c>
      <c r="K606" s="39" t="s">
        <v>50</v>
      </c>
      <c r="L606" s="39">
        <v>847001</v>
      </c>
      <c r="M606" s="39" t="s">
        <v>61</v>
      </c>
      <c r="N606" s="39">
        <v>200179</v>
      </c>
      <c r="O606" s="39" t="s">
        <v>2716</v>
      </c>
      <c r="P606" s="39" t="s">
        <v>233</v>
      </c>
      <c r="Q606" s="39" t="s">
        <v>234</v>
      </c>
      <c r="R606" s="39">
        <v>1</v>
      </c>
      <c r="S606" s="39">
        <v>5000000</v>
      </c>
      <c r="T606" s="39" t="s">
        <v>2364</v>
      </c>
      <c r="U606" s="82">
        <v>5000000</v>
      </c>
      <c r="V606" s="39" t="s">
        <v>210</v>
      </c>
      <c r="W606" s="39" t="s">
        <v>197</v>
      </c>
      <c r="X606" s="39" t="s">
        <v>237</v>
      </c>
    </row>
    <row r="607" spans="1:24" s="39" customFormat="1" ht="16" customHeight="1" x14ac:dyDescent="0.35">
      <c r="A607" s="39" t="s">
        <v>71</v>
      </c>
      <c r="B607" s="39" t="s">
        <v>1010</v>
      </c>
      <c r="C607" s="39" t="s">
        <v>2711</v>
      </c>
      <c r="D607" s="80">
        <v>847</v>
      </c>
      <c r="E607" s="39">
        <v>8470110</v>
      </c>
      <c r="F607" s="39" t="s">
        <v>2712</v>
      </c>
      <c r="G607" s="81">
        <v>1</v>
      </c>
      <c r="H607" s="39">
        <v>421000</v>
      </c>
      <c r="I607" s="39" t="s">
        <v>1011</v>
      </c>
      <c r="J607" s="39" t="s">
        <v>60</v>
      </c>
      <c r="K607" s="39" t="s">
        <v>50</v>
      </c>
      <c r="L607" s="39">
        <v>847001</v>
      </c>
      <c r="M607" s="39" t="s">
        <v>61</v>
      </c>
      <c r="N607" s="39">
        <v>200179</v>
      </c>
      <c r="O607" s="39" t="s">
        <v>2717</v>
      </c>
      <c r="P607" s="39" t="s">
        <v>1013</v>
      </c>
      <c r="Q607" s="39" t="s">
        <v>269</v>
      </c>
      <c r="R607" s="39">
        <v>1</v>
      </c>
      <c r="S607" s="39">
        <v>200000</v>
      </c>
      <c r="T607" s="39" t="s">
        <v>2718</v>
      </c>
      <c r="U607" s="82">
        <v>200000</v>
      </c>
      <c r="V607" s="39" t="s">
        <v>210</v>
      </c>
      <c r="W607" s="39" t="s">
        <v>197</v>
      </c>
      <c r="X607" s="39" t="s">
        <v>365</v>
      </c>
    </row>
    <row r="608" spans="1:24" s="39" customFormat="1" ht="16" customHeight="1" x14ac:dyDescent="0.35">
      <c r="A608" s="39" t="s">
        <v>245</v>
      </c>
      <c r="B608" s="39" t="s">
        <v>246</v>
      </c>
      <c r="C608" s="39" t="s">
        <v>2711</v>
      </c>
      <c r="D608" s="80">
        <v>847</v>
      </c>
      <c r="E608" s="39">
        <v>8470110</v>
      </c>
      <c r="F608" s="39" t="s">
        <v>2712</v>
      </c>
      <c r="G608" s="81">
        <v>1</v>
      </c>
      <c r="H608" s="39">
        <v>425510</v>
      </c>
      <c r="I608" s="39" t="s">
        <v>247</v>
      </c>
      <c r="J608" s="39" t="s">
        <v>60</v>
      </c>
      <c r="K608" s="39" t="s">
        <v>50</v>
      </c>
      <c r="L608" s="39">
        <v>847001</v>
      </c>
      <c r="M608" s="39" t="s">
        <v>61</v>
      </c>
      <c r="N608" s="39">
        <v>200179</v>
      </c>
      <c r="O608" s="39" t="s">
        <v>2719</v>
      </c>
      <c r="P608" s="39" t="s">
        <v>344</v>
      </c>
      <c r="Q608" s="39" t="s">
        <v>256</v>
      </c>
      <c r="R608" s="39">
        <v>1</v>
      </c>
      <c r="S608" s="39">
        <v>300000</v>
      </c>
      <c r="T608" s="39" t="s">
        <v>2720</v>
      </c>
      <c r="U608" s="82">
        <v>300000</v>
      </c>
      <c r="V608" s="39" t="s">
        <v>55</v>
      </c>
      <c r="W608" s="39" t="s">
        <v>56</v>
      </c>
      <c r="X608" s="39" t="s">
        <v>379</v>
      </c>
    </row>
    <row r="609" spans="1:24" s="39" customFormat="1" ht="16" customHeight="1" x14ac:dyDescent="0.35">
      <c r="A609" s="39" t="s">
        <v>245</v>
      </c>
      <c r="B609" s="39" t="s">
        <v>58</v>
      </c>
      <c r="C609" s="39" t="s">
        <v>2711</v>
      </c>
      <c r="D609" s="80">
        <v>847</v>
      </c>
      <c r="E609" s="39">
        <v>8470110</v>
      </c>
      <c r="F609" s="39" t="s">
        <v>2712</v>
      </c>
      <c r="G609" s="81">
        <v>1</v>
      </c>
      <c r="H609" s="39">
        <v>425550</v>
      </c>
      <c r="I609" s="39" t="s">
        <v>253</v>
      </c>
      <c r="J609" s="39" t="s">
        <v>60</v>
      </c>
      <c r="K609" s="39" t="s">
        <v>50</v>
      </c>
      <c r="L609" s="39">
        <v>847001</v>
      </c>
      <c r="M609" s="39" t="s">
        <v>61</v>
      </c>
      <c r="N609" s="39">
        <v>200179</v>
      </c>
      <c r="O609" s="39" t="s">
        <v>2721</v>
      </c>
      <c r="P609" s="39" t="s">
        <v>255</v>
      </c>
      <c r="Q609" s="39" t="s">
        <v>256</v>
      </c>
      <c r="R609" s="39">
        <v>1</v>
      </c>
      <c r="S609" s="39">
        <v>300000</v>
      </c>
      <c r="T609" s="39" t="s">
        <v>2722</v>
      </c>
      <c r="U609" s="82">
        <v>300000</v>
      </c>
      <c r="V609" s="39" t="s">
        <v>55</v>
      </c>
      <c r="W609" s="39" t="s">
        <v>56</v>
      </c>
      <c r="X609" s="39" t="s">
        <v>379</v>
      </c>
    </row>
    <row r="610" spans="1:24" s="39" customFormat="1" ht="16" customHeight="1" x14ac:dyDescent="0.35">
      <c r="A610" s="39" t="s">
        <v>189</v>
      </c>
      <c r="B610" s="39" t="s">
        <v>265</v>
      </c>
      <c r="C610" s="39" t="s">
        <v>2711</v>
      </c>
      <c r="D610" s="80">
        <v>847</v>
      </c>
      <c r="E610" s="39">
        <v>8470110</v>
      </c>
      <c r="F610" s="39" t="s">
        <v>2712</v>
      </c>
      <c r="G610" s="81">
        <v>1</v>
      </c>
      <c r="H610" s="39">
        <v>425900</v>
      </c>
      <c r="I610" s="39" t="s">
        <v>266</v>
      </c>
      <c r="J610" s="39" t="s">
        <v>60</v>
      </c>
      <c r="K610" s="39" t="s">
        <v>50</v>
      </c>
      <c r="L610" s="39">
        <v>847001</v>
      </c>
      <c r="M610" s="39" t="s">
        <v>61</v>
      </c>
      <c r="N610" s="39">
        <v>200179</v>
      </c>
      <c r="O610" s="39" t="s">
        <v>2723</v>
      </c>
      <c r="P610" s="39" t="s">
        <v>268</v>
      </c>
      <c r="Q610" s="39" t="s">
        <v>269</v>
      </c>
      <c r="R610" s="39">
        <v>1</v>
      </c>
      <c r="S610" s="39">
        <v>50000</v>
      </c>
      <c r="T610" s="39" t="s">
        <v>2724</v>
      </c>
      <c r="U610" s="82">
        <v>50000</v>
      </c>
      <c r="V610" s="39" t="s">
        <v>55</v>
      </c>
      <c r="W610" s="39" t="s">
        <v>56</v>
      </c>
      <c r="X610" s="39" t="s">
        <v>379</v>
      </c>
    </row>
    <row r="611" spans="1:24" s="39" customFormat="1" ht="16" customHeight="1" x14ac:dyDescent="0.35">
      <c r="A611" s="39" t="s">
        <v>153</v>
      </c>
      <c r="B611" s="39" t="s">
        <v>58</v>
      </c>
      <c r="C611" s="39" t="s">
        <v>2711</v>
      </c>
      <c r="D611" s="80">
        <v>847</v>
      </c>
      <c r="E611" s="39">
        <v>8470110</v>
      </c>
      <c r="F611" s="39" t="s">
        <v>2712</v>
      </c>
      <c r="G611" s="81">
        <v>1</v>
      </c>
      <c r="H611" s="39">
        <v>428090</v>
      </c>
      <c r="I611" s="39" t="s">
        <v>154</v>
      </c>
      <c r="J611" s="39" t="s">
        <v>60</v>
      </c>
      <c r="K611" s="39" t="s">
        <v>50</v>
      </c>
      <c r="L611" s="39">
        <v>847001</v>
      </c>
      <c r="M611" s="39" t="s">
        <v>61</v>
      </c>
      <c r="N611" s="39">
        <v>200179</v>
      </c>
      <c r="O611" s="39" t="s">
        <v>2725</v>
      </c>
      <c r="P611" s="39" t="s">
        <v>156</v>
      </c>
      <c r="Q611" s="39" t="s">
        <v>157</v>
      </c>
      <c r="R611" s="39">
        <v>1</v>
      </c>
      <c r="S611" s="39">
        <v>1000000</v>
      </c>
      <c r="T611" s="39" t="s">
        <v>2358</v>
      </c>
      <c r="U611" s="82">
        <v>1000000</v>
      </c>
      <c r="V611" s="39" t="s">
        <v>210</v>
      </c>
      <c r="W611" s="39" t="s">
        <v>197</v>
      </c>
      <c r="X611" s="39" t="s">
        <v>237</v>
      </c>
    </row>
    <row r="612" spans="1:24" s="39" customFormat="1" ht="16" customHeight="1" x14ac:dyDescent="0.35">
      <c r="A612" s="39" t="s">
        <v>1242</v>
      </c>
      <c r="B612" s="39" t="s">
        <v>58</v>
      </c>
      <c r="C612" s="39" t="s">
        <v>2711</v>
      </c>
      <c r="D612" s="80">
        <v>847</v>
      </c>
      <c r="E612" s="39">
        <v>8470110</v>
      </c>
      <c r="F612" s="39" t="s">
        <v>2712</v>
      </c>
      <c r="G612" s="81">
        <v>1</v>
      </c>
      <c r="H612" s="39">
        <v>428400</v>
      </c>
      <c r="I612" s="39" t="s">
        <v>2726</v>
      </c>
      <c r="J612" s="39" t="s">
        <v>60</v>
      </c>
      <c r="K612" s="39" t="s">
        <v>50</v>
      </c>
      <c r="L612" s="39">
        <v>847001</v>
      </c>
      <c r="M612" s="39" t="s">
        <v>61</v>
      </c>
      <c r="N612" s="39">
        <v>200179</v>
      </c>
      <c r="O612" s="39" t="s">
        <v>2727</v>
      </c>
      <c r="P612" s="39" t="s">
        <v>2728</v>
      </c>
      <c r="Q612" s="39" t="s">
        <v>2729</v>
      </c>
      <c r="R612" s="39">
        <v>1</v>
      </c>
      <c r="S612" s="39">
        <v>50000</v>
      </c>
      <c r="T612" s="39" t="s">
        <v>2730</v>
      </c>
      <c r="U612" s="82">
        <v>50000</v>
      </c>
      <c r="V612" s="39" t="s">
        <v>210</v>
      </c>
      <c r="W612" s="39" t="s">
        <v>197</v>
      </c>
      <c r="X612" s="39" t="s">
        <v>237</v>
      </c>
    </row>
    <row r="613" spans="1:24" s="39" customFormat="1" ht="16" customHeight="1" x14ac:dyDescent="0.35">
      <c r="A613" s="39" t="s">
        <v>245</v>
      </c>
      <c r="B613" s="39" t="s">
        <v>246</v>
      </c>
      <c r="C613" s="39" t="s">
        <v>2711</v>
      </c>
      <c r="D613" s="80">
        <v>847</v>
      </c>
      <c r="E613" s="39">
        <v>8470110</v>
      </c>
      <c r="F613" s="39" t="s">
        <v>2712</v>
      </c>
      <c r="G613" s="81">
        <v>1</v>
      </c>
      <c r="H613" s="39">
        <v>428640</v>
      </c>
      <c r="I613" s="39" t="s">
        <v>279</v>
      </c>
      <c r="J613" s="39" t="s">
        <v>60</v>
      </c>
      <c r="K613" s="39" t="s">
        <v>50</v>
      </c>
      <c r="L613" s="39">
        <v>847001</v>
      </c>
      <c r="M613" s="39" t="s">
        <v>61</v>
      </c>
      <c r="N613" s="39">
        <v>200179</v>
      </c>
      <c r="O613" s="39" t="s">
        <v>2731</v>
      </c>
      <c r="P613" s="39" t="s">
        <v>1452</v>
      </c>
      <c r="Q613" s="39" t="s">
        <v>269</v>
      </c>
      <c r="R613" s="39">
        <v>1</v>
      </c>
      <c r="S613" s="39">
        <v>50000</v>
      </c>
      <c r="T613" s="39" t="s">
        <v>2732</v>
      </c>
      <c r="U613" s="82">
        <v>50000</v>
      </c>
      <c r="V613" s="39" t="s">
        <v>55</v>
      </c>
      <c r="W613" s="39" t="s">
        <v>56</v>
      </c>
      <c r="X613" s="39" t="s">
        <v>379</v>
      </c>
    </row>
    <row r="614" spans="1:24" s="39" customFormat="1" ht="16" customHeight="1" x14ac:dyDescent="0.35">
      <c r="A614" s="39" t="s">
        <v>189</v>
      </c>
      <c r="B614" s="39" t="s">
        <v>58</v>
      </c>
      <c r="C614" s="39" t="s">
        <v>2711</v>
      </c>
      <c r="D614" s="80">
        <v>847</v>
      </c>
      <c r="E614" s="39">
        <v>8470120</v>
      </c>
      <c r="F614" s="39" t="s">
        <v>2733</v>
      </c>
      <c r="G614" s="81">
        <v>1</v>
      </c>
      <c r="H614" s="39">
        <v>420120</v>
      </c>
      <c r="I614" s="39" t="s">
        <v>2734</v>
      </c>
      <c r="J614" s="39" t="s">
        <v>60</v>
      </c>
      <c r="K614" s="39" t="s">
        <v>50</v>
      </c>
      <c r="L614" s="39">
        <v>847001</v>
      </c>
      <c r="M614" s="39" t="s">
        <v>61</v>
      </c>
      <c r="N614" s="39">
        <v>200179</v>
      </c>
      <c r="O614" s="39" t="s">
        <v>2735</v>
      </c>
      <c r="P614" s="39" t="s">
        <v>2736</v>
      </c>
      <c r="Q614" s="39" t="s">
        <v>157</v>
      </c>
      <c r="R614" s="39">
        <v>7</v>
      </c>
      <c r="S614" s="39">
        <v>70000</v>
      </c>
      <c r="T614" s="39" t="s">
        <v>2737</v>
      </c>
      <c r="U614" s="82">
        <v>490000</v>
      </c>
      <c r="V614" s="39" t="s">
        <v>55</v>
      </c>
      <c r="W614" s="39" t="s">
        <v>56</v>
      </c>
      <c r="X614" s="39" t="s">
        <v>348</v>
      </c>
    </row>
    <row r="615" spans="1:24" s="39" customFormat="1" ht="16" customHeight="1" x14ac:dyDescent="0.35">
      <c r="A615" s="39" t="s">
        <v>63</v>
      </c>
      <c r="B615" s="39" t="s">
        <v>64</v>
      </c>
      <c r="C615" s="39" t="s">
        <v>2711</v>
      </c>
      <c r="D615" s="80">
        <v>847</v>
      </c>
      <c r="E615" s="39">
        <v>8470120</v>
      </c>
      <c r="F615" s="39" t="s">
        <v>2733</v>
      </c>
      <c r="G615" s="81">
        <v>1</v>
      </c>
      <c r="H615" s="39">
        <v>426610</v>
      </c>
      <c r="I615" s="39" t="s">
        <v>694</v>
      </c>
      <c r="J615" s="39" t="s">
        <v>60</v>
      </c>
      <c r="K615" s="39" t="s">
        <v>50</v>
      </c>
      <c r="L615" s="39">
        <v>847001</v>
      </c>
      <c r="M615" s="39" t="s">
        <v>61</v>
      </c>
      <c r="N615" s="39">
        <v>200179</v>
      </c>
      <c r="O615" s="39" t="s">
        <v>2741</v>
      </c>
      <c r="P615" s="39" t="s">
        <v>274</v>
      </c>
      <c r="Q615" s="39" t="s">
        <v>157</v>
      </c>
      <c r="R615" s="39">
        <v>1</v>
      </c>
      <c r="S615" s="39">
        <v>24889</v>
      </c>
      <c r="T615" s="39" t="s">
        <v>2783</v>
      </c>
      <c r="U615" s="82">
        <v>24889</v>
      </c>
      <c r="V615" s="39" t="s">
        <v>55</v>
      </c>
      <c r="W615" s="39" t="s">
        <v>56</v>
      </c>
      <c r="X615" s="39" t="s">
        <v>816</v>
      </c>
    </row>
    <row r="616" spans="1:24" s="39" customFormat="1" ht="16" customHeight="1" x14ac:dyDescent="0.35">
      <c r="A616" s="39" t="s">
        <v>71</v>
      </c>
      <c r="B616" s="39" t="s">
        <v>1010</v>
      </c>
      <c r="C616" s="39" t="s">
        <v>2711</v>
      </c>
      <c r="D616" s="80">
        <v>847</v>
      </c>
      <c r="E616" s="39">
        <v>8470121</v>
      </c>
      <c r="F616" s="39" t="s">
        <v>2744</v>
      </c>
      <c r="G616" s="81">
        <v>1</v>
      </c>
      <c r="H616" s="39">
        <v>421000</v>
      </c>
      <c r="I616" s="39" t="s">
        <v>1011</v>
      </c>
      <c r="J616" s="39" t="s">
        <v>60</v>
      </c>
      <c r="K616" s="39" t="s">
        <v>50</v>
      </c>
      <c r="L616" s="39">
        <v>847001</v>
      </c>
      <c r="M616" s="39" t="s">
        <v>61</v>
      </c>
      <c r="N616" s="39">
        <v>200179</v>
      </c>
      <c r="O616" s="39" t="s">
        <v>2745</v>
      </c>
      <c r="P616" s="39" t="s">
        <v>2746</v>
      </c>
      <c r="Q616" s="39" t="s">
        <v>1109</v>
      </c>
      <c r="R616" s="39">
        <v>2</v>
      </c>
      <c r="S616" s="39">
        <v>30250</v>
      </c>
      <c r="T616" s="39" t="s">
        <v>2747</v>
      </c>
      <c r="U616" s="82">
        <v>60500</v>
      </c>
      <c r="V616" s="39" t="s">
        <v>55</v>
      </c>
      <c r="W616" s="39" t="s">
        <v>56</v>
      </c>
      <c r="X616" s="39" t="s">
        <v>816</v>
      </c>
    </row>
    <row r="617" spans="1:24" s="39" customFormat="1" ht="16" customHeight="1" x14ac:dyDescent="0.35">
      <c r="A617" s="39" t="s">
        <v>189</v>
      </c>
      <c r="B617" s="39" t="s">
        <v>265</v>
      </c>
      <c r="C617" s="39" t="s">
        <v>2711</v>
      </c>
      <c r="D617" s="80">
        <v>847</v>
      </c>
      <c r="E617" s="39">
        <v>8470121</v>
      </c>
      <c r="F617" s="39" t="s">
        <v>2744</v>
      </c>
      <c r="G617" s="81">
        <v>1</v>
      </c>
      <c r="H617" s="39">
        <v>425900</v>
      </c>
      <c r="I617" s="39" t="s">
        <v>266</v>
      </c>
      <c r="J617" s="39" t="s">
        <v>60</v>
      </c>
      <c r="K617" s="39" t="s">
        <v>50</v>
      </c>
      <c r="L617" s="39">
        <v>847001</v>
      </c>
      <c r="M617" s="39" t="s">
        <v>61</v>
      </c>
      <c r="N617" s="39">
        <v>200179</v>
      </c>
      <c r="O617" s="39" t="s">
        <v>2750</v>
      </c>
      <c r="P617" s="39" t="s">
        <v>268</v>
      </c>
      <c r="Q617" s="39" t="s">
        <v>269</v>
      </c>
      <c r="R617" s="39">
        <v>5</v>
      </c>
      <c r="S617" s="39">
        <v>3650</v>
      </c>
      <c r="T617" s="39" t="s">
        <v>2751</v>
      </c>
      <c r="U617" s="82">
        <v>18250</v>
      </c>
      <c r="V617" s="39" t="s">
        <v>55</v>
      </c>
      <c r="W617" s="39" t="s">
        <v>56</v>
      </c>
      <c r="X617" s="39" t="s">
        <v>816</v>
      </c>
    </row>
    <row r="618" spans="1:24" s="39" customFormat="1" ht="16" customHeight="1" x14ac:dyDescent="0.35">
      <c r="A618" s="39" t="s">
        <v>71</v>
      </c>
      <c r="B618" s="39" t="s">
        <v>1010</v>
      </c>
      <c r="C618" s="39" t="s">
        <v>2711</v>
      </c>
      <c r="D618" s="80">
        <v>847</v>
      </c>
      <c r="E618" s="39">
        <v>8470121</v>
      </c>
      <c r="F618" s="39" t="s">
        <v>2744</v>
      </c>
      <c r="G618" s="81">
        <v>1</v>
      </c>
      <c r="H618" s="39">
        <v>421000</v>
      </c>
      <c r="I618" s="39" t="s">
        <v>1011</v>
      </c>
      <c r="J618" s="39" t="s">
        <v>60</v>
      </c>
      <c r="K618" s="39" t="s">
        <v>50</v>
      </c>
      <c r="L618" s="39">
        <v>847001</v>
      </c>
      <c r="M618" s="39" t="s">
        <v>61</v>
      </c>
      <c r="N618" s="39">
        <v>200179</v>
      </c>
      <c r="O618" s="39" t="s">
        <v>2745</v>
      </c>
      <c r="P618" s="39" t="s">
        <v>2753</v>
      </c>
      <c r="Q618" s="39" t="s">
        <v>1109</v>
      </c>
      <c r="R618" s="39">
        <v>5</v>
      </c>
      <c r="S618" s="39">
        <v>24200</v>
      </c>
      <c r="T618" s="39" t="s">
        <v>2754</v>
      </c>
      <c r="U618" s="82">
        <v>121000</v>
      </c>
      <c r="V618" s="39" t="s">
        <v>55</v>
      </c>
      <c r="W618" s="39" t="s">
        <v>56</v>
      </c>
      <c r="X618" s="39" t="s">
        <v>816</v>
      </c>
    </row>
    <row r="619" spans="1:24" s="39" customFormat="1" ht="16" customHeight="1" x14ac:dyDescent="0.35">
      <c r="A619" s="39" t="s">
        <v>222</v>
      </c>
      <c r="B619" s="39" t="s">
        <v>238</v>
      </c>
      <c r="C619" s="39" t="s">
        <v>2711</v>
      </c>
      <c r="D619" s="80">
        <v>847</v>
      </c>
      <c r="E619" s="39">
        <v>8470121</v>
      </c>
      <c r="F619" s="39" t="s">
        <v>2744</v>
      </c>
      <c r="G619" s="81">
        <v>1</v>
      </c>
      <c r="H619" s="39">
        <v>421700</v>
      </c>
      <c r="I619" s="39" t="s">
        <v>2438</v>
      </c>
      <c r="J619" s="39" t="s">
        <v>60</v>
      </c>
      <c r="K619" s="39" t="s">
        <v>50</v>
      </c>
      <c r="L619" s="39">
        <v>847001</v>
      </c>
      <c r="M619" s="39" t="s">
        <v>61</v>
      </c>
      <c r="N619" s="39">
        <v>200179</v>
      </c>
      <c r="O619" s="39" t="s">
        <v>2755</v>
      </c>
      <c r="P619" s="39" t="s">
        <v>1017</v>
      </c>
      <c r="Q619" s="39" t="s">
        <v>157</v>
      </c>
      <c r="R619" s="39">
        <v>2</v>
      </c>
      <c r="S619" s="39">
        <v>90750</v>
      </c>
      <c r="T619" s="39" t="s">
        <v>2754</v>
      </c>
      <c r="U619" s="82">
        <v>181500</v>
      </c>
      <c r="V619" s="39" t="s">
        <v>55</v>
      </c>
      <c r="W619" s="39" t="s">
        <v>56</v>
      </c>
      <c r="X619" s="39" t="s">
        <v>816</v>
      </c>
    </row>
    <row r="620" spans="1:24" s="39" customFormat="1" ht="16" customHeight="1" x14ac:dyDescent="0.35">
      <c r="A620" s="39" t="s">
        <v>63</v>
      </c>
      <c r="B620" s="39" t="s">
        <v>64</v>
      </c>
      <c r="C620" s="39" t="s">
        <v>2711</v>
      </c>
      <c r="D620" s="80">
        <v>847</v>
      </c>
      <c r="E620" s="39">
        <v>8470121</v>
      </c>
      <c r="F620" s="39" t="s">
        <v>2744</v>
      </c>
      <c r="G620" s="81">
        <v>1</v>
      </c>
      <c r="H620" s="39">
        <v>426610</v>
      </c>
      <c r="I620" s="39" t="s">
        <v>694</v>
      </c>
      <c r="J620" s="39" t="s">
        <v>60</v>
      </c>
      <c r="K620" s="39" t="s">
        <v>50</v>
      </c>
      <c r="L620" s="39">
        <v>847001</v>
      </c>
      <c r="M620" s="39" t="s">
        <v>61</v>
      </c>
      <c r="N620" s="39">
        <v>200179</v>
      </c>
      <c r="O620" s="39" t="s">
        <v>2756</v>
      </c>
      <c r="P620" s="39" t="s">
        <v>274</v>
      </c>
      <c r="Q620" s="39" t="s">
        <v>157</v>
      </c>
      <c r="R620" s="39">
        <v>1</v>
      </c>
      <c r="S620" s="39">
        <v>181500</v>
      </c>
      <c r="T620" s="39" t="s">
        <v>2754</v>
      </c>
      <c r="U620" s="82">
        <v>181500</v>
      </c>
      <c r="V620" s="39" t="s">
        <v>55</v>
      </c>
      <c r="W620" s="39" t="s">
        <v>56</v>
      </c>
      <c r="X620" s="39" t="s">
        <v>816</v>
      </c>
    </row>
    <row r="621" spans="1:24" s="39" customFormat="1" ht="16" customHeight="1" x14ac:dyDescent="0.35">
      <c r="A621" s="39" t="s">
        <v>189</v>
      </c>
      <c r="B621" s="39" t="s">
        <v>1264</v>
      </c>
      <c r="C621" s="39" t="s">
        <v>2711</v>
      </c>
      <c r="D621" s="80">
        <v>847</v>
      </c>
      <c r="E621" s="39">
        <v>8470150</v>
      </c>
      <c r="F621" s="39" t="s">
        <v>2759</v>
      </c>
      <c r="G621" s="81">
        <v>1</v>
      </c>
      <c r="H621" s="39">
        <v>420900</v>
      </c>
      <c r="I621" s="39" t="s">
        <v>1266</v>
      </c>
      <c r="J621" s="39" t="s">
        <v>60</v>
      </c>
      <c r="K621" s="39" t="s">
        <v>50</v>
      </c>
      <c r="L621" s="39">
        <v>847001</v>
      </c>
      <c r="M621" s="39" t="s">
        <v>61</v>
      </c>
      <c r="N621" s="39">
        <v>200179</v>
      </c>
      <c r="O621" s="39" t="s">
        <v>2760</v>
      </c>
      <c r="P621" s="39" t="s">
        <v>2761</v>
      </c>
      <c r="Q621" s="39" t="s">
        <v>2762</v>
      </c>
      <c r="R621" s="39">
        <v>1</v>
      </c>
      <c r="S621" s="39">
        <v>20000</v>
      </c>
      <c r="T621" s="39" t="s">
        <v>2763</v>
      </c>
      <c r="U621" s="82">
        <v>20000</v>
      </c>
      <c r="V621" s="39" t="s">
        <v>55</v>
      </c>
      <c r="W621" s="39" t="s">
        <v>56</v>
      </c>
      <c r="X621" s="39" t="s">
        <v>816</v>
      </c>
    </row>
    <row r="622" spans="1:24" s="39" customFormat="1" ht="16" customHeight="1" x14ac:dyDescent="0.35">
      <c r="A622" s="39" t="s">
        <v>189</v>
      </c>
      <c r="B622" s="39" t="s">
        <v>1264</v>
      </c>
      <c r="C622" s="39" t="s">
        <v>2711</v>
      </c>
      <c r="D622" s="80">
        <v>847</v>
      </c>
      <c r="E622" s="39">
        <v>8470150</v>
      </c>
      <c r="F622" s="39" t="s">
        <v>2759</v>
      </c>
      <c r="G622" s="81">
        <v>1</v>
      </c>
      <c r="H622" s="39">
        <v>420900</v>
      </c>
      <c r="I622" s="39" t="s">
        <v>1266</v>
      </c>
      <c r="J622" s="39" t="s">
        <v>60</v>
      </c>
      <c r="K622" s="39" t="s">
        <v>50</v>
      </c>
      <c r="L622" s="39" t="s">
        <v>51</v>
      </c>
      <c r="M622" s="39" t="s">
        <v>61</v>
      </c>
      <c r="N622" s="39">
        <v>200179</v>
      </c>
      <c r="O622" s="39" t="s">
        <v>2760</v>
      </c>
      <c r="P622" s="39" t="s">
        <v>2765</v>
      </c>
      <c r="Q622" s="39" t="s">
        <v>2766</v>
      </c>
      <c r="R622" s="39">
        <v>1</v>
      </c>
      <c r="S622" s="39">
        <v>300000</v>
      </c>
      <c r="T622" s="39" t="s">
        <v>2767</v>
      </c>
      <c r="U622" s="82">
        <v>300000</v>
      </c>
      <c r="V622" s="39" t="s">
        <v>55</v>
      </c>
      <c r="W622" s="39" t="s">
        <v>56</v>
      </c>
      <c r="X622" s="39" t="s">
        <v>816</v>
      </c>
    </row>
    <row r="623" spans="1:24" s="39" customFormat="1" ht="16" customHeight="1" x14ac:dyDescent="0.35">
      <c r="A623" s="39" t="s">
        <v>222</v>
      </c>
      <c r="B623" s="39" t="s">
        <v>58</v>
      </c>
      <c r="C623" s="39" t="s">
        <v>2711</v>
      </c>
      <c r="D623" s="80">
        <v>847</v>
      </c>
      <c r="E623" s="39">
        <v>8470150</v>
      </c>
      <c r="F623" s="39" t="s">
        <v>2759</v>
      </c>
      <c r="G623" s="81">
        <v>1</v>
      </c>
      <c r="H623" s="39">
        <v>427710</v>
      </c>
      <c r="I623" s="39" t="s">
        <v>1090</v>
      </c>
      <c r="J623" s="39" t="s">
        <v>60</v>
      </c>
      <c r="K623" s="39" t="s">
        <v>50</v>
      </c>
      <c r="L623" s="39" t="s">
        <v>51</v>
      </c>
      <c r="M623" s="39" t="s">
        <v>61</v>
      </c>
      <c r="N623" s="39">
        <v>200179</v>
      </c>
      <c r="O623" s="39" t="s">
        <v>2768</v>
      </c>
      <c r="P623" s="39" t="s">
        <v>1092</v>
      </c>
      <c r="Q623" s="39" t="s">
        <v>157</v>
      </c>
      <c r="R623" s="39">
        <v>1</v>
      </c>
      <c r="S623" s="39">
        <v>25000</v>
      </c>
      <c r="T623" s="39" t="s">
        <v>2769</v>
      </c>
      <c r="U623" s="82">
        <v>25000</v>
      </c>
      <c r="V623" s="39" t="s">
        <v>55</v>
      </c>
      <c r="W623" s="39" t="s">
        <v>56</v>
      </c>
      <c r="X623" s="39" t="s">
        <v>816</v>
      </c>
    </row>
    <row r="624" spans="1:24" s="39" customFormat="1" ht="16" customHeight="1" x14ac:dyDescent="0.35">
      <c r="A624" s="39" t="s">
        <v>245</v>
      </c>
      <c r="B624" s="39" t="s">
        <v>58</v>
      </c>
      <c r="C624" s="39" t="s">
        <v>2711</v>
      </c>
      <c r="D624" s="80">
        <v>847</v>
      </c>
      <c r="E624" s="39">
        <v>8470160</v>
      </c>
      <c r="F624" s="39" t="s">
        <v>2770</v>
      </c>
      <c r="G624" s="81">
        <v>1</v>
      </c>
      <c r="H624" s="39">
        <v>425550</v>
      </c>
      <c r="I624" s="39" t="s">
        <v>253</v>
      </c>
      <c r="J624" s="39" t="s">
        <v>60</v>
      </c>
      <c r="K624" s="39" t="s">
        <v>50</v>
      </c>
      <c r="L624" s="39">
        <v>847001</v>
      </c>
      <c r="M624" s="39" t="s">
        <v>61</v>
      </c>
      <c r="N624" s="39">
        <v>200179</v>
      </c>
      <c r="O624" s="39" t="s">
        <v>2771</v>
      </c>
      <c r="P624" s="39" t="s">
        <v>2022</v>
      </c>
      <c r="Q624" s="39" t="s">
        <v>250</v>
      </c>
      <c r="R624" s="39">
        <v>2</v>
      </c>
      <c r="S624" s="39">
        <v>50000</v>
      </c>
      <c r="T624" s="39" t="s">
        <v>2784</v>
      </c>
      <c r="U624" s="82">
        <v>100000</v>
      </c>
      <c r="V624" s="39" t="s">
        <v>210</v>
      </c>
      <c r="W624" s="39" t="s">
        <v>197</v>
      </c>
      <c r="X624" s="39" t="s">
        <v>365</v>
      </c>
    </row>
    <row r="625" spans="1:24" s="39" customFormat="1" ht="16" customHeight="1" x14ac:dyDescent="0.35">
      <c r="A625" s="39" t="s">
        <v>245</v>
      </c>
      <c r="B625" s="39" t="s">
        <v>246</v>
      </c>
      <c r="C625" s="39" t="s">
        <v>2711</v>
      </c>
      <c r="D625" s="80">
        <v>847</v>
      </c>
      <c r="E625" s="39">
        <v>8470160</v>
      </c>
      <c r="F625" s="39" t="s">
        <v>2770</v>
      </c>
      <c r="G625" s="81">
        <v>1</v>
      </c>
      <c r="H625" s="39">
        <v>428640</v>
      </c>
      <c r="I625" s="39" t="s">
        <v>279</v>
      </c>
      <c r="J625" s="39" t="s">
        <v>60</v>
      </c>
      <c r="K625" s="39" t="s">
        <v>50</v>
      </c>
      <c r="L625" s="39">
        <v>847001</v>
      </c>
      <c r="M625" s="39" t="s">
        <v>61</v>
      </c>
      <c r="N625" s="39">
        <v>200179</v>
      </c>
      <c r="O625" s="39" t="s">
        <v>2774</v>
      </c>
      <c r="P625" s="39" t="s">
        <v>645</v>
      </c>
      <c r="Q625" s="39" t="s">
        <v>269</v>
      </c>
      <c r="R625" s="39">
        <v>100</v>
      </c>
      <c r="S625" s="39">
        <v>1000</v>
      </c>
      <c r="T625" s="39" t="s">
        <v>2775</v>
      </c>
      <c r="U625" s="82">
        <v>100000</v>
      </c>
      <c r="V625" s="39" t="s">
        <v>55</v>
      </c>
      <c r="W625" s="39" t="s">
        <v>56</v>
      </c>
      <c r="X625" s="39" t="s">
        <v>379</v>
      </c>
    </row>
    <row r="626" spans="1:24" s="39" customFormat="1" ht="16" customHeight="1" x14ac:dyDescent="0.35">
      <c r="A626" s="39" t="s">
        <v>153</v>
      </c>
      <c r="B626" s="39" t="s">
        <v>58</v>
      </c>
      <c r="C626" s="39" t="s">
        <v>2711</v>
      </c>
      <c r="D626" s="80">
        <v>847</v>
      </c>
      <c r="E626" s="39">
        <v>8470160</v>
      </c>
      <c r="F626" s="39" t="s">
        <v>2770</v>
      </c>
      <c r="G626" s="81">
        <v>1</v>
      </c>
      <c r="H626" s="39">
        <v>428090</v>
      </c>
      <c r="I626" s="39" t="s">
        <v>154</v>
      </c>
      <c r="J626" s="39" t="s">
        <v>60</v>
      </c>
      <c r="K626" s="39" t="s">
        <v>50</v>
      </c>
      <c r="L626" s="39">
        <v>847001</v>
      </c>
      <c r="M626" s="39" t="s">
        <v>61</v>
      </c>
      <c r="N626" s="39">
        <v>200179</v>
      </c>
      <c r="O626" s="39" t="s">
        <v>2776</v>
      </c>
      <c r="P626" s="39" t="s">
        <v>156</v>
      </c>
      <c r="Q626" s="39" t="s">
        <v>157</v>
      </c>
      <c r="R626" s="39">
        <v>2</v>
      </c>
      <c r="S626" s="39">
        <v>50000</v>
      </c>
      <c r="T626" s="39" t="s">
        <v>2782</v>
      </c>
      <c r="U626" s="82">
        <v>100000</v>
      </c>
      <c r="V626" s="39" t="s">
        <v>210</v>
      </c>
      <c r="W626" s="39" t="s">
        <v>197</v>
      </c>
      <c r="X626" s="39" t="s">
        <v>365</v>
      </c>
    </row>
    <row r="627" spans="1:24" s="39" customFormat="1" ht="16" customHeight="1" x14ac:dyDescent="0.35">
      <c r="A627" s="39" t="s">
        <v>189</v>
      </c>
      <c r="B627" s="39" t="s">
        <v>265</v>
      </c>
      <c r="C627" s="39" t="s">
        <v>2711</v>
      </c>
      <c r="D627" s="80">
        <v>847</v>
      </c>
      <c r="E627" s="39">
        <v>8470160</v>
      </c>
      <c r="F627" s="39" t="s">
        <v>2770</v>
      </c>
      <c r="G627" s="81">
        <v>1</v>
      </c>
      <c r="H627" s="39">
        <v>425900</v>
      </c>
      <c r="I627" s="39" t="s">
        <v>266</v>
      </c>
      <c r="J627" s="39" t="s">
        <v>60</v>
      </c>
      <c r="K627" s="39" t="s">
        <v>50</v>
      </c>
      <c r="L627" s="39">
        <v>847001</v>
      </c>
      <c r="M627" s="39" t="s">
        <v>61</v>
      </c>
      <c r="N627" s="39">
        <v>200179</v>
      </c>
      <c r="O627" s="39" t="s">
        <v>2778</v>
      </c>
      <c r="P627" s="39" t="s">
        <v>268</v>
      </c>
      <c r="Q627" s="39" t="s">
        <v>269</v>
      </c>
      <c r="R627" s="39">
        <v>6</v>
      </c>
      <c r="S627" s="39">
        <v>500000</v>
      </c>
      <c r="T627" s="39" t="s">
        <v>2779</v>
      </c>
      <c r="U627" s="82">
        <v>3000000</v>
      </c>
      <c r="V627" s="39" t="s">
        <v>210</v>
      </c>
      <c r="W627" s="39" t="s">
        <v>56</v>
      </c>
      <c r="X627" s="39" t="s">
        <v>365</v>
      </c>
    </row>
    <row r="628" spans="1:24" s="39" customFormat="1" ht="16" customHeight="1" x14ac:dyDescent="0.35">
      <c r="A628" s="434">
        <v>0</v>
      </c>
      <c r="B628" s="39" t="s">
        <v>58</v>
      </c>
      <c r="C628" s="39" t="s">
        <v>1209</v>
      </c>
      <c r="D628" s="80">
        <v>847</v>
      </c>
      <c r="E628" s="39">
        <v>8471160</v>
      </c>
      <c r="F628" s="39" t="s">
        <v>3036</v>
      </c>
      <c r="G628" s="81">
        <v>1</v>
      </c>
      <c r="H628" s="39">
        <v>420810</v>
      </c>
      <c r="I628" s="39" t="s">
        <v>59</v>
      </c>
      <c r="J628" s="39" t="s">
        <v>60</v>
      </c>
      <c r="K628" s="39" t="s">
        <v>50</v>
      </c>
      <c r="L628" s="39">
        <v>847001</v>
      </c>
      <c r="M628" s="39" t="s">
        <v>61</v>
      </c>
      <c r="N628" s="39">
        <v>200179</v>
      </c>
      <c r="O628" s="39" t="s">
        <v>2893</v>
      </c>
      <c r="Q628" s="39" t="s">
        <v>62</v>
      </c>
      <c r="U628" s="82">
        <v>0</v>
      </c>
    </row>
    <row r="629" spans="1:24" s="39" customFormat="1" ht="16" customHeight="1" x14ac:dyDescent="0.35">
      <c r="A629" s="434" t="s">
        <v>63</v>
      </c>
      <c r="B629" s="39" t="s">
        <v>64</v>
      </c>
      <c r="C629" s="39" t="s">
        <v>1209</v>
      </c>
      <c r="D629" s="80">
        <v>847</v>
      </c>
      <c r="E629" s="39">
        <v>8471160</v>
      </c>
      <c r="F629" s="39" t="s">
        <v>3036</v>
      </c>
      <c r="G629" s="81">
        <v>1</v>
      </c>
      <c r="H629" s="39">
        <v>420811</v>
      </c>
      <c r="I629" s="39" t="s">
        <v>3435</v>
      </c>
      <c r="J629" s="39" t="s">
        <v>60</v>
      </c>
      <c r="K629" s="39" t="s">
        <v>50</v>
      </c>
      <c r="L629" s="39">
        <v>847001</v>
      </c>
      <c r="M629" s="39" t="s">
        <v>61</v>
      </c>
      <c r="N629" s="39">
        <v>200179</v>
      </c>
      <c r="O629" s="39" t="s">
        <v>2894</v>
      </c>
      <c r="Q629" s="39" t="s">
        <v>62</v>
      </c>
      <c r="U629" s="82">
        <v>0</v>
      </c>
    </row>
    <row r="630" spans="1:24" s="39" customFormat="1" ht="16" customHeight="1" x14ac:dyDescent="0.35">
      <c r="A630" s="434" t="s">
        <v>63</v>
      </c>
      <c r="B630" s="39" t="s">
        <v>64</v>
      </c>
      <c r="C630" s="39" t="s">
        <v>1209</v>
      </c>
      <c r="D630" s="80">
        <v>847</v>
      </c>
      <c r="E630" s="39">
        <v>8471160</v>
      </c>
      <c r="F630" s="39" t="s">
        <v>3036</v>
      </c>
      <c r="G630" s="81">
        <v>1</v>
      </c>
      <c r="H630" s="39">
        <v>426610</v>
      </c>
      <c r="I630" s="39" t="s">
        <v>74</v>
      </c>
      <c r="J630" s="39" t="s">
        <v>60</v>
      </c>
      <c r="K630" s="39" t="s">
        <v>50</v>
      </c>
      <c r="L630" s="39">
        <v>847001</v>
      </c>
      <c r="M630" s="39" t="s">
        <v>61</v>
      </c>
      <c r="N630" s="39">
        <v>200179</v>
      </c>
      <c r="O630" s="39" t="s">
        <v>2895</v>
      </c>
      <c r="Q630" s="39" t="s">
        <v>62</v>
      </c>
      <c r="U630" s="82">
        <v>0</v>
      </c>
    </row>
    <row r="631" spans="1:24" s="39" customFormat="1" ht="16" customHeight="1" x14ac:dyDescent="0.35">
      <c r="A631" s="434" t="s">
        <v>222</v>
      </c>
      <c r="B631" s="39" t="s">
        <v>58</v>
      </c>
      <c r="C631" s="39" t="s">
        <v>1209</v>
      </c>
      <c r="D631" s="80">
        <v>847</v>
      </c>
      <c r="E631" s="39">
        <v>8471160</v>
      </c>
      <c r="F631" s="39" t="s">
        <v>3036</v>
      </c>
      <c r="G631" s="81">
        <v>1</v>
      </c>
      <c r="H631" s="39">
        <v>432209</v>
      </c>
      <c r="I631" s="39" t="s">
        <v>393</v>
      </c>
      <c r="J631" s="39" t="s">
        <v>60</v>
      </c>
      <c r="K631" s="39" t="s">
        <v>50</v>
      </c>
      <c r="L631" s="39">
        <v>847001</v>
      </c>
      <c r="M631" s="39" t="s">
        <v>61</v>
      </c>
      <c r="N631" s="39">
        <v>200179</v>
      </c>
      <c r="O631" s="39" t="s">
        <v>2896</v>
      </c>
      <c r="P631" s="39" t="s">
        <v>288</v>
      </c>
      <c r="Q631" s="39" t="s">
        <v>157</v>
      </c>
      <c r="R631" s="39">
        <v>21292697</v>
      </c>
      <c r="S631" s="39">
        <v>1</v>
      </c>
      <c r="T631" s="39" t="s">
        <v>3446</v>
      </c>
      <c r="U631" s="82">
        <v>21292697</v>
      </c>
      <c r="V631" s="39" t="s">
        <v>55</v>
      </c>
      <c r="W631" s="39" t="s">
        <v>56</v>
      </c>
      <c r="X631" s="39" t="s">
        <v>816</v>
      </c>
    </row>
    <row r="632" spans="1:24" s="39" customFormat="1" ht="16" customHeight="1" x14ac:dyDescent="0.35">
      <c r="A632" s="434" t="s">
        <v>222</v>
      </c>
      <c r="B632" s="39" t="s">
        <v>220</v>
      </c>
      <c r="C632" s="39" t="s">
        <v>1209</v>
      </c>
      <c r="D632" s="80">
        <v>847</v>
      </c>
      <c r="E632" s="39">
        <v>8471160</v>
      </c>
      <c r="F632" s="39" t="s">
        <v>3036</v>
      </c>
      <c r="G632" s="81">
        <v>1</v>
      </c>
      <c r="H632" s="39">
        <v>435508</v>
      </c>
      <c r="I632" s="39" t="s">
        <v>405</v>
      </c>
      <c r="J632" s="39" t="s">
        <v>60</v>
      </c>
      <c r="K632" s="39" t="s">
        <v>50</v>
      </c>
      <c r="L632" s="39">
        <v>847001</v>
      </c>
      <c r="M632" s="39" t="s">
        <v>61</v>
      </c>
      <c r="N632" s="39">
        <v>200179</v>
      </c>
      <c r="O632" s="39" t="s">
        <v>2897</v>
      </c>
      <c r="P632" s="39" t="s">
        <v>407</v>
      </c>
      <c r="Q632" s="39" t="s">
        <v>157</v>
      </c>
      <c r="R632" s="39">
        <v>16996114</v>
      </c>
      <c r="S632" s="39">
        <v>1</v>
      </c>
      <c r="T632" s="39" t="s">
        <v>3446</v>
      </c>
      <c r="U632" s="82">
        <v>16996114</v>
      </c>
      <c r="V632" s="39" t="s">
        <v>55</v>
      </c>
      <c r="W632" s="39" t="s">
        <v>56</v>
      </c>
      <c r="X632" s="39" t="s">
        <v>816</v>
      </c>
    </row>
    <row r="633" spans="1:24" s="39" customFormat="1" ht="16" customHeight="1" x14ac:dyDescent="0.35">
      <c r="A633" s="434" t="s">
        <v>161</v>
      </c>
      <c r="B633" s="39" t="s">
        <v>2474</v>
      </c>
      <c r="C633" s="39" t="s">
        <v>1209</v>
      </c>
      <c r="D633" s="80">
        <v>847</v>
      </c>
      <c r="E633" s="39">
        <v>8471160</v>
      </c>
      <c r="F633" s="39" t="s">
        <v>3036</v>
      </c>
      <c r="G633" s="81">
        <v>1</v>
      </c>
      <c r="H633" s="39">
        <v>492200</v>
      </c>
      <c r="I633" s="39" t="s">
        <v>2475</v>
      </c>
      <c r="J633" s="39" t="s">
        <v>60</v>
      </c>
      <c r="K633" s="39" t="s">
        <v>50</v>
      </c>
      <c r="L633" s="39">
        <v>847001</v>
      </c>
      <c r="M633" s="39" t="s">
        <v>192</v>
      </c>
      <c r="N633" s="39">
        <v>300180</v>
      </c>
      <c r="O633" s="39" t="s">
        <v>2898</v>
      </c>
      <c r="Q633" s="39" t="s">
        <v>62</v>
      </c>
      <c r="U633" s="82">
        <v>0</v>
      </c>
    </row>
    <row r="634" spans="1:24" s="39" customFormat="1" ht="16" customHeight="1" x14ac:dyDescent="0.35">
      <c r="A634" s="434" t="s">
        <v>161</v>
      </c>
      <c r="B634" s="39" t="s">
        <v>220</v>
      </c>
      <c r="C634" s="39" t="s">
        <v>1209</v>
      </c>
      <c r="D634" s="80">
        <v>847</v>
      </c>
      <c r="E634" s="39">
        <v>8471160</v>
      </c>
      <c r="F634" s="39" t="s">
        <v>3036</v>
      </c>
      <c r="G634" s="81">
        <v>1</v>
      </c>
      <c r="H634" s="39">
        <v>492316</v>
      </c>
      <c r="I634" s="39" t="s">
        <v>221</v>
      </c>
      <c r="J634" s="39" t="s">
        <v>60</v>
      </c>
      <c r="K634" s="39" t="s">
        <v>50</v>
      </c>
      <c r="L634" s="39">
        <v>847001</v>
      </c>
      <c r="M634" s="39" t="s">
        <v>192</v>
      </c>
      <c r="N634" s="39">
        <v>300180</v>
      </c>
      <c r="O634" s="39" t="s">
        <v>2899</v>
      </c>
      <c r="P634" s="39" t="s">
        <v>969</v>
      </c>
      <c r="Q634" s="39" t="s">
        <v>157</v>
      </c>
      <c r="R634" s="39">
        <v>55622099</v>
      </c>
      <c r="S634" s="39">
        <v>1</v>
      </c>
      <c r="T634" s="39" t="s">
        <v>3447</v>
      </c>
      <c r="U634" s="82">
        <v>55622099</v>
      </c>
      <c r="V634" s="39" t="s">
        <v>210</v>
      </c>
      <c r="W634" s="39" t="s">
        <v>197</v>
      </c>
      <c r="X634" s="39" t="s">
        <v>816</v>
      </c>
    </row>
    <row r="635" spans="1:24" s="39" customFormat="1" ht="16" customHeight="1" x14ac:dyDescent="0.35">
      <c r="A635" s="434" t="s">
        <v>161</v>
      </c>
      <c r="B635" s="39" t="s">
        <v>58</v>
      </c>
      <c r="C635" s="39" t="s">
        <v>1209</v>
      </c>
      <c r="D635" s="80">
        <v>847</v>
      </c>
      <c r="E635" s="39">
        <v>8471160</v>
      </c>
      <c r="F635" s="39" t="s">
        <v>3036</v>
      </c>
      <c r="G635" s="81">
        <v>1</v>
      </c>
      <c r="H635" s="39">
        <v>422100</v>
      </c>
      <c r="I635" s="39" t="s">
        <v>1021</v>
      </c>
      <c r="J635" s="39" t="s">
        <v>60</v>
      </c>
      <c r="K635" s="39" t="s">
        <v>50</v>
      </c>
      <c r="L635" s="39">
        <v>847001</v>
      </c>
      <c r="M635" s="39" t="s">
        <v>61</v>
      </c>
      <c r="N635" s="39">
        <v>200179</v>
      </c>
      <c r="O635" s="39" t="s">
        <v>2996</v>
      </c>
      <c r="Q635" s="39" t="s">
        <v>62</v>
      </c>
      <c r="U635" s="82">
        <v>0</v>
      </c>
    </row>
    <row r="636" spans="1:24" s="39" customFormat="1" ht="16" customHeight="1" x14ac:dyDescent="0.35">
      <c r="A636" s="434" t="s">
        <v>161</v>
      </c>
      <c r="B636" s="39" t="s">
        <v>58</v>
      </c>
      <c r="C636" s="39" t="s">
        <v>1209</v>
      </c>
      <c r="D636" s="80">
        <v>847</v>
      </c>
      <c r="E636" s="39">
        <v>8471160</v>
      </c>
      <c r="F636" s="39" t="s">
        <v>3036</v>
      </c>
      <c r="G636" s="81">
        <v>1</v>
      </c>
      <c r="H636" s="39">
        <v>430330</v>
      </c>
      <c r="I636" s="39" t="s">
        <v>2553</v>
      </c>
      <c r="J636" s="39" t="s">
        <v>60</v>
      </c>
      <c r="K636" s="39">
        <v>0</v>
      </c>
      <c r="L636" s="39">
        <v>847001</v>
      </c>
      <c r="M636" s="39" t="s">
        <v>61</v>
      </c>
      <c r="N636" s="39">
        <v>200179</v>
      </c>
      <c r="O636" s="39" t="s">
        <v>2943</v>
      </c>
      <c r="Q636" s="39" t="s">
        <v>62</v>
      </c>
      <c r="U636" s="82">
        <v>0</v>
      </c>
    </row>
    <row r="637" spans="1:24" ht="16" customHeight="1" x14ac:dyDescent="0.35">
      <c r="U637" s="40">
        <f>SUM(U2:U627)</f>
        <v>1121432082.1658602</v>
      </c>
    </row>
    <row r="638" spans="1:24" ht="16" customHeight="1" x14ac:dyDescent="0.35">
      <c r="U638" s="40"/>
    </row>
    <row r="639" spans="1:24" ht="16" customHeight="1" x14ac:dyDescent="0.35">
      <c r="U639" s="40"/>
    </row>
    <row r="640" spans="1:24" ht="16" customHeight="1" x14ac:dyDescent="0.35">
      <c r="U640" s="40"/>
    </row>
    <row r="641" spans="1:21" ht="16" customHeight="1" x14ac:dyDescent="0.35">
      <c r="U641" s="40"/>
    </row>
    <row r="642" spans="1:21" ht="16" customHeight="1" x14ac:dyDescent="0.35">
      <c r="U642" s="40"/>
    </row>
    <row r="643" spans="1:21" ht="16" customHeight="1" x14ac:dyDescent="0.35">
      <c r="U643" s="40"/>
    </row>
    <row r="644" spans="1:21" ht="16" customHeight="1" x14ac:dyDescent="0.35">
      <c r="A644" t="s">
        <v>1731</v>
      </c>
      <c r="B644">
        <v>294926776.14199001</v>
      </c>
    </row>
    <row r="645" spans="1:21" ht="16" customHeight="1" x14ac:dyDescent="0.35">
      <c r="A645" t="s">
        <v>1732</v>
      </c>
      <c r="B645" s="54">
        <f>C645+D645</f>
        <v>120721869</v>
      </c>
      <c r="C645" s="40">
        <v>29678773</v>
      </c>
      <c r="D645" s="62">
        <v>91043096</v>
      </c>
    </row>
    <row r="646" spans="1:21" ht="16" customHeight="1" x14ac:dyDescent="0.35">
      <c r="A646" t="s">
        <v>1733</v>
      </c>
      <c r="B646" s="40">
        <v>498946460.61457014</v>
      </c>
    </row>
    <row r="647" spans="1:21" ht="16" customHeight="1" x14ac:dyDescent="0.35">
      <c r="A647" t="s">
        <v>1734</v>
      </c>
      <c r="B647" s="54">
        <f>A655</f>
        <v>206836976.4093</v>
      </c>
    </row>
    <row r="648" spans="1:21" ht="16" customHeight="1" x14ac:dyDescent="0.35">
      <c r="B648" s="40">
        <f>SUM(B644:B647)</f>
        <v>1121432082.1658602</v>
      </c>
    </row>
    <row r="649" spans="1:21" ht="16" customHeight="1" x14ac:dyDescent="0.35">
      <c r="B649" s="54">
        <f>B648-U637</f>
        <v>0</v>
      </c>
    </row>
    <row r="651" spans="1:21" ht="16" customHeight="1" x14ac:dyDescent="0.35">
      <c r="A651">
        <v>11772639</v>
      </c>
    </row>
    <row r="652" spans="1:21" ht="16" customHeight="1" x14ac:dyDescent="0.35">
      <c r="A652" s="40">
        <v>29141294</v>
      </c>
    </row>
    <row r="653" spans="1:21" ht="16" customHeight="1" x14ac:dyDescent="0.35">
      <c r="A653" s="40">
        <v>53253059.999300003</v>
      </c>
    </row>
    <row r="654" spans="1:21" ht="16" customHeight="1" x14ac:dyDescent="0.35">
      <c r="A654" s="40">
        <v>112669983.41</v>
      </c>
    </row>
    <row r="655" spans="1:21" ht="16" customHeight="1" x14ac:dyDescent="0.35">
      <c r="A655" s="54">
        <f>SUM(A651:A654)</f>
        <v>206836976.4093</v>
      </c>
    </row>
  </sheetData>
  <autoFilter ref="A1:Y637"/>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errorStyle="information" showInputMessage="1" showErrorMessage="1">
          <x14:formula1>
            <xm:f>'C:\Users\ku459\AppData\Local\Temp\Rar$DIa14176.32111\[Y23 - Y25 Budget Request - 8470230 Graduate Studies.xlsx]Budget Drivers'!#REF!</xm:f>
          </x14:formula1>
          <xm:sqref>P254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2"/>
  <sheetViews>
    <sheetView topLeftCell="A22" workbookViewId="0">
      <selection activeCell="K36" sqref="K36:L36"/>
    </sheetView>
  </sheetViews>
  <sheetFormatPr defaultRowHeight="14.5" x14ac:dyDescent="0.35"/>
  <cols>
    <col min="1" max="1" width="11.1796875" bestFit="1" customWidth="1"/>
    <col min="2" max="2" width="38.54296875" bestFit="1" customWidth="1"/>
    <col min="3" max="3" width="8.54296875" style="66" bestFit="1" customWidth="1"/>
    <col min="4" max="4" width="11" style="66" bestFit="1" customWidth="1"/>
    <col min="5" max="5" width="8.54296875" style="66" bestFit="1" customWidth="1"/>
    <col min="6" max="6" width="11" bestFit="1" customWidth="1"/>
    <col min="7" max="7" width="8.54296875" bestFit="1" customWidth="1"/>
    <col min="8" max="8" width="11" bestFit="1" customWidth="1"/>
    <col min="9" max="9" width="8.54296875" bestFit="1" customWidth="1"/>
    <col min="10" max="10" width="11" style="221" bestFit="1" customWidth="1"/>
    <col min="11" max="12" width="11" bestFit="1" customWidth="1"/>
    <col min="13" max="13" width="8.54296875" bestFit="1" customWidth="1"/>
    <col min="14" max="14" width="11" bestFit="1" customWidth="1"/>
    <col min="15" max="15" width="8.54296875" bestFit="1" customWidth="1"/>
    <col min="16" max="18" width="11" bestFit="1" customWidth="1"/>
    <col min="19" max="19" width="9.453125" bestFit="1" customWidth="1"/>
    <col min="20" max="20" width="11" bestFit="1" customWidth="1"/>
  </cols>
  <sheetData>
    <row r="1" spans="1:20" s="242" customFormat="1" x14ac:dyDescent="0.35">
      <c r="A1" s="219" t="s">
        <v>3284</v>
      </c>
      <c r="B1" s="219" t="s">
        <v>3262</v>
      </c>
      <c r="C1" s="241" t="s">
        <v>3285</v>
      </c>
      <c r="D1" s="241" t="s">
        <v>3286</v>
      </c>
      <c r="E1" s="241" t="s">
        <v>3287</v>
      </c>
      <c r="F1" s="241" t="s">
        <v>3288</v>
      </c>
      <c r="G1" s="241" t="s">
        <v>3289</v>
      </c>
      <c r="H1" s="241" t="s">
        <v>3290</v>
      </c>
      <c r="I1" s="241" t="s">
        <v>3291</v>
      </c>
      <c r="J1" s="241" t="s">
        <v>3292</v>
      </c>
      <c r="K1" s="241" t="s">
        <v>3293</v>
      </c>
      <c r="L1" s="241" t="s">
        <v>3294</v>
      </c>
      <c r="M1" s="241" t="s">
        <v>3295</v>
      </c>
      <c r="N1" s="241" t="s">
        <v>3296</v>
      </c>
      <c r="O1" s="241" t="s">
        <v>3297</v>
      </c>
      <c r="P1" s="241" t="s">
        <v>3298</v>
      </c>
      <c r="Q1" s="241" t="s">
        <v>3299</v>
      </c>
      <c r="R1" s="241" t="s">
        <v>3300</v>
      </c>
      <c r="S1" s="241" t="s">
        <v>3301</v>
      </c>
      <c r="T1" s="241" t="s">
        <v>3302</v>
      </c>
    </row>
    <row r="2" spans="1:20" x14ac:dyDescent="0.35">
      <c r="A2" s="243" t="s">
        <v>3303</v>
      </c>
      <c r="B2" s="223" t="s">
        <v>3304</v>
      </c>
      <c r="C2" s="244">
        <v>4</v>
      </c>
      <c r="D2" s="244">
        <v>4</v>
      </c>
      <c r="E2" s="222">
        <v>4</v>
      </c>
      <c r="F2" s="222">
        <v>3</v>
      </c>
      <c r="G2" s="222">
        <v>0</v>
      </c>
      <c r="H2" s="222">
        <v>0</v>
      </c>
      <c r="I2" s="245">
        <f>(H2/H$7)*H$21</f>
        <v>0</v>
      </c>
      <c r="J2" s="245">
        <f>(I2/I$7)*I$21</f>
        <v>0</v>
      </c>
      <c r="K2" s="245">
        <f t="shared" ref="K2:T6" si="0">(J2/J$7)*J$21</f>
        <v>0</v>
      </c>
      <c r="L2" s="245">
        <f t="shared" si="0"/>
        <v>0</v>
      </c>
      <c r="M2" s="245">
        <f t="shared" si="0"/>
        <v>0</v>
      </c>
      <c r="N2" s="245">
        <f t="shared" si="0"/>
        <v>0</v>
      </c>
      <c r="O2" s="245">
        <f t="shared" si="0"/>
        <v>0</v>
      </c>
      <c r="P2" s="245">
        <f t="shared" si="0"/>
        <v>0</v>
      </c>
      <c r="Q2" s="245">
        <f t="shared" si="0"/>
        <v>0</v>
      </c>
      <c r="R2" s="245">
        <f t="shared" si="0"/>
        <v>0</v>
      </c>
      <c r="S2" s="245">
        <f t="shared" si="0"/>
        <v>0</v>
      </c>
      <c r="T2" s="245">
        <f t="shared" si="0"/>
        <v>0</v>
      </c>
    </row>
    <row r="3" spans="1:20" x14ac:dyDescent="0.35">
      <c r="A3" s="243" t="s">
        <v>3303</v>
      </c>
      <c r="B3" s="223" t="s">
        <v>3264</v>
      </c>
      <c r="C3" s="244">
        <v>55</v>
      </c>
      <c r="D3" s="244">
        <v>97</v>
      </c>
      <c r="E3" s="245">
        <v>102.79650145772595</v>
      </c>
      <c r="F3" s="245">
        <v>108</v>
      </c>
      <c r="G3" s="245">
        <v>116</v>
      </c>
      <c r="H3" s="245">
        <v>93</v>
      </c>
      <c r="I3" s="245">
        <f t="shared" ref="I3:J6" si="1">(H3/H$7)*H$21</f>
        <v>95.710053423992235</v>
      </c>
      <c r="J3" s="245">
        <f t="shared" si="1"/>
        <v>106.24403108305002</v>
      </c>
      <c r="K3" s="245">
        <f t="shared" si="0"/>
        <v>104.92705352112675</v>
      </c>
      <c r="L3" s="245">
        <f t="shared" si="0"/>
        <v>110.36988001165614</v>
      </c>
      <c r="M3" s="245">
        <f t="shared" si="0"/>
        <v>108.2362242803691</v>
      </c>
      <c r="N3" s="245">
        <f t="shared" si="0"/>
        <v>113.25937432239806</v>
      </c>
      <c r="O3" s="245">
        <f t="shared" si="0"/>
        <v>110.47440339139102</v>
      </c>
      <c r="P3" s="245">
        <f t="shared" si="0"/>
        <v>115.03283779322204</v>
      </c>
      <c r="Q3" s="245">
        <f t="shared" si="0"/>
        <v>111.56835723844642</v>
      </c>
      <c r="R3" s="245">
        <f t="shared" si="0"/>
        <v>115.73803591143482</v>
      </c>
      <c r="S3" s="245">
        <f t="shared" si="0"/>
        <v>111.66921557142794</v>
      </c>
      <c r="T3" s="245">
        <f t="shared" si="0"/>
        <v>115.77651230317741</v>
      </c>
    </row>
    <row r="4" spans="1:20" x14ac:dyDescent="0.35">
      <c r="A4" s="243" t="s">
        <v>3303</v>
      </c>
      <c r="B4" s="223" t="s">
        <v>3265</v>
      </c>
      <c r="C4" s="244">
        <v>514</v>
      </c>
      <c r="D4" s="244">
        <v>613</v>
      </c>
      <c r="E4" s="245">
        <v>616.61603498542274</v>
      </c>
      <c r="F4" s="245">
        <v>604</v>
      </c>
      <c r="G4" s="245">
        <v>518</v>
      </c>
      <c r="H4" s="245">
        <v>701</v>
      </c>
      <c r="I4" s="245">
        <f t="shared" si="1"/>
        <v>721.42739193783393</v>
      </c>
      <c r="J4" s="245">
        <f t="shared" si="1"/>
        <v>800.82866440019416</v>
      </c>
      <c r="K4" s="245">
        <f t="shared" si="0"/>
        <v>790.90176901408438</v>
      </c>
      <c r="L4" s="245">
        <f t="shared" si="0"/>
        <v>831.92780524915008</v>
      </c>
      <c r="M4" s="245">
        <f t="shared" si="0"/>
        <v>815.84508839288969</v>
      </c>
      <c r="N4" s="245">
        <f t="shared" si="0"/>
        <v>853.70775698925843</v>
      </c>
      <c r="O4" s="245">
        <f t="shared" si="0"/>
        <v>832.71566427274297</v>
      </c>
      <c r="P4" s="245">
        <f t="shared" si="0"/>
        <v>867.07547626934024</v>
      </c>
      <c r="Q4" s="245">
        <f t="shared" si="0"/>
        <v>840.96148843173046</v>
      </c>
      <c r="R4" s="245">
        <f t="shared" si="0"/>
        <v>872.39100187006238</v>
      </c>
      <c r="S4" s="245">
        <f t="shared" si="0"/>
        <v>841.72172167280621</v>
      </c>
      <c r="T4" s="245">
        <f t="shared" si="0"/>
        <v>872.6810228443801</v>
      </c>
    </row>
    <row r="5" spans="1:20" x14ac:dyDescent="0.35">
      <c r="A5" s="243" t="s">
        <v>3303</v>
      </c>
      <c r="B5" s="223" t="s">
        <v>3266</v>
      </c>
      <c r="C5" s="244">
        <v>449</v>
      </c>
      <c r="D5" s="244">
        <v>612</v>
      </c>
      <c r="E5" s="245">
        <v>620.16967930029159</v>
      </c>
      <c r="F5" s="245">
        <v>836</v>
      </c>
      <c r="G5" s="245">
        <v>828</v>
      </c>
      <c r="H5" s="245">
        <v>795</v>
      </c>
      <c r="I5" s="245">
        <f t="shared" si="1"/>
        <v>818.1665857212239</v>
      </c>
      <c r="J5" s="245">
        <f t="shared" si="1"/>
        <v>908.21510441962107</v>
      </c>
      <c r="K5" s="245">
        <f t="shared" si="0"/>
        <v>896.95707042253514</v>
      </c>
      <c r="L5" s="245">
        <f t="shared" si="0"/>
        <v>943.48445816415733</v>
      </c>
      <c r="M5" s="245">
        <f t="shared" si="0"/>
        <v>925.24514304186494</v>
      </c>
      <c r="N5" s="245">
        <f t="shared" si="0"/>
        <v>968.18497404630591</v>
      </c>
      <c r="O5" s="245">
        <f t="shared" si="0"/>
        <v>944.37796447479411</v>
      </c>
      <c r="P5" s="245">
        <f t="shared" si="0"/>
        <v>983.34522629689798</v>
      </c>
      <c r="Q5" s="245">
        <f t="shared" si="0"/>
        <v>953.72950542542901</v>
      </c>
      <c r="R5" s="245">
        <f t="shared" si="0"/>
        <v>989.37353279129752</v>
      </c>
      <c r="S5" s="245">
        <f t="shared" si="0"/>
        <v>954.59168149769039</v>
      </c>
      <c r="T5" s="245">
        <f t="shared" si="0"/>
        <v>989.70244388200024</v>
      </c>
    </row>
    <row r="6" spans="1:20" x14ac:dyDescent="0.35">
      <c r="A6" s="243" t="s">
        <v>3303</v>
      </c>
      <c r="B6" s="223" t="s">
        <v>3267</v>
      </c>
      <c r="C6" s="244">
        <v>299</v>
      </c>
      <c r="D6" s="244">
        <v>389</v>
      </c>
      <c r="E6" s="245">
        <v>400.63236151603496</v>
      </c>
      <c r="F6" s="245">
        <v>521</v>
      </c>
      <c r="G6" s="245">
        <v>510</v>
      </c>
      <c r="H6" s="245">
        <v>470</v>
      </c>
      <c r="I6" s="245">
        <f t="shared" si="1"/>
        <v>483.69596891694999</v>
      </c>
      <c r="J6" s="245">
        <f t="shared" si="1"/>
        <v>536.93220009713457</v>
      </c>
      <c r="K6" s="245">
        <f t="shared" si="0"/>
        <v>530.27650704225357</v>
      </c>
      <c r="L6" s="245">
        <f t="shared" si="0"/>
        <v>557.78326457503647</v>
      </c>
      <c r="M6" s="245">
        <f t="shared" si="0"/>
        <v>547.0002732448761</v>
      </c>
      <c r="N6" s="245">
        <f t="shared" si="0"/>
        <v>572.38608528523741</v>
      </c>
      <c r="O6" s="245">
        <f t="shared" si="0"/>
        <v>558.3115010102556</v>
      </c>
      <c r="P6" s="245">
        <f t="shared" si="0"/>
        <v>581.34875013778867</v>
      </c>
      <c r="Q6" s="245">
        <f t="shared" si="0"/>
        <v>563.84008496849253</v>
      </c>
      <c r="R6" s="245">
        <f t="shared" si="0"/>
        <v>584.91265460617581</v>
      </c>
      <c r="S6" s="245">
        <f t="shared" si="0"/>
        <v>564.34979912442066</v>
      </c>
      <c r="T6" s="245">
        <f t="shared" si="0"/>
        <v>585.10710518810072</v>
      </c>
    </row>
    <row r="7" spans="1:20" x14ac:dyDescent="0.35">
      <c r="A7" s="452" t="s">
        <v>3305</v>
      </c>
      <c r="B7" s="453"/>
      <c r="C7" s="246">
        <f t="shared" ref="C7:R7" si="2">SUM(C2:C6)</f>
        <v>1321</v>
      </c>
      <c r="D7" s="246">
        <f t="shared" si="2"/>
        <v>1715</v>
      </c>
      <c r="E7" s="247">
        <f t="shared" si="2"/>
        <v>1744.2145772594754</v>
      </c>
      <c r="F7" s="247">
        <f t="shared" si="2"/>
        <v>2072</v>
      </c>
      <c r="G7" s="247">
        <f t="shared" si="2"/>
        <v>1972</v>
      </c>
      <c r="H7" s="247">
        <f t="shared" si="2"/>
        <v>2059</v>
      </c>
      <c r="I7" s="247">
        <f t="shared" si="2"/>
        <v>2119</v>
      </c>
      <c r="J7" s="247">
        <f t="shared" si="2"/>
        <v>2352.2199999999998</v>
      </c>
      <c r="K7" s="247">
        <f t="shared" si="2"/>
        <v>2323.0623999999998</v>
      </c>
      <c r="L7" s="247">
        <f t="shared" si="2"/>
        <v>2443.5654079999999</v>
      </c>
      <c r="M7" s="247">
        <f t="shared" si="2"/>
        <v>2396.3267289599999</v>
      </c>
      <c r="N7" s="247">
        <f t="shared" si="2"/>
        <v>2507.5381906431994</v>
      </c>
      <c r="O7" s="247">
        <f t="shared" si="2"/>
        <v>2445.8795331491838</v>
      </c>
      <c r="P7" s="247">
        <f t="shared" si="2"/>
        <v>2546.802290497249</v>
      </c>
      <c r="Q7" s="247">
        <f t="shared" si="2"/>
        <v>2470.0994360640984</v>
      </c>
      <c r="R7" s="247">
        <f t="shared" si="2"/>
        <v>2562.4152251789706</v>
      </c>
      <c r="S7" s="247">
        <f t="shared" ref="S7:T7" si="3">SUM(S2:S6)</f>
        <v>2472.3324178663452</v>
      </c>
      <c r="T7" s="247">
        <f t="shared" si="3"/>
        <v>2563.2670842176585</v>
      </c>
    </row>
    <row r="8" spans="1:20" x14ac:dyDescent="0.35">
      <c r="A8" s="248"/>
      <c r="B8" s="249"/>
      <c r="C8" s="250"/>
      <c r="D8" s="250"/>
      <c r="E8" s="250"/>
      <c r="F8" s="250"/>
      <c r="G8" s="250"/>
      <c r="H8" s="250"/>
      <c r="I8" s="250"/>
      <c r="J8" s="250"/>
      <c r="K8" s="250"/>
      <c r="L8" s="250"/>
      <c r="M8" s="250"/>
      <c r="N8" s="250"/>
      <c r="O8" s="250"/>
      <c r="P8" s="250"/>
      <c r="Q8" s="250"/>
      <c r="R8" s="250"/>
      <c r="S8" s="250"/>
      <c r="T8" s="250"/>
    </row>
    <row r="9" spans="1:20" x14ac:dyDescent="0.35">
      <c r="A9" s="243" t="s">
        <v>3303</v>
      </c>
      <c r="B9" s="223" t="s">
        <v>3268</v>
      </c>
      <c r="C9" s="244">
        <v>568</v>
      </c>
      <c r="D9" s="244">
        <v>62</v>
      </c>
      <c r="E9" s="244">
        <v>558</v>
      </c>
      <c r="F9" s="244">
        <v>342</v>
      </c>
      <c r="G9" s="244">
        <v>497</v>
      </c>
      <c r="H9" s="244">
        <v>224</v>
      </c>
      <c r="I9" s="244">
        <v>400</v>
      </c>
      <c r="J9" s="244">
        <v>250</v>
      </c>
      <c r="K9" s="244">
        <v>300</v>
      </c>
      <c r="L9" s="244">
        <v>250</v>
      </c>
      <c r="M9" s="244">
        <v>300</v>
      </c>
      <c r="N9" s="244">
        <v>250</v>
      </c>
      <c r="O9" s="244">
        <v>300</v>
      </c>
      <c r="P9" s="244">
        <v>250</v>
      </c>
      <c r="Q9" s="244">
        <v>300</v>
      </c>
      <c r="R9" s="244">
        <v>250</v>
      </c>
      <c r="S9" s="244">
        <v>300</v>
      </c>
      <c r="T9" s="244">
        <v>250</v>
      </c>
    </row>
    <row r="10" spans="1:20" x14ac:dyDescent="0.35">
      <c r="A10" s="243" t="s">
        <v>3303</v>
      </c>
      <c r="B10" s="223" t="s">
        <v>3306</v>
      </c>
      <c r="C10" s="244">
        <v>9</v>
      </c>
      <c r="D10" s="244">
        <v>1</v>
      </c>
      <c r="E10" s="244">
        <v>0</v>
      </c>
      <c r="F10" s="244">
        <v>0</v>
      </c>
      <c r="G10" s="244">
        <v>1</v>
      </c>
      <c r="H10" s="244">
        <v>0</v>
      </c>
      <c r="I10" s="244"/>
      <c r="J10" s="244"/>
      <c r="K10" s="244"/>
      <c r="L10" s="244"/>
      <c r="M10" s="244"/>
      <c r="N10" s="244"/>
      <c r="O10" s="244"/>
      <c r="P10" s="244"/>
      <c r="Q10" s="244"/>
      <c r="R10" s="244"/>
      <c r="S10" s="244"/>
      <c r="T10" s="244"/>
    </row>
    <row r="11" spans="1:20" x14ac:dyDescent="0.35">
      <c r="A11" s="243" t="s">
        <v>3303</v>
      </c>
      <c r="B11" s="223" t="s">
        <v>3269</v>
      </c>
      <c r="C11" s="244">
        <v>9</v>
      </c>
      <c r="D11" s="244">
        <v>12</v>
      </c>
      <c r="E11" s="244">
        <v>6</v>
      </c>
      <c r="F11" s="244">
        <v>12</v>
      </c>
      <c r="G11" s="244">
        <v>13</v>
      </c>
      <c r="H11" s="244">
        <v>9</v>
      </c>
      <c r="I11" s="244">
        <v>10</v>
      </c>
      <c r="J11" s="244">
        <v>10</v>
      </c>
      <c r="K11" s="244">
        <v>10</v>
      </c>
      <c r="L11" s="244">
        <v>10</v>
      </c>
      <c r="M11" s="244">
        <v>12</v>
      </c>
      <c r="N11" s="244">
        <v>12</v>
      </c>
      <c r="O11" s="244">
        <v>12</v>
      </c>
      <c r="P11" s="244">
        <v>12</v>
      </c>
      <c r="Q11" s="244">
        <v>13</v>
      </c>
      <c r="R11" s="244">
        <v>13</v>
      </c>
      <c r="S11" s="244">
        <v>13</v>
      </c>
      <c r="T11" s="244">
        <v>13</v>
      </c>
    </row>
    <row r="12" spans="1:20" x14ac:dyDescent="0.35">
      <c r="A12" s="243" t="s">
        <v>3307</v>
      </c>
      <c r="B12" s="223" t="s">
        <v>3308</v>
      </c>
      <c r="C12" s="244">
        <v>0</v>
      </c>
      <c r="D12" s="244">
        <v>0</v>
      </c>
      <c r="E12" s="244">
        <v>0</v>
      </c>
      <c r="F12" s="244">
        <v>0</v>
      </c>
      <c r="G12" s="244">
        <v>0</v>
      </c>
      <c r="H12" s="244">
        <v>0</v>
      </c>
      <c r="I12" s="244">
        <v>0</v>
      </c>
      <c r="J12" s="244">
        <v>0</v>
      </c>
      <c r="K12" s="244">
        <v>0</v>
      </c>
      <c r="L12" s="244">
        <v>0</v>
      </c>
      <c r="M12" s="244">
        <v>0</v>
      </c>
      <c r="N12" s="244">
        <v>0</v>
      </c>
      <c r="O12" s="244">
        <v>0</v>
      </c>
      <c r="P12" s="244">
        <v>0</v>
      </c>
      <c r="Q12" s="244">
        <v>0</v>
      </c>
      <c r="R12" s="244">
        <v>0</v>
      </c>
      <c r="S12" s="244">
        <v>0</v>
      </c>
      <c r="T12" s="244">
        <v>0</v>
      </c>
    </row>
    <row r="13" spans="1:20" ht="29" x14ac:dyDescent="0.35">
      <c r="A13" s="243" t="s">
        <v>3307</v>
      </c>
      <c r="B13" s="251" t="s">
        <v>3309</v>
      </c>
      <c r="C13" s="244">
        <v>60</v>
      </c>
      <c r="D13" s="244">
        <v>67</v>
      </c>
      <c r="E13" s="244">
        <v>70</v>
      </c>
      <c r="F13" s="244">
        <v>59</v>
      </c>
      <c r="G13" s="244">
        <v>47</v>
      </c>
      <c r="H13" s="244">
        <v>47</v>
      </c>
      <c r="I13" s="244">
        <v>50</v>
      </c>
      <c r="J13" s="244">
        <v>50</v>
      </c>
      <c r="K13" s="244">
        <v>50</v>
      </c>
      <c r="L13" s="244">
        <v>50</v>
      </c>
      <c r="M13" s="244">
        <v>50</v>
      </c>
      <c r="N13" s="244">
        <v>50</v>
      </c>
      <c r="O13" s="244">
        <v>50</v>
      </c>
      <c r="P13" s="244">
        <v>50</v>
      </c>
      <c r="Q13" s="244">
        <v>50</v>
      </c>
      <c r="R13" s="244">
        <v>50</v>
      </c>
      <c r="S13" s="244">
        <v>50</v>
      </c>
      <c r="T13" s="244">
        <v>50</v>
      </c>
    </row>
    <row r="14" spans="1:20" x14ac:dyDescent="0.35">
      <c r="A14" s="452" t="s">
        <v>3305</v>
      </c>
      <c r="B14" s="453"/>
      <c r="C14" s="246">
        <f t="shared" ref="C14:T14" si="4">SUM(C9:C13)</f>
        <v>646</v>
      </c>
      <c r="D14" s="246">
        <f t="shared" si="4"/>
        <v>142</v>
      </c>
      <c r="E14" s="246">
        <f t="shared" si="4"/>
        <v>634</v>
      </c>
      <c r="F14" s="246">
        <f t="shared" si="4"/>
        <v>413</v>
      </c>
      <c r="G14" s="246">
        <f t="shared" si="4"/>
        <v>558</v>
      </c>
      <c r="H14" s="246">
        <f t="shared" si="4"/>
        <v>280</v>
      </c>
      <c r="I14" s="246">
        <f t="shared" si="4"/>
        <v>460</v>
      </c>
      <c r="J14" s="246">
        <f t="shared" si="4"/>
        <v>310</v>
      </c>
      <c r="K14" s="246">
        <f t="shared" si="4"/>
        <v>360</v>
      </c>
      <c r="L14" s="246">
        <f t="shared" si="4"/>
        <v>310</v>
      </c>
      <c r="M14" s="246">
        <f t="shared" si="4"/>
        <v>362</v>
      </c>
      <c r="N14" s="246">
        <f t="shared" si="4"/>
        <v>312</v>
      </c>
      <c r="O14" s="246">
        <f t="shared" si="4"/>
        <v>362</v>
      </c>
      <c r="P14" s="246">
        <f t="shared" si="4"/>
        <v>312</v>
      </c>
      <c r="Q14" s="246">
        <f t="shared" si="4"/>
        <v>363</v>
      </c>
      <c r="R14" s="246">
        <f t="shared" si="4"/>
        <v>313</v>
      </c>
      <c r="S14" s="246">
        <f t="shared" si="4"/>
        <v>363</v>
      </c>
      <c r="T14" s="246">
        <f t="shared" si="4"/>
        <v>313</v>
      </c>
    </row>
    <row r="15" spans="1:20" x14ac:dyDescent="0.35">
      <c r="A15" s="248"/>
      <c r="B15" s="249"/>
      <c r="C15" s="250"/>
      <c r="D15" s="250"/>
      <c r="E15" s="250"/>
      <c r="F15" s="250"/>
      <c r="G15" s="250"/>
      <c r="H15" s="250"/>
      <c r="I15" s="250"/>
      <c r="J15" s="250"/>
      <c r="K15" s="250"/>
      <c r="L15" s="250"/>
      <c r="M15" s="250"/>
      <c r="N15" s="250"/>
      <c r="O15" s="250"/>
      <c r="P15" s="250"/>
      <c r="Q15" s="250"/>
      <c r="R15" s="250"/>
      <c r="S15" s="250"/>
      <c r="T15" s="250"/>
    </row>
    <row r="16" spans="1:20" ht="33" customHeight="1" x14ac:dyDescent="0.35">
      <c r="A16" s="243" t="s">
        <v>3303</v>
      </c>
      <c r="B16" s="251" t="s">
        <v>3310</v>
      </c>
      <c r="C16" s="244">
        <v>607</v>
      </c>
      <c r="D16" s="244">
        <v>644</v>
      </c>
      <c r="E16" s="244">
        <v>429</v>
      </c>
      <c r="F16" s="244">
        <v>499</v>
      </c>
      <c r="G16" s="252">
        <v>438</v>
      </c>
      <c r="H16" s="252">
        <v>599</v>
      </c>
      <c r="I16" s="252">
        <f>0.2*SUM(I7,I9:I11)</f>
        <v>505.8</v>
      </c>
      <c r="J16" s="252">
        <f>0.2*SUM(I7,I9:I11)</f>
        <v>505.8</v>
      </c>
      <c r="K16" s="252">
        <f>0.2*SUM(K7,K9:K11)</f>
        <v>526.61248000000001</v>
      </c>
      <c r="L16" s="252">
        <f>0.2*SUM(K7,K9:K11)</f>
        <v>526.61248000000001</v>
      </c>
      <c r="M16" s="252">
        <f>0.2*SUM(M7,M9:M11)</f>
        <v>541.66534579200004</v>
      </c>
      <c r="N16" s="252">
        <f>0.2*SUM(M7,M9:M11)</f>
        <v>541.66534579200004</v>
      </c>
      <c r="O16" s="252">
        <f>0.2*SUM(O7,O9:O11)</f>
        <v>551.57590662983682</v>
      </c>
      <c r="P16" s="252">
        <f>0.2*SUM(O7,O9:O11)</f>
        <v>551.57590662983682</v>
      </c>
      <c r="Q16" s="252">
        <f>0.2*SUM(Q7,Q9:Q11)</f>
        <v>556.61988721281966</v>
      </c>
      <c r="R16" s="252">
        <f>0.2*SUM(Q7,Q9:Q11)</f>
        <v>556.61988721281966</v>
      </c>
      <c r="S16" s="252">
        <f t="shared" ref="S16:T16" si="5">0.2*SUM(R7,R9:R11)</f>
        <v>565.08304503579416</v>
      </c>
      <c r="T16" s="252">
        <f t="shared" si="5"/>
        <v>557.06648357326901</v>
      </c>
    </row>
    <row r="17" spans="1:20" x14ac:dyDescent="0.35">
      <c r="A17" s="243" t="s">
        <v>3307</v>
      </c>
      <c r="B17" s="223" t="s">
        <v>3311</v>
      </c>
      <c r="C17" s="244">
        <v>300</v>
      </c>
      <c r="D17" s="244">
        <v>301</v>
      </c>
      <c r="E17" s="244">
        <v>250</v>
      </c>
      <c r="F17" s="244">
        <v>400</v>
      </c>
      <c r="G17" s="244">
        <v>375</v>
      </c>
      <c r="H17" s="244">
        <v>366</v>
      </c>
      <c r="I17" s="252">
        <f>(H17*0.2)+H17</f>
        <v>439.2</v>
      </c>
      <c r="J17" s="252">
        <f>(H17*0.2)+H17</f>
        <v>439.2</v>
      </c>
      <c r="K17" s="252">
        <f>(I17*0.2)+I17</f>
        <v>527.04</v>
      </c>
      <c r="L17" s="252">
        <f>(I17*0.2)+I17</f>
        <v>527.04</v>
      </c>
      <c r="M17" s="252">
        <f>(K17*0.2)+K17</f>
        <v>632.44799999999998</v>
      </c>
      <c r="N17" s="252">
        <f>(K17*0.2)+K17</f>
        <v>632.44799999999998</v>
      </c>
      <c r="O17" s="252">
        <f>(M17*0.2)+M17</f>
        <v>758.93759999999997</v>
      </c>
      <c r="P17" s="252">
        <f>(M17*0.2)+M17</f>
        <v>758.93759999999997</v>
      </c>
      <c r="Q17" s="252">
        <f>(O17*0.2)+O17</f>
        <v>910.72511999999995</v>
      </c>
      <c r="R17" s="252">
        <f>(O17*0.2)+O17</f>
        <v>910.72511999999995</v>
      </c>
      <c r="S17" s="252">
        <f t="shared" ref="S17:T17" si="6">(P17*0.2)+P17</f>
        <v>910.72511999999995</v>
      </c>
      <c r="T17" s="252">
        <f t="shared" si="6"/>
        <v>1092.870144</v>
      </c>
    </row>
    <row r="18" spans="1:20" x14ac:dyDescent="0.35">
      <c r="A18" s="243"/>
      <c r="B18" s="223"/>
      <c r="C18" s="244"/>
      <c r="D18" s="244"/>
      <c r="E18" s="244"/>
      <c r="F18" s="244"/>
      <c r="G18" s="244"/>
      <c r="H18" s="244"/>
      <c r="I18" s="252"/>
      <c r="J18" s="252"/>
      <c r="K18" s="252"/>
      <c r="L18" s="252"/>
      <c r="M18" s="252"/>
      <c r="N18" s="252"/>
      <c r="O18" s="252"/>
      <c r="P18" s="252"/>
      <c r="Q18" s="252"/>
      <c r="R18" s="252"/>
      <c r="S18" s="252"/>
      <c r="T18" s="252"/>
    </row>
    <row r="19" spans="1:20" x14ac:dyDescent="0.35">
      <c r="A19" s="253" t="s">
        <v>3312</v>
      </c>
      <c r="B19" s="254" t="s">
        <v>3313</v>
      </c>
      <c r="C19" s="244">
        <f>134</f>
        <v>134</v>
      </c>
      <c r="D19" s="244">
        <v>229</v>
      </c>
      <c r="E19" s="255">
        <v>198</v>
      </c>
      <c r="F19" s="255">
        <v>145</v>
      </c>
      <c r="G19" s="255">
        <v>139</v>
      </c>
      <c r="H19" s="255">
        <v>220</v>
      </c>
      <c r="I19" s="225">
        <f>(I16*0.1)+(I22*0.05)</f>
        <v>226.78000000000003</v>
      </c>
      <c r="J19" s="225">
        <f>(J16*0.1)+(J22*0.08)</f>
        <v>339.1576</v>
      </c>
      <c r="K19" s="225">
        <f t="shared" ref="K19:S19" si="7">(K16*0.1)+(K22*0.05)</f>
        <v>239.49699199999998</v>
      </c>
      <c r="L19" s="225">
        <f>(L16*0.1)+(L22*0.08)</f>
        <v>357.23867904000002</v>
      </c>
      <c r="M19" s="225">
        <f t="shared" si="7"/>
        <v>250.78853831680001</v>
      </c>
      <c r="N19" s="225">
        <f>(N16*0.1)+(N22*0.08)</f>
        <v>373.65865749401598</v>
      </c>
      <c r="O19" s="225">
        <f t="shared" si="7"/>
        <v>261.07724265193474</v>
      </c>
      <c r="P19" s="225">
        <f>(P16*0.1)+(P22*0.08)</f>
        <v>388.70285443315055</v>
      </c>
      <c r="Q19" s="225">
        <f t="shared" si="7"/>
        <v>270.68421088512787</v>
      </c>
      <c r="R19" s="225">
        <f>(R16*0.1)+(R22*0.08)</f>
        <v>403.08280731262516</v>
      </c>
      <c r="S19" s="225">
        <f t="shared" si="7"/>
        <v>272.06533364868642</v>
      </c>
      <c r="T19" s="225">
        <f>(T16*0.1)+(T22*0.08)</f>
        <v>417.80294530060115</v>
      </c>
    </row>
    <row r="20" spans="1:20" x14ac:dyDescent="0.35">
      <c r="A20" s="452" t="s">
        <v>3305</v>
      </c>
      <c r="B20" s="453"/>
      <c r="C20" s="247">
        <f t="shared" ref="C20:Q20" si="8">SUM(C16:C19)</f>
        <v>1041</v>
      </c>
      <c r="D20" s="247">
        <f t="shared" si="8"/>
        <v>1174</v>
      </c>
      <c r="E20" s="247">
        <f t="shared" si="8"/>
        <v>877</v>
      </c>
      <c r="F20" s="247">
        <f t="shared" si="8"/>
        <v>1044</v>
      </c>
      <c r="G20" s="247">
        <f t="shared" si="8"/>
        <v>952</v>
      </c>
      <c r="H20" s="247">
        <f t="shared" si="8"/>
        <v>1185</v>
      </c>
      <c r="I20" s="247">
        <f t="shared" si="8"/>
        <v>1171.78</v>
      </c>
      <c r="J20" s="247">
        <f>SUM(J16:J19)</f>
        <v>1284.1576</v>
      </c>
      <c r="K20" s="247">
        <f t="shared" si="8"/>
        <v>1293.1494720000001</v>
      </c>
      <c r="L20" s="247">
        <f t="shared" si="8"/>
        <v>1410.89115904</v>
      </c>
      <c r="M20" s="247">
        <f t="shared" si="8"/>
        <v>1424.9018841088</v>
      </c>
      <c r="N20" s="247">
        <f t="shared" si="8"/>
        <v>1547.7720032860161</v>
      </c>
      <c r="O20" s="247">
        <f t="shared" si="8"/>
        <v>1571.5907492817714</v>
      </c>
      <c r="P20" s="247">
        <f t="shared" si="8"/>
        <v>1699.2163610629873</v>
      </c>
      <c r="Q20" s="247">
        <f t="shared" si="8"/>
        <v>1738.0292180979475</v>
      </c>
      <c r="R20" s="247"/>
      <c r="S20" s="247"/>
      <c r="T20" s="247"/>
    </row>
    <row r="21" spans="1:20" x14ac:dyDescent="0.35">
      <c r="A21" s="248"/>
      <c r="B21" s="249" t="s">
        <v>3314</v>
      </c>
      <c r="C21" s="256">
        <f t="shared" ref="C21:G21" si="9">SUM(C2:C6,C9,C11,C13)-C19</f>
        <v>1824</v>
      </c>
      <c r="D21" s="256">
        <f t="shared" si="9"/>
        <v>1627</v>
      </c>
      <c r="E21" s="256">
        <f t="shared" si="9"/>
        <v>2180.2145772594754</v>
      </c>
      <c r="F21" s="256">
        <f t="shared" si="9"/>
        <v>2340</v>
      </c>
      <c r="G21" s="256">
        <f t="shared" si="9"/>
        <v>2390</v>
      </c>
      <c r="H21" s="256">
        <f>SUM(H2:H6,H9,H11,H13)-H19</f>
        <v>2119</v>
      </c>
      <c r="I21" s="256">
        <f t="shared" ref="I21:T21" si="10">SUM(I2:I6,I9,I11,I13)-I19</f>
        <v>2352.2199999999998</v>
      </c>
      <c r="J21" s="256">
        <f t="shared" si="10"/>
        <v>2323.0623999999998</v>
      </c>
      <c r="K21" s="256">
        <f>SUM(K2:K6,K9,K11,K13)-K19</f>
        <v>2443.5654079999999</v>
      </c>
      <c r="L21" s="256">
        <f t="shared" si="10"/>
        <v>2396.3267289599999</v>
      </c>
      <c r="M21" s="256">
        <f t="shared" si="10"/>
        <v>2507.5381906431999</v>
      </c>
      <c r="N21" s="256">
        <f t="shared" si="10"/>
        <v>2445.8795331491833</v>
      </c>
      <c r="O21" s="256">
        <f t="shared" si="10"/>
        <v>2546.802290497249</v>
      </c>
      <c r="P21" s="256">
        <f t="shared" si="10"/>
        <v>2470.0994360640984</v>
      </c>
      <c r="Q21" s="256">
        <f t="shared" si="10"/>
        <v>2562.4152251789706</v>
      </c>
      <c r="R21" s="256">
        <f t="shared" si="10"/>
        <v>2472.3324178663452</v>
      </c>
      <c r="S21" s="256">
        <f t="shared" si="10"/>
        <v>2563.2670842176585</v>
      </c>
      <c r="T21" s="256">
        <f t="shared" si="10"/>
        <v>2458.4641389170574</v>
      </c>
    </row>
    <row r="22" spans="1:20" s="258" customFormat="1" x14ac:dyDescent="0.35">
      <c r="A22" s="454" t="s">
        <v>3280</v>
      </c>
      <c r="B22" s="455" t="s">
        <v>3280</v>
      </c>
      <c r="C22" s="257">
        <f>SUM(C2:C6,C9:C13,C16:C17)</f>
        <v>2874</v>
      </c>
      <c r="D22" s="257">
        <f t="shared" ref="D22:S22" si="11">SUM(D2:D6,D9:D13,D16:D17)</f>
        <v>2802</v>
      </c>
      <c r="E22" s="257">
        <f t="shared" si="11"/>
        <v>3057.2145772594754</v>
      </c>
      <c r="F22" s="257">
        <f t="shared" si="11"/>
        <v>3384</v>
      </c>
      <c r="G22" s="257">
        <f t="shared" si="11"/>
        <v>3343</v>
      </c>
      <c r="H22" s="257">
        <f>SUM(H2:H6,H9:H13,H16:H17)</f>
        <v>3304</v>
      </c>
      <c r="I22" s="257">
        <f t="shared" si="11"/>
        <v>3524</v>
      </c>
      <c r="J22" s="257">
        <f>SUM(J2:J6,J9:J13,J16:J17)</f>
        <v>3607.22</v>
      </c>
      <c r="K22" s="257">
        <f t="shared" si="11"/>
        <v>3736.7148799999995</v>
      </c>
      <c r="L22" s="257">
        <f>SUM(L2:L6,L9:L13,L16:L17)</f>
        <v>3807.2178880000001</v>
      </c>
      <c r="M22" s="257">
        <f t="shared" si="11"/>
        <v>3932.4400747519999</v>
      </c>
      <c r="N22" s="257">
        <f t="shared" si="11"/>
        <v>3993.6515364351994</v>
      </c>
      <c r="O22" s="257">
        <f t="shared" si="11"/>
        <v>4118.3930397790209</v>
      </c>
      <c r="P22" s="257">
        <f t="shared" si="11"/>
        <v>4169.3157971270857</v>
      </c>
      <c r="Q22" s="257">
        <f t="shared" si="11"/>
        <v>4300.4444432769178</v>
      </c>
      <c r="R22" s="257">
        <f t="shared" si="11"/>
        <v>4342.7602323917899</v>
      </c>
      <c r="S22" s="257">
        <f t="shared" si="11"/>
        <v>4311.1405829021396</v>
      </c>
      <c r="T22" s="257">
        <f>SUM(T2:T6,T9:T13,T16:T17)</f>
        <v>4526.2037117909276</v>
      </c>
    </row>
    <row r="23" spans="1:20" x14ac:dyDescent="0.35">
      <c r="F23" s="66"/>
      <c r="G23" s="66"/>
      <c r="H23" s="226"/>
      <c r="I23" s="226"/>
      <c r="J23" s="226"/>
      <c r="K23" s="226"/>
      <c r="L23" s="226"/>
      <c r="M23" s="226"/>
      <c r="N23" s="226"/>
      <c r="O23" s="226"/>
      <c r="P23" s="226"/>
      <c r="Q23" s="226"/>
      <c r="R23" s="226"/>
      <c r="T23" s="221"/>
    </row>
    <row r="24" spans="1:20" x14ac:dyDescent="0.35">
      <c r="I24" s="86"/>
      <c r="J24" s="86"/>
    </row>
    <row r="25" spans="1:20" s="87" customFormat="1" x14ac:dyDescent="0.35">
      <c r="B25" s="259" t="s">
        <v>3315</v>
      </c>
      <c r="C25" s="241" t="s">
        <v>3285</v>
      </c>
      <c r="D25" s="241" t="s">
        <v>3286</v>
      </c>
      <c r="E25" s="241" t="s">
        <v>3287</v>
      </c>
      <c r="F25" s="241" t="s">
        <v>3288</v>
      </c>
      <c r="G25" s="241" t="s">
        <v>3289</v>
      </c>
      <c r="H25" s="241" t="s">
        <v>3290</v>
      </c>
      <c r="I25" s="241" t="s">
        <v>3291</v>
      </c>
      <c r="J25" s="260" t="s">
        <v>3292</v>
      </c>
      <c r="K25" s="241" t="s">
        <v>3293</v>
      </c>
      <c r="L25" s="241" t="s">
        <v>3294</v>
      </c>
      <c r="M25" s="241" t="s">
        <v>3295</v>
      </c>
      <c r="N25" s="241" t="s">
        <v>3296</v>
      </c>
      <c r="O25" s="241" t="s">
        <v>3297</v>
      </c>
      <c r="P25" s="241" t="s">
        <v>3298</v>
      </c>
      <c r="Q25" s="241" t="s">
        <v>3299</v>
      </c>
      <c r="R25" s="241" t="s">
        <v>3300</v>
      </c>
      <c r="S25" s="241" t="s">
        <v>3301</v>
      </c>
      <c r="T25" s="241" t="s">
        <v>3302</v>
      </c>
    </row>
    <row r="26" spans="1:20" x14ac:dyDescent="0.35">
      <c r="B26" s="254" t="s">
        <v>3316</v>
      </c>
      <c r="C26" s="255">
        <v>377</v>
      </c>
      <c r="D26" s="225">
        <v>427</v>
      </c>
      <c r="E26" s="225">
        <f t="shared" ref="E26:L26" si="12">D30</f>
        <v>460.3</v>
      </c>
      <c r="F26" s="225">
        <f t="shared" si="12"/>
        <v>567.27</v>
      </c>
      <c r="G26" s="225">
        <v>574</v>
      </c>
      <c r="H26" s="225">
        <v>705</v>
      </c>
      <c r="I26" s="225">
        <f t="shared" si="12"/>
        <v>811.7</v>
      </c>
      <c r="J26" s="225">
        <f t="shared" si="12"/>
        <v>910.53</v>
      </c>
      <c r="K26" s="225">
        <f t="shared" si="12"/>
        <v>999.47699999999998</v>
      </c>
      <c r="L26" s="225">
        <f t="shared" si="12"/>
        <v>1079.5292999999999</v>
      </c>
      <c r="M26" s="225">
        <f>L30</f>
        <v>1151.57637</v>
      </c>
      <c r="N26" s="225">
        <f t="shared" ref="N26" si="13">M30</f>
        <v>1216.418733</v>
      </c>
      <c r="O26" s="225">
        <f>N30</f>
        <v>1274.7768596999999</v>
      </c>
      <c r="P26" s="225">
        <f>O30</f>
        <v>1363.2991737299999</v>
      </c>
      <c r="Q26" s="225">
        <f>P30</f>
        <v>1406.9692563569999</v>
      </c>
      <c r="R26" s="225">
        <f t="shared" ref="R26:T26" si="14">Q30</f>
        <v>1482.2723307213</v>
      </c>
      <c r="S26" s="225">
        <f t="shared" si="14"/>
        <v>1514.04509764917</v>
      </c>
      <c r="T26" s="225">
        <f t="shared" si="14"/>
        <v>1578.6405878842529</v>
      </c>
    </row>
    <row r="27" spans="1:20" x14ac:dyDescent="0.35">
      <c r="B27" s="254" t="s">
        <v>3317</v>
      </c>
      <c r="C27" s="225">
        <v>103</v>
      </c>
      <c r="D27" s="225">
        <v>72</v>
      </c>
      <c r="E27" s="225">
        <f t="shared" ref="E27:T27" si="15">E26*0.1</f>
        <v>46.03</v>
      </c>
      <c r="F27" s="225">
        <f t="shared" si="15"/>
        <v>56.727000000000004</v>
      </c>
      <c r="G27" s="225">
        <f t="shared" si="15"/>
        <v>57.400000000000006</v>
      </c>
      <c r="H27" s="225">
        <v>40</v>
      </c>
      <c r="I27" s="225">
        <f t="shared" si="15"/>
        <v>81.170000000000016</v>
      </c>
      <c r="J27" s="225">
        <f t="shared" si="15"/>
        <v>91.052999999999997</v>
      </c>
      <c r="K27" s="225">
        <f t="shared" si="15"/>
        <v>99.947699999999998</v>
      </c>
      <c r="L27" s="225">
        <f t="shared" si="15"/>
        <v>107.95292999999999</v>
      </c>
      <c r="M27" s="225">
        <f t="shared" si="15"/>
        <v>115.15763700000001</v>
      </c>
      <c r="N27" s="225">
        <f t="shared" si="15"/>
        <v>121.6418733</v>
      </c>
      <c r="O27" s="225">
        <f t="shared" si="15"/>
        <v>127.47768597</v>
      </c>
      <c r="P27" s="225">
        <f t="shared" si="15"/>
        <v>136.329917373</v>
      </c>
      <c r="Q27" s="225">
        <f t="shared" si="15"/>
        <v>140.69692563570001</v>
      </c>
      <c r="R27" s="225">
        <f t="shared" si="15"/>
        <v>148.22723307213002</v>
      </c>
      <c r="S27" s="225">
        <f t="shared" si="15"/>
        <v>151.40450976491701</v>
      </c>
      <c r="T27" s="225">
        <f t="shared" si="15"/>
        <v>157.8640587884253</v>
      </c>
    </row>
    <row r="28" spans="1:20" x14ac:dyDescent="0.35">
      <c r="B28" s="254" t="s">
        <v>3318</v>
      </c>
      <c r="C28" s="255">
        <v>170</v>
      </c>
      <c r="D28" s="255">
        <v>117</v>
      </c>
      <c r="E28" s="255">
        <v>170</v>
      </c>
      <c r="F28" s="255">
        <v>100</v>
      </c>
      <c r="G28" s="255">
        <v>254</v>
      </c>
      <c r="H28" s="255">
        <v>163</v>
      </c>
      <c r="I28" s="255">
        <v>200</v>
      </c>
      <c r="J28" s="255">
        <v>200</v>
      </c>
      <c r="K28" s="255">
        <v>200</v>
      </c>
      <c r="L28" s="255">
        <v>200</v>
      </c>
      <c r="M28" s="255">
        <v>200</v>
      </c>
      <c r="N28" s="255">
        <v>200</v>
      </c>
      <c r="O28" s="255">
        <v>240</v>
      </c>
      <c r="P28" s="255">
        <v>200</v>
      </c>
      <c r="Q28" s="255">
        <v>240</v>
      </c>
      <c r="R28" s="255">
        <v>200</v>
      </c>
      <c r="S28" s="255">
        <v>240</v>
      </c>
      <c r="T28" s="255">
        <v>200</v>
      </c>
    </row>
    <row r="29" spans="1:20" x14ac:dyDescent="0.35">
      <c r="B29" s="254" t="s">
        <v>3319</v>
      </c>
      <c r="C29" s="225">
        <f>C28*0.1</f>
        <v>17</v>
      </c>
      <c r="D29" s="225">
        <f t="shared" ref="D29:T29" si="16">D28*0.1</f>
        <v>11.700000000000001</v>
      </c>
      <c r="E29" s="225">
        <f t="shared" si="16"/>
        <v>17</v>
      </c>
      <c r="F29" s="225">
        <f t="shared" si="16"/>
        <v>10</v>
      </c>
      <c r="G29" s="225">
        <f t="shared" si="16"/>
        <v>25.400000000000002</v>
      </c>
      <c r="H29" s="225">
        <f t="shared" si="16"/>
        <v>16.3</v>
      </c>
      <c r="I29" s="225">
        <f t="shared" si="16"/>
        <v>20</v>
      </c>
      <c r="J29" s="225">
        <f t="shared" si="16"/>
        <v>20</v>
      </c>
      <c r="K29" s="225">
        <f t="shared" si="16"/>
        <v>20</v>
      </c>
      <c r="L29" s="225">
        <f t="shared" si="16"/>
        <v>20</v>
      </c>
      <c r="M29" s="225">
        <f t="shared" si="16"/>
        <v>20</v>
      </c>
      <c r="N29" s="225">
        <f t="shared" si="16"/>
        <v>20</v>
      </c>
      <c r="O29" s="225">
        <f t="shared" si="16"/>
        <v>24</v>
      </c>
      <c r="P29" s="225">
        <f t="shared" si="16"/>
        <v>20</v>
      </c>
      <c r="Q29" s="225">
        <f t="shared" si="16"/>
        <v>24</v>
      </c>
      <c r="R29" s="225">
        <f t="shared" si="16"/>
        <v>20</v>
      </c>
      <c r="S29" s="225">
        <f t="shared" si="16"/>
        <v>24</v>
      </c>
      <c r="T29" s="225">
        <f t="shared" si="16"/>
        <v>20</v>
      </c>
    </row>
    <row r="30" spans="1:20" x14ac:dyDescent="0.35">
      <c r="B30" s="254" t="s">
        <v>3314</v>
      </c>
      <c r="C30" s="225">
        <f t="shared" ref="C30:T30" si="17">(C26+C28)-C27-C29</f>
        <v>427</v>
      </c>
      <c r="D30" s="225">
        <f t="shared" si="17"/>
        <v>460.3</v>
      </c>
      <c r="E30" s="225">
        <f t="shared" si="17"/>
        <v>567.27</v>
      </c>
      <c r="F30" s="225">
        <f t="shared" si="17"/>
        <v>600.54300000000001</v>
      </c>
      <c r="G30" s="225">
        <f t="shared" si="17"/>
        <v>745.2</v>
      </c>
      <c r="H30" s="225">
        <f t="shared" si="17"/>
        <v>811.7</v>
      </c>
      <c r="I30" s="225">
        <f t="shared" si="17"/>
        <v>910.53</v>
      </c>
      <c r="J30" s="225">
        <f t="shared" si="17"/>
        <v>999.47699999999998</v>
      </c>
      <c r="K30" s="225">
        <f t="shared" si="17"/>
        <v>1079.5292999999999</v>
      </c>
      <c r="L30" s="225">
        <f t="shared" si="17"/>
        <v>1151.57637</v>
      </c>
      <c r="M30" s="225">
        <f t="shared" si="17"/>
        <v>1216.418733</v>
      </c>
      <c r="N30" s="225">
        <f t="shared" si="17"/>
        <v>1274.7768596999999</v>
      </c>
      <c r="O30" s="225">
        <f t="shared" si="17"/>
        <v>1363.2991737299999</v>
      </c>
      <c r="P30" s="225">
        <f t="shared" si="17"/>
        <v>1406.9692563569999</v>
      </c>
      <c r="Q30" s="225">
        <f t="shared" si="17"/>
        <v>1482.2723307213</v>
      </c>
      <c r="R30" s="225">
        <f t="shared" si="17"/>
        <v>1514.04509764917</v>
      </c>
      <c r="S30" s="225">
        <f t="shared" si="17"/>
        <v>1578.6405878842529</v>
      </c>
      <c r="T30" s="225">
        <f t="shared" si="17"/>
        <v>1600.7765290958275</v>
      </c>
    </row>
    <row r="31" spans="1:20" s="258" customFormat="1" x14ac:dyDescent="0.35">
      <c r="A31" s="454" t="s">
        <v>3281</v>
      </c>
      <c r="B31" s="455" t="s">
        <v>44</v>
      </c>
      <c r="C31" s="257">
        <f>SUM(C26,C28)</f>
        <v>547</v>
      </c>
      <c r="D31" s="257">
        <f t="shared" ref="D31:T31" si="18">SUM(D26,D28)</f>
        <v>544</v>
      </c>
      <c r="E31" s="257">
        <f t="shared" si="18"/>
        <v>630.29999999999995</v>
      </c>
      <c r="F31" s="257">
        <f t="shared" si="18"/>
        <v>667.27</v>
      </c>
      <c r="G31" s="257">
        <f>SUM(G26,G28)</f>
        <v>828</v>
      </c>
      <c r="H31" s="257">
        <f>SUM(H26,H28)</f>
        <v>868</v>
      </c>
      <c r="I31" s="257">
        <f t="shared" si="18"/>
        <v>1011.7</v>
      </c>
      <c r="J31" s="257">
        <f>SUM(J26,J28)</f>
        <v>1110.53</v>
      </c>
      <c r="K31" s="257">
        <f t="shared" si="18"/>
        <v>1199.4769999999999</v>
      </c>
      <c r="L31" s="257">
        <f t="shared" si="18"/>
        <v>1279.5292999999999</v>
      </c>
      <c r="M31" s="257">
        <f t="shared" si="18"/>
        <v>1351.57637</v>
      </c>
      <c r="N31" s="257">
        <f t="shared" si="18"/>
        <v>1416.418733</v>
      </c>
      <c r="O31" s="257">
        <f t="shared" si="18"/>
        <v>1514.7768596999999</v>
      </c>
      <c r="P31" s="257">
        <f t="shared" si="18"/>
        <v>1563.2991737299999</v>
      </c>
      <c r="Q31" s="257">
        <f t="shared" si="18"/>
        <v>1646.9692563569999</v>
      </c>
      <c r="R31" s="257">
        <f t="shared" si="18"/>
        <v>1682.2723307213</v>
      </c>
      <c r="S31" s="257">
        <f t="shared" si="18"/>
        <v>1754.04509764917</v>
      </c>
      <c r="T31" s="257">
        <f t="shared" si="18"/>
        <v>1778.6405878842529</v>
      </c>
    </row>
    <row r="32" spans="1:20" x14ac:dyDescent="0.35">
      <c r="B32" s="249"/>
      <c r="C32" s="250"/>
      <c r="D32" s="249"/>
      <c r="E32" s="249"/>
      <c r="F32" s="249"/>
      <c r="G32" s="249"/>
      <c r="H32" s="249"/>
      <c r="I32" s="249"/>
    </row>
    <row r="33" spans="1:20" s="87" customFormat="1" x14ac:dyDescent="0.35">
      <c r="B33" s="259" t="s">
        <v>1000</v>
      </c>
      <c r="C33" s="241" t="s">
        <v>3285</v>
      </c>
      <c r="D33" s="241" t="s">
        <v>3286</v>
      </c>
      <c r="E33" s="241" t="s">
        <v>3287</v>
      </c>
      <c r="F33" s="261"/>
      <c r="G33" s="241" t="s">
        <v>3289</v>
      </c>
      <c r="H33" s="261"/>
      <c r="I33" s="241" t="s">
        <v>3291</v>
      </c>
      <c r="J33" s="260"/>
      <c r="K33" s="241" t="s">
        <v>3293</v>
      </c>
      <c r="L33" s="261"/>
      <c r="M33" s="241" t="s">
        <v>3295</v>
      </c>
      <c r="N33" s="261"/>
      <c r="O33" s="260" t="s">
        <v>3297</v>
      </c>
      <c r="P33" s="261"/>
      <c r="Q33" s="241" t="s">
        <v>3299</v>
      </c>
      <c r="R33" s="261"/>
      <c r="S33" s="261" t="s">
        <v>3320</v>
      </c>
      <c r="T33" s="261"/>
    </row>
    <row r="34" spans="1:20" s="221" customFormat="1" x14ac:dyDescent="0.35">
      <c r="B34" s="262" t="s">
        <v>3316</v>
      </c>
      <c r="C34" s="225"/>
      <c r="D34" s="225"/>
      <c r="E34" s="225">
        <f t="shared" ref="E34" si="19">D39</f>
        <v>30</v>
      </c>
      <c r="F34" s="225">
        <v>30</v>
      </c>
      <c r="G34" s="225">
        <f t="shared" ref="G34:T34" si="20">E39</f>
        <v>60</v>
      </c>
      <c r="H34" s="225">
        <f t="shared" si="20"/>
        <v>60</v>
      </c>
      <c r="I34" s="225">
        <f t="shared" si="20"/>
        <v>109</v>
      </c>
      <c r="J34" s="225">
        <f t="shared" si="20"/>
        <v>109</v>
      </c>
      <c r="K34" s="225">
        <f t="shared" si="20"/>
        <v>163</v>
      </c>
      <c r="L34" s="225">
        <f t="shared" si="20"/>
        <v>163</v>
      </c>
      <c r="M34" s="225">
        <f t="shared" si="20"/>
        <v>181</v>
      </c>
      <c r="N34" s="225">
        <f t="shared" si="20"/>
        <v>181</v>
      </c>
      <c r="O34" s="225">
        <f t="shared" si="20"/>
        <v>199</v>
      </c>
      <c r="P34" s="225">
        <f t="shared" si="20"/>
        <v>199</v>
      </c>
      <c r="Q34" s="225">
        <f t="shared" si="20"/>
        <v>217</v>
      </c>
      <c r="R34" s="225">
        <f t="shared" si="20"/>
        <v>217</v>
      </c>
      <c r="S34" s="225">
        <f t="shared" si="20"/>
        <v>235</v>
      </c>
      <c r="T34" s="225">
        <f t="shared" si="20"/>
        <v>235</v>
      </c>
    </row>
    <row r="35" spans="1:20" x14ac:dyDescent="0.35">
      <c r="B35" s="254" t="s">
        <v>3321</v>
      </c>
      <c r="C35" s="255"/>
      <c r="D35" s="255"/>
      <c r="E35" s="255"/>
      <c r="F35" s="255"/>
      <c r="G35" s="255"/>
      <c r="H35" s="255"/>
      <c r="I35" s="255"/>
      <c r="J35" s="255"/>
      <c r="K35" s="255">
        <v>36</v>
      </c>
      <c r="L35" s="255">
        <v>36</v>
      </c>
      <c r="M35" s="255">
        <v>36</v>
      </c>
      <c r="N35" s="255">
        <v>36</v>
      </c>
      <c r="O35" s="255">
        <v>36</v>
      </c>
      <c r="P35" s="255">
        <v>36</v>
      </c>
      <c r="Q35" s="255">
        <v>36</v>
      </c>
      <c r="R35" s="255">
        <v>36</v>
      </c>
      <c r="S35" s="255">
        <v>36</v>
      </c>
      <c r="T35" s="255">
        <v>36</v>
      </c>
    </row>
    <row r="36" spans="1:20" x14ac:dyDescent="0.35">
      <c r="B36" s="254" t="s">
        <v>3322</v>
      </c>
      <c r="C36" s="255">
        <v>13</v>
      </c>
      <c r="D36" s="255">
        <v>13</v>
      </c>
      <c r="E36" s="255">
        <v>17</v>
      </c>
      <c r="F36" s="255">
        <v>17</v>
      </c>
      <c r="G36" s="255">
        <v>21</v>
      </c>
      <c r="H36" s="255">
        <v>21</v>
      </c>
      <c r="I36" s="255">
        <v>30</v>
      </c>
      <c r="J36" s="255">
        <v>30</v>
      </c>
      <c r="K36" s="255">
        <v>30</v>
      </c>
      <c r="L36" s="255">
        <v>30</v>
      </c>
      <c r="M36" s="255">
        <v>30</v>
      </c>
      <c r="N36" s="255">
        <v>30</v>
      </c>
      <c r="O36" s="255">
        <v>30</v>
      </c>
      <c r="P36" s="255">
        <v>30</v>
      </c>
      <c r="Q36" s="255">
        <v>30</v>
      </c>
      <c r="R36" s="255">
        <v>30</v>
      </c>
      <c r="S36" s="255">
        <v>30</v>
      </c>
      <c r="T36" s="255">
        <v>30</v>
      </c>
    </row>
    <row r="37" spans="1:20" x14ac:dyDescent="0.35">
      <c r="B37" s="254" t="s">
        <v>3323</v>
      </c>
      <c r="C37" s="255">
        <v>17</v>
      </c>
      <c r="D37" s="255">
        <v>17</v>
      </c>
      <c r="E37" s="255">
        <v>19</v>
      </c>
      <c r="F37" s="255">
        <v>19</v>
      </c>
      <c r="G37" s="255">
        <v>28</v>
      </c>
      <c r="H37" s="255">
        <v>28</v>
      </c>
      <c r="I37" s="255">
        <v>30</v>
      </c>
      <c r="J37" s="255">
        <v>30</v>
      </c>
      <c r="K37" s="255">
        <v>30</v>
      </c>
      <c r="L37" s="255">
        <v>30</v>
      </c>
      <c r="M37" s="255">
        <v>30</v>
      </c>
      <c r="N37" s="255">
        <v>30</v>
      </c>
      <c r="O37" s="255">
        <v>30</v>
      </c>
      <c r="P37" s="255">
        <v>30</v>
      </c>
      <c r="Q37" s="255">
        <v>30</v>
      </c>
      <c r="R37" s="255">
        <v>30</v>
      </c>
      <c r="S37" s="255">
        <v>30</v>
      </c>
      <c r="T37" s="255">
        <v>30</v>
      </c>
    </row>
    <row r="38" spans="1:20" x14ac:dyDescent="0.35">
      <c r="B38" s="254" t="s">
        <v>3319</v>
      </c>
      <c r="C38" s="225"/>
      <c r="D38" s="225"/>
      <c r="E38" s="225">
        <v>6</v>
      </c>
      <c r="F38" s="225">
        <v>6</v>
      </c>
      <c r="G38" s="225">
        <v>0</v>
      </c>
      <c r="H38" s="225">
        <v>0</v>
      </c>
      <c r="I38" s="225">
        <f t="shared" ref="I38:P38" si="21">(I36+I37)*0.1</f>
        <v>6</v>
      </c>
      <c r="J38" s="225">
        <f t="shared" si="21"/>
        <v>6</v>
      </c>
      <c r="K38" s="225">
        <f t="shared" si="21"/>
        <v>6</v>
      </c>
      <c r="L38" s="225">
        <f t="shared" si="21"/>
        <v>6</v>
      </c>
      <c r="M38" s="225">
        <f t="shared" si="21"/>
        <v>6</v>
      </c>
      <c r="N38" s="225">
        <f t="shared" si="21"/>
        <v>6</v>
      </c>
      <c r="O38" s="225">
        <f t="shared" si="21"/>
        <v>6</v>
      </c>
      <c r="P38" s="225">
        <f t="shared" si="21"/>
        <v>6</v>
      </c>
      <c r="Q38" s="225">
        <f>(Q36+Q37)*0.1</f>
        <v>6</v>
      </c>
      <c r="R38" s="225">
        <f t="shared" ref="R38:T38" si="22">(R36+R37)*0.1</f>
        <v>6</v>
      </c>
      <c r="S38" s="225">
        <f t="shared" si="22"/>
        <v>6</v>
      </c>
      <c r="T38" s="225">
        <f t="shared" si="22"/>
        <v>6</v>
      </c>
    </row>
    <row r="39" spans="1:20" x14ac:dyDescent="0.35">
      <c r="B39" s="254" t="s">
        <v>3314</v>
      </c>
      <c r="C39" s="225">
        <f>C34-C35+C36-C38+C37</f>
        <v>30</v>
      </c>
      <c r="D39" s="225">
        <f>D34-D35+D36-D38+D37</f>
        <v>30</v>
      </c>
      <c r="E39" s="225">
        <f t="shared" ref="E39:T39" si="23">(E34+E36+E37)-(E38+E35)</f>
        <v>60</v>
      </c>
      <c r="F39" s="225">
        <f t="shared" si="23"/>
        <v>60</v>
      </c>
      <c r="G39" s="225">
        <f t="shared" si="23"/>
        <v>109</v>
      </c>
      <c r="H39" s="225">
        <f t="shared" si="23"/>
        <v>109</v>
      </c>
      <c r="I39" s="225">
        <f t="shared" si="23"/>
        <v>163</v>
      </c>
      <c r="J39" s="225">
        <f t="shared" si="23"/>
        <v>163</v>
      </c>
      <c r="K39" s="225">
        <f t="shared" si="23"/>
        <v>181</v>
      </c>
      <c r="L39" s="225">
        <f t="shared" si="23"/>
        <v>181</v>
      </c>
      <c r="M39" s="225">
        <f t="shared" si="23"/>
        <v>199</v>
      </c>
      <c r="N39" s="225">
        <f t="shared" si="23"/>
        <v>199</v>
      </c>
      <c r="O39" s="225">
        <f t="shared" si="23"/>
        <v>217</v>
      </c>
      <c r="P39" s="225">
        <f t="shared" si="23"/>
        <v>217</v>
      </c>
      <c r="Q39" s="225">
        <f t="shared" si="23"/>
        <v>235</v>
      </c>
      <c r="R39" s="225">
        <f t="shared" si="23"/>
        <v>235</v>
      </c>
      <c r="S39" s="225">
        <f t="shared" si="23"/>
        <v>253</v>
      </c>
      <c r="T39" s="225">
        <f t="shared" si="23"/>
        <v>253</v>
      </c>
    </row>
    <row r="40" spans="1:20" s="263" customFormat="1" x14ac:dyDescent="0.35">
      <c r="A40" s="454" t="s">
        <v>3324</v>
      </c>
      <c r="B40" s="455"/>
      <c r="C40" s="257">
        <f>SUM(C34,C36,C37)</f>
        <v>30</v>
      </c>
      <c r="D40" s="257">
        <f t="shared" ref="D40:T40" si="24">SUM(D34,D36,D37)</f>
        <v>30</v>
      </c>
      <c r="E40" s="257">
        <f t="shared" si="24"/>
        <v>66</v>
      </c>
      <c r="F40" s="257">
        <f t="shared" si="24"/>
        <v>66</v>
      </c>
      <c r="G40" s="257">
        <f t="shared" si="24"/>
        <v>109</v>
      </c>
      <c r="H40" s="257">
        <f t="shared" si="24"/>
        <v>109</v>
      </c>
      <c r="I40" s="257">
        <f t="shared" si="24"/>
        <v>169</v>
      </c>
      <c r="J40" s="257">
        <f>SUM(J34,J36,J37)</f>
        <v>169</v>
      </c>
      <c r="K40" s="257">
        <f t="shared" si="24"/>
        <v>223</v>
      </c>
      <c r="L40" s="257">
        <f t="shared" si="24"/>
        <v>223</v>
      </c>
      <c r="M40" s="257">
        <f t="shared" si="24"/>
        <v>241</v>
      </c>
      <c r="N40" s="257">
        <f t="shared" si="24"/>
        <v>241</v>
      </c>
      <c r="O40" s="257">
        <f t="shared" si="24"/>
        <v>259</v>
      </c>
      <c r="P40" s="257">
        <f t="shared" si="24"/>
        <v>259</v>
      </c>
      <c r="Q40" s="257">
        <f t="shared" si="24"/>
        <v>277</v>
      </c>
      <c r="R40" s="257">
        <f t="shared" si="24"/>
        <v>277</v>
      </c>
      <c r="S40" s="257">
        <f t="shared" si="24"/>
        <v>295</v>
      </c>
      <c r="T40" s="257">
        <f t="shared" si="24"/>
        <v>295</v>
      </c>
    </row>
    <row r="41" spans="1:20" x14ac:dyDescent="0.35">
      <c r="K41" s="221"/>
    </row>
    <row r="42" spans="1:20" x14ac:dyDescent="0.35">
      <c r="A42" s="450" t="s">
        <v>3325</v>
      </c>
      <c r="B42" s="451"/>
      <c r="C42" s="264">
        <f>SUM(C22,C31,C40)</f>
        <v>3451</v>
      </c>
      <c r="D42" s="264">
        <f t="shared" ref="D42:T42" si="25">SUM(D22,D31,D40)</f>
        <v>3376</v>
      </c>
      <c r="E42" s="264">
        <f t="shared" si="25"/>
        <v>3753.5145772594751</v>
      </c>
      <c r="F42" s="264">
        <f t="shared" si="25"/>
        <v>4117.2700000000004</v>
      </c>
      <c r="G42" s="264">
        <f t="shared" si="25"/>
        <v>4280</v>
      </c>
      <c r="H42" s="264">
        <f t="shared" si="25"/>
        <v>4281</v>
      </c>
      <c r="I42" s="264">
        <f t="shared" si="25"/>
        <v>4704.7</v>
      </c>
      <c r="J42" s="264">
        <f>SUM(J22,J31,J40)</f>
        <v>4886.75</v>
      </c>
      <c r="K42" s="264">
        <f t="shared" si="25"/>
        <v>5159.1918799999994</v>
      </c>
      <c r="L42" s="264">
        <f>SUM(L22,L31,L40)</f>
        <v>5309.7471880000003</v>
      </c>
      <c r="M42" s="264">
        <f t="shared" si="25"/>
        <v>5525.0164447520001</v>
      </c>
      <c r="N42" s="264">
        <f t="shared" si="25"/>
        <v>5651.0702694351994</v>
      </c>
      <c r="O42" s="264">
        <f t="shared" si="25"/>
        <v>5892.1698994790204</v>
      </c>
      <c r="P42" s="264">
        <f t="shared" si="25"/>
        <v>5991.6149708570856</v>
      </c>
      <c r="Q42" s="264">
        <f t="shared" si="25"/>
        <v>6224.4136996339175</v>
      </c>
      <c r="R42" s="264">
        <f t="shared" si="25"/>
        <v>6302.03256311309</v>
      </c>
      <c r="S42" s="264">
        <f t="shared" si="25"/>
        <v>6360.1856805513098</v>
      </c>
      <c r="T42" s="264">
        <f t="shared" si="25"/>
        <v>6599.8442996751801</v>
      </c>
    </row>
  </sheetData>
  <mergeCells count="7">
    <mergeCell ref="A42:B42"/>
    <mergeCell ref="A7:B7"/>
    <mergeCell ref="A14:B14"/>
    <mergeCell ref="A20:B20"/>
    <mergeCell ref="A22:B22"/>
    <mergeCell ref="A31:B31"/>
    <mergeCell ref="A40:B40"/>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C5" sqref="C5"/>
    </sheetView>
  </sheetViews>
  <sheetFormatPr defaultRowHeight="14.5" x14ac:dyDescent="0.35"/>
  <cols>
    <col min="1" max="1" width="5" bestFit="1" customWidth="1"/>
    <col min="2" max="2" width="6" bestFit="1" customWidth="1"/>
    <col min="3" max="3" width="26" bestFit="1" customWidth="1"/>
    <col min="4" max="4" width="14.26953125" bestFit="1" customWidth="1"/>
  </cols>
  <sheetData>
    <row r="1" spans="1:4" x14ac:dyDescent="0.35">
      <c r="A1" s="456" t="s">
        <v>3261</v>
      </c>
      <c r="B1" s="457"/>
      <c r="C1" s="219" t="s">
        <v>3262</v>
      </c>
      <c r="D1" s="220" t="s">
        <v>3263</v>
      </c>
    </row>
    <row r="2" spans="1:4" x14ac:dyDescent="0.35">
      <c r="A2" s="221">
        <v>107.90529383195727</v>
      </c>
      <c r="B2" s="222">
        <v>8000</v>
      </c>
      <c r="C2" s="223" t="s">
        <v>3264</v>
      </c>
      <c r="D2" s="224">
        <f>A2*B2*8</f>
        <v>6905938.8052452654</v>
      </c>
    </row>
    <row r="3" spans="1:4" x14ac:dyDescent="0.35">
      <c r="A3" s="221">
        <v>813.35065565808645</v>
      </c>
      <c r="B3" s="222">
        <v>2000</v>
      </c>
      <c r="C3" s="223" t="s">
        <v>3265</v>
      </c>
      <c r="D3" s="224">
        <f t="shared" ref="D3:D7" si="0">A3*B3*8</f>
        <v>13013610.490529383</v>
      </c>
    </row>
    <row r="4" spans="1:4" x14ac:dyDescent="0.35">
      <c r="A4" s="221">
        <v>922.41622146673149</v>
      </c>
      <c r="B4" s="222">
        <v>4000</v>
      </c>
      <c r="C4" s="223" t="s">
        <v>3266</v>
      </c>
      <c r="D4" s="224">
        <f t="shared" si="0"/>
        <v>29517319.086935408</v>
      </c>
    </row>
    <row r="5" spans="1:4" x14ac:dyDescent="0.35">
      <c r="A5" s="221">
        <v>545.32782904322494</v>
      </c>
      <c r="B5" s="222">
        <v>6000</v>
      </c>
      <c r="C5" s="223" t="s">
        <v>3267</v>
      </c>
      <c r="D5" s="224">
        <f t="shared" si="0"/>
        <v>26175735.794074796</v>
      </c>
    </row>
    <row r="6" spans="1:4" x14ac:dyDescent="0.35">
      <c r="A6" s="225">
        <v>650</v>
      </c>
      <c r="B6" s="222">
        <v>4000</v>
      </c>
      <c r="C6" s="223" t="s">
        <v>3268</v>
      </c>
      <c r="D6" s="224">
        <f t="shared" si="0"/>
        <v>20800000</v>
      </c>
    </row>
    <row r="7" spans="1:4" x14ac:dyDescent="0.35">
      <c r="A7" s="225">
        <v>10</v>
      </c>
      <c r="B7" s="222">
        <v>28000</v>
      </c>
      <c r="C7" s="223" t="s">
        <v>3269</v>
      </c>
      <c r="D7" s="224">
        <f t="shared" si="0"/>
        <v>2240000</v>
      </c>
    </row>
    <row r="8" spans="1:4" x14ac:dyDescent="0.35">
      <c r="A8" s="226">
        <f>SUM(A2:A7)</f>
        <v>3049</v>
      </c>
      <c r="B8" s="66"/>
      <c r="D8" s="227">
        <f>SUM(D2:D7)</f>
        <v>98652604.176784843</v>
      </c>
    </row>
  </sheetData>
  <mergeCells count="1">
    <mergeCell ref="A1:B1"/>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Y141"/>
  <sheetViews>
    <sheetView topLeftCell="B1" zoomScale="80" zoomScaleNormal="80" workbookViewId="0">
      <pane ySplit="1" topLeftCell="A80" activePane="bottomLeft" state="frozen"/>
      <selection activeCell="D92" sqref="D92"/>
      <selection pane="bottomLeft" activeCell="F104" sqref="F104"/>
    </sheetView>
  </sheetViews>
  <sheetFormatPr defaultColWidth="9.1796875" defaultRowHeight="13" x14ac:dyDescent="0.3"/>
  <cols>
    <col min="1" max="1" width="9.81640625" style="212" customWidth="1"/>
    <col min="2" max="2" width="9.1796875" style="212" customWidth="1"/>
    <col min="3" max="3" width="31.81640625" style="213" customWidth="1"/>
    <col min="4" max="4" width="69.1796875" style="126" bestFit="1" customWidth="1"/>
    <col min="5" max="5" width="9" style="217" customWidth="1"/>
    <col min="6" max="6" width="9.54296875" style="218" customWidth="1"/>
    <col min="7" max="7" width="13" style="126" bestFit="1" customWidth="1"/>
    <col min="8" max="19" width="10.81640625" style="126" bestFit="1" customWidth="1"/>
    <col min="20" max="20" width="122.1796875" style="215" bestFit="1" customWidth="1"/>
    <col min="21" max="987" width="8.7265625" style="114" customWidth="1"/>
    <col min="988" max="16384" width="9.1796875" style="126"/>
  </cols>
  <sheetData>
    <row r="1" spans="1:987" s="102" customFormat="1" ht="24" customHeight="1" x14ac:dyDescent="0.35">
      <c r="A1" s="94" t="s">
        <v>4</v>
      </c>
      <c r="B1" s="94" t="s">
        <v>7</v>
      </c>
      <c r="C1" s="95" t="s">
        <v>3051</v>
      </c>
      <c r="D1" s="96" t="s">
        <v>3052</v>
      </c>
      <c r="E1" s="97" t="s">
        <v>3053</v>
      </c>
      <c r="F1" s="97" t="s">
        <v>21</v>
      </c>
      <c r="G1" s="98" t="s">
        <v>44</v>
      </c>
      <c r="H1" s="99">
        <v>44927</v>
      </c>
      <c r="I1" s="99">
        <v>44958</v>
      </c>
      <c r="J1" s="99">
        <v>44986</v>
      </c>
      <c r="K1" s="99">
        <v>45017</v>
      </c>
      <c r="L1" s="99">
        <v>45047</v>
      </c>
      <c r="M1" s="99">
        <v>45078</v>
      </c>
      <c r="N1" s="99">
        <v>45108</v>
      </c>
      <c r="O1" s="99">
        <v>45139</v>
      </c>
      <c r="P1" s="99">
        <v>45170</v>
      </c>
      <c r="Q1" s="99">
        <v>45200</v>
      </c>
      <c r="R1" s="99">
        <v>45231</v>
      </c>
      <c r="S1" s="99">
        <v>45261</v>
      </c>
      <c r="T1" s="100" t="s">
        <v>3054</v>
      </c>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c r="CO1" s="101"/>
      <c r="CP1" s="101"/>
      <c r="CQ1" s="101"/>
      <c r="CR1" s="101"/>
      <c r="CS1" s="101"/>
      <c r="CT1" s="101"/>
      <c r="CU1" s="101"/>
      <c r="CV1" s="101"/>
      <c r="CW1" s="101"/>
      <c r="CX1" s="101"/>
      <c r="CY1" s="101"/>
      <c r="CZ1" s="101"/>
      <c r="DA1" s="101"/>
      <c r="DB1" s="101"/>
      <c r="DC1" s="101"/>
      <c r="DD1" s="101"/>
      <c r="DE1" s="101"/>
      <c r="DF1" s="101"/>
      <c r="DG1" s="101"/>
      <c r="DH1" s="101"/>
      <c r="DI1" s="101"/>
      <c r="DJ1" s="101"/>
      <c r="DK1" s="101"/>
      <c r="DL1" s="101"/>
      <c r="DM1" s="101"/>
      <c r="DN1" s="101"/>
      <c r="DO1" s="101"/>
      <c r="DP1" s="101"/>
      <c r="DQ1" s="101"/>
      <c r="DR1" s="101"/>
      <c r="DS1" s="101"/>
      <c r="DT1" s="101"/>
      <c r="DU1" s="101"/>
      <c r="DV1" s="101"/>
      <c r="DW1" s="101"/>
      <c r="DX1" s="101"/>
      <c r="DY1" s="101"/>
      <c r="DZ1" s="101"/>
      <c r="EA1" s="101"/>
      <c r="EB1" s="101"/>
      <c r="EC1" s="101"/>
      <c r="ED1" s="101"/>
      <c r="EE1" s="101"/>
      <c r="EF1" s="101"/>
      <c r="EG1" s="101"/>
      <c r="EH1" s="101"/>
      <c r="EI1" s="101"/>
      <c r="EJ1" s="101"/>
      <c r="EK1" s="101"/>
      <c r="EL1" s="101"/>
      <c r="EM1" s="101"/>
      <c r="EN1" s="101"/>
      <c r="EO1" s="101"/>
      <c r="EP1" s="101"/>
      <c r="EQ1" s="101"/>
      <c r="ER1" s="101"/>
      <c r="ES1" s="101"/>
      <c r="ET1" s="101"/>
      <c r="EU1" s="101"/>
      <c r="EV1" s="101"/>
      <c r="EW1" s="101"/>
      <c r="EX1" s="101"/>
      <c r="EY1" s="101"/>
      <c r="EZ1" s="101"/>
      <c r="FA1" s="101"/>
      <c r="FB1" s="101"/>
      <c r="FC1" s="101"/>
      <c r="FD1" s="101"/>
      <c r="FE1" s="101"/>
      <c r="FF1" s="101"/>
      <c r="FG1" s="101"/>
      <c r="FH1" s="101"/>
      <c r="FI1" s="101"/>
      <c r="FJ1" s="101"/>
      <c r="FK1" s="101"/>
      <c r="FL1" s="101"/>
      <c r="FM1" s="101"/>
      <c r="FN1" s="101"/>
      <c r="FO1" s="101"/>
      <c r="FP1" s="101"/>
      <c r="FQ1" s="101"/>
      <c r="FR1" s="101"/>
      <c r="FS1" s="101"/>
      <c r="FT1" s="101"/>
      <c r="FU1" s="101"/>
      <c r="FV1" s="101"/>
      <c r="FW1" s="101"/>
      <c r="FX1" s="101"/>
      <c r="FY1" s="101"/>
      <c r="FZ1" s="101"/>
      <c r="GA1" s="101"/>
      <c r="GB1" s="101"/>
      <c r="GC1" s="101"/>
      <c r="GD1" s="101"/>
      <c r="GE1" s="101"/>
      <c r="GF1" s="101"/>
      <c r="GG1" s="101"/>
      <c r="GH1" s="101"/>
      <c r="GI1" s="101"/>
      <c r="GJ1" s="101"/>
      <c r="GK1" s="101"/>
      <c r="GL1" s="101"/>
      <c r="GM1" s="101"/>
      <c r="GN1" s="101"/>
      <c r="GO1" s="101"/>
      <c r="GP1" s="101"/>
      <c r="GQ1" s="101"/>
      <c r="GR1" s="101"/>
      <c r="GS1" s="101"/>
      <c r="GT1" s="101"/>
      <c r="GU1" s="101"/>
      <c r="GV1" s="101"/>
      <c r="GW1" s="101"/>
      <c r="GX1" s="101"/>
      <c r="GY1" s="101"/>
      <c r="GZ1" s="101"/>
      <c r="HA1" s="101"/>
      <c r="HB1" s="101"/>
      <c r="HC1" s="101"/>
      <c r="HD1" s="101"/>
      <c r="HE1" s="101"/>
      <c r="HF1" s="101"/>
      <c r="HG1" s="101"/>
      <c r="HH1" s="101"/>
      <c r="HI1" s="101"/>
      <c r="HJ1" s="101"/>
      <c r="HK1" s="101"/>
      <c r="HL1" s="101"/>
      <c r="HM1" s="101"/>
      <c r="HN1" s="101"/>
      <c r="HO1" s="101"/>
      <c r="HP1" s="101"/>
      <c r="HQ1" s="101"/>
      <c r="HR1" s="101"/>
      <c r="HS1" s="101"/>
      <c r="HT1" s="101"/>
      <c r="HU1" s="101"/>
      <c r="HV1" s="101"/>
      <c r="HW1" s="101"/>
      <c r="HX1" s="101"/>
      <c r="HY1" s="101"/>
      <c r="HZ1" s="101"/>
      <c r="IA1" s="101"/>
      <c r="IB1" s="101"/>
      <c r="IC1" s="101"/>
      <c r="ID1" s="101"/>
      <c r="IE1" s="101"/>
      <c r="IF1" s="101"/>
      <c r="IG1" s="101"/>
      <c r="IH1" s="101"/>
      <c r="II1" s="101"/>
      <c r="IJ1" s="101"/>
      <c r="IK1" s="101"/>
      <c r="IL1" s="101"/>
      <c r="IM1" s="101"/>
      <c r="IN1" s="101"/>
      <c r="IO1" s="101"/>
      <c r="IP1" s="101"/>
      <c r="IQ1" s="101"/>
      <c r="IR1" s="101"/>
      <c r="IS1" s="101"/>
      <c r="IT1" s="101"/>
      <c r="IU1" s="101"/>
      <c r="IV1" s="101"/>
      <c r="IW1" s="101"/>
      <c r="IX1" s="101"/>
      <c r="IY1" s="101"/>
      <c r="IZ1" s="101"/>
      <c r="JA1" s="101"/>
      <c r="JB1" s="101"/>
      <c r="JC1" s="101"/>
      <c r="JD1" s="101"/>
      <c r="JE1" s="101"/>
      <c r="JF1" s="101"/>
      <c r="JG1" s="101"/>
      <c r="JH1" s="101"/>
      <c r="JI1" s="101"/>
      <c r="JJ1" s="101"/>
      <c r="JK1" s="101"/>
      <c r="JL1" s="101"/>
      <c r="JM1" s="101"/>
      <c r="JN1" s="101"/>
      <c r="JO1" s="101"/>
      <c r="JP1" s="101"/>
      <c r="JQ1" s="101"/>
      <c r="JR1" s="101"/>
      <c r="JS1" s="101"/>
      <c r="JT1" s="101"/>
      <c r="JU1" s="101"/>
      <c r="JV1" s="101"/>
      <c r="JW1" s="101"/>
      <c r="JX1" s="101"/>
      <c r="JY1" s="101"/>
      <c r="JZ1" s="101"/>
      <c r="KA1" s="101"/>
      <c r="KB1" s="101"/>
      <c r="KC1" s="101"/>
      <c r="KD1" s="101"/>
      <c r="KE1" s="101"/>
      <c r="KF1" s="101"/>
      <c r="KG1" s="101"/>
      <c r="KH1" s="101"/>
      <c r="KI1" s="101"/>
      <c r="KJ1" s="101"/>
      <c r="KK1" s="101"/>
      <c r="KL1" s="101"/>
      <c r="KM1" s="101"/>
      <c r="KN1" s="101"/>
      <c r="KO1" s="101"/>
      <c r="KP1" s="101"/>
      <c r="KQ1" s="101"/>
      <c r="KR1" s="101"/>
      <c r="KS1" s="101"/>
      <c r="KT1" s="101"/>
      <c r="KU1" s="101"/>
      <c r="KV1" s="101"/>
      <c r="KW1" s="101"/>
      <c r="KX1" s="101"/>
      <c r="KY1" s="101"/>
      <c r="KZ1" s="101"/>
      <c r="LA1" s="101"/>
      <c r="LB1" s="101"/>
      <c r="LC1" s="101"/>
      <c r="LD1" s="101"/>
      <c r="LE1" s="101"/>
      <c r="LF1" s="101"/>
      <c r="LG1" s="101"/>
      <c r="LH1" s="101"/>
      <c r="LI1" s="101"/>
      <c r="LJ1" s="101"/>
      <c r="LK1" s="101"/>
      <c r="LL1" s="101"/>
      <c r="LM1" s="101"/>
      <c r="LN1" s="101"/>
      <c r="LO1" s="101"/>
      <c r="LP1" s="101"/>
      <c r="LQ1" s="101"/>
      <c r="LR1" s="101"/>
      <c r="LS1" s="101"/>
      <c r="LT1" s="101"/>
      <c r="LU1" s="101"/>
      <c r="LV1" s="101"/>
      <c r="LW1" s="101"/>
      <c r="LX1" s="101"/>
      <c r="LY1" s="101"/>
      <c r="LZ1" s="101"/>
      <c r="MA1" s="101"/>
      <c r="MB1" s="101"/>
      <c r="MC1" s="101"/>
      <c r="MD1" s="101"/>
      <c r="ME1" s="101"/>
      <c r="MF1" s="101"/>
      <c r="MG1" s="101"/>
      <c r="MH1" s="101"/>
      <c r="MI1" s="101"/>
      <c r="MJ1" s="101"/>
      <c r="MK1" s="101"/>
      <c r="ML1" s="101"/>
      <c r="MM1" s="101"/>
      <c r="MN1" s="101"/>
      <c r="MO1" s="101"/>
      <c r="MP1" s="101"/>
      <c r="MQ1" s="101"/>
      <c r="MR1" s="101"/>
      <c r="MS1" s="101"/>
      <c r="MT1" s="101"/>
      <c r="MU1" s="101"/>
      <c r="MV1" s="101"/>
      <c r="MW1" s="101"/>
      <c r="MX1" s="101"/>
      <c r="MY1" s="101"/>
      <c r="MZ1" s="101"/>
      <c r="NA1" s="101"/>
      <c r="NB1" s="101"/>
      <c r="NC1" s="101"/>
      <c r="ND1" s="101"/>
      <c r="NE1" s="101"/>
      <c r="NF1" s="101"/>
      <c r="NG1" s="101"/>
      <c r="NH1" s="101"/>
      <c r="NI1" s="101"/>
      <c r="NJ1" s="101"/>
      <c r="NK1" s="101"/>
      <c r="NL1" s="101"/>
      <c r="NM1" s="101"/>
      <c r="NN1" s="101"/>
      <c r="NO1" s="101"/>
      <c r="NP1" s="101"/>
      <c r="NQ1" s="101"/>
      <c r="NR1" s="101"/>
      <c r="NS1" s="101"/>
      <c r="NT1" s="101"/>
      <c r="NU1" s="101"/>
      <c r="NV1" s="101"/>
      <c r="NW1" s="101"/>
      <c r="NX1" s="101"/>
      <c r="NY1" s="101"/>
      <c r="NZ1" s="101"/>
      <c r="OA1" s="101"/>
      <c r="OB1" s="101"/>
      <c r="OC1" s="101"/>
      <c r="OD1" s="101"/>
      <c r="OE1" s="101"/>
      <c r="OF1" s="101"/>
      <c r="OG1" s="101"/>
      <c r="OH1" s="101"/>
      <c r="OI1" s="101"/>
      <c r="OJ1" s="101"/>
      <c r="OK1" s="101"/>
      <c r="OL1" s="101"/>
      <c r="OM1" s="101"/>
      <c r="ON1" s="101"/>
      <c r="OO1" s="101"/>
      <c r="OP1" s="101"/>
      <c r="OQ1" s="101"/>
      <c r="OR1" s="101"/>
      <c r="OS1" s="101"/>
      <c r="OT1" s="101"/>
      <c r="OU1" s="101"/>
      <c r="OV1" s="101"/>
      <c r="OW1" s="101"/>
      <c r="OX1" s="101"/>
      <c r="OY1" s="101"/>
      <c r="OZ1" s="101"/>
      <c r="PA1" s="101"/>
      <c r="PB1" s="101"/>
      <c r="PC1" s="101"/>
      <c r="PD1" s="101"/>
      <c r="PE1" s="101"/>
      <c r="PF1" s="101"/>
      <c r="PG1" s="101"/>
      <c r="PH1" s="101"/>
      <c r="PI1" s="101"/>
      <c r="PJ1" s="101"/>
      <c r="PK1" s="101"/>
      <c r="PL1" s="101"/>
      <c r="PM1" s="101"/>
      <c r="PN1" s="101"/>
      <c r="PO1" s="101"/>
      <c r="PP1" s="101"/>
      <c r="PQ1" s="101"/>
      <c r="PR1" s="101"/>
      <c r="PS1" s="101"/>
      <c r="PT1" s="101"/>
      <c r="PU1" s="101"/>
      <c r="PV1" s="101"/>
      <c r="PW1" s="101"/>
      <c r="PX1" s="101"/>
      <c r="PY1" s="101"/>
      <c r="PZ1" s="101"/>
      <c r="QA1" s="101"/>
      <c r="QB1" s="101"/>
      <c r="QC1" s="101"/>
      <c r="QD1" s="101"/>
      <c r="QE1" s="101"/>
      <c r="QF1" s="101"/>
      <c r="QG1" s="101"/>
      <c r="QH1" s="101"/>
      <c r="QI1" s="101"/>
      <c r="QJ1" s="101"/>
      <c r="QK1" s="101"/>
      <c r="QL1" s="101"/>
      <c r="QM1" s="101"/>
      <c r="QN1" s="101"/>
      <c r="QO1" s="101"/>
      <c r="QP1" s="101"/>
      <c r="QQ1" s="101"/>
      <c r="QR1" s="101"/>
      <c r="QS1" s="101"/>
      <c r="QT1" s="101"/>
      <c r="QU1" s="101"/>
      <c r="QV1" s="101"/>
      <c r="QW1" s="101"/>
      <c r="QX1" s="101"/>
      <c r="QY1" s="101"/>
      <c r="QZ1" s="101"/>
      <c r="RA1" s="101"/>
      <c r="RB1" s="101"/>
      <c r="RC1" s="101"/>
      <c r="RD1" s="101"/>
      <c r="RE1" s="101"/>
      <c r="RF1" s="101"/>
      <c r="RG1" s="101"/>
      <c r="RH1" s="101"/>
      <c r="RI1" s="101"/>
      <c r="RJ1" s="101"/>
      <c r="RK1" s="101"/>
      <c r="RL1" s="101"/>
      <c r="RM1" s="101"/>
      <c r="RN1" s="101"/>
      <c r="RO1" s="101"/>
      <c r="RP1" s="101"/>
      <c r="RQ1" s="101"/>
      <c r="RR1" s="101"/>
      <c r="RS1" s="101"/>
      <c r="RT1" s="101"/>
      <c r="RU1" s="101"/>
      <c r="RV1" s="101"/>
      <c r="RW1" s="101"/>
      <c r="RX1" s="101"/>
      <c r="RY1" s="101"/>
      <c r="RZ1" s="101"/>
      <c r="SA1" s="101"/>
      <c r="SB1" s="101"/>
      <c r="SC1" s="101"/>
      <c r="SD1" s="101"/>
      <c r="SE1" s="101"/>
      <c r="SF1" s="101"/>
      <c r="SG1" s="101"/>
      <c r="SH1" s="101"/>
      <c r="SI1" s="101"/>
      <c r="SJ1" s="101"/>
      <c r="SK1" s="101"/>
      <c r="SL1" s="101"/>
      <c r="SM1" s="101"/>
      <c r="SN1" s="101"/>
      <c r="SO1" s="101"/>
      <c r="SP1" s="101"/>
      <c r="SQ1" s="101"/>
      <c r="SR1" s="101"/>
      <c r="SS1" s="101"/>
      <c r="ST1" s="101"/>
      <c r="SU1" s="101"/>
      <c r="SV1" s="101"/>
      <c r="SW1" s="101"/>
      <c r="SX1" s="101"/>
      <c r="SY1" s="101"/>
      <c r="SZ1" s="101"/>
      <c r="TA1" s="101"/>
      <c r="TB1" s="101"/>
      <c r="TC1" s="101"/>
      <c r="TD1" s="101"/>
      <c r="TE1" s="101"/>
      <c r="TF1" s="101"/>
      <c r="TG1" s="101"/>
      <c r="TH1" s="101"/>
      <c r="TI1" s="101"/>
      <c r="TJ1" s="101"/>
      <c r="TK1" s="101"/>
      <c r="TL1" s="101"/>
      <c r="TM1" s="101"/>
      <c r="TN1" s="101"/>
      <c r="TO1" s="101"/>
      <c r="TP1" s="101"/>
      <c r="TQ1" s="101"/>
      <c r="TR1" s="101"/>
      <c r="TS1" s="101"/>
      <c r="TT1" s="101"/>
      <c r="TU1" s="101"/>
      <c r="TV1" s="101"/>
      <c r="TW1" s="101"/>
      <c r="TX1" s="101"/>
      <c r="TY1" s="101"/>
      <c r="TZ1" s="101"/>
      <c r="UA1" s="101"/>
      <c r="UB1" s="101"/>
      <c r="UC1" s="101"/>
      <c r="UD1" s="101"/>
      <c r="UE1" s="101"/>
      <c r="UF1" s="101"/>
      <c r="UG1" s="101"/>
      <c r="UH1" s="101"/>
      <c r="UI1" s="101"/>
      <c r="UJ1" s="101"/>
      <c r="UK1" s="101"/>
      <c r="UL1" s="101"/>
      <c r="UM1" s="101"/>
      <c r="UN1" s="101"/>
      <c r="UO1" s="101"/>
      <c r="UP1" s="101"/>
      <c r="UQ1" s="101"/>
      <c r="UR1" s="101"/>
      <c r="US1" s="101"/>
      <c r="UT1" s="101"/>
      <c r="UU1" s="101"/>
      <c r="UV1" s="101"/>
      <c r="UW1" s="101"/>
      <c r="UX1" s="101"/>
      <c r="UY1" s="101"/>
      <c r="UZ1" s="101"/>
      <c r="VA1" s="101"/>
      <c r="VB1" s="101"/>
      <c r="VC1" s="101"/>
      <c r="VD1" s="101"/>
      <c r="VE1" s="101"/>
      <c r="VF1" s="101"/>
      <c r="VG1" s="101"/>
      <c r="VH1" s="101"/>
      <c r="VI1" s="101"/>
      <c r="VJ1" s="101"/>
      <c r="VK1" s="101"/>
      <c r="VL1" s="101"/>
      <c r="VM1" s="101"/>
      <c r="VN1" s="101"/>
      <c r="VO1" s="101"/>
      <c r="VP1" s="101"/>
      <c r="VQ1" s="101"/>
      <c r="VR1" s="101"/>
      <c r="VS1" s="101"/>
      <c r="VT1" s="101"/>
      <c r="VU1" s="101"/>
      <c r="VV1" s="101"/>
      <c r="VW1" s="101"/>
      <c r="VX1" s="101"/>
      <c r="VY1" s="101"/>
      <c r="VZ1" s="101"/>
      <c r="WA1" s="101"/>
      <c r="WB1" s="101"/>
      <c r="WC1" s="101"/>
      <c r="WD1" s="101"/>
      <c r="WE1" s="101"/>
      <c r="WF1" s="101"/>
      <c r="WG1" s="101"/>
      <c r="WH1" s="101"/>
      <c r="WI1" s="101"/>
      <c r="WJ1" s="101"/>
      <c r="WK1" s="101"/>
      <c r="WL1" s="101"/>
      <c r="WM1" s="101"/>
      <c r="WN1" s="101"/>
      <c r="WO1" s="101"/>
      <c r="WP1" s="101"/>
      <c r="WQ1" s="101"/>
      <c r="WR1" s="101"/>
      <c r="WS1" s="101"/>
      <c r="WT1" s="101"/>
      <c r="WU1" s="101"/>
      <c r="WV1" s="101"/>
      <c r="WW1" s="101"/>
      <c r="WX1" s="101"/>
      <c r="WY1" s="101"/>
      <c r="WZ1" s="101"/>
      <c r="XA1" s="101"/>
      <c r="XB1" s="101"/>
      <c r="XC1" s="101"/>
      <c r="XD1" s="101"/>
      <c r="XE1" s="101"/>
      <c r="XF1" s="101"/>
      <c r="XG1" s="101"/>
      <c r="XH1" s="101"/>
      <c r="XI1" s="101"/>
      <c r="XJ1" s="101"/>
      <c r="XK1" s="101"/>
      <c r="XL1" s="101"/>
      <c r="XM1" s="101"/>
      <c r="XN1" s="101"/>
      <c r="XO1" s="101"/>
      <c r="XP1" s="101"/>
      <c r="XQ1" s="101"/>
      <c r="XR1" s="101"/>
      <c r="XS1" s="101"/>
      <c r="XT1" s="101"/>
      <c r="XU1" s="101"/>
      <c r="XV1" s="101"/>
      <c r="XW1" s="101"/>
      <c r="XX1" s="101"/>
      <c r="XY1" s="101"/>
      <c r="XZ1" s="101"/>
      <c r="YA1" s="101"/>
      <c r="YB1" s="101"/>
      <c r="YC1" s="101"/>
      <c r="YD1" s="101"/>
      <c r="YE1" s="101"/>
      <c r="YF1" s="101"/>
      <c r="YG1" s="101"/>
      <c r="YH1" s="101"/>
      <c r="YI1" s="101"/>
      <c r="YJ1" s="101"/>
      <c r="YK1" s="101"/>
      <c r="YL1" s="101"/>
      <c r="YM1" s="101"/>
      <c r="YN1" s="101"/>
      <c r="YO1" s="101"/>
      <c r="YP1" s="101"/>
      <c r="YQ1" s="101"/>
      <c r="YR1" s="101"/>
      <c r="YS1" s="101"/>
      <c r="YT1" s="101"/>
      <c r="YU1" s="101"/>
      <c r="YV1" s="101"/>
      <c r="YW1" s="101"/>
      <c r="YX1" s="101"/>
      <c r="YY1" s="101"/>
      <c r="YZ1" s="101"/>
      <c r="ZA1" s="101"/>
      <c r="ZB1" s="101"/>
      <c r="ZC1" s="101"/>
      <c r="ZD1" s="101"/>
      <c r="ZE1" s="101"/>
      <c r="ZF1" s="101"/>
      <c r="ZG1" s="101"/>
      <c r="ZH1" s="101"/>
      <c r="ZI1" s="101"/>
      <c r="ZJ1" s="101"/>
      <c r="ZK1" s="101"/>
      <c r="ZL1" s="101"/>
      <c r="ZM1" s="101"/>
      <c r="ZN1" s="101"/>
      <c r="ZO1" s="101"/>
      <c r="ZP1" s="101"/>
      <c r="ZQ1" s="101"/>
      <c r="ZR1" s="101"/>
      <c r="ZS1" s="101"/>
      <c r="ZT1" s="101"/>
      <c r="ZU1" s="101"/>
      <c r="ZV1" s="101"/>
      <c r="ZW1" s="101"/>
      <c r="ZX1" s="101"/>
      <c r="ZY1" s="101"/>
      <c r="ZZ1" s="101"/>
      <c r="AAA1" s="101"/>
      <c r="AAB1" s="101"/>
      <c r="AAC1" s="101"/>
      <c r="AAD1" s="101"/>
      <c r="AAE1" s="101"/>
      <c r="AAF1" s="101"/>
      <c r="AAG1" s="101"/>
      <c r="AAH1" s="101"/>
      <c r="AAI1" s="101"/>
      <c r="AAJ1" s="101"/>
      <c r="AAK1" s="101"/>
      <c r="AAL1" s="101"/>
      <c r="AAM1" s="101"/>
      <c r="AAN1" s="101"/>
      <c r="AAO1" s="101"/>
      <c r="AAP1" s="101"/>
      <c r="AAQ1" s="101"/>
      <c r="AAR1" s="101"/>
      <c r="AAS1" s="101"/>
      <c r="AAT1" s="101"/>
      <c r="AAU1" s="101"/>
      <c r="AAV1" s="101"/>
      <c r="AAW1" s="101"/>
      <c r="AAX1" s="101"/>
      <c r="AAY1" s="101"/>
      <c r="AAZ1" s="101"/>
      <c r="ABA1" s="101"/>
      <c r="ABB1" s="101"/>
      <c r="ABC1" s="101"/>
      <c r="ABD1" s="101"/>
      <c r="ABE1" s="101"/>
      <c r="ABF1" s="101"/>
      <c r="ABG1" s="101"/>
      <c r="ABH1" s="101"/>
      <c r="ABI1" s="101"/>
      <c r="ABJ1" s="101"/>
      <c r="ABK1" s="101"/>
      <c r="ABL1" s="101"/>
      <c r="ABM1" s="101"/>
      <c r="ABN1" s="101"/>
      <c r="ABO1" s="101"/>
      <c r="ABP1" s="101"/>
      <c r="ABQ1" s="101"/>
      <c r="ABR1" s="101"/>
      <c r="ABS1" s="101"/>
      <c r="ABT1" s="101"/>
      <c r="ABU1" s="101"/>
      <c r="ABV1" s="101"/>
      <c r="ABW1" s="101"/>
      <c r="ABX1" s="101"/>
      <c r="ABY1" s="101"/>
      <c r="ABZ1" s="101"/>
      <c r="ACA1" s="101"/>
      <c r="ACB1" s="101"/>
      <c r="ACC1" s="101"/>
      <c r="ACD1" s="101"/>
      <c r="ACE1" s="101"/>
      <c r="ACF1" s="101"/>
      <c r="ACG1" s="101"/>
      <c r="ACH1" s="101"/>
      <c r="ACI1" s="101"/>
      <c r="ACJ1" s="101"/>
      <c r="ACK1" s="101"/>
      <c r="ACL1" s="101"/>
      <c r="ACM1" s="101"/>
      <c r="ACN1" s="101"/>
      <c r="ACO1" s="101"/>
      <c r="ACP1" s="101"/>
      <c r="ACQ1" s="101"/>
      <c r="ACR1" s="101"/>
      <c r="ACS1" s="101"/>
      <c r="ACT1" s="101"/>
      <c r="ACU1" s="101"/>
      <c r="ACV1" s="101"/>
      <c r="ACW1" s="101"/>
      <c r="ACX1" s="101"/>
      <c r="ACY1" s="101"/>
      <c r="ACZ1" s="101"/>
      <c r="ADA1" s="101"/>
      <c r="ADB1" s="101"/>
      <c r="ADC1" s="101"/>
      <c r="ADD1" s="101"/>
      <c r="ADE1" s="101"/>
      <c r="ADF1" s="101"/>
      <c r="ADG1" s="101"/>
      <c r="ADH1" s="101"/>
      <c r="ADI1" s="101"/>
      <c r="ADJ1" s="101"/>
      <c r="ADK1" s="101"/>
      <c r="ADL1" s="101"/>
      <c r="ADM1" s="101"/>
      <c r="ADN1" s="101"/>
      <c r="ADO1" s="101"/>
      <c r="ADP1" s="101"/>
      <c r="ADQ1" s="101"/>
      <c r="ADR1" s="101"/>
      <c r="ADS1" s="101"/>
      <c r="ADT1" s="101"/>
      <c r="ADU1" s="101"/>
      <c r="ADV1" s="101"/>
      <c r="ADW1" s="101"/>
      <c r="ADX1" s="101"/>
      <c r="ADY1" s="101"/>
      <c r="ADZ1" s="101"/>
      <c r="AEA1" s="101"/>
      <c r="AEB1" s="101"/>
      <c r="AEC1" s="101"/>
      <c r="AED1" s="101"/>
      <c r="AEE1" s="101"/>
      <c r="AEF1" s="101"/>
      <c r="AEG1" s="101"/>
      <c r="AEH1" s="101"/>
      <c r="AEI1" s="101"/>
      <c r="AEJ1" s="101"/>
      <c r="AEK1" s="101"/>
      <c r="AEL1" s="101"/>
      <c r="AEM1" s="101"/>
      <c r="AEN1" s="101"/>
      <c r="AEO1" s="101"/>
      <c r="AEP1" s="101"/>
      <c r="AEQ1" s="101"/>
      <c r="AER1" s="101"/>
      <c r="AES1" s="101"/>
      <c r="AET1" s="101"/>
      <c r="AEU1" s="101"/>
      <c r="AEV1" s="101"/>
      <c r="AEW1" s="101"/>
      <c r="AEX1" s="101"/>
      <c r="AEY1" s="101"/>
      <c r="AEZ1" s="101"/>
      <c r="AFA1" s="101"/>
      <c r="AFB1" s="101"/>
      <c r="AFC1" s="101"/>
      <c r="AFD1" s="101"/>
      <c r="AFE1" s="101"/>
      <c r="AFF1" s="101"/>
      <c r="AFG1" s="101"/>
      <c r="AFH1" s="101"/>
      <c r="AFI1" s="101"/>
      <c r="AFJ1" s="101"/>
      <c r="AFK1" s="101"/>
      <c r="AFL1" s="101"/>
      <c r="AFM1" s="101"/>
      <c r="AFN1" s="101"/>
      <c r="AFO1" s="101"/>
      <c r="AFP1" s="101"/>
      <c r="AFQ1" s="101"/>
      <c r="AFR1" s="101"/>
      <c r="AFS1" s="101"/>
      <c r="AFT1" s="101"/>
      <c r="AFU1" s="101"/>
      <c r="AFV1" s="101"/>
      <c r="AFW1" s="101"/>
      <c r="AFX1" s="101"/>
      <c r="AFY1" s="101"/>
      <c r="AFZ1" s="101"/>
      <c r="AGA1" s="101"/>
      <c r="AGB1" s="101"/>
      <c r="AGC1" s="101"/>
      <c r="AGD1" s="101"/>
      <c r="AGE1" s="101"/>
      <c r="AGF1" s="101"/>
      <c r="AGG1" s="101"/>
      <c r="AGH1" s="101"/>
      <c r="AGI1" s="101"/>
      <c r="AGJ1" s="101"/>
      <c r="AGK1" s="101"/>
      <c r="AGL1" s="101"/>
      <c r="AGM1" s="101"/>
      <c r="AGN1" s="101"/>
      <c r="AGO1" s="101"/>
      <c r="AGP1" s="101"/>
      <c r="AGQ1" s="101"/>
      <c r="AGR1" s="101"/>
      <c r="AGS1" s="101"/>
      <c r="AGT1" s="101"/>
      <c r="AGU1" s="101"/>
      <c r="AGV1" s="101"/>
      <c r="AGW1" s="101"/>
      <c r="AGX1" s="101"/>
      <c r="AGY1" s="101"/>
      <c r="AGZ1" s="101"/>
      <c r="AHA1" s="101"/>
      <c r="AHB1" s="101"/>
      <c r="AHC1" s="101"/>
      <c r="AHD1" s="101"/>
      <c r="AHE1" s="101"/>
      <c r="AHF1" s="101"/>
      <c r="AHG1" s="101"/>
      <c r="AHH1" s="101"/>
      <c r="AHI1" s="101"/>
      <c r="AHJ1" s="101"/>
      <c r="AHK1" s="101"/>
      <c r="AHL1" s="101"/>
      <c r="AHM1" s="101"/>
      <c r="AHN1" s="101"/>
      <c r="AHO1" s="101"/>
      <c r="AHP1" s="101"/>
      <c r="AHQ1" s="101"/>
      <c r="AHR1" s="101"/>
      <c r="AHS1" s="101"/>
      <c r="AHT1" s="101"/>
      <c r="AHU1" s="101"/>
      <c r="AHV1" s="101"/>
      <c r="AHW1" s="101"/>
      <c r="AHX1" s="101"/>
      <c r="AHY1" s="101"/>
      <c r="AHZ1" s="101"/>
      <c r="AIA1" s="101"/>
      <c r="AIB1" s="101"/>
      <c r="AIC1" s="101"/>
      <c r="AID1" s="101"/>
      <c r="AIE1" s="101"/>
      <c r="AIF1" s="101"/>
      <c r="AIG1" s="101"/>
      <c r="AIH1" s="101"/>
      <c r="AII1" s="101"/>
      <c r="AIJ1" s="101"/>
      <c r="AIK1" s="101"/>
      <c r="AIL1" s="101"/>
      <c r="AIM1" s="101"/>
      <c r="AIN1" s="101"/>
      <c r="AIO1" s="101"/>
      <c r="AIP1" s="101"/>
      <c r="AIQ1" s="101"/>
      <c r="AIR1" s="101"/>
      <c r="AIS1" s="101"/>
      <c r="AIT1" s="101"/>
      <c r="AIU1" s="101"/>
      <c r="AIV1" s="101"/>
      <c r="AIW1" s="101"/>
      <c r="AIX1" s="101"/>
      <c r="AIY1" s="101"/>
      <c r="AIZ1" s="101"/>
      <c r="AJA1" s="101"/>
      <c r="AJB1" s="101"/>
      <c r="AJC1" s="101"/>
      <c r="AJD1" s="101"/>
      <c r="AJE1" s="101"/>
      <c r="AJF1" s="101"/>
      <c r="AJG1" s="101"/>
      <c r="AJH1" s="101"/>
      <c r="AJI1" s="101"/>
      <c r="AJJ1" s="101"/>
      <c r="AJK1" s="101"/>
      <c r="AJL1" s="101"/>
      <c r="AJM1" s="101"/>
      <c r="AJN1" s="101"/>
      <c r="AJO1" s="101"/>
      <c r="AJP1" s="101"/>
      <c r="AJQ1" s="101"/>
      <c r="AJR1" s="101"/>
      <c r="AJS1" s="101"/>
      <c r="AJT1" s="101"/>
      <c r="AJU1" s="101"/>
      <c r="AJV1" s="101"/>
      <c r="AJW1" s="101"/>
      <c r="AJX1" s="101"/>
      <c r="AJY1" s="101"/>
      <c r="AJZ1" s="101"/>
      <c r="AKA1" s="101"/>
      <c r="AKB1" s="101"/>
      <c r="AKC1" s="101"/>
      <c r="AKD1" s="101"/>
      <c r="AKE1" s="101"/>
      <c r="AKF1" s="101"/>
      <c r="AKG1" s="101"/>
      <c r="AKH1" s="101"/>
      <c r="AKI1" s="101"/>
      <c r="AKJ1" s="101"/>
      <c r="AKK1" s="101"/>
      <c r="AKL1" s="101"/>
      <c r="AKM1" s="101"/>
      <c r="AKN1" s="101"/>
      <c r="AKO1" s="101"/>
      <c r="AKP1" s="101"/>
      <c r="AKQ1" s="101"/>
      <c r="AKR1" s="101"/>
      <c r="AKS1" s="101"/>
      <c r="AKT1" s="101"/>
      <c r="AKU1" s="101"/>
      <c r="AKV1" s="101"/>
      <c r="AKW1" s="101"/>
      <c r="AKX1" s="101"/>
      <c r="AKY1" s="101"/>
    </row>
    <row r="2" spans="1:987" s="115" customFormat="1" ht="15" customHeight="1" x14ac:dyDescent="0.3">
      <c r="A2" s="103">
        <v>8470230</v>
      </c>
      <c r="B2" s="104">
        <v>420550</v>
      </c>
      <c r="C2" s="461" t="s">
        <v>3055</v>
      </c>
      <c r="D2" s="105" t="s">
        <v>3056</v>
      </c>
      <c r="E2" s="106">
        <v>2</v>
      </c>
      <c r="F2" s="107">
        <v>46600</v>
      </c>
      <c r="G2" s="108">
        <f>E2*F2</f>
        <v>93200</v>
      </c>
      <c r="H2" s="109"/>
      <c r="I2" s="110"/>
      <c r="J2" s="111"/>
      <c r="K2" s="110">
        <v>46600</v>
      </c>
      <c r="L2" s="111"/>
      <c r="M2" s="111"/>
      <c r="N2" s="111"/>
      <c r="O2" s="110"/>
      <c r="P2" s="110"/>
      <c r="Q2" s="111"/>
      <c r="R2" s="110">
        <v>46600</v>
      </c>
      <c r="S2" s="112"/>
      <c r="T2" s="113"/>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c r="BI2" s="114"/>
      <c r="BJ2" s="114"/>
      <c r="BK2" s="114"/>
      <c r="BL2" s="114"/>
      <c r="BM2" s="114"/>
      <c r="BN2" s="114"/>
      <c r="BO2" s="114"/>
      <c r="BP2" s="114"/>
      <c r="BQ2" s="114"/>
      <c r="BR2" s="114"/>
      <c r="BS2" s="114"/>
      <c r="BT2" s="114"/>
      <c r="BU2" s="114"/>
      <c r="BV2" s="114"/>
      <c r="BW2" s="114"/>
      <c r="BX2" s="114"/>
      <c r="BY2" s="114"/>
      <c r="BZ2" s="114"/>
      <c r="CA2" s="114"/>
      <c r="CB2" s="114"/>
      <c r="CC2" s="114"/>
      <c r="CD2" s="114"/>
      <c r="CE2" s="114"/>
      <c r="CF2" s="114"/>
      <c r="CG2" s="114"/>
      <c r="CH2" s="114"/>
      <c r="CI2" s="114"/>
      <c r="CJ2" s="114"/>
      <c r="CK2" s="114"/>
      <c r="CL2" s="114"/>
      <c r="CM2" s="114"/>
      <c r="CN2" s="114"/>
      <c r="CO2" s="114"/>
      <c r="CP2" s="114"/>
      <c r="CQ2" s="114"/>
      <c r="CR2" s="114"/>
      <c r="CS2" s="114"/>
      <c r="CT2" s="114"/>
      <c r="CU2" s="114"/>
      <c r="CV2" s="114"/>
      <c r="CW2" s="114"/>
      <c r="CX2" s="114"/>
      <c r="CY2" s="114"/>
      <c r="CZ2" s="114"/>
      <c r="DA2" s="114"/>
      <c r="DB2" s="114"/>
      <c r="DC2" s="114"/>
      <c r="DD2" s="114"/>
      <c r="DE2" s="114"/>
      <c r="DF2" s="114"/>
      <c r="DG2" s="114"/>
      <c r="DH2" s="114"/>
      <c r="DI2" s="114"/>
      <c r="DJ2" s="114"/>
      <c r="DK2" s="114"/>
      <c r="DL2" s="114"/>
      <c r="DM2" s="114"/>
      <c r="DN2" s="114"/>
      <c r="DO2" s="114"/>
      <c r="DP2" s="114"/>
      <c r="DQ2" s="114"/>
      <c r="DR2" s="114"/>
      <c r="DS2" s="114"/>
      <c r="DT2" s="114"/>
      <c r="DU2" s="114"/>
      <c r="DV2" s="114"/>
      <c r="DW2" s="114"/>
      <c r="DX2" s="114"/>
      <c r="DY2" s="114"/>
      <c r="DZ2" s="114"/>
      <c r="EA2" s="114"/>
      <c r="EB2" s="114"/>
      <c r="EC2" s="114"/>
      <c r="ED2" s="114"/>
      <c r="EE2" s="114"/>
      <c r="EF2" s="114"/>
      <c r="EG2" s="114"/>
      <c r="EH2" s="114"/>
      <c r="EI2" s="114"/>
      <c r="EJ2" s="114"/>
      <c r="EK2" s="114"/>
      <c r="EL2" s="114"/>
      <c r="EM2" s="114"/>
      <c r="EN2" s="114"/>
      <c r="EO2" s="114"/>
      <c r="EP2" s="114"/>
      <c r="EQ2" s="114"/>
      <c r="ER2" s="114"/>
      <c r="ES2" s="114"/>
      <c r="ET2" s="114"/>
      <c r="EU2" s="114"/>
      <c r="EV2" s="114"/>
      <c r="EW2" s="114"/>
      <c r="EX2" s="114"/>
      <c r="EY2" s="114"/>
      <c r="EZ2" s="114"/>
      <c r="FA2" s="114"/>
      <c r="FB2" s="114"/>
      <c r="FC2" s="114"/>
      <c r="FD2" s="114"/>
      <c r="FE2" s="114"/>
      <c r="FF2" s="114"/>
      <c r="FG2" s="114"/>
      <c r="FH2" s="114"/>
      <c r="FI2" s="114"/>
      <c r="FJ2" s="114"/>
      <c r="FK2" s="114"/>
      <c r="FL2" s="114"/>
      <c r="FM2" s="114"/>
      <c r="FN2" s="114"/>
      <c r="FO2" s="114"/>
      <c r="FP2" s="114"/>
      <c r="FQ2" s="114"/>
      <c r="FR2" s="114"/>
      <c r="FS2" s="114"/>
      <c r="FT2" s="114"/>
      <c r="FU2" s="114"/>
      <c r="FV2" s="114"/>
      <c r="FW2" s="114"/>
      <c r="FX2" s="114"/>
      <c r="FY2" s="114"/>
      <c r="FZ2" s="114"/>
      <c r="GA2" s="114"/>
      <c r="GB2" s="114"/>
      <c r="GC2" s="114"/>
      <c r="GD2" s="114"/>
      <c r="GE2" s="114"/>
      <c r="GF2" s="114"/>
      <c r="GG2" s="114"/>
      <c r="GH2" s="114"/>
      <c r="GI2" s="114"/>
      <c r="GJ2" s="114"/>
      <c r="GK2" s="114"/>
      <c r="GL2" s="114"/>
      <c r="GM2" s="114"/>
      <c r="GN2" s="114"/>
      <c r="GO2" s="114"/>
      <c r="GP2" s="114"/>
      <c r="GQ2" s="114"/>
      <c r="GR2" s="114"/>
      <c r="GS2" s="114"/>
      <c r="GT2" s="114"/>
      <c r="GU2" s="114"/>
      <c r="GV2" s="114"/>
      <c r="GW2" s="114"/>
      <c r="GX2" s="114"/>
      <c r="GY2" s="114"/>
      <c r="GZ2" s="114"/>
      <c r="HA2" s="114"/>
      <c r="HB2" s="114"/>
      <c r="HC2" s="114"/>
      <c r="HD2" s="114"/>
      <c r="HE2" s="114"/>
      <c r="HF2" s="114"/>
      <c r="HG2" s="114"/>
      <c r="HH2" s="114"/>
      <c r="HI2" s="114"/>
      <c r="HJ2" s="114"/>
      <c r="HK2" s="114"/>
      <c r="HL2" s="114"/>
      <c r="HM2" s="114"/>
      <c r="HN2" s="114"/>
      <c r="HO2" s="114"/>
      <c r="HP2" s="114"/>
      <c r="HQ2" s="114"/>
      <c r="HR2" s="114"/>
      <c r="HS2" s="114"/>
      <c r="HT2" s="114"/>
      <c r="HU2" s="114"/>
      <c r="HV2" s="114"/>
      <c r="HW2" s="114"/>
      <c r="HX2" s="114"/>
      <c r="HY2" s="114"/>
      <c r="HZ2" s="114"/>
      <c r="IA2" s="114"/>
      <c r="IB2" s="114"/>
      <c r="IC2" s="114"/>
      <c r="ID2" s="114"/>
      <c r="IE2" s="114"/>
      <c r="IF2" s="114"/>
      <c r="IG2" s="114"/>
      <c r="IH2" s="114"/>
      <c r="II2" s="114"/>
      <c r="IJ2" s="114"/>
      <c r="IK2" s="114"/>
      <c r="IL2" s="114"/>
      <c r="IM2" s="114"/>
      <c r="IN2" s="114"/>
      <c r="IO2" s="114"/>
      <c r="IP2" s="114"/>
      <c r="IQ2" s="114"/>
      <c r="IR2" s="114"/>
      <c r="IS2" s="114"/>
      <c r="IT2" s="114"/>
      <c r="IU2" s="114"/>
      <c r="IV2" s="114"/>
      <c r="IW2" s="114"/>
      <c r="IX2" s="114"/>
      <c r="IY2" s="114"/>
      <c r="IZ2" s="114"/>
      <c r="JA2" s="114"/>
      <c r="JB2" s="114"/>
      <c r="JC2" s="114"/>
      <c r="JD2" s="114"/>
      <c r="JE2" s="114"/>
      <c r="JF2" s="114"/>
      <c r="JG2" s="114"/>
      <c r="JH2" s="114"/>
      <c r="JI2" s="114"/>
      <c r="JJ2" s="114"/>
      <c r="JK2" s="114"/>
      <c r="JL2" s="114"/>
      <c r="JM2" s="114"/>
      <c r="JN2" s="114"/>
      <c r="JO2" s="114"/>
      <c r="JP2" s="114"/>
      <c r="JQ2" s="114"/>
      <c r="JR2" s="114"/>
      <c r="JS2" s="114"/>
      <c r="JT2" s="114"/>
      <c r="JU2" s="114"/>
      <c r="JV2" s="114"/>
      <c r="JW2" s="114"/>
      <c r="JX2" s="114"/>
      <c r="JY2" s="114"/>
      <c r="JZ2" s="114"/>
      <c r="KA2" s="114"/>
      <c r="KB2" s="114"/>
      <c r="KC2" s="114"/>
      <c r="KD2" s="114"/>
      <c r="KE2" s="114"/>
      <c r="KF2" s="114"/>
      <c r="KG2" s="114"/>
      <c r="KH2" s="114"/>
      <c r="KI2" s="114"/>
      <c r="KJ2" s="114"/>
      <c r="KK2" s="114"/>
      <c r="KL2" s="114"/>
      <c r="KM2" s="114"/>
      <c r="KN2" s="114"/>
      <c r="KO2" s="114"/>
      <c r="KP2" s="114"/>
      <c r="KQ2" s="114"/>
      <c r="KR2" s="114"/>
      <c r="KS2" s="114"/>
      <c r="KT2" s="114"/>
      <c r="KU2" s="114"/>
      <c r="KV2" s="114"/>
      <c r="KW2" s="114"/>
      <c r="KX2" s="114"/>
      <c r="KY2" s="114"/>
      <c r="KZ2" s="114"/>
      <c r="LA2" s="114"/>
      <c r="LB2" s="114"/>
      <c r="LC2" s="114"/>
      <c r="LD2" s="114"/>
      <c r="LE2" s="114"/>
      <c r="LF2" s="114"/>
      <c r="LG2" s="114"/>
      <c r="LH2" s="114"/>
      <c r="LI2" s="114"/>
      <c r="LJ2" s="114"/>
      <c r="LK2" s="114"/>
      <c r="LL2" s="114"/>
      <c r="LM2" s="114"/>
      <c r="LN2" s="114"/>
      <c r="LO2" s="114"/>
      <c r="LP2" s="114"/>
      <c r="LQ2" s="114"/>
      <c r="LR2" s="114"/>
      <c r="LS2" s="114"/>
      <c r="LT2" s="114"/>
      <c r="LU2" s="114"/>
      <c r="LV2" s="114"/>
      <c r="LW2" s="114"/>
      <c r="LX2" s="114"/>
      <c r="LY2" s="114"/>
      <c r="LZ2" s="114"/>
      <c r="MA2" s="114"/>
      <c r="MB2" s="114"/>
      <c r="MC2" s="114"/>
      <c r="MD2" s="114"/>
      <c r="ME2" s="114"/>
      <c r="MF2" s="114"/>
      <c r="MG2" s="114"/>
      <c r="MH2" s="114"/>
      <c r="MI2" s="114"/>
      <c r="MJ2" s="114"/>
      <c r="MK2" s="114"/>
      <c r="ML2" s="114"/>
      <c r="MM2" s="114"/>
      <c r="MN2" s="114"/>
      <c r="MO2" s="114"/>
      <c r="MP2" s="114"/>
      <c r="MQ2" s="114"/>
      <c r="MR2" s="114"/>
      <c r="MS2" s="114"/>
      <c r="MT2" s="114"/>
      <c r="MU2" s="114"/>
      <c r="MV2" s="114"/>
      <c r="MW2" s="114"/>
      <c r="MX2" s="114"/>
      <c r="MY2" s="114"/>
      <c r="MZ2" s="114"/>
      <c r="NA2" s="114"/>
      <c r="NB2" s="114"/>
      <c r="NC2" s="114"/>
      <c r="ND2" s="114"/>
      <c r="NE2" s="114"/>
      <c r="NF2" s="114"/>
      <c r="NG2" s="114"/>
      <c r="NH2" s="114"/>
      <c r="NI2" s="114"/>
      <c r="NJ2" s="114"/>
      <c r="NK2" s="114"/>
      <c r="NL2" s="114"/>
      <c r="NM2" s="114"/>
      <c r="NN2" s="114"/>
      <c r="NO2" s="114"/>
      <c r="NP2" s="114"/>
      <c r="NQ2" s="114"/>
      <c r="NR2" s="114"/>
      <c r="NS2" s="114"/>
      <c r="NT2" s="114"/>
      <c r="NU2" s="114"/>
      <c r="NV2" s="114"/>
      <c r="NW2" s="114"/>
      <c r="NX2" s="114"/>
      <c r="NY2" s="114"/>
      <c r="NZ2" s="114"/>
      <c r="OA2" s="114"/>
      <c r="OB2" s="114"/>
      <c r="OC2" s="114"/>
      <c r="OD2" s="114"/>
      <c r="OE2" s="114"/>
      <c r="OF2" s="114"/>
      <c r="OG2" s="114"/>
      <c r="OH2" s="114"/>
      <c r="OI2" s="114"/>
      <c r="OJ2" s="114"/>
      <c r="OK2" s="114"/>
      <c r="OL2" s="114"/>
      <c r="OM2" s="114"/>
      <c r="ON2" s="114"/>
      <c r="OO2" s="114"/>
      <c r="OP2" s="114"/>
      <c r="OQ2" s="114"/>
      <c r="OR2" s="114"/>
      <c r="OS2" s="114"/>
      <c r="OT2" s="114"/>
      <c r="OU2" s="114"/>
      <c r="OV2" s="114"/>
      <c r="OW2" s="114"/>
      <c r="OX2" s="114"/>
      <c r="OY2" s="114"/>
      <c r="OZ2" s="114"/>
      <c r="PA2" s="114"/>
      <c r="PB2" s="114"/>
      <c r="PC2" s="114"/>
      <c r="PD2" s="114"/>
      <c r="PE2" s="114"/>
      <c r="PF2" s="114"/>
      <c r="PG2" s="114"/>
      <c r="PH2" s="114"/>
      <c r="PI2" s="114"/>
      <c r="PJ2" s="114"/>
      <c r="PK2" s="114"/>
      <c r="PL2" s="114"/>
      <c r="PM2" s="114"/>
      <c r="PN2" s="114"/>
      <c r="PO2" s="114"/>
      <c r="PP2" s="114"/>
      <c r="PQ2" s="114"/>
      <c r="PR2" s="114"/>
      <c r="PS2" s="114"/>
      <c r="PT2" s="114"/>
      <c r="PU2" s="114"/>
      <c r="PV2" s="114"/>
      <c r="PW2" s="114"/>
      <c r="PX2" s="114"/>
      <c r="PY2" s="114"/>
      <c r="PZ2" s="114"/>
      <c r="QA2" s="114"/>
      <c r="QB2" s="114"/>
      <c r="QC2" s="114"/>
      <c r="QD2" s="114"/>
      <c r="QE2" s="114"/>
      <c r="QF2" s="114"/>
      <c r="QG2" s="114"/>
      <c r="QH2" s="114"/>
      <c r="QI2" s="114"/>
      <c r="QJ2" s="114"/>
      <c r="QK2" s="114"/>
      <c r="QL2" s="114"/>
      <c r="QM2" s="114"/>
      <c r="QN2" s="114"/>
      <c r="QO2" s="114"/>
      <c r="QP2" s="114"/>
      <c r="QQ2" s="114"/>
      <c r="QR2" s="114"/>
      <c r="QS2" s="114"/>
      <c r="QT2" s="114"/>
      <c r="QU2" s="114"/>
      <c r="QV2" s="114"/>
      <c r="QW2" s="114"/>
      <c r="QX2" s="114"/>
      <c r="QY2" s="114"/>
      <c r="QZ2" s="114"/>
      <c r="RA2" s="114"/>
      <c r="RB2" s="114"/>
      <c r="RC2" s="114"/>
      <c r="RD2" s="114"/>
      <c r="RE2" s="114"/>
      <c r="RF2" s="114"/>
      <c r="RG2" s="114"/>
      <c r="RH2" s="114"/>
      <c r="RI2" s="114"/>
      <c r="RJ2" s="114"/>
      <c r="RK2" s="114"/>
      <c r="RL2" s="114"/>
      <c r="RM2" s="114"/>
      <c r="RN2" s="114"/>
      <c r="RO2" s="114"/>
      <c r="RP2" s="114"/>
      <c r="RQ2" s="114"/>
      <c r="RR2" s="114"/>
      <c r="RS2" s="114"/>
      <c r="RT2" s="114"/>
      <c r="RU2" s="114"/>
      <c r="RV2" s="114"/>
      <c r="RW2" s="114"/>
      <c r="RX2" s="114"/>
      <c r="RY2" s="114"/>
      <c r="RZ2" s="114"/>
      <c r="SA2" s="114"/>
      <c r="SB2" s="114"/>
      <c r="SC2" s="114"/>
      <c r="SD2" s="114"/>
      <c r="SE2" s="114"/>
      <c r="SF2" s="114"/>
      <c r="SG2" s="114"/>
      <c r="SH2" s="114"/>
      <c r="SI2" s="114"/>
      <c r="SJ2" s="114"/>
      <c r="SK2" s="114"/>
      <c r="SL2" s="114"/>
      <c r="SM2" s="114"/>
      <c r="SN2" s="114"/>
      <c r="SO2" s="114"/>
      <c r="SP2" s="114"/>
      <c r="SQ2" s="114"/>
      <c r="SR2" s="114"/>
      <c r="SS2" s="114"/>
      <c r="ST2" s="114"/>
      <c r="SU2" s="114"/>
      <c r="SV2" s="114"/>
      <c r="SW2" s="114"/>
      <c r="SX2" s="114"/>
      <c r="SY2" s="114"/>
      <c r="SZ2" s="114"/>
      <c r="TA2" s="114"/>
      <c r="TB2" s="114"/>
      <c r="TC2" s="114"/>
      <c r="TD2" s="114"/>
      <c r="TE2" s="114"/>
      <c r="TF2" s="114"/>
      <c r="TG2" s="114"/>
      <c r="TH2" s="114"/>
      <c r="TI2" s="114"/>
      <c r="TJ2" s="114"/>
      <c r="TK2" s="114"/>
      <c r="TL2" s="114"/>
      <c r="TM2" s="114"/>
      <c r="TN2" s="114"/>
      <c r="TO2" s="114"/>
      <c r="TP2" s="114"/>
      <c r="TQ2" s="114"/>
      <c r="TR2" s="114"/>
      <c r="TS2" s="114"/>
      <c r="TT2" s="114"/>
      <c r="TU2" s="114"/>
      <c r="TV2" s="114"/>
      <c r="TW2" s="114"/>
      <c r="TX2" s="114"/>
      <c r="TY2" s="114"/>
      <c r="TZ2" s="114"/>
      <c r="UA2" s="114"/>
      <c r="UB2" s="114"/>
      <c r="UC2" s="114"/>
      <c r="UD2" s="114"/>
      <c r="UE2" s="114"/>
      <c r="UF2" s="114"/>
      <c r="UG2" s="114"/>
      <c r="UH2" s="114"/>
      <c r="UI2" s="114"/>
      <c r="UJ2" s="114"/>
      <c r="UK2" s="114"/>
      <c r="UL2" s="114"/>
      <c r="UM2" s="114"/>
      <c r="UN2" s="114"/>
      <c r="UO2" s="114"/>
      <c r="UP2" s="114"/>
      <c r="UQ2" s="114"/>
      <c r="UR2" s="114"/>
      <c r="US2" s="114"/>
      <c r="UT2" s="114"/>
      <c r="UU2" s="114"/>
      <c r="UV2" s="114"/>
      <c r="UW2" s="114"/>
      <c r="UX2" s="114"/>
      <c r="UY2" s="114"/>
      <c r="UZ2" s="114"/>
      <c r="VA2" s="114"/>
      <c r="VB2" s="114"/>
      <c r="VC2" s="114"/>
      <c r="VD2" s="114"/>
      <c r="VE2" s="114"/>
      <c r="VF2" s="114"/>
      <c r="VG2" s="114"/>
      <c r="VH2" s="114"/>
      <c r="VI2" s="114"/>
      <c r="VJ2" s="114"/>
      <c r="VK2" s="114"/>
      <c r="VL2" s="114"/>
      <c r="VM2" s="114"/>
      <c r="VN2" s="114"/>
      <c r="VO2" s="114"/>
      <c r="VP2" s="114"/>
      <c r="VQ2" s="114"/>
      <c r="VR2" s="114"/>
      <c r="VS2" s="114"/>
      <c r="VT2" s="114"/>
      <c r="VU2" s="114"/>
      <c r="VV2" s="114"/>
      <c r="VW2" s="114"/>
      <c r="VX2" s="114"/>
      <c r="VY2" s="114"/>
      <c r="VZ2" s="114"/>
      <c r="WA2" s="114"/>
      <c r="WB2" s="114"/>
      <c r="WC2" s="114"/>
      <c r="WD2" s="114"/>
      <c r="WE2" s="114"/>
      <c r="WF2" s="114"/>
      <c r="WG2" s="114"/>
      <c r="WH2" s="114"/>
      <c r="WI2" s="114"/>
      <c r="WJ2" s="114"/>
      <c r="WK2" s="114"/>
      <c r="WL2" s="114"/>
      <c r="WM2" s="114"/>
      <c r="WN2" s="114"/>
      <c r="WO2" s="114"/>
      <c r="WP2" s="114"/>
      <c r="WQ2" s="114"/>
      <c r="WR2" s="114"/>
      <c r="WS2" s="114"/>
      <c r="WT2" s="114"/>
      <c r="WU2" s="114"/>
      <c r="WV2" s="114"/>
      <c r="WW2" s="114"/>
      <c r="WX2" s="114"/>
      <c r="WY2" s="114"/>
      <c r="WZ2" s="114"/>
      <c r="XA2" s="114"/>
      <c r="XB2" s="114"/>
      <c r="XC2" s="114"/>
      <c r="XD2" s="114"/>
      <c r="XE2" s="114"/>
      <c r="XF2" s="114"/>
      <c r="XG2" s="114"/>
      <c r="XH2" s="114"/>
      <c r="XI2" s="114"/>
      <c r="XJ2" s="114"/>
      <c r="XK2" s="114"/>
      <c r="XL2" s="114"/>
      <c r="XM2" s="114"/>
      <c r="XN2" s="114"/>
      <c r="XO2" s="114"/>
      <c r="XP2" s="114"/>
      <c r="XQ2" s="114"/>
      <c r="XR2" s="114"/>
      <c r="XS2" s="114"/>
      <c r="XT2" s="114"/>
      <c r="XU2" s="114"/>
      <c r="XV2" s="114"/>
      <c r="XW2" s="114"/>
      <c r="XX2" s="114"/>
      <c r="XY2" s="114"/>
      <c r="XZ2" s="114"/>
      <c r="YA2" s="114"/>
      <c r="YB2" s="114"/>
      <c r="YC2" s="114"/>
      <c r="YD2" s="114"/>
      <c r="YE2" s="114"/>
      <c r="YF2" s="114"/>
      <c r="YG2" s="114"/>
      <c r="YH2" s="114"/>
      <c r="YI2" s="114"/>
      <c r="YJ2" s="114"/>
      <c r="YK2" s="114"/>
      <c r="YL2" s="114"/>
      <c r="YM2" s="114"/>
      <c r="YN2" s="114"/>
      <c r="YO2" s="114"/>
      <c r="YP2" s="114"/>
      <c r="YQ2" s="114"/>
      <c r="YR2" s="114"/>
      <c r="YS2" s="114"/>
      <c r="YT2" s="114"/>
      <c r="YU2" s="114"/>
      <c r="YV2" s="114"/>
      <c r="YW2" s="114"/>
      <c r="YX2" s="114"/>
      <c r="YY2" s="114"/>
      <c r="YZ2" s="114"/>
      <c r="ZA2" s="114"/>
      <c r="ZB2" s="114"/>
      <c r="ZC2" s="114"/>
      <c r="ZD2" s="114"/>
      <c r="ZE2" s="114"/>
      <c r="ZF2" s="114"/>
      <c r="ZG2" s="114"/>
      <c r="ZH2" s="114"/>
      <c r="ZI2" s="114"/>
      <c r="ZJ2" s="114"/>
      <c r="ZK2" s="114"/>
      <c r="ZL2" s="114"/>
      <c r="ZM2" s="114"/>
      <c r="ZN2" s="114"/>
      <c r="ZO2" s="114"/>
      <c r="ZP2" s="114"/>
      <c r="ZQ2" s="114"/>
      <c r="ZR2" s="114"/>
      <c r="ZS2" s="114"/>
      <c r="ZT2" s="114"/>
      <c r="ZU2" s="114"/>
      <c r="ZV2" s="114"/>
      <c r="ZW2" s="114"/>
      <c r="ZX2" s="114"/>
      <c r="ZY2" s="114"/>
      <c r="ZZ2" s="114"/>
      <c r="AAA2" s="114"/>
      <c r="AAB2" s="114"/>
      <c r="AAC2" s="114"/>
      <c r="AAD2" s="114"/>
      <c r="AAE2" s="114"/>
      <c r="AAF2" s="114"/>
      <c r="AAG2" s="114"/>
      <c r="AAH2" s="114"/>
      <c r="AAI2" s="114"/>
      <c r="AAJ2" s="114"/>
      <c r="AAK2" s="114"/>
      <c r="AAL2" s="114"/>
      <c r="AAM2" s="114"/>
      <c r="AAN2" s="114"/>
      <c r="AAO2" s="114"/>
      <c r="AAP2" s="114"/>
      <c r="AAQ2" s="114"/>
      <c r="AAR2" s="114"/>
      <c r="AAS2" s="114"/>
      <c r="AAT2" s="114"/>
      <c r="AAU2" s="114"/>
      <c r="AAV2" s="114"/>
      <c r="AAW2" s="114"/>
      <c r="AAX2" s="114"/>
      <c r="AAY2" s="114"/>
      <c r="AAZ2" s="114"/>
      <c r="ABA2" s="114"/>
      <c r="ABB2" s="114"/>
      <c r="ABC2" s="114"/>
      <c r="ABD2" s="114"/>
      <c r="ABE2" s="114"/>
      <c r="ABF2" s="114"/>
      <c r="ABG2" s="114"/>
      <c r="ABH2" s="114"/>
      <c r="ABI2" s="114"/>
      <c r="ABJ2" s="114"/>
      <c r="ABK2" s="114"/>
      <c r="ABL2" s="114"/>
      <c r="ABM2" s="114"/>
      <c r="ABN2" s="114"/>
      <c r="ABO2" s="114"/>
      <c r="ABP2" s="114"/>
      <c r="ABQ2" s="114"/>
      <c r="ABR2" s="114"/>
      <c r="ABS2" s="114"/>
      <c r="ABT2" s="114"/>
      <c r="ABU2" s="114"/>
      <c r="ABV2" s="114"/>
      <c r="ABW2" s="114"/>
      <c r="ABX2" s="114"/>
      <c r="ABY2" s="114"/>
      <c r="ABZ2" s="114"/>
      <c r="ACA2" s="114"/>
      <c r="ACB2" s="114"/>
      <c r="ACC2" s="114"/>
      <c r="ACD2" s="114"/>
      <c r="ACE2" s="114"/>
      <c r="ACF2" s="114"/>
      <c r="ACG2" s="114"/>
      <c r="ACH2" s="114"/>
      <c r="ACI2" s="114"/>
      <c r="ACJ2" s="114"/>
      <c r="ACK2" s="114"/>
      <c r="ACL2" s="114"/>
      <c r="ACM2" s="114"/>
      <c r="ACN2" s="114"/>
      <c r="ACO2" s="114"/>
      <c r="ACP2" s="114"/>
      <c r="ACQ2" s="114"/>
      <c r="ACR2" s="114"/>
      <c r="ACS2" s="114"/>
      <c r="ACT2" s="114"/>
      <c r="ACU2" s="114"/>
      <c r="ACV2" s="114"/>
      <c r="ACW2" s="114"/>
      <c r="ACX2" s="114"/>
      <c r="ACY2" s="114"/>
      <c r="ACZ2" s="114"/>
      <c r="ADA2" s="114"/>
      <c r="ADB2" s="114"/>
      <c r="ADC2" s="114"/>
      <c r="ADD2" s="114"/>
      <c r="ADE2" s="114"/>
      <c r="ADF2" s="114"/>
      <c r="ADG2" s="114"/>
      <c r="ADH2" s="114"/>
      <c r="ADI2" s="114"/>
      <c r="ADJ2" s="114"/>
      <c r="ADK2" s="114"/>
      <c r="ADL2" s="114"/>
      <c r="ADM2" s="114"/>
      <c r="ADN2" s="114"/>
      <c r="ADO2" s="114"/>
      <c r="ADP2" s="114"/>
      <c r="ADQ2" s="114"/>
      <c r="ADR2" s="114"/>
      <c r="ADS2" s="114"/>
      <c r="ADT2" s="114"/>
      <c r="ADU2" s="114"/>
      <c r="ADV2" s="114"/>
      <c r="ADW2" s="114"/>
      <c r="ADX2" s="114"/>
      <c r="ADY2" s="114"/>
      <c r="ADZ2" s="114"/>
      <c r="AEA2" s="114"/>
      <c r="AEB2" s="114"/>
      <c r="AEC2" s="114"/>
      <c r="AED2" s="114"/>
      <c r="AEE2" s="114"/>
      <c r="AEF2" s="114"/>
      <c r="AEG2" s="114"/>
      <c r="AEH2" s="114"/>
      <c r="AEI2" s="114"/>
      <c r="AEJ2" s="114"/>
      <c r="AEK2" s="114"/>
      <c r="AEL2" s="114"/>
      <c r="AEM2" s="114"/>
      <c r="AEN2" s="114"/>
      <c r="AEO2" s="114"/>
      <c r="AEP2" s="114"/>
      <c r="AEQ2" s="114"/>
      <c r="AER2" s="114"/>
      <c r="AES2" s="114"/>
      <c r="AET2" s="114"/>
      <c r="AEU2" s="114"/>
      <c r="AEV2" s="114"/>
      <c r="AEW2" s="114"/>
      <c r="AEX2" s="114"/>
      <c r="AEY2" s="114"/>
      <c r="AEZ2" s="114"/>
      <c r="AFA2" s="114"/>
      <c r="AFB2" s="114"/>
      <c r="AFC2" s="114"/>
      <c r="AFD2" s="114"/>
      <c r="AFE2" s="114"/>
      <c r="AFF2" s="114"/>
      <c r="AFG2" s="114"/>
      <c r="AFH2" s="114"/>
      <c r="AFI2" s="114"/>
      <c r="AFJ2" s="114"/>
      <c r="AFK2" s="114"/>
      <c r="AFL2" s="114"/>
      <c r="AFM2" s="114"/>
      <c r="AFN2" s="114"/>
      <c r="AFO2" s="114"/>
      <c r="AFP2" s="114"/>
      <c r="AFQ2" s="114"/>
      <c r="AFR2" s="114"/>
      <c r="AFS2" s="114"/>
      <c r="AFT2" s="114"/>
      <c r="AFU2" s="114"/>
      <c r="AFV2" s="114"/>
      <c r="AFW2" s="114"/>
      <c r="AFX2" s="114"/>
      <c r="AFY2" s="114"/>
      <c r="AFZ2" s="114"/>
      <c r="AGA2" s="114"/>
      <c r="AGB2" s="114"/>
      <c r="AGC2" s="114"/>
      <c r="AGD2" s="114"/>
      <c r="AGE2" s="114"/>
      <c r="AGF2" s="114"/>
      <c r="AGG2" s="114"/>
      <c r="AGH2" s="114"/>
      <c r="AGI2" s="114"/>
      <c r="AGJ2" s="114"/>
      <c r="AGK2" s="114"/>
      <c r="AGL2" s="114"/>
      <c r="AGM2" s="114"/>
      <c r="AGN2" s="114"/>
      <c r="AGO2" s="114"/>
      <c r="AGP2" s="114"/>
      <c r="AGQ2" s="114"/>
      <c r="AGR2" s="114"/>
      <c r="AGS2" s="114"/>
      <c r="AGT2" s="114"/>
      <c r="AGU2" s="114"/>
      <c r="AGV2" s="114"/>
      <c r="AGW2" s="114"/>
      <c r="AGX2" s="114"/>
      <c r="AGY2" s="114"/>
      <c r="AGZ2" s="114"/>
      <c r="AHA2" s="114"/>
      <c r="AHB2" s="114"/>
      <c r="AHC2" s="114"/>
      <c r="AHD2" s="114"/>
      <c r="AHE2" s="114"/>
      <c r="AHF2" s="114"/>
      <c r="AHG2" s="114"/>
      <c r="AHH2" s="114"/>
      <c r="AHI2" s="114"/>
      <c r="AHJ2" s="114"/>
      <c r="AHK2" s="114"/>
      <c r="AHL2" s="114"/>
      <c r="AHM2" s="114"/>
      <c r="AHN2" s="114"/>
      <c r="AHO2" s="114"/>
      <c r="AHP2" s="114"/>
      <c r="AHQ2" s="114"/>
      <c r="AHR2" s="114"/>
      <c r="AHS2" s="114"/>
      <c r="AHT2" s="114"/>
      <c r="AHU2" s="114"/>
      <c r="AHV2" s="114"/>
      <c r="AHW2" s="114"/>
      <c r="AHX2" s="114"/>
      <c r="AHY2" s="114"/>
      <c r="AHZ2" s="114"/>
      <c r="AIA2" s="114"/>
      <c r="AIB2" s="114"/>
      <c r="AIC2" s="114"/>
      <c r="AID2" s="114"/>
      <c r="AIE2" s="114"/>
      <c r="AIF2" s="114"/>
      <c r="AIG2" s="114"/>
      <c r="AIH2" s="114"/>
      <c r="AII2" s="114"/>
      <c r="AIJ2" s="114"/>
      <c r="AIK2" s="114"/>
      <c r="AIL2" s="114"/>
      <c r="AIM2" s="114"/>
      <c r="AIN2" s="114"/>
      <c r="AIO2" s="114"/>
      <c r="AIP2" s="114"/>
      <c r="AIQ2" s="114"/>
      <c r="AIR2" s="114"/>
      <c r="AIS2" s="114"/>
      <c r="AIT2" s="114"/>
      <c r="AIU2" s="114"/>
      <c r="AIV2" s="114"/>
      <c r="AIW2" s="114"/>
      <c r="AIX2" s="114"/>
      <c r="AIY2" s="114"/>
      <c r="AIZ2" s="114"/>
      <c r="AJA2" s="114"/>
      <c r="AJB2" s="114"/>
      <c r="AJC2" s="114"/>
      <c r="AJD2" s="114"/>
      <c r="AJE2" s="114"/>
      <c r="AJF2" s="114"/>
      <c r="AJG2" s="114"/>
      <c r="AJH2" s="114"/>
      <c r="AJI2" s="114"/>
      <c r="AJJ2" s="114"/>
      <c r="AJK2" s="114"/>
      <c r="AJL2" s="114"/>
      <c r="AJM2" s="114"/>
      <c r="AJN2" s="114"/>
      <c r="AJO2" s="114"/>
      <c r="AJP2" s="114"/>
      <c r="AJQ2" s="114"/>
      <c r="AJR2" s="114"/>
      <c r="AJS2" s="114"/>
      <c r="AJT2" s="114"/>
      <c r="AJU2" s="114"/>
      <c r="AJV2" s="114"/>
      <c r="AJW2" s="114"/>
      <c r="AJX2" s="114"/>
      <c r="AJY2" s="114"/>
      <c r="AJZ2" s="114"/>
      <c r="AKA2" s="114"/>
      <c r="AKB2" s="114"/>
      <c r="AKC2" s="114"/>
      <c r="AKD2" s="114"/>
      <c r="AKE2" s="114"/>
      <c r="AKF2" s="114"/>
      <c r="AKG2" s="114"/>
      <c r="AKH2" s="114"/>
      <c r="AKI2" s="114"/>
      <c r="AKJ2" s="114"/>
      <c r="AKK2" s="114"/>
      <c r="AKL2" s="114"/>
      <c r="AKM2" s="114"/>
      <c r="AKN2" s="114"/>
      <c r="AKO2" s="114"/>
      <c r="AKP2" s="114"/>
      <c r="AKQ2" s="114"/>
      <c r="AKR2" s="114"/>
      <c r="AKS2" s="114"/>
      <c r="AKT2" s="114"/>
      <c r="AKU2" s="114"/>
      <c r="AKV2" s="114"/>
      <c r="AKW2" s="114"/>
      <c r="AKX2" s="114"/>
      <c r="AKY2" s="114"/>
    </row>
    <row r="3" spans="1:987" ht="15" customHeight="1" x14ac:dyDescent="0.3">
      <c r="A3" s="116"/>
      <c r="B3" s="117"/>
      <c r="C3" s="462"/>
      <c r="D3" s="118" t="s">
        <v>3057</v>
      </c>
      <c r="E3" s="119">
        <v>61</v>
      </c>
      <c r="F3" s="120">
        <v>31420</v>
      </c>
      <c r="G3" s="121">
        <f t="shared" ref="G3:G32" si="0">E3*F3</f>
        <v>1916620</v>
      </c>
      <c r="H3" s="122"/>
      <c r="I3" s="123"/>
      <c r="J3" s="123"/>
      <c r="K3" s="123"/>
      <c r="L3" s="123">
        <v>366566.66666666669</v>
      </c>
      <c r="M3" s="123">
        <v>366566.66666666669</v>
      </c>
      <c r="N3" s="123">
        <v>366566.66666666669</v>
      </c>
      <c r="O3" s="123"/>
      <c r="P3" s="123"/>
      <c r="Q3" s="123">
        <v>272306.66666666669</v>
      </c>
      <c r="R3" s="123">
        <v>272306.66666666669</v>
      </c>
      <c r="S3" s="124">
        <v>272306.66666666669</v>
      </c>
      <c r="T3" s="125" t="s">
        <v>3058</v>
      </c>
    </row>
    <row r="4" spans="1:987" ht="15" customHeight="1" x14ac:dyDescent="0.3">
      <c r="A4" s="116"/>
      <c r="B4" s="117"/>
      <c r="C4" s="463"/>
      <c r="D4" s="464" t="s">
        <v>2823</v>
      </c>
      <c r="E4" s="465"/>
      <c r="F4" s="466"/>
      <c r="G4" s="127">
        <f>SUM(G2:G3)</f>
        <v>2009820</v>
      </c>
      <c r="H4" s="128"/>
      <c r="I4" s="128"/>
      <c r="J4" s="128"/>
      <c r="K4" s="128"/>
      <c r="L4" s="128"/>
      <c r="M4" s="128"/>
      <c r="N4" s="128"/>
      <c r="O4" s="128"/>
      <c r="P4" s="128"/>
      <c r="Q4" s="128"/>
      <c r="R4" s="128"/>
      <c r="S4" s="129"/>
      <c r="T4" s="125"/>
    </row>
    <row r="5" spans="1:987" s="115" customFormat="1" ht="15" customHeight="1" x14ac:dyDescent="0.3">
      <c r="A5" s="103">
        <v>8470230</v>
      </c>
      <c r="B5" s="104">
        <v>425100</v>
      </c>
      <c r="C5" s="461" t="s">
        <v>3059</v>
      </c>
      <c r="D5" s="130" t="s">
        <v>3060</v>
      </c>
      <c r="E5" s="131">
        <v>1</v>
      </c>
      <c r="F5" s="132">
        <v>40000</v>
      </c>
      <c r="G5" s="133">
        <f t="shared" si="0"/>
        <v>40000</v>
      </c>
      <c r="H5" s="134">
        <v>5000</v>
      </c>
      <c r="I5" s="135">
        <v>5000</v>
      </c>
      <c r="J5" s="136"/>
      <c r="K5" s="136"/>
      <c r="L5" s="136"/>
      <c r="M5" s="136"/>
      <c r="N5" s="136"/>
      <c r="O5" s="135">
        <v>10000</v>
      </c>
      <c r="P5" s="135">
        <v>10000</v>
      </c>
      <c r="Q5" s="135">
        <v>10000</v>
      </c>
      <c r="R5" s="136"/>
      <c r="S5" s="137"/>
      <c r="T5" s="125"/>
      <c r="U5" s="114"/>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4"/>
      <c r="BL5" s="114"/>
      <c r="BM5" s="114"/>
      <c r="BN5" s="114"/>
      <c r="BO5" s="114"/>
      <c r="BP5" s="114"/>
      <c r="BQ5" s="114"/>
      <c r="BR5" s="114"/>
      <c r="BS5" s="114"/>
      <c r="BT5" s="114"/>
      <c r="BU5" s="114"/>
      <c r="BV5" s="114"/>
      <c r="BW5" s="114"/>
      <c r="BX5" s="114"/>
      <c r="BY5" s="114"/>
      <c r="BZ5" s="114"/>
      <c r="CA5" s="114"/>
      <c r="CB5" s="114"/>
      <c r="CC5" s="114"/>
      <c r="CD5" s="114"/>
      <c r="CE5" s="114"/>
      <c r="CF5" s="114"/>
      <c r="CG5" s="114"/>
      <c r="CH5" s="114"/>
      <c r="CI5" s="114"/>
      <c r="CJ5" s="114"/>
      <c r="CK5" s="114"/>
      <c r="CL5" s="114"/>
      <c r="CM5" s="114"/>
      <c r="CN5" s="114"/>
      <c r="CO5" s="114"/>
      <c r="CP5" s="114"/>
      <c r="CQ5" s="114"/>
      <c r="CR5" s="114"/>
      <c r="CS5" s="114"/>
      <c r="CT5" s="114"/>
      <c r="CU5" s="114"/>
      <c r="CV5" s="114"/>
      <c r="CW5" s="114"/>
      <c r="CX5" s="114"/>
      <c r="CY5" s="114"/>
      <c r="CZ5" s="114"/>
      <c r="DA5" s="114"/>
      <c r="DB5" s="114"/>
      <c r="DC5" s="114"/>
      <c r="DD5" s="114"/>
      <c r="DE5" s="114"/>
      <c r="DF5" s="114"/>
      <c r="DG5" s="114"/>
      <c r="DH5" s="114"/>
      <c r="DI5" s="114"/>
      <c r="DJ5" s="114"/>
      <c r="DK5" s="114"/>
      <c r="DL5" s="114"/>
      <c r="DM5" s="114"/>
      <c r="DN5" s="114"/>
      <c r="DO5" s="114"/>
      <c r="DP5" s="114"/>
      <c r="DQ5" s="114"/>
      <c r="DR5" s="114"/>
      <c r="DS5" s="114"/>
      <c r="DT5" s="114"/>
      <c r="DU5" s="114"/>
      <c r="DV5" s="114"/>
      <c r="DW5" s="114"/>
      <c r="DX5" s="114"/>
      <c r="DY5" s="114"/>
      <c r="DZ5" s="114"/>
      <c r="EA5" s="114"/>
      <c r="EB5" s="114"/>
      <c r="EC5" s="114"/>
      <c r="ED5" s="114"/>
      <c r="EE5" s="114"/>
      <c r="EF5" s="114"/>
      <c r="EG5" s="114"/>
      <c r="EH5" s="114"/>
      <c r="EI5" s="114"/>
      <c r="EJ5" s="114"/>
      <c r="EK5" s="114"/>
      <c r="EL5" s="114"/>
      <c r="EM5" s="114"/>
      <c r="EN5" s="114"/>
      <c r="EO5" s="114"/>
      <c r="EP5" s="114"/>
      <c r="EQ5" s="114"/>
      <c r="ER5" s="114"/>
      <c r="ES5" s="114"/>
      <c r="ET5" s="114"/>
      <c r="EU5" s="114"/>
      <c r="EV5" s="114"/>
      <c r="EW5" s="114"/>
      <c r="EX5" s="114"/>
      <c r="EY5" s="114"/>
      <c r="EZ5" s="114"/>
      <c r="FA5" s="114"/>
      <c r="FB5" s="114"/>
      <c r="FC5" s="114"/>
      <c r="FD5" s="114"/>
      <c r="FE5" s="114"/>
      <c r="FF5" s="114"/>
      <c r="FG5" s="114"/>
      <c r="FH5" s="114"/>
      <c r="FI5" s="114"/>
      <c r="FJ5" s="114"/>
      <c r="FK5" s="114"/>
      <c r="FL5" s="114"/>
      <c r="FM5" s="114"/>
      <c r="FN5" s="114"/>
      <c r="FO5" s="114"/>
      <c r="FP5" s="114"/>
      <c r="FQ5" s="114"/>
      <c r="FR5" s="114"/>
      <c r="FS5" s="114"/>
      <c r="FT5" s="114"/>
      <c r="FU5" s="114"/>
      <c r="FV5" s="114"/>
      <c r="FW5" s="114"/>
      <c r="FX5" s="114"/>
      <c r="FY5" s="114"/>
      <c r="FZ5" s="114"/>
      <c r="GA5" s="114"/>
      <c r="GB5" s="114"/>
      <c r="GC5" s="114"/>
      <c r="GD5" s="114"/>
      <c r="GE5" s="114"/>
      <c r="GF5" s="114"/>
      <c r="GG5" s="114"/>
      <c r="GH5" s="114"/>
      <c r="GI5" s="114"/>
      <c r="GJ5" s="114"/>
      <c r="GK5" s="114"/>
      <c r="GL5" s="114"/>
      <c r="GM5" s="114"/>
      <c r="GN5" s="114"/>
      <c r="GO5" s="114"/>
      <c r="GP5" s="114"/>
      <c r="GQ5" s="114"/>
      <c r="GR5" s="114"/>
      <c r="GS5" s="114"/>
      <c r="GT5" s="114"/>
      <c r="GU5" s="114"/>
      <c r="GV5" s="114"/>
      <c r="GW5" s="114"/>
      <c r="GX5" s="114"/>
      <c r="GY5" s="114"/>
      <c r="GZ5" s="114"/>
      <c r="HA5" s="114"/>
      <c r="HB5" s="114"/>
      <c r="HC5" s="114"/>
      <c r="HD5" s="114"/>
      <c r="HE5" s="114"/>
      <c r="HF5" s="114"/>
      <c r="HG5" s="114"/>
      <c r="HH5" s="114"/>
      <c r="HI5" s="114"/>
      <c r="HJ5" s="114"/>
      <c r="HK5" s="114"/>
      <c r="HL5" s="114"/>
      <c r="HM5" s="114"/>
      <c r="HN5" s="114"/>
      <c r="HO5" s="114"/>
      <c r="HP5" s="114"/>
      <c r="HQ5" s="114"/>
      <c r="HR5" s="114"/>
      <c r="HS5" s="114"/>
      <c r="HT5" s="114"/>
      <c r="HU5" s="114"/>
      <c r="HV5" s="114"/>
      <c r="HW5" s="114"/>
      <c r="HX5" s="114"/>
      <c r="HY5" s="114"/>
      <c r="HZ5" s="114"/>
      <c r="IA5" s="114"/>
      <c r="IB5" s="114"/>
      <c r="IC5" s="114"/>
      <c r="ID5" s="114"/>
      <c r="IE5" s="114"/>
      <c r="IF5" s="114"/>
      <c r="IG5" s="114"/>
      <c r="IH5" s="114"/>
      <c r="II5" s="114"/>
      <c r="IJ5" s="114"/>
      <c r="IK5" s="114"/>
      <c r="IL5" s="114"/>
      <c r="IM5" s="114"/>
      <c r="IN5" s="114"/>
      <c r="IO5" s="114"/>
      <c r="IP5" s="114"/>
      <c r="IQ5" s="114"/>
      <c r="IR5" s="114"/>
      <c r="IS5" s="114"/>
      <c r="IT5" s="114"/>
      <c r="IU5" s="114"/>
      <c r="IV5" s="114"/>
      <c r="IW5" s="114"/>
      <c r="IX5" s="114"/>
      <c r="IY5" s="114"/>
      <c r="IZ5" s="114"/>
      <c r="JA5" s="114"/>
      <c r="JB5" s="114"/>
      <c r="JC5" s="114"/>
      <c r="JD5" s="114"/>
      <c r="JE5" s="114"/>
      <c r="JF5" s="114"/>
      <c r="JG5" s="114"/>
      <c r="JH5" s="114"/>
      <c r="JI5" s="114"/>
      <c r="JJ5" s="114"/>
      <c r="JK5" s="114"/>
      <c r="JL5" s="114"/>
      <c r="JM5" s="114"/>
      <c r="JN5" s="114"/>
      <c r="JO5" s="114"/>
      <c r="JP5" s="114"/>
      <c r="JQ5" s="114"/>
      <c r="JR5" s="114"/>
      <c r="JS5" s="114"/>
      <c r="JT5" s="114"/>
      <c r="JU5" s="114"/>
      <c r="JV5" s="114"/>
      <c r="JW5" s="114"/>
      <c r="JX5" s="114"/>
      <c r="JY5" s="114"/>
      <c r="JZ5" s="114"/>
      <c r="KA5" s="114"/>
      <c r="KB5" s="114"/>
      <c r="KC5" s="114"/>
      <c r="KD5" s="114"/>
      <c r="KE5" s="114"/>
      <c r="KF5" s="114"/>
      <c r="KG5" s="114"/>
      <c r="KH5" s="114"/>
      <c r="KI5" s="114"/>
      <c r="KJ5" s="114"/>
      <c r="KK5" s="114"/>
      <c r="KL5" s="114"/>
      <c r="KM5" s="114"/>
      <c r="KN5" s="114"/>
      <c r="KO5" s="114"/>
      <c r="KP5" s="114"/>
      <c r="KQ5" s="114"/>
      <c r="KR5" s="114"/>
      <c r="KS5" s="114"/>
      <c r="KT5" s="114"/>
      <c r="KU5" s="114"/>
      <c r="KV5" s="114"/>
      <c r="KW5" s="114"/>
      <c r="KX5" s="114"/>
      <c r="KY5" s="114"/>
      <c r="KZ5" s="114"/>
      <c r="LA5" s="114"/>
      <c r="LB5" s="114"/>
      <c r="LC5" s="114"/>
      <c r="LD5" s="114"/>
      <c r="LE5" s="114"/>
      <c r="LF5" s="114"/>
      <c r="LG5" s="114"/>
      <c r="LH5" s="114"/>
      <c r="LI5" s="114"/>
      <c r="LJ5" s="114"/>
      <c r="LK5" s="114"/>
      <c r="LL5" s="114"/>
      <c r="LM5" s="114"/>
      <c r="LN5" s="114"/>
      <c r="LO5" s="114"/>
      <c r="LP5" s="114"/>
      <c r="LQ5" s="114"/>
      <c r="LR5" s="114"/>
      <c r="LS5" s="114"/>
      <c r="LT5" s="114"/>
      <c r="LU5" s="114"/>
      <c r="LV5" s="114"/>
      <c r="LW5" s="114"/>
      <c r="LX5" s="114"/>
      <c r="LY5" s="114"/>
      <c r="LZ5" s="114"/>
      <c r="MA5" s="114"/>
      <c r="MB5" s="114"/>
      <c r="MC5" s="114"/>
      <c r="MD5" s="114"/>
      <c r="ME5" s="114"/>
      <c r="MF5" s="114"/>
      <c r="MG5" s="114"/>
      <c r="MH5" s="114"/>
      <c r="MI5" s="114"/>
      <c r="MJ5" s="114"/>
      <c r="MK5" s="114"/>
      <c r="ML5" s="114"/>
      <c r="MM5" s="114"/>
      <c r="MN5" s="114"/>
      <c r="MO5" s="114"/>
      <c r="MP5" s="114"/>
      <c r="MQ5" s="114"/>
      <c r="MR5" s="114"/>
      <c r="MS5" s="114"/>
      <c r="MT5" s="114"/>
      <c r="MU5" s="114"/>
      <c r="MV5" s="114"/>
      <c r="MW5" s="114"/>
      <c r="MX5" s="114"/>
      <c r="MY5" s="114"/>
      <c r="MZ5" s="114"/>
      <c r="NA5" s="114"/>
      <c r="NB5" s="114"/>
      <c r="NC5" s="114"/>
      <c r="ND5" s="114"/>
      <c r="NE5" s="114"/>
      <c r="NF5" s="114"/>
      <c r="NG5" s="114"/>
      <c r="NH5" s="114"/>
      <c r="NI5" s="114"/>
      <c r="NJ5" s="114"/>
      <c r="NK5" s="114"/>
      <c r="NL5" s="114"/>
      <c r="NM5" s="114"/>
      <c r="NN5" s="114"/>
      <c r="NO5" s="114"/>
      <c r="NP5" s="114"/>
      <c r="NQ5" s="114"/>
      <c r="NR5" s="114"/>
      <c r="NS5" s="114"/>
      <c r="NT5" s="114"/>
      <c r="NU5" s="114"/>
      <c r="NV5" s="114"/>
      <c r="NW5" s="114"/>
      <c r="NX5" s="114"/>
      <c r="NY5" s="114"/>
      <c r="NZ5" s="114"/>
      <c r="OA5" s="114"/>
      <c r="OB5" s="114"/>
      <c r="OC5" s="114"/>
      <c r="OD5" s="114"/>
      <c r="OE5" s="114"/>
      <c r="OF5" s="114"/>
      <c r="OG5" s="114"/>
      <c r="OH5" s="114"/>
      <c r="OI5" s="114"/>
      <c r="OJ5" s="114"/>
      <c r="OK5" s="114"/>
      <c r="OL5" s="114"/>
      <c r="OM5" s="114"/>
      <c r="ON5" s="114"/>
      <c r="OO5" s="114"/>
      <c r="OP5" s="114"/>
      <c r="OQ5" s="114"/>
      <c r="OR5" s="114"/>
      <c r="OS5" s="114"/>
      <c r="OT5" s="114"/>
      <c r="OU5" s="114"/>
      <c r="OV5" s="114"/>
      <c r="OW5" s="114"/>
      <c r="OX5" s="114"/>
      <c r="OY5" s="114"/>
      <c r="OZ5" s="114"/>
      <c r="PA5" s="114"/>
      <c r="PB5" s="114"/>
      <c r="PC5" s="114"/>
      <c r="PD5" s="114"/>
      <c r="PE5" s="114"/>
      <c r="PF5" s="114"/>
      <c r="PG5" s="114"/>
      <c r="PH5" s="114"/>
      <c r="PI5" s="114"/>
      <c r="PJ5" s="114"/>
      <c r="PK5" s="114"/>
      <c r="PL5" s="114"/>
      <c r="PM5" s="114"/>
      <c r="PN5" s="114"/>
      <c r="PO5" s="114"/>
      <c r="PP5" s="114"/>
      <c r="PQ5" s="114"/>
      <c r="PR5" s="114"/>
      <c r="PS5" s="114"/>
      <c r="PT5" s="114"/>
      <c r="PU5" s="114"/>
      <c r="PV5" s="114"/>
      <c r="PW5" s="114"/>
      <c r="PX5" s="114"/>
      <c r="PY5" s="114"/>
      <c r="PZ5" s="114"/>
      <c r="QA5" s="114"/>
      <c r="QB5" s="114"/>
      <c r="QC5" s="114"/>
      <c r="QD5" s="114"/>
      <c r="QE5" s="114"/>
      <c r="QF5" s="114"/>
      <c r="QG5" s="114"/>
      <c r="QH5" s="114"/>
      <c r="QI5" s="114"/>
      <c r="QJ5" s="114"/>
      <c r="QK5" s="114"/>
      <c r="QL5" s="114"/>
      <c r="QM5" s="114"/>
      <c r="QN5" s="114"/>
      <c r="QO5" s="114"/>
      <c r="QP5" s="114"/>
      <c r="QQ5" s="114"/>
      <c r="QR5" s="114"/>
      <c r="QS5" s="114"/>
      <c r="QT5" s="114"/>
      <c r="QU5" s="114"/>
      <c r="QV5" s="114"/>
      <c r="QW5" s="114"/>
      <c r="QX5" s="114"/>
      <c r="QY5" s="114"/>
      <c r="QZ5" s="114"/>
      <c r="RA5" s="114"/>
      <c r="RB5" s="114"/>
      <c r="RC5" s="114"/>
      <c r="RD5" s="114"/>
      <c r="RE5" s="114"/>
      <c r="RF5" s="114"/>
      <c r="RG5" s="114"/>
      <c r="RH5" s="114"/>
      <c r="RI5" s="114"/>
      <c r="RJ5" s="114"/>
      <c r="RK5" s="114"/>
      <c r="RL5" s="114"/>
      <c r="RM5" s="114"/>
      <c r="RN5" s="114"/>
      <c r="RO5" s="114"/>
      <c r="RP5" s="114"/>
      <c r="RQ5" s="114"/>
      <c r="RR5" s="114"/>
      <c r="RS5" s="114"/>
      <c r="RT5" s="114"/>
      <c r="RU5" s="114"/>
      <c r="RV5" s="114"/>
      <c r="RW5" s="114"/>
      <c r="RX5" s="114"/>
      <c r="RY5" s="114"/>
      <c r="RZ5" s="114"/>
      <c r="SA5" s="114"/>
      <c r="SB5" s="114"/>
      <c r="SC5" s="114"/>
      <c r="SD5" s="114"/>
      <c r="SE5" s="114"/>
      <c r="SF5" s="114"/>
      <c r="SG5" s="114"/>
      <c r="SH5" s="114"/>
      <c r="SI5" s="114"/>
      <c r="SJ5" s="114"/>
      <c r="SK5" s="114"/>
      <c r="SL5" s="114"/>
      <c r="SM5" s="114"/>
      <c r="SN5" s="114"/>
      <c r="SO5" s="114"/>
      <c r="SP5" s="114"/>
      <c r="SQ5" s="114"/>
      <c r="SR5" s="114"/>
      <c r="SS5" s="114"/>
      <c r="ST5" s="114"/>
      <c r="SU5" s="114"/>
      <c r="SV5" s="114"/>
      <c r="SW5" s="114"/>
      <c r="SX5" s="114"/>
      <c r="SY5" s="114"/>
      <c r="SZ5" s="114"/>
      <c r="TA5" s="114"/>
      <c r="TB5" s="114"/>
      <c r="TC5" s="114"/>
      <c r="TD5" s="114"/>
      <c r="TE5" s="114"/>
      <c r="TF5" s="114"/>
      <c r="TG5" s="114"/>
      <c r="TH5" s="114"/>
      <c r="TI5" s="114"/>
      <c r="TJ5" s="114"/>
      <c r="TK5" s="114"/>
      <c r="TL5" s="114"/>
      <c r="TM5" s="114"/>
      <c r="TN5" s="114"/>
      <c r="TO5" s="114"/>
      <c r="TP5" s="114"/>
      <c r="TQ5" s="114"/>
      <c r="TR5" s="114"/>
      <c r="TS5" s="114"/>
      <c r="TT5" s="114"/>
      <c r="TU5" s="114"/>
      <c r="TV5" s="114"/>
      <c r="TW5" s="114"/>
      <c r="TX5" s="114"/>
      <c r="TY5" s="114"/>
      <c r="TZ5" s="114"/>
      <c r="UA5" s="114"/>
      <c r="UB5" s="114"/>
      <c r="UC5" s="114"/>
      <c r="UD5" s="114"/>
      <c r="UE5" s="114"/>
      <c r="UF5" s="114"/>
      <c r="UG5" s="114"/>
      <c r="UH5" s="114"/>
      <c r="UI5" s="114"/>
      <c r="UJ5" s="114"/>
      <c r="UK5" s="114"/>
      <c r="UL5" s="114"/>
      <c r="UM5" s="114"/>
      <c r="UN5" s="114"/>
      <c r="UO5" s="114"/>
      <c r="UP5" s="114"/>
      <c r="UQ5" s="114"/>
      <c r="UR5" s="114"/>
      <c r="US5" s="114"/>
      <c r="UT5" s="114"/>
      <c r="UU5" s="114"/>
      <c r="UV5" s="114"/>
      <c r="UW5" s="114"/>
      <c r="UX5" s="114"/>
      <c r="UY5" s="114"/>
      <c r="UZ5" s="114"/>
      <c r="VA5" s="114"/>
      <c r="VB5" s="114"/>
      <c r="VC5" s="114"/>
      <c r="VD5" s="114"/>
      <c r="VE5" s="114"/>
      <c r="VF5" s="114"/>
      <c r="VG5" s="114"/>
      <c r="VH5" s="114"/>
      <c r="VI5" s="114"/>
      <c r="VJ5" s="114"/>
      <c r="VK5" s="114"/>
      <c r="VL5" s="114"/>
      <c r="VM5" s="114"/>
      <c r="VN5" s="114"/>
      <c r="VO5" s="114"/>
      <c r="VP5" s="114"/>
      <c r="VQ5" s="114"/>
      <c r="VR5" s="114"/>
      <c r="VS5" s="114"/>
      <c r="VT5" s="114"/>
      <c r="VU5" s="114"/>
      <c r="VV5" s="114"/>
      <c r="VW5" s="114"/>
      <c r="VX5" s="114"/>
      <c r="VY5" s="114"/>
      <c r="VZ5" s="114"/>
      <c r="WA5" s="114"/>
      <c r="WB5" s="114"/>
      <c r="WC5" s="114"/>
      <c r="WD5" s="114"/>
      <c r="WE5" s="114"/>
      <c r="WF5" s="114"/>
      <c r="WG5" s="114"/>
      <c r="WH5" s="114"/>
      <c r="WI5" s="114"/>
      <c r="WJ5" s="114"/>
      <c r="WK5" s="114"/>
      <c r="WL5" s="114"/>
      <c r="WM5" s="114"/>
      <c r="WN5" s="114"/>
      <c r="WO5" s="114"/>
      <c r="WP5" s="114"/>
      <c r="WQ5" s="114"/>
      <c r="WR5" s="114"/>
      <c r="WS5" s="114"/>
      <c r="WT5" s="114"/>
      <c r="WU5" s="114"/>
      <c r="WV5" s="114"/>
      <c r="WW5" s="114"/>
      <c r="WX5" s="114"/>
      <c r="WY5" s="114"/>
      <c r="WZ5" s="114"/>
      <c r="XA5" s="114"/>
      <c r="XB5" s="114"/>
      <c r="XC5" s="114"/>
      <c r="XD5" s="114"/>
      <c r="XE5" s="114"/>
      <c r="XF5" s="114"/>
      <c r="XG5" s="114"/>
      <c r="XH5" s="114"/>
      <c r="XI5" s="114"/>
      <c r="XJ5" s="114"/>
      <c r="XK5" s="114"/>
      <c r="XL5" s="114"/>
      <c r="XM5" s="114"/>
      <c r="XN5" s="114"/>
      <c r="XO5" s="114"/>
      <c r="XP5" s="114"/>
      <c r="XQ5" s="114"/>
      <c r="XR5" s="114"/>
      <c r="XS5" s="114"/>
      <c r="XT5" s="114"/>
      <c r="XU5" s="114"/>
      <c r="XV5" s="114"/>
      <c r="XW5" s="114"/>
      <c r="XX5" s="114"/>
      <c r="XY5" s="114"/>
      <c r="XZ5" s="114"/>
      <c r="YA5" s="114"/>
      <c r="YB5" s="114"/>
      <c r="YC5" s="114"/>
      <c r="YD5" s="114"/>
      <c r="YE5" s="114"/>
      <c r="YF5" s="114"/>
      <c r="YG5" s="114"/>
      <c r="YH5" s="114"/>
      <c r="YI5" s="114"/>
      <c r="YJ5" s="114"/>
      <c r="YK5" s="114"/>
      <c r="YL5" s="114"/>
      <c r="YM5" s="114"/>
      <c r="YN5" s="114"/>
      <c r="YO5" s="114"/>
      <c r="YP5" s="114"/>
      <c r="YQ5" s="114"/>
      <c r="YR5" s="114"/>
      <c r="YS5" s="114"/>
      <c r="YT5" s="114"/>
      <c r="YU5" s="114"/>
      <c r="YV5" s="114"/>
      <c r="YW5" s="114"/>
      <c r="YX5" s="114"/>
      <c r="YY5" s="114"/>
      <c r="YZ5" s="114"/>
      <c r="ZA5" s="114"/>
      <c r="ZB5" s="114"/>
      <c r="ZC5" s="114"/>
      <c r="ZD5" s="114"/>
      <c r="ZE5" s="114"/>
      <c r="ZF5" s="114"/>
      <c r="ZG5" s="114"/>
      <c r="ZH5" s="114"/>
      <c r="ZI5" s="114"/>
      <c r="ZJ5" s="114"/>
      <c r="ZK5" s="114"/>
      <c r="ZL5" s="114"/>
      <c r="ZM5" s="114"/>
      <c r="ZN5" s="114"/>
      <c r="ZO5" s="114"/>
      <c r="ZP5" s="114"/>
      <c r="ZQ5" s="114"/>
      <c r="ZR5" s="114"/>
      <c r="ZS5" s="114"/>
      <c r="ZT5" s="114"/>
      <c r="ZU5" s="114"/>
      <c r="ZV5" s="114"/>
      <c r="ZW5" s="114"/>
      <c r="ZX5" s="114"/>
      <c r="ZY5" s="114"/>
      <c r="ZZ5" s="114"/>
      <c r="AAA5" s="114"/>
      <c r="AAB5" s="114"/>
      <c r="AAC5" s="114"/>
      <c r="AAD5" s="114"/>
      <c r="AAE5" s="114"/>
      <c r="AAF5" s="114"/>
      <c r="AAG5" s="114"/>
      <c r="AAH5" s="114"/>
      <c r="AAI5" s="114"/>
      <c r="AAJ5" s="114"/>
      <c r="AAK5" s="114"/>
      <c r="AAL5" s="114"/>
      <c r="AAM5" s="114"/>
      <c r="AAN5" s="114"/>
      <c r="AAO5" s="114"/>
      <c r="AAP5" s="114"/>
      <c r="AAQ5" s="114"/>
      <c r="AAR5" s="114"/>
      <c r="AAS5" s="114"/>
      <c r="AAT5" s="114"/>
      <c r="AAU5" s="114"/>
      <c r="AAV5" s="114"/>
      <c r="AAW5" s="114"/>
      <c r="AAX5" s="114"/>
      <c r="AAY5" s="114"/>
      <c r="AAZ5" s="114"/>
      <c r="ABA5" s="114"/>
      <c r="ABB5" s="114"/>
      <c r="ABC5" s="114"/>
      <c r="ABD5" s="114"/>
      <c r="ABE5" s="114"/>
      <c r="ABF5" s="114"/>
      <c r="ABG5" s="114"/>
      <c r="ABH5" s="114"/>
      <c r="ABI5" s="114"/>
      <c r="ABJ5" s="114"/>
      <c r="ABK5" s="114"/>
      <c r="ABL5" s="114"/>
      <c r="ABM5" s="114"/>
      <c r="ABN5" s="114"/>
      <c r="ABO5" s="114"/>
      <c r="ABP5" s="114"/>
      <c r="ABQ5" s="114"/>
      <c r="ABR5" s="114"/>
      <c r="ABS5" s="114"/>
      <c r="ABT5" s="114"/>
      <c r="ABU5" s="114"/>
      <c r="ABV5" s="114"/>
      <c r="ABW5" s="114"/>
      <c r="ABX5" s="114"/>
      <c r="ABY5" s="114"/>
      <c r="ABZ5" s="114"/>
      <c r="ACA5" s="114"/>
      <c r="ACB5" s="114"/>
      <c r="ACC5" s="114"/>
      <c r="ACD5" s="114"/>
      <c r="ACE5" s="114"/>
      <c r="ACF5" s="114"/>
      <c r="ACG5" s="114"/>
      <c r="ACH5" s="114"/>
      <c r="ACI5" s="114"/>
      <c r="ACJ5" s="114"/>
      <c r="ACK5" s="114"/>
      <c r="ACL5" s="114"/>
      <c r="ACM5" s="114"/>
      <c r="ACN5" s="114"/>
      <c r="ACO5" s="114"/>
      <c r="ACP5" s="114"/>
      <c r="ACQ5" s="114"/>
      <c r="ACR5" s="114"/>
      <c r="ACS5" s="114"/>
      <c r="ACT5" s="114"/>
      <c r="ACU5" s="114"/>
      <c r="ACV5" s="114"/>
      <c r="ACW5" s="114"/>
      <c r="ACX5" s="114"/>
      <c r="ACY5" s="114"/>
      <c r="ACZ5" s="114"/>
      <c r="ADA5" s="114"/>
      <c r="ADB5" s="114"/>
      <c r="ADC5" s="114"/>
      <c r="ADD5" s="114"/>
      <c r="ADE5" s="114"/>
      <c r="ADF5" s="114"/>
      <c r="ADG5" s="114"/>
      <c r="ADH5" s="114"/>
      <c r="ADI5" s="114"/>
      <c r="ADJ5" s="114"/>
      <c r="ADK5" s="114"/>
      <c r="ADL5" s="114"/>
      <c r="ADM5" s="114"/>
      <c r="ADN5" s="114"/>
      <c r="ADO5" s="114"/>
      <c r="ADP5" s="114"/>
      <c r="ADQ5" s="114"/>
      <c r="ADR5" s="114"/>
      <c r="ADS5" s="114"/>
      <c r="ADT5" s="114"/>
      <c r="ADU5" s="114"/>
      <c r="ADV5" s="114"/>
      <c r="ADW5" s="114"/>
      <c r="ADX5" s="114"/>
      <c r="ADY5" s="114"/>
      <c r="ADZ5" s="114"/>
      <c r="AEA5" s="114"/>
      <c r="AEB5" s="114"/>
      <c r="AEC5" s="114"/>
      <c r="AED5" s="114"/>
      <c r="AEE5" s="114"/>
      <c r="AEF5" s="114"/>
      <c r="AEG5" s="114"/>
      <c r="AEH5" s="114"/>
      <c r="AEI5" s="114"/>
      <c r="AEJ5" s="114"/>
      <c r="AEK5" s="114"/>
      <c r="AEL5" s="114"/>
      <c r="AEM5" s="114"/>
      <c r="AEN5" s="114"/>
      <c r="AEO5" s="114"/>
      <c r="AEP5" s="114"/>
      <c r="AEQ5" s="114"/>
      <c r="AER5" s="114"/>
      <c r="AES5" s="114"/>
      <c r="AET5" s="114"/>
      <c r="AEU5" s="114"/>
      <c r="AEV5" s="114"/>
      <c r="AEW5" s="114"/>
      <c r="AEX5" s="114"/>
      <c r="AEY5" s="114"/>
      <c r="AEZ5" s="114"/>
      <c r="AFA5" s="114"/>
      <c r="AFB5" s="114"/>
      <c r="AFC5" s="114"/>
      <c r="AFD5" s="114"/>
      <c r="AFE5" s="114"/>
      <c r="AFF5" s="114"/>
      <c r="AFG5" s="114"/>
      <c r="AFH5" s="114"/>
      <c r="AFI5" s="114"/>
      <c r="AFJ5" s="114"/>
      <c r="AFK5" s="114"/>
      <c r="AFL5" s="114"/>
      <c r="AFM5" s="114"/>
      <c r="AFN5" s="114"/>
      <c r="AFO5" s="114"/>
      <c r="AFP5" s="114"/>
      <c r="AFQ5" s="114"/>
      <c r="AFR5" s="114"/>
      <c r="AFS5" s="114"/>
      <c r="AFT5" s="114"/>
      <c r="AFU5" s="114"/>
      <c r="AFV5" s="114"/>
      <c r="AFW5" s="114"/>
      <c r="AFX5" s="114"/>
      <c r="AFY5" s="114"/>
      <c r="AFZ5" s="114"/>
      <c r="AGA5" s="114"/>
      <c r="AGB5" s="114"/>
      <c r="AGC5" s="114"/>
      <c r="AGD5" s="114"/>
      <c r="AGE5" s="114"/>
      <c r="AGF5" s="114"/>
      <c r="AGG5" s="114"/>
      <c r="AGH5" s="114"/>
      <c r="AGI5" s="114"/>
      <c r="AGJ5" s="114"/>
      <c r="AGK5" s="114"/>
      <c r="AGL5" s="114"/>
      <c r="AGM5" s="114"/>
      <c r="AGN5" s="114"/>
      <c r="AGO5" s="114"/>
      <c r="AGP5" s="114"/>
      <c r="AGQ5" s="114"/>
      <c r="AGR5" s="114"/>
      <c r="AGS5" s="114"/>
      <c r="AGT5" s="114"/>
      <c r="AGU5" s="114"/>
      <c r="AGV5" s="114"/>
      <c r="AGW5" s="114"/>
      <c r="AGX5" s="114"/>
      <c r="AGY5" s="114"/>
      <c r="AGZ5" s="114"/>
      <c r="AHA5" s="114"/>
      <c r="AHB5" s="114"/>
      <c r="AHC5" s="114"/>
      <c r="AHD5" s="114"/>
      <c r="AHE5" s="114"/>
      <c r="AHF5" s="114"/>
      <c r="AHG5" s="114"/>
      <c r="AHH5" s="114"/>
      <c r="AHI5" s="114"/>
      <c r="AHJ5" s="114"/>
      <c r="AHK5" s="114"/>
      <c r="AHL5" s="114"/>
      <c r="AHM5" s="114"/>
      <c r="AHN5" s="114"/>
      <c r="AHO5" s="114"/>
      <c r="AHP5" s="114"/>
      <c r="AHQ5" s="114"/>
      <c r="AHR5" s="114"/>
      <c r="AHS5" s="114"/>
      <c r="AHT5" s="114"/>
      <c r="AHU5" s="114"/>
      <c r="AHV5" s="114"/>
      <c r="AHW5" s="114"/>
      <c r="AHX5" s="114"/>
      <c r="AHY5" s="114"/>
      <c r="AHZ5" s="114"/>
      <c r="AIA5" s="114"/>
      <c r="AIB5" s="114"/>
      <c r="AIC5" s="114"/>
      <c r="AID5" s="114"/>
      <c r="AIE5" s="114"/>
      <c r="AIF5" s="114"/>
      <c r="AIG5" s="114"/>
      <c r="AIH5" s="114"/>
      <c r="AII5" s="114"/>
      <c r="AIJ5" s="114"/>
      <c r="AIK5" s="114"/>
      <c r="AIL5" s="114"/>
      <c r="AIM5" s="114"/>
      <c r="AIN5" s="114"/>
      <c r="AIO5" s="114"/>
      <c r="AIP5" s="114"/>
      <c r="AIQ5" s="114"/>
      <c r="AIR5" s="114"/>
      <c r="AIS5" s="114"/>
      <c r="AIT5" s="114"/>
      <c r="AIU5" s="114"/>
      <c r="AIV5" s="114"/>
      <c r="AIW5" s="114"/>
      <c r="AIX5" s="114"/>
      <c r="AIY5" s="114"/>
      <c r="AIZ5" s="114"/>
      <c r="AJA5" s="114"/>
      <c r="AJB5" s="114"/>
      <c r="AJC5" s="114"/>
      <c r="AJD5" s="114"/>
      <c r="AJE5" s="114"/>
      <c r="AJF5" s="114"/>
      <c r="AJG5" s="114"/>
      <c r="AJH5" s="114"/>
      <c r="AJI5" s="114"/>
      <c r="AJJ5" s="114"/>
      <c r="AJK5" s="114"/>
      <c r="AJL5" s="114"/>
      <c r="AJM5" s="114"/>
      <c r="AJN5" s="114"/>
      <c r="AJO5" s="114"/>
      <c r="AJP5" s="114"/>
      <c r="AJQ5" s="114"/>
      <c r="AJR5" s="114"/>
      <c r="AJS5" s="114"/>
      <c r="AJT5" s="114"/>
      <c r="AJU5" s="114"/>
      <c r="AJV5" s="114"/>
      <c r="AJW5" s="114"/>
      <c r="AJX5" s="114"/>
      <c r="AJY5" s="114"/>
      <c r="AJZ5" s="114"/>
      <c r="AKA5" s="114"/>
      <c r="AKB5" s="114"/>
      <c r="AKC5" s="114"/>
      <c r="AKD5" s="114"/>
      <c r="AKE5" s="114"/>
      <c r="AKF5" s="114"/>
      <c r="AKG5" s="114"/>
      <c r="AKH5" s="114"/>
      <c r="AKI5" s="114"/>
      <c r="AKJ5" s="114"/>
      <c r="AKK5" s="114"/>
      <c r="AKL5" s="114"/>
      <c r="AKM5" s="114"/>
      <c r="AKN5" s="114"/>
      <c r="AKO5" s="114"/>
      <c r="AKP5" s="114"/>
      <c r="AKQ5" s="114"/>
      <c r="AKR5" s="114"/>
      <c r="AKS5" s="114"/>
      <c r="AKT5" s="114"/>
      <c r="AKU5" s="114"/>
      <c r="AKV5" s="114"/>
      <c r="AKW5" s="114"/>
      <c r="AKX5" s="114"/>
      <c r="AKY5" s="114"/>
    </row>
    <row r="6" spans="1:987" s="115" customFormat="1" ht="15" customHeight="1" x14ac:dyDescent="0.3">
      <c r="A6" s="116"/>
      <c r="B6" s="117"/>
      <c r="C6" s="462"/>
      <c r="D6" s="138" t="s">
        <v>3061</v>
      </c>
      <c r="E6" s="139">
        <v>1</v>
      </c>
      <c r="F6" s="140">
        <v>30000</v>
      </c>
      <c r="G6" s="141">
        <f t="shared" si="0"/>
        <v>30000</v>
      </c>
      <c r="H6" s="142"/>
      <c r="I6" s="143"/>
      <c r="J6" s="143"/>
      <c r="K6" s="143"/>
      <c r="L6" s="143"/>
      <c r="M6" s="143"/>
      <c r="N6" s="144">
        <f>G6/2</f>
        <v>15000</v>
      </c>
      <c r="O6" s="144">
        <f>G6/2</f>
        <v>15000</v>
      </c>
      <c r="P6" s="143"/>
      <c r="Q6" s="143"/>
      <c r="R6" s="143"/>
      <c r="S6" s="145"/>
      <c r="T6" s="125"/>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c r="BQ6" s="114"/>
      <c r="BR6" s="114"/>
      <c r="BS6" s="114"/>
      <c r="BT6" s="114"/>
      <c r="BU6" s="114"/>
      <c r="BV6" s="114"/>
      <c r="BW6" s="114"/>
      <c r="BX6" s="114"/>
      <c r="BY6" s="114"/>
      <c r="BZ6" s="114"/>
      <c r="CA6" s="114"/>
      <c r="CB6" s="114"/>
      <c r="CC6" s="114"/>
      <c r="CD6" s="114"/>
      <c r="CE6" s="114"/>
      <c r="CF6" s="114"/>
      <c r="CG6" s="114"/>
      <c r="CH6" s="114"/>
      <c r="CI6" s="114"/>
      <c r="CJ6" s="114"/>
      <c r="CK6" s="114"/>
      <c r="CL6" s="114"/>
      <c r="CM6" s="114"/>
      <c r="CN6" s="114"/>
      <c r="CO6" s="114"/>
      <c r="CP6" s="114"/>
      <c r="CQ6" s="114"/>
      <c r="CR6" s="114"/>
      <c r="CS6" s="114"/>
      <c r="CT6" s="114"/>
      <c r="CU6" s="114"/>
      <c r="CV6" s="114"/>
      <c r="CW6" s="114"/>
      <c r="CX6" s="114"/>
      <c r="CY6" s="114"/>
      <c r="CZ6" s="114"/>
      <c r="DA6" s="114"/>
      <c r="DB6" s="114"/>
      <c r="DC6" s="114"/>
      <c r="DD6" s="114"/>
      <c r="DE6" s="114"/>
      <c r="DF6" s="114"/>
      <c r="DG6" s="114"/>
      <c r="DH6" s="114"/>
      <c r="DI6" s="114"/>
      <c r="DJ6" s="114"/>
      <c r="DK6" s="114"/>
      <c r="DL6" s="114"/>
      <c r="DM6" s="114"/>
      <c r="DN6" s="114"/>
      <c r="DO6" s="114"/>
      <c r="DP6" s="114"/>
      <c r="DQ6" s="114"/>
      <c r="DR6" s="114"/>
      <c r="DS6" s="114"/>
      <c r="DT6" s="114"/>
      <c r="DU6" s="114"/>
      <c r="DV6" s="114"/>
      <c r="DW6" s="114"/>
      <c r="DX6" s="114"/>
      <c r="DY6" s="114"/>
      <c r="DZ6" s="114"/>
      <c r="EA6" s="114"/>
      <c r="EB6" s="114"/>
      <c r="EC6" s="114"/>
      <c r="ED6" s="114"/>
      <c r="EE6" s="114"/>
      <c r="EF6" s="114"/>
      <c r="EG6" s="114"/>
      <c r="EH6" s="114"/>
      <c r="EI6" s="114"/>
      <c r="EJ6" s="114"/>
      <c r="EK6" s="114"/>
      <c r="EL6" s="114"/>
      <c r="EM6" s="114"/>
      <c r="EN6" s="114"/>
      <c r="EO6" s="114"/>
      <c r="EP6" s="114"/>
      <c r="EQ6" s="114"/>
      <c r="ER6" s="114"/>
      <c r="ES6" s="114"/>
      <c r="ET6" s="114"/>
      <c r="EU6" s="114"/>
      <c r="EV6" s="114"/>
      <c r="EW6" s="114"/>
      <c r="EX6" s="114"/>
      <c r="EY6" s="114"/>
      <c r="EZ6" s="114"/>
      <c r="FA6" s="114"/>
      <c r="FB6" s="114"/>
      <c r="FC6" s="114"/>
      <c r="FD6" s="114"/>
      <c r="FE6" s="114"/>
      <c r="FF6" s="114"/>
      <c r="FG6" s="114"/>
      <c r="FH6" s="114"/>
      <c r="FI6" s="114"/>
      <c r="FJ6" s="114"/>
      <c r="FK6" s="114"/>
      <c r="FL6" s="114"/>
      <c r="FM6" s="114"/>
      <c r="FN6" s="114"/>
      <c r="FO6" s="114"/>
      <c r="FP6" s="114"/>
      <c r="FQ6" s="114"/>
      <c r="FR6" s="114"/>
      <c r="FS6" s="114"/>
      <c r="FT6" s="114"/>
      <c r="FU6" s="114"/>
      <c r="FV6" s="114"/>
      <c r="FW6" s="114"/>
      <c r="FX6" s="114"/>
      <c r="FY6" s="114"/>
      <c r="FZ6" s="114"/>
      <c r="GA6" s="114"/>
      <c r="GB6" s="114"/>
      <c r="GC6" s="114"/>
      <c r="GD6" s="114"/>
      <c r="GE6" s="114"/>
      <c r="GF6" s="114"/>
      <c r="GG6" s="114"/>
      <c r="GH6" s="114"/>
      <c r="GI6" s="114"/>
      <c r="GJ6" s="114"/>
      <c r="GK6" s="114"/>
      <c r="GL6" s="114"/>
      <c r="GM6" s="114"/>
      <c r="GN6" s="114"/>
      <c r="GO6" s="114"/>
      <c r="GP6" s="114"/>
      <c r="GQ6" s="114"/>
      <c r="GR6" s="114"/>
      <c r="GS6" s="114"/>
      <c r="GT6" s="114"/>
      <c r="GU6" s="114"/>
      <c r="GV6" s="114"/>
      <c r="GW6" s="114"/>
      <c r="GX6" s="114"/>
      <c r="GY6" s="114"/>
      <c r="GZ6" s="114"/>
      <c r="HA6" s="114"/>
      <c r="HB6" s="114"/>
      <c r="HC6" s="114"/>
      <c r="HD6" s="114"/>
      <c r="HE6" s="114"/>
      <c r="HF6" s="114"/>
      <c r="HG6" s="114"/>
      <c r="HH6" s="114"/>
      <c r="HI6" s="114"/>
      <c r="HJ6" s="114"/>
      <c r="HK6" s="114"/>
      <c r="HL6" s="114"/>
      <c r="HM6" s="114"/>
      <c r="HN6" s="114"/>
      <c r="HO6" s="114"/>
      <c r="HP6" s="114"/>
      <c r="HQ6" s="114"/>
      <c r="HR6" s="114"/>
      <c r="HS6" s="114"/>
      <c r="HT6" s="114"/>
      <c r="HU6" s="114"/>
      <c r="HV6" s="114"/>
      <c r="HW6" s="114"/>
      <c r="HX6" s="114"/>
      <c r="HY6" s="114"/>
      <c r="HZ6" s="114"/>
      <c r="IA6" s="114"/>
      <c r="IB6" s="114"/>
      <c r="IC6" s="114"/>
      <c r="ID6" s="114"/>
      <c r="IE6" s="114"/>
      <c r="IF6" s="114"/>
      <c r="IG6" s="114"/>
      <c r="IH6" s="114"/>
      <c r="II6" s="114"/>
      <c r="IJ6" s="114"/>
      <c r="IK6" s="114"/>
      <c r="IL6" s="114"/>
      <c r="IM6" s="114"/>
      <c r="IN6" s="114"/>
      <c r="IO6" s="114"/>
      <c r="IP6" s="114"/>
      <c r="IQ6" s="114"/>
      <c r="IR6" s="114"/>
      <c r="IS6" s="114"/>
      <c r="IT6" s="114"/>
      <c r="IU6" s="114"/>
      <c r="IV6" s="114"/>
      <c r="IW6" s="114"/>
      <c r="IX6" s="114"/>
      <c r="IY6" s="114"/>
      <c r="IZ6" s="114"/>
      <c r="JA6" s="114"/>
      <c r="JB6" s="114"/>
      <c r="JC6" s="114"/>
      <c r="JD6" s="114"/>
      <c r="JE6" s="114"/>
      <c r="JF6" s="114"/>
      <c r="JG6" s="114"/>
      <c r="JH6" s="114"/>
      <c r="JI6" s="114"/>
      <c r="JJ6" s="114"/>
      <c r="JK6" s="114"/>
      <c r="JL6" s="114"/>
      <c r="JM6" s="114"/>
      <c r="JN6" s="114"/>
      <c r="JO6" s="114"/>
      <c r="JP6" s="114"/>
      <c r="JQ6" s="114"/>
      <c r="JR6" s="114"/>
      <c r="JS6" s="114"/>
      <c r="JT6" s="114"/>
      <c r="JU6" s="114"/>
      <c r="JV6" s="114"/>
      <c r="JW6" s="114"/>
      <c r="JX6" s="114"/>
      <c r="JY6" s="114"/>
      <c r="JZ6" s="114"/>
      <c r="KA6" s="114"/>
      <c r="KB6" s="114"/>
      <c r="KC6" s="114"/>
      <c r="KD6" s="114"/>
      <c r="KE6" s="114"/>
      <c r="KF6" s="114"/>
      <c r="KG6" s="114"/>
      <c r="KH6" s="114"/>
      <c r="KI6" s="114"/>
      <c r="KJ6" s="114"/>
      <c r="KK6" s="114"/>
      <c r="KL6" s="114"/>
      <c r="KM6" s="114"/>
      <c r="KN6" s="114"/>
      <c r="KO6" s="114"/>
      <c r="KP6" s="114"/>
      <c r="KQ6" s="114"/>
      <c r="KR6" s="114"/>
      <c r="KS6" s="114"/>
      <c r="KT6" s="114"/>
      <c r="KU6" s="114"/>
      <c r="KV6" s="114"/>
      <c r="KW6" s="114"/>
      <c r="KX6" s="114"/>
      <c r="KY6" s="114"/>
      <c r="KZ6" s="114"/>
      <c r="LA6" s="114"/>
      <c r="LB6" s="114"/>
      <c r="LC6" s="114"/>
      <c r="LD6" s="114"/>
      <c r="LE6" s="114"/>
      <c r="LF6" s="114"/>
      <c r="LG6" s="114"/>
      <c r="LH6" s="114"/>
      <c r="LI6" s="114"/>
      <c r="LJ6" s="114"/>
      <c r="LK6" s="114"/>
      <c r="LL6" s="114"/>
      <c r="LM6" s="114"/>
      <c r="LN6" s="114"/>
      <c r="LO6" s="114"/>
      <c r="LP6" s="114"/>
      <c r="LQ6" s="114"/>
      <c r="LR6" s="114"/>
      <c r="LS6" s="114"/>
      <c r="LT6" s="114"/>
      <c r="LU6" s="114"/>
      <c r="LV6" s="114"/>
      <c r="LW6" s="114"/>
      <c r="LX6" s="114"/>
      <c r="LY6" s="114"/>
      <c r="LZ6" s="114"/>
      <c r="MA6" s="114"/>
      <c r="MB6" s="114"/>
      <c r="MC6" s="114"/>
      <c r="MD6" s="114"/>
      <c r="ME6" s="114"/>
      <c r="MF6" s="114"/>
      <c r="MG6" s="114"/>
      <c r="MH6" s="114"/>
      <c r="MI6" s="114"/>
      <c r="MJ6" s="114"/>
      <c r="MK6" s="114"/>
      <c r="ML6" s="114"/>
      <c r="MM6" s="114"/>
      <c r="MN6" s="114"/>
      <c r="MO6" s="114"/>
      <c r="MP6" s="114"/>
      <c r="MQ6" s="114"/>
      <c r="MR6" s="114"/>
      <c r="MS6" s="114"/>
      <c r="MT6" s="114"/>
      <c r="MU6" s="114"/>
      <c r="MV6" s="114"/>
      <c r="MW6" s="114"/>
      <c r="MX6" s="114"/>
      <c r="MY6" s="114"/>
      <c r="MZ6" s="114"/>
      <c r="NA6" s="114"/>
      <c r="NB6" s="114"/>
      <c r="NC6" s="114"/>
      <c r="ND6" s="114"/>
      <c r="NE6" s="114"/>
      <c r="NF6" s="114"/>
      <c r="NG6" s="114"/>
      <c r="NH6" s="114"/>
      <c r="NI6" s="114"/>
      <c r="NJ6" s="114"/>
      <c r="NK6" s="114"/>
      <c r="NL6" s="114"/>
      <c r="NM6" s="114"/>
      <c r="NN6" s="114"/>
      <c r="NO6" s="114"/>
      <c r="NP6" s="114"/>
      <c r="NQ6" s="114"/>
      <c r="NR6" s="114"/>
      <c r="NS6" s="114"/>
      <c r="NT6" s="114"/>
      <c r="NU6" s="114"/>
      <c r="NV6" s="114"/>
      <c r="NW6" s="114"/>
      <c r="NX6" s="114"/>
      <c r="NY6" s="114"/>
      <c r="NZ6" s="114"/>
      <c r="OA6" s="114"/>
      <c r="OB6" s="114"/>
      <c r="OC6" s="114"/>
      <c r="OD6" s="114"/>
      <c r="OE6" s="114"/>
      <c r="OF6" s="114"/>
      <c r="OG6" s="114"/>
      <c r="OH6" s="114"/>
      <c r="OI6" s="114"/>
      <c r="OJ6" s="114"/>
      <c r="OK6" s="114"/>
      <c r="OL6" s="114"/>
      <c r="OM6" s="114"/>
      <c r="ON6" s="114"/>
      <c r="OO6" s="114"/>
      <c r="OP6" s="114"/>
      <c r="OQ6" s="114"/>
      <c r="OR6" s="114"/>
      <c r="OS6" s="114"/>
      <c r="OT6" s="114"/>
      <c r="OU6" s="114"/>
      <c r="OV6" s="114"/>
      <c r="OW6" s="114"/>
      <c r="OX6" s="114"/>
      <c r="OY6" s="114"/>
      <c r="OZ6" s="114"/>
      <c r="PA6" s="114"/>
      <c r="PB6" s="114"/>
      <c r="PC6" s="114"/>
      <c r="PD6" s="114"/>
      <c r="PE6" s="114"/>
      <c r="PF6" s="114"/>
      <c r="PG6" s="114"/>
      <c r="PH6" s="114"/>
      <c r="PI6" s="114"/>
      <c r="PJ6" s="114"/>
      <c r="PK6" s="114"/>
      <c r="PL6" s="114"/>
      <c r="PM6" s="114"/>
      <c r="PN6" s="114"/>
      <c r="PO6" s="114"/>
      <c r="PP6" s="114"/>
      <c r="PQ6" s="114"/>
      <c r="PR6" s="114"/>
      <c r="PS6" s="114"/>
      <c r="PT6" s="114"/>
      <c r="PU6" s="114"/>
      <c r="PV6" s="114"/>
      <c r="PW6" s="114"/>
      <c r="PX6" s="114"/>
      <c r="PY6" s="114"/>
      <c r="PZ6" s="114"/>
      <c r="QA6" s="114"/>
      <c r="QB6" s="114"/>
      <c r="QC6" s="114"/>
      <c r="QD6" s="114"/>
      <c r="QE6" s="114"/>
      <c r="QF6" s="114"/>
      <c r="QG6" s="114"/>
      <c r="QH6" s="114"/>
      <c r="QI6" s="114"/>
      <c r="QJ6" s="114"/>
      <c r="QK6" s="114"/>
      <c r="QL6" s="114"/>
      <c r="QM6" s="114"/>
      <c r="QN6" s="114"/>
      <c r="QO6" s="114"/>
      <c r="QP6" s="114"/>
      <c r="QQ6" s="114"/>
      <c r="QR6" s="114"/>
      <c r="QS6" s="114"/>
      <c r="QT6" s="114"/>
      <c r="QU6" s="114"/>
      <c r="QV6" s="114"/>
      <c r="QW6" s="114"/>
      <c r="QX6" s="114"/>
      <c r="QY6" s="114"/>
      <c r="QZ6" s="114"/>
      <c r="RA6" s="114"/>
      <c r="RB6" s="114"/>
      <c r="RC6" s="114"/>
      <c r="RD6" s="114"/>
      <c r="RE6" s="114"/>
      <c r="RF6" s="114"/>
      <c r="RG6" s="114"/>
      <c r="RH6" s="114"/>
      <c r="RI6" s="114"/>
      <c r="RJ6" s="114"/>
      <c r="RK6" s="114"/>
      <c r="RL6" s="114"/>
      <c r="RM6" s="114"/>
      <c r="RN6" s="114"/>
      <c r="RO6" s="114"/>
      <c r="RP6" s="114"/>
      <c r="RQ6" s="114"/>
      <c r="RR6" s="114"/>
      <c r="RS6" s="114"/>
      <c r="RT6" s="114"/>
      <c r="RU6" s="114"/>
      <c r="RV6" s="114"/>
      <c r="RW6" s="114"/>
      <c r="RX6" s="114"/>
      <c r="RY6" s="114"/>
      <c r="RZ6" s="114"/>
      <c r="SA6" s="114"/>
      <c r="SB6" s="114"/>
      <c r="SC6" s="114"/>
      <c r="SD6" s="114"/>
      <c r="SE6" s="114"/>
      <c r="SF6" s="114"/>
      <c r="SG6" s="114"/>
      <c r="SH6" s="114"/>
      <c r="SI6" s="114"/>
      <c r="SJ6" s="114"/>
      <c r="SK6" s="114"/>
      <c r="SL6" s="114"/>
      <c r="SM6" s="114"/>
      <c r="SN6" s="114"/>
      <c r="SO6" s="114"/>
      <c r="SP6" s="114"/>
      <c r="SQ6" s="114"/>
      <c r="SR6" s="114"/>
      <c r="SS6" s="114"/>
      <c r="ST6" s="114"/>
      <c r="SU6" s="114"/>
      <c r="SV6" s="114"/>
      <c r="SW6" s="114"/>
      <c r="SX6" s="114"/>
      <c r="SY6" s="114"/>
      <c r="SZ6" s="114"/>
      <c r="TA6" s="114"/>
      <c r="TB6" s="114"/>
      <c r="TC6" s="114"/>
      <c r="TD6" s="114"/>
      <c r="TE6" s="114"/>
      <c r="TF6" s="114"/>
      <c r="TG6" s="114"/>
      <c r="TH6" s="114"/>
      <c r="TI6" s="114"/>
      <c r="TJ6" s="114"/>
      <c r="TK6" s="114"/>
      <c r="TL6" s="114"/>
      <c r="TM6" s="114"/>
      <c r="TN6" s="114"/>
      <c r="TO6" s="114"/>
      <c r="TP6" s="114"/>
      <c r="TQ6" s="114"/>
      <c r="TR6" s="114"/>
      <c r="TS6" s="114"/>
      <c r="TT6" s="114"/>
      <c r="TU6" s="114"/>
      <c r="TV6" s="114"/>
      <c r="TW6" s="114"/>
      <c r="TX6" s="114"/>
      <c r="TY6" s="114"/>
      <c r="TZ6" s="114"/>
      <c r="UA6" s="114"/>
      <c r="UB6" s="114"/>
      <c r="UC6" s="114"/>
      <c r="UD6" s="114"/>
      <c r="UE6" s="114"/>
      <c r="UF6" s="114"/>
      <c r="UG6" s="114"/>
      <c r="UH6" s="114"/>
      <c r="UI6" s="114"/>
      <c r="UJ6" s="114"/>
      <c r="UK6" s="114"/>
      <c r="UL6" s="114"/>
      <c r="UM6" s="114"/>
      <c r="UN6" s="114"/>
      <c r="UO6" s="114"/>
      <c r="UP6" s="114"/>
      <c r="UQ6" s="114"/>
      <c r="UR6" s="114"/>
      <c r="US6" s="114"/>
      <c r="UT6" s="114"/>
      <c r="UU6" s="114"/>
      <c r="UV6" s="114"/>
      <c r="UW6" s="114"/>
      <c r="UX6" s="114"/>
      <c r="UY6" s="114"/>
      <c r="UZ6" s="114"/>
      <c r="VA6" s="114"/>
      <c r="VB6" s="114"/>
      <c r="VC6" s="114"/>
      <c r="VD6" s="114"/>
      <c r="VE6" s="114"/>
      <c r="VF6" s="114"/>
      <c r="VG6" s="114"/>
      <c r="VH6" s="114"/>
      <c r="VI6" s="114"/>
      <c r="VJ6" s="114"/>
      <c r="VK6" s="114"/>
      <c r="VL6" s="114"/>
      <c r="VM6" s="114"/>
      <c r="VN6" s="114"/>
      <c r="VO6" s="114"/>
      <c r="VP6" s="114"/>
      <c r="VQ6" s="114"/>
      <c r="VR6" s="114"/>
      <c r="VS6" s="114"/>
      <c r="VT6" s="114"/>
      <c r="VU6" s="114"/>
      <c r="VV6" s="114"/>
      <c r="VW6" s="114"/>
      <c r="VX6" s="114"/>
      <c r="VY6" s="114"/>
      <c r="VZ6" s="114"/>
      <c r="WA6" s="114"/>
      <c r="WB6" s="114"/>
      <c r="WC6" s="114"/>
      <c r="WD6" s="114"/>
      <c r="WE6" s="114"/>
      <c r="WF6" s="114"/>
      <c r="WG6" s="114"/>
      <c r="WH6" s="114"/>
      <c r="WI6" s="114"/>
      <c r="WJ6" s="114"/>
      <c r="WK6" s="114"/>
      <c r="WL6" s="114"/>
      <c r="WM6" s="114"/>
      <c r="WN6" s="114"/>
      <c r="WO6" s="114"/>
      <c r="WP6" s="114"/>
      <c r="WQ6" s="114"/>
      <c r="WR6" s="114"/>
      <c r="WS6" s="114"/>
      <c r="WT6" s="114"/>
      <c r="WU6" s="114"/>
      <c r="WV6" s="114"/>
      <c r="WW6" s="114"/>
      <c r="WX6" s="114"/>
      <c r="WY6" s="114"/>
      <c r="WZ6" s="114"/>
      <c r="XA6" s="114"/>
      <c r="XB6" s="114"/>
      <c r="XC6" s="114"/>
      <c r="XD6" s="114"/>
      <c r="XE6" s="114"/>
      <c r="XF6" s="114"/>
      <c r="XG6" s="114"/>
      <c r="XH6" s="114"/>
      <c r="XI6" s="114"/>
      <c r="XJ6" s="114"/>
      <c r="XK6" s="114"/>
      <c r="XL6" s="114"/>
      <c r="XM6" s="114"/>
      <c r="XN6" s="114"/>
      <c r="XO6" s="114"/>
      <c r="XP6" s="114"/>
      <c r="XQ6" s="114"/>
      <c r="XR6" s="114"/>
      <c r="XS6" s="114"/>
      <c r="XT6" s="114"/>
      <c r="XU6" s="114"/>
      <c r="XV6" s="114"/>
      <c r="XW6" s="114"/>
      <c r="XX6" s="114"/>
      <c r="XY6" s="114"/>
      <c r="XZ6" s="114"/>
      <c r="YA6" s="114"/>
      <c r="YB6" s="114"/>
      <c r="YC6" s="114"/>
      <c r="YD6" s="114"/>
      <c r="YE6" s="114"/>
      <c r="YF6" s="114"/>
      <c r="YG6" s="114"/>
      <c r="YH6" s="114"/>
      <c r="YI6" s="114"/>
      <c r="YJ6" s="114"/>
      <c r="YK6" s="114"/>
      <c r="YL6" s="114"/>
      <c r="YM6" s="114"/>
      <c r="YN6" s="114"/>
      <c r="YO6" s="114"/>
      <c r="YP6" s="114"/>
      <c r="YQ6" s="114"/>
      <c r="YR6" s="114"/>
      <c r="YS6" s="114"/>
      <c r="YT6" s="114"/>
      <c r="YU6" s="114"/>
      <c r="YV6" s="114"/>
      <c r="YW6" s="114"/>
      <c r="YX6" s="114"/>
      <c r="YY6" s="114"/>
      <c r="YZ6" s="114"/>
      <c r="ZA6" s="114"/>
      <c r="ZB6" s="114"/>
      <c r="ZC6" s="114"/>
      <c r="ZD6" s="114"/>
      <c r="ZE6" s="114"/>
      <c r="ZF6" s="114"/>
      <c r="ZG6" s="114"/>
      <c r="ZH6" s="114"/>
      <c r="ZI6" s="114"/>
      <c r="ZJ6" s="114"/>
      <c r="ZK6" s="114"/>
      <c r="ZL6" s="114"/>
      <c r="ZM6" s="114"/>
      <c r="ZN6" s="114"/>
      <c r="ZO6" s="114"/>
      <c r="ZP6" s="114"/>
      <c r="ZQ6" s="114"/>
      <c r="ZR6" s="114"/>
      <c r="ZS6" s="114"/>
      <c r="ZT6" s="114"/>
      <c r="ZU6" s="114"/>
      <c r="ZV6" s="114"/>
      <c r="ZW6" s="114"/>
      <c r="ZX6" s="114"/>
      <c r="ZY6" s="114"/>
      <c r="ZZ6" s="114"/>
      <c r="AAA6" s="114"/>
      <c r="AAB6" s="114"/>
      <c r="AAC6" s="114"/>
      <c r="AAD6" s="114"/>
      <c r="AAE6" s="114"/>
      <c r="AAF6" s="114"/>
      <c r="AAG6" s="114"/>
      <c r="AAH6" s="114"/>
      <c r="AAI6" s="114"/>
      <c r="AAJ6" s="114"/>
      <c r="AAK6" s="114"/>
      <c r="AAL6" s="114"/>
      <c r="AAM6" s="114"/>
      <c r="AAN6" s="114"/>
      <c r="AAO6" s="114"/>
      <c r="AAP6" s="114"/>
      <c r="AAQ6" s="114"/>
      <c r="AAR6" s="114"/>
      <c r="AAS6" s="114"/>
      <c r="AAT6" s="114"/>
      <c r="AAU6" s="114"/>
      <c r="AAV6" s="114"/>
      <c r="AAW6" s="114"/>
      <c r="AAX6" s="114"/>
      <c r="AAY6" s="114"/>
      <c r="AAZ6" s="114"/>
      <c r="ABA6" s="114"/>
      <c r="ABB6" s="114"/>
      <c r="ABC6" s="114"/>
      <c r="ABD6" s="114"/>
      <c r="ABE6" s="114"/>
      <c r="ABF6" s="114"/>
      <c r="ABG6" s="114"/>
      <c r="ABH6" s="114"/>
      <c r="ABI6" s="114"/>
      <c r="ABJ6" s="114"/>
      <c r="ABK6" s="114"/>
      <c r="ABL6" s="114"/>
      <c r="ABM6" s="114"/>
      <c r="ABN6" s="114"/>
      <c r="ABO6" s="114"/>
      <c r="ABP6" s="114"/>
      <c r="ABQ6" s="114"/>
      <c r="ABR6" s="114"/>
      <c r="ABS6" s="114"/>
      <c r="ABT6" s="114"/>
      <c r="ABU6" s="114"/>
      <c r="ABV6" s="114"/>
      <c r="ABW6" s="114"/>
      <c r="ABX6" s="114"/>
      <c r="ABY6" s="114"/>
      <c r="ABZ6" s="114"/>
      <c r="ACA6" s="114"/>
      <c r="ACB6" s="114"/>
      <c r="ACC6" s="114"/>
      <c r="ACD6" s="114"/>
      <c r="ACE6" s="114"/>
      <c r="ACF6" s="114"/>
      <c r="ACG6" s="114"/>
      <c r="ACH6" s="114"/>
      <c r="ACI6" s="114"/>
      <c r="ACJ6" s="114"/>
      <c r="ACK6" s="114"/>
      <c r="ACL6" s="114"/>
      <c r="ACM6" s="114"/>
      <c r="ACN6" s="114"/>
      <c r="ACO6" s="114"/>
      <c r="ACP6" s="114"/>
      <c r="ACQ6" s="114"/>
      <c r="ACR6" s="114"/>
      <c r="ACS6" s="114"/>
      <c r="ACT6" s="114"/>
      <c r="ACU6" s="114"/>
      <c r="ACV6" s="114"/>
      <c r="ACW6" s="114"/>
      <c r="ACX6" s="114"/>
      <c r="ACY6" s="114"/>
      <c r="ACZ6" s="114"/>
      <c r="ADA6" s="114"/>
      <c r="ADB6" s="114"/>
      <c r="ADC6" s="114"/>
      <c r="ADD6" s="114"/>
      <c r="ADE6" s="114"/>
      <c r="ADF6" s="114"/>
      <c r="ADG6" s="114"/>
      <c r="ADH6" s="114"/>
      <c r="ADI6" s="114"/>
      <c r="ADJ6" s="114"/>
      <c r="ADK6" s="114"/>
      <c r="ADL6" s="114"/>
      <c r="ADM6" s="114"/>
      <c r="ADN6" s="114"/>
      <c r="ADO6" s="114"/>
      <c r="ADP6" s="114"/>
      <c r="ADQ6" s="114"/>
      <c r="ADR6" s="114"/>
      <c r="ADS6" s="114"/>
      <c r="ADT6" s="114"/>
      <c r="ADU6" s="114"/>
      <c r="ADV6" s="114"/>
      <c r="ADW6" s="114"/>
      <c r="ADX6" s="114"/>
      <c r="ADY6" s="114"/>
      <c r="ADZ6" s="114"/>
      <c r="AEA6" s="114"/>
      <c r="AEB6" s="114"/>
      <c r="AEC6" s="114"/>
      <c r="AED6" s="114"/>
      <c r="AEE6" s="114"/>
      <c r="AEF6" s="114"/>
      <c r="AEG6" s="114"/>
      <c r="AEH6" s="114"/>
      <c r="AEI6" s="114"/>
      <c r="AEJ6" s="114"/>
      <c r="AEK6" s="114"/>
      <c r="AEL6" s="114"/>
      <c r="AEM6" s="114"/>
      <c r="AEN6" s="114"/>
      <c r="AEO6" s="114"/>
      <c r="AEP6" s="114"/>
      <c r="AEQ6" s="114"/>
      <c r="AER6" s="114"/>
      <c r="AES6" s="114"/>
      <c r="AET6" s="114"/>
      <c r="AEU6" s="114"/>
      <c r="AEV6" s="114"/>
      <c r="AEW6" s="114"/>
      <c r="AEX6" s="114"/>
      <c r="AEY6" s="114"/>
      <c r="AEZ6" s="114"/>
      <c r="AFA6" s="114"/>
      <c r="AFB6" s="114"/>
      <c r="AFC6" s="114"/>
      <c r="AFD6" s="114"/>
      <c r="AFE6" s="114"/>
      <c r="AFF6" s="114"/>
      <c r="AFG6" s="114"/>
      <c r="AFH6" s="114"/>
      <c r="AFI6" s="114"/>
      <c r="AFJ6" s="114"/>
      <c r="AFK6" s="114"/>
      <c r="AFL6" s="114"/>
      <c r="AFM6" s="114"/>
      <c r="AFN6" s="114"/>
      <c r="AFO6" s="114"/>
      <c r="AFP6" s="114"/>
      <c r="AFQ6" s="114"/>
      <c r="AFR6" s="114"/>
      <c r="AFS6" s="114"/>
      <c r="AFT6" s="114"/>
      <c r="AFU6" s="114"/>
      <c r="AFV6" s="114"/>
      <c r="AFW6" s="114"/>
      <c r="AFX6" s="114"/>
      <c r="AFY6" s="114"/>
      <c r="AFZ6" s="114"/>
      <c r="AGA6" s="114"/>
      <c r="AGB6" s="114"/>
      <c r="AGC6" s="114"/>
      <c r="AGD6" s="114"/>
      <c r="AGE6" s="114"/>
      <c r="AGF6" s="114"/>
      <c r="AGG6" s="114"/>
      <c r="AGH6" s="114"/>
      <c r="AGI6" s="114"/>
      <c r="AGJ6" s="114"/>
      <c r="AGK6" s="114"/>
      <c r="AGL6" s="114"/>
      <c r="AGM6" s="114"/>
      <c r="AGN6" s="114"/>
      <c r="AGO6" s="114"/>
      <c r="AGP6" s="114"/>
      <c r="AGQ6" s="114"/>
      <c r="AGR6" s="114"/>
      <c r="AGS6" s="114"/>
      <c r="AGT6" s="114"/>
      <c r="AGU6" s="114"/>
      <c r="AGV6" s="114"/>
      <c r="AGW6" s="114"/>
      <c r="AGX6" s="114"/>
      <c r="AGY6" s="114"/>
      <c r="AGZ6" s="114"/>
      <c r="AHA6" s="114"/>
      <c r="AHB6" s="114"/>
      <c r="AHC6" s="114"/>
      <c r="AHD6" s="114"/>
      <c r="AHE6" s="114"/>
      <c r="AHF6" s="114"/>
      <c r="AHG6" s="114"/>
      <c r="AHH6" s="114"/>
      <c r="AHI6" s="114"/>
      <c r="AHJ6" s="114"/>
      <c r="AHK6" s="114"/>
      <c r="AHL6" s="114"/>
      <c r="AHM6" s="114"/>
      <c r="AHN6" s="114"/>
      <c r="AHO6" s="114"/>
      <c r="AHP6" s="114"/>
      <c r="AHQ6" s="114"/>
      <c r="AHR6" s="114"/>
      <c r="AHS6" s="114"/>
      <c r="AHT6" s="114"/>
      <c r="AHU6" s="114"/>
      <c r="AHV6" s="114"/>
      <c r="AHW6" s="114"/>
      <c r="AHX6" s="114"/>
      <c r="AHY6" s="114"/>
      <c r="AHZ6" s="114"/>
      <c r="AIA6" s="114"/>
      <c r="AIB6" s="114"/>
      <c r="AIC6" s="114"/>
      <c r="AID6" s="114"/>
      <c r="AIE6" s="114"/>
      <c r="AIF6" s="114"/>
      <c r="AIG6" s="114"/>
      <c r="AIH6" s="114"/>
      <c r="AII6" s="114"/>
      <c r="AIJ6" s="114"/>
      <c r="AIK6" s="114"/>
      <c r="AIL6" s="114"/>
      <c r="AIM6" s="114"/>
      <c r="AIN6" s="114"/>
      <c r="AIO6" s="114"/>
      <c r="AIP6" s="114"/>
      <c r="AIQ6" s="114"/>
      <c r="AIR6" s="114"/>
      <c r="AIS6" s="114"/>
      <c r="AIT6" s="114"/>
      <c r="AIU6" s="114"/>
      <c r="AIV6" s="114"/>
      <c r="AIW6" s="114"/>
      <c r="AIX6" s="114"/>
      <c r="AIY6" s="114"/>
      <c r="AIZ6" s="114"/>
      <c r="AJA6" s="114"/>
      <c r="AJB6" s="114"/>
      <c r="AJC6" s="114"/>
      <c r="AJD6" s="114"/>
      <c r="AJE6" s="114"/>
      <c r="AJF6" s="114"/>
      <c r="AJG6" s="114"/>
      <c r="AJH6" s="114"/>
      <c r="AJI6" s="114"/>
      <c r="AJJ6" s="114"/>
      <c r="AJK6" s="114"/>
      <c r="AJL6" s="114"/>
      <c r="AJM6" s="114"/>
      <c r="AJN6" s="114"/>
      <c r="AJO6" s="114"/>
      <c r="AJP6" s="114"/>
      <c r="AJQ6" s="114"/>
      <c r="AJR6" s="114"/>
      <c r="AJS6" s="114"/>
      <c r="AJT6" s="114"/>
      <c r="AJU6" s="114"/>
      <c r="AJV6" s="114"/>
      <c r="AJW6" s="114"/>
      <c r="AJX6" s="114"/>
      <c r="AJY6" s="114"/>
      <c r="AJZ6" s="114"/>
      <c r="AKA6" s="114"/>
      <c r="AKB6" s="114"/>
      <c r="AKC6" s="114"/>
      <c r="AKD6" s="114"/>
      <c r="AKE6" s="114"/>
      <c r="AKF6" s="114"/>
      <c r="AKG6" s="114"/>
      <c r="AKH6" s="114"/>
      <c r="AKI6" s="114"/>
      <c r="AKJ6" s="114"/>
      <c r="AKK6" s="114"/>
      <c r="AKL6" s="114"/>
      <c r="AKM6" s="114"/>
      <c r="AKN6" s="114"/>
      <c r="AKO6" s="114"/>
      <c r="AKP6" s="114"/>
      <c r="AKQ6" s="114"/>
      <c r="AKR6" s="114"/>
      <c r="AKS6" s="114"/>
      <c r="AKT6" s="114"/>
      <c r="AKU6" s="114"/>
      <c r="AKV6" s="114"/>
      <c r="AKW6" s="114"/>
      <c r="AKX6" s="114"/>
      <c r="AKY6" s="114"/>
    </row>
    <row r="7" spans="1:987" ht="15" customHeight="1" x14ac:dyDescent="0.3">
      <c r="A7" s="116"/>
      <c r="B7" s="117"/>
      <c r="C7" s="462"/>
      <c r="D7" s="138" t="s">
        <v>3062</v>
      </c>
      <c r="E7" s="139">
        <v>2</v>
      </c>
      <c r="F7" s="140">
        <v>90000</v>
      </c>
      <c r="G7" s="141">
        <f t="shared" si="0"/>
        <v>180000</v>
      </c>
      <c r="H7" s="146"/>
      <c r="I7" s="147"/>
      <c r="J7" s="144">
        <f>G7/2</f>
        <v>90000</v>
      </c>
      <c r="K7" s="143"/>
      <c r="L7" s="147"/>
      <c r="M7" s="147"/>
      <c r="N7" s="143"/>
      <c r="O7" s="144">
        <f>G7/2</f>
        <v>90000</v>
      </c>
      <c r="P7" s="147"/>
      <c r="Q7" s="147"/>
      <c r="R7" s="143"/>
      <c r="S7" s="145"/>
      <c r="T7" s="125"/>
    </row>
    <row r="8" spans="1:987" ht="15" customHeight="1" x14ac:dyDescent="0.3">
      <c r="A8" s="116"/>
      <c r="B8" s="117"/>
      <c r="C8" s="462"/>
      <c r="D8" s="138" t="s">
        <v>3063</v>
      </c>
      <c r="E8" s="139">
        <v>2</v>
      </c>
      <c r="F8" s="140">
        <v>13000</v>
      </c>
      <c r="G8" s="141">
        <f t="shared" si="0"/>
        <v>26000</v>
      </c>
      <c r="H8" s="146"/>
      <c r="I8" s="147"/>
      <c r="J8" s="144">
        <f>G8/2</f>
        <v>13000</v>
      </c>
      <c r="K8" s="143"/>
      <c r="L8" s="147"/>
      <c r="M8" s="147"/>
      <c r="N8" s="143"/>
      <c r="O8" s="144">
        <f>G8/2</f>
        <v>13000</v>
      </c>
      <c r="P8" s="147"/>
      <c r="Q8" s="147"/>
      <c r="R8" s="143"/>
      <c r="S8" s="145"/>
      <c r="T8" s="125"/>
    </row>
    <row r="9" spans="1:987" ht="15" customHeight="1" x14ac:dyDescent="0.3">
      <c r="A9" s="116"/>
      <c r="B9" s="117"/>
      <c r="C9" s="462"/>
      <c r="D9" s="118" t="s">
        <v>3064</v>
      </c>
      <c r="E9" s="119">
        <v>2</v>
      </c>
      <c r="F9" s="120">
        <v>12000</v>
      </c>
      <c r="G9" s="121">
        <f t="shared" si="0"/>
        <v>24000</v>
      </c>
      <c r="H9" s="122"/>
      <c r="I9" s="123"/>
      <c r="J9" s="148">
        <f>G9/2</f>
        <v>12000</v>
      </c>
      <c r="K9" s="149"/>
      <c r="L9" s="123"/>
      <c r="M9" s="123"/>
      <c r="N9" s="149"/>
      <c r="O9" s="148">
        <f>G9/2</f>
        <v>12000</v>
      </c>
      <c r="P9" s="123"/>
      <c r="Q9" s="123"/>
      <c r="R9" s="149"/>
      <c r="S9" s="150"/>
      <c r="T9" s="125"/>
    </row>
    <row r="10" spans="1:987" ht="15" customHeight="1" x14ac:dyDescent="0.3">
      <c r="A10" s="116"/>
      <c r="B10" s="117"/>
      <c r="C10" s="463"/>
      <c r="D10" s="464" t="s">
        <v>2830</v>
      </c>
      <c r="E10" s="465"/>
      <c r="F10" s="466"/>
      <c r="G10" s="127">
        <f>SUM(G5:G9)</f>
        <v>300000</v>
      </c>
      <c r="H10" s="128"/>
      <c r="I10" s="128"/>
      <c r="J10" s="128"/>
      <c r="K10" s="128"/>
      <c r="L10" s="128"/>
      <c r="M10" s="128"/>
      <c r="N10" s="128"/>
      <c r="O10" s="128"/>
      <c r="P10" s="128"/>
      <c r="Q10" s="128"/>
      <c r="R10" s="128"/>
      <c r="S10" s="129"/>
      <c r="T10" s="125"/>
    </row>
    <row r="11" spans="1:987" s="115" customFormat="1" ht="15" customHeight="1" x14ac:dyDescent="0.3">
      <c r="A11" s="103">
        <v>8470230</v>
      </c>
      <c r="B11" s="104">
        <v>426610</v>
      </c>
      <c r="C11" s="461" t="s">
        <v>3065</v>
      </c>
      <c r="D11" s="151" t="s">
        <v>3065</v>
      </c>
      <c r="E11" s="152">
        <v>1</v>
      </c>
      <c r="F11" s="153">
        <v>10000</v>
      </c>
      <c r="G11" s="154">
        <f>E11*F11</f>
        <v>10000</v>
      </c>
      <c r="H11" s="155">
        <f>G11/12</f>
        <v>833.33333333333337</v>
      </c>
      <c r="I11" s="156">
        <f>G11/12</f>
        <v>833.33333333333337</v>
      </c>
      <c r="J11" s="156">
        <f>G11/12</f>
        <v>833.33333333333337</v>
      </c>
      <c r="K11" s="156">
        <f>G11/12</f>
        <v>833.33333333333337</v>
      </c>
      <c r="L11" s="156">
        <f>G11/12</f>
        <v>833.33333333333337</v>
      </c>
      <c r="M11" s="156">
        <f>G11/12</f>
        <v>833.33333333333337</v>
      </c>
      <c r="N11" s="156">
        <f>G11/12</f>
        <v>833.33333333333337</v>
      </c>
      <c r="O11" s="156">
        <f>G11/12</f>
        <v>833.33333333333337</v>
      </c>
      <c r="P11" s="156">
        <f>G11/12</f>
        <v>833.33333333333337</v>
      </c>
      <c r="Q11" s="156">
        <f>G11/12</f>
        <v>833.33333333333337</v>
      </c>
      <c r="R11" s="156">
        <f>G11/12</f>
        <v>833.33333333333337</v>
      </c>
      <c r="S11" s="157">
        <f>G11/12</f>
        <v>833.33333333333337</v>
      </c>
      <c r="T11" s="125"/>
      <c r="U11" s="114"/>
      <c r="V11" s="114"/>
      <c r="W11" s="114"/>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4"/>
      <c r="AY11" s="114"/>
      <c r="AZ11" s="114"/>
      <c r="BA11" s="114"/>
      <c r="BB11" s="114"/>
      <c r="BC11" s="114"/>
      <c r="BD11" s="114"/>
      <c r="BE11" s="114"/>
      <c r="BF11" s="114"/>
      <c r="BG11" s="114"/>
      <c r="BH11" s="114"/>
      <c r="BI11" s="114"/>
      <c r="BJ11" s="114"/>
      <c r="BK11" s="114"/>
      <c r="BL11" s="114"/>
      <c r="BM11" s="114"/>
      <c r="BN11" s="114"/>
      <c r="BO11" s="114"/>
      <c r="BP11" s="114"/>
      <c r="BQ11" s="114"/>
      <c r="BR11" s="114"/>
      <c r="BS11" s="114"/>
      <c r="BT11" s="114"/>
      <c r="BU11" s="114"/>
      <c r="BV11" s="114"/>
      <c r="BW11" s="114"/>
      <c r="BX11" s="114"/>
      <c r="BY11" s="114"/>
      <c r="BZ11" s="114"/>
      <c r="CA11" s="114"/>
      <c r="CB11" s="114"/>
      <c r="CC11" s="114"/>
      <c r="CD11" s="114"/>
      <c r="CE11" s="114"/>
      <c r="CF11" s="114"/>
      <c r="CG11" s="114"/>
      <c r="CH11" s="114"/>
      <c r="CI11" s="114"/>
      <c r="CJ11" s="114"/>
      <c r="CK11" s="114"/>
      <c r="CL11" s="114"/>
      <c r="CM11" s="114"/>
      <c r="CN11" s="114"/>
      <c r="CO11" s="114"/>
      <c r="CP11" s="114"/>
      <c r="CQ11" s="114"/>
      <c r="CR11" s="114"/>
      <c r="CS11" s="114"/>
      <c r="CT11" s="114"/>
      <c r="CU11" s="114"/>
      <c r="CV11" s="114"/>
      <c r="CW11" s="114"/>
      <c r="CX11" s="114"/>
      <c r="CY11" s="114"/>
      <c r="CZ11" s="114"/>
      <c r="DA11" s="114"/>
      <c r="DB11" s="114"/>
      <c r="DC11" s="114"/>
      <c r="DD11" s="114"/>
      <c r="DE11" s="114"/>
      <c r="DF11" s="114"/>
      <c r="DG11" s="114"/>
      <c r="DH11" s="114"/>
      <c r="DI11" s="114"/>
      <c r="DJ11" s="114"/>
      <c r="DK11" s="114"/>
      <c r="DL11" s="114"/>
      <c r="DM11" s="114"/>
      <c r="DN11" s="114"/>
      <c r="DO11" s="114"/>
      <c r="DP11" s="114"/>
      <c r="DQ11" s="114"/>
      <c r="DR11" s="114"/>
      <c r="DS11" s="114"/>
      <c r="DT11" s="114"/>
      <c r="DU11" s="114"/>
      <c r="DV11" s="114"/>
      <c r="DW11" s="114"/>
      <c r="DX11" s="114"/>
      <c r="DY11" s="114"/>
      <c r="DZ11" s="114"/>
      <c r="EA11" s="114"/>
      <c r="EB11" s="114"/>
      <c r="EC11" s="114"/>
      <c r="ED11" s="114"/>
      <c r="EE11" s="114"/>
      <c r="EF11" s="114"/>
      <c r="EG11" s="114"/>
      <c r="EH11" s="114"/>
      <c r="EI11" s="114"/>
      <c r="EJ11" s="114"/>
      <c r="EK11" s="114"/>
      <c r="EL11" s="114"/>
      <c r="EM11" s="114"/>
      <c r="EN11" s="114"/>
      <c r="EO11" s="114"/>
      <c r="EP11" s="114"/>
      <c r="EQ11" s="114"/>
      <c r="ER11" s="114"/>
      <c r="ES11" s="114"/>
      <c r="ET11" s="114"/>
      <c r="EU11" s="114"/>
      <c r="EV11" s="114"/>
      <c r="EW11" s="114"/>
      <c r="EX11" s="114"/>
      <c r="EY11" s="114"/>
      <c r="EZ11" s="114"/>
      <c r="FA11" s="114"/>
      <c r="FB11" s="114"/>
      <c r="FC11" s="114"/>
      <c r="FD11" s="114"/>
      <c r="FE11" s="114"/>
      <c r="FF11" s="114"/>
      <c r="FG11" s="114"/>
      <c r="FH11" s="114"/>
      <c r="FI11" s="114"/>
      <c r="FJ11" s="114"/>
      <c r="FK11" s="114"/>
      <c r="FL11" s="114"/>
      <c r="FM11" s="114"/>
      <c r="FN11" s="114"/>
      <c r="FO11" s="114"/>
      <c r="FP11" s="114"/>
      <c r="FQ11" s="114"/>
      <c r="FR11" s="114"/>
      <c r="FS11" s="114"/>
      <c r="FT11" s="114"/>
      <c r="FU11" s="114"/>
      <c r="FV11" s="114"/>
      <c r="FW11" s="114"/>
      <c r="FX11" s="114"/>
      <c r="FY11" s="114"/>
      <c r="FZ11" s="114"/>
      <c r="GA11" s="114"/>
      <c r="GB11" s="114"/>
      <c r="GC11" s="114"/>
      <c r="GD11" s="114"/>
      <c r="GE11" s="114"/>
      <c r="GF11" s="114"/>
      <c r="GG11" s="114"/>
      <c r="GH11" s="114"/>
      <c r="GI11" s="114"/>
      <c r="GJ11" s="114"/>
      <c r="GK11" s="114"/>
      <c r="GL11" s="114"/>
      <c r="GM11" s="114"/>
      <c r="GN11" s="114"/>
      <c r="GO11" s="114"/>
      <c r="GP11" s="114"/>
      <c r="GQ11" s="114"/>
      <c r="GR11" s="114"/>
      <c r="GS11" s="114"/>
      <c r="GT11" s="114"/>
      <c r="GU11" s="114"/>
      <c r="GV11" s="114"/>
      <c r="GW11" s="114"/>
      <c r="GX11" s="114"/>
      <c r="GY11" s="114"/>
      <c r="GZ11" s="114"/>
      <c r="HA11" s="114"/>
      <c r="HB11" s="114"/>
      <c r="HC11" s="114"/>
      <c r="HD11" s="114"/>
      <c r="HE11" s="114"/>
      <c r="HF11" s="114"/>
      <c r="HG11" s="114"/>
      <c r="HH11" s="114"/>
      <c r="HI11" s="114"/>
      <c r="HJ11" s="114"/>
      <c r="HK11" s="114"/>
      <c r="HL11" s="114"/>
      <c r="HM11" s="114"/>
      <c r="HN11" s="114"/>
      <c r="HO11" s="114"/>
      <c r="HP11" s="114"/>
      <c r="HQ11" s="114"/>
      <c r="HR11" s="114"/>
      <c r="HS11" s="114"/>
      <c r="HT11" s="114"/>
      <c r="HU11" s="114"/>
      <c r="HV11" s="114"/>
      <c r="HW11" s="114"/>
      <c r="HX11" s="114"/>
      <c r="HY11" s="114"/>
      <c r="HZ11" s="114"/>
      <c r="IA11" s="114"/>
      <c r="IB11" s="114"/>
      <c r="IC11" s="114"/>
      <c r="ID11" s="114"/>
      <c r="IE11" s="114"/>
      <c r="IF11" s="114"/>
      <c r="IG11" s="114"/>
      <c r="IH11" s="114"/>
      <c r="II11" s="114"/>
      <c r="IJ11" s="114"/>
      <c r="IK11" s="114"/>
      <c r="IL11" s="114"/>
      <c r="IM11" s="114"/>
      <c r="IN11" s="114"/>
      <c r="IO11" s="114"/>
      <c r="IP11" s="114"/>
      <c r="IQ11" s="114"/>
      <c r="IR11" s="114"/>
      <c r="IS11" s="114"/>
      <c r="IT11" s="114"/>
      <c r="IU11" s="114"/>
      <c r="IV11" s="114"/>
      <c r="IW11" s="114"/>
      <c r="IX11" s="114"/>
      <c r="IY11" s="114"/>
      <c r="IZ11" s="114"/>
      <c r="JA11" s="114"/>
      <c r="JB11" s="114"/>
      <c r="JC11" s="114"/>
      <c r="JD11" s="114"/>
      <c r="JE11" s="114"/>
      <c r="JF11" s="114"/>
      <c r="JG11" s="114"/>
      <c r="JH11" s="114"/>
      <c r="JI11" s="114"/>
      <c r="JJ11" s="114"/>
      <c r="JK11" s="114"/>
      <c r="JL11" s="114"/>
      <c r="JM11" s="114"/>
      <c r="JN11" s="114"/>
      <c r="JO11" s="114"/>
      <c r="JP11" s="114"/>
      <c r="JQ11" s="114"/>
      <c r="JR11" s="114"/>
      <c r="JS11" s="114"/>
      <c r="JT11" s="114"/>
      <c r="JU11" s="114"/>
      <c r="JV11" s="114"/>
      <c r="JW11" s="114"/>
      <c r="JX11" s="114"/>
      <c r="JY11" s="114"/>
      <c r="JZ11" s="114"/>
      <c r="KA11" s="114"/>
      <c r="KB11" s="114"/>
      <c r="KC11" s="114"/>
      <c r="KD11" s="114"/>
      <c r="KE11" s="114"/>
      <c r="KF11" s="114"/>
      <c r="KG11" s="114"/>
      <c r="KH11" s="114"/>
      <c r="KI11" s="114"/>
      <c r="KJ11" s="114"/>
      <c r="KK11" s="114"/>
      <c r="KL11" s="114"/>
      <c r="KM11" s="114"/>
      <c r="KN11" s="114"/>
      <c r="KO11" s="114"/>
      <c r="KP11" s="114"/>
      <c r="KQ11" s="114"/>
      <c r="KR11" s="114"/>
      <c r="KS11" s="114"/>
      <c r="KT11" s="114"/>
      <c r="KU11" s="114"/>
      <c r="KV11" s="114"/>
      <c r="KW11" s="114"/>
      <c r="KX11" s="114"/>
      <c r="KY11" s="114"/>
      <c r="KZ11" s="114"/>
      <c r="LA11" s="114"/>
      <c r="LB11" s="114"/>
      <c r="LC11" s="114"/>
      <c r="LD11" s="114"/>
      <c r="LE11" s="114"/>
      <c r="LF11" s="114"/>
      <c r="LG11" s="114"/>
      <c r="LH11" s="114"/>
      <c r="LI11" s="114"/>
      <c r="LJ11" s="114"/>
      <c r="LK11" s="114"/>
      <c r="LL11" s="114"/>
      <c r="LM11" s="114"/>
      <c r="LN11" s="114"/>
      <c r="LO11" s="114"/>
      <c r="LP11" s="114"/>
      <c r="LQ11" s="114"/>
      <c r="LR11" s="114"/>
      <c r="LS11" s="114"/>
      <c r="LT11" s="114"/>
      <c r="LU11" s="114"/>
      <c r="LV11" s="114"/>
      <c r="LW11" s="114"/>
      <c r="LX11" s="114"/>
      <c r="LY11" s="114"/>
      <c r="LZ11" s="114"/>
      <c r="MA11" s="114"/>
      <c r="MB11" s="114"/>
      <c r="MC11" s="114"/>
      <c r="MD11" s="114"/>
      <c r="ME11" s="114"/>
      <c r="MF11" s="114"/>
      <c r="MG11" s="114"/>
      <c r="MH11" s="114"/>
      <c r="MI11" s="114"/>
      <c r="MJ11" s="114"/>
      <c r="MK11" s="114"/>
      <c r="ML11" s="114"/>
      <c r="MM11" s="114"/>
      <c r="MN11" s="114"/>
      <c r="MO11" s="114"/>
      <c r="MP11" s="114"/>
      <c r="MQ11" s="114"/>
      <c r="MR11" s="114"/>
      <c r="MS11" s="114"/>
      <c r="MT11" s="114"/>
      <c r="MU11" s="114"/>
      <c r="MV11" s="114"/>
      <c r="MW11" s="114"/>
      <c r="MX11" s="114"/>
      <c r="MY11" s="114"/>
      <c r="MZ11" s="114"/>
      <c r="NA11" s="114"/>
      <c r="NB11" s="114"/>
      <c r="NC11" s="114"/>
      <c r="ND11" s="114"/>
      <c r="NE11" s="114"/>
      <c r="NF11" s="114"/>
      <c r="NG11" s="114"/>
      <c r="NH11" s="114"/>
      <c r="NI11" s="114"/>
      <c r="NJ11" s="114"/>
      <c r="NK11" s="114"/>
      <c r="NL11" s="114"/>
      <c r="NM11" s="114"/>
      <c r="NN11" s="114"/>
      <c r="NO11" s="114"/>
      <c r="NP11" s="114"/>
      <c r="NQ11" s="114"/>
      <c r="NR11" s="114"/>
      <c r="NS11" s="114"/>
      <c r="NT11" s="114"/>
      <c r="NU11" s="114"/>
      <c r="NV11" s="114"/>
      <c r="NW11" s="114"/>
      <c r="NX11" s="114"/>
      <c r="NY11" s="114"/>
      <c r="NZ11" s="114"/>
      <c r="OA11" s="114"/>
      <c r="OB11" s="114"/>
      <c r="OC11" s="114"/>
      <c r="OD11" s="114"/>
      <c r="OE11" s="114"/>
      <c r="OF11" s="114"/>
      <c r="OG11" s="114"/>
      <c r="OH11" s="114"/>
      <c r="OI11" s="114"/>
      <c r="OJ11" s="114"/>
      <c r="OK11" s="114"/>
      <c r="OL11" s="114"/>
      <c r="OM11" s="114"/>
      <c r="ON11" s="114"/>
      <c r="OO11" s="114"/>
      <c r="OP11" s="114"/>
      <c r="OQ11" s="114"/>
      <c r="OR11" s="114"/>
      <c r="OS11" s="114"/>
      <c r="OT11" s="114"/>
      <c r="OU11" s="114"/>
      <c r="OV11" s="114"/>
      <c r="OW11" s="114"/>
      <c r="OX11" s="114"/>
      <c r="OY11" s="114"/>
      <c r="OZ11" s="114"/>
      <c r="PA11" s="114"/>
      <c r="PB11" s="114"/>
      <c r="PC11" s="114"/>
      <c r="PD11" s="114"/>
      <c r="PE11" s="114"/>
      <c r="PF11" s="114"/>
      <c r="PG11" s="114"/>
      <c r="PH11" s="114"/>
      <c r="PI11" s="114"/>
      <c r="PJ11" s="114"/>
      <c r="PK11" s="114"/>
      <c r="PL11" s="114"/>
      <c r="PM11" s="114"/>
      <c r="PN11" s="114"/>
      <c r="PO11" s="114"/>
      <c r="PP11" s="114"/>
      <c r="PQ11" s="114"/>
      <c r="PR11" s="114"/>
      <c r="PS11" s="114"/>
      <c r="PT11" s="114"/>
      <c r="PU11" s="114"/>
      <c r="PV11" s="114"/>
      <c r="PW11" s="114"/>
      <c r="PX11" s="114"/>
      <c r="PY11" s="114"/>
      <c r="PZ11" s="114"/>
      <c r="QA11" s="114"/>
      <c r="QB11" s="114"/>
      <c r="QC11" s="114"/>
      <c r="QD11" s="114"/>
      <c r="QE11" s="114"/>
      <c r="QF11" s="114"/>
      <c r="QG11" s="114"/>
      <c r="QH11" s="114"/>
      <c r="QI11" s="114"/>
      <c r="QJ11" s="114"/>
      <c r="QK11" s="114"/>
      <c r="QL11" s="114"/>
      <c r="QM11" s="114"/>
      <c r="QN11" s="114"/>
      <c r="QO11" s="114"/>
      <c r="QP11" s="114"/>
      <c r="QQ11" s="114"/>
      <c r="QR11" s="114"/>
      <c r="QS11" s="114"/>
      <c r="QT11" s="114"/>
      <c r="QU11" s="114"/>
      <c r="QV11" s="114"/>
      <c r="QW11" s="114"/>
      <c r="QX11" s="114"/>
      <c r="QY11" s="114"/>
      <c r="QZ11" s="114"/>
      <c r="RA11" s="114"/>
      <c r="RB11" s="114"/>
      <c r="RC11" s="114"/>
      <c r="RD11" s="114"/>
      <c r="RE11" s="114"/>
      <c r="RF11" s="114"/>
      <c r="RG11" s="114"/>
      <c r="RH11" s="114"/>
      <c r="RI11" s="114"/>
      <c r="RJ11" s="114"/>
      <c r="RK11" s="114"/>
      <c r="RL11" s="114"/>
      <c r="RM11" s="114"/>
      <c r="RN11" s="114"/>
      <c r="RO11" s="114"/>
      <c r="RP11" s="114"/>
      <c r="RQ11" s="114"/>
      <c r="RR11" s="114"/>
      <c r="RS11" s="114"/>
      <c r="RT11" s="114"/>
      <c r="RU11" s="114"/>
      <c r="RV11" s="114"/>
      <c r="RW11" s="114"/>
      <c r="RX11" s="114"/>
      <c r="RY11" s="114"/>
      <c r="RZ11" s="114"/>
      <c r="SA11" s="114"/>
      <c r="SB11" s="114"/>
      <c r="SC11" s="114"/>
      <c r="SD11" s="114"/>
      <c r="SE11" s="114"/>
      <c r="SF11" s="114"/>
      <c r="SG11" s="114"/>
      <c r="SH11" s="114"/>
      <c r="SI11" s="114"/>
      <c r="SJ11" s="114"/>
      <c r="SK11" s="114"/>
      <c r="SL11" s="114"/>
      <c r="SM11" s="114"/>
      <c r="SN11" s="114"/>
      <c r="SO11" s="114"/>
      <c r="SP11" s="114"/>
      <c r="SQ11" s="114"/>
      <c r="SR11" s="114"/>
      <c r="SS11" s="114"/>
      <c r="ST11" s="114"/>
      <c r="SU11" s="114"/>
      <c r="SV11" s="114"/>
      <c r="SW11" s="114"/>
      <c r="SX11" s="114"/>
      <c r="SY11" s="114"/>
      <c r="SZ11" s="114"/>
      <c r="TA11" s="114"/>
      <c r="TB11" s="114"/>
      <c r="TC11" s="114"/>
      <c r="TD11" s="114"/>
      <c r="TE11" s="114"/>
      <c r="TF11" s="114"/>
      <c r="TG11" s="114"/>
      <c r="TH11" s="114"/>
      <c r="TI11" s="114"/>
      <c r="TJ11" s="114"/>
      <c r="TK11" s="114"/>
      <c r="TL11" s="114"/>
      <c r="TM11" s="114"/>
      <c r="TN11" s="114"/>
      <c r="TO11" s="114"/>
      <c r="TP11" s="114"/>
      <c r="TQ11" s="114"/>
      <c r="TR11" s="114"/>
      <c r="TS11" s="114"/>
      <c r="TT11" s="114"/>
      <c r="TU11" s="114"/>
      <c r="TV11" s="114"/>
      <c r="TW11" s="114"/>
      <c r="TX11" s="114"/>
      <c r="TY11" s="114"/>
      <c r="TZ11" s="114"/>
      <c r="UA11" s="114"/>
      <c r="UB11" s="114"/>
      <c r="UC11" s="114"/>
      <c r="UD11" s="114"/>
      <c r="UE11" s="114"/>
      <c r="UF11" s="114"/>
      <c r="UG11" s="114"/>
      <c r="UH11" s="114"/>
      <c r="UI11" s="114"/>
      <c r="UJ11" s="114"/>
      <c r="UK11" s="114"/>
      <c r="UL11" s="114"/>
      <c r="UM11" s="114"/>
      <c r="UN11" s="114"/>
      <c r="UO11" s="114"/>
      <c r="UP11" s="114"/>
      <c r="UQ11" s="114"/>
      <c r="UR11" s="114"/>
      <c r="US11" s="114"/>
      <c r="UT11" s="114"/>
      <c r="UU11" s="114"/>
      <c r="UV11" s="114"/>
      <c r="UW11" s="114"/>
      <c r="UX11" s="114"/>
      <c r="UY11" s="114"/>
      <c r="UZ11" s="114"/>
      <c r="VA11" s="114"/>
      <c r="VB11" s="114"/>
      <c r="VC11" s="114"/>
      <c r="VD11" s="114"/>
      <c r="VE11" s="114"/>
      <c r="VF11" s="114"/>
      <c r="VG11" s="114"/>
      <c r="VH11" s="114"/>
      <c r="VI11" s="114"/>
      <c r="VJ11" s="114"/>
      <c r="VK11" s="114"/>
      <c r="VL11" s="114"/>
      <c r="VM11" s="114"/>
      <c r="VN11" s="114"/>
      <c r="VO11" s="114"/>
      <c r="VP11" s="114"/>
      <c r="VQ11" s="114"/>
      <c r="VR11" s="114"/>
      <c r="VS11" s="114"/>
      <c r="VT11" s="114"/>
      <c r="VU11" s="114"/>
      <c r="VV11" s="114"/>
      <c r="VW11" s="114"/>
      <c r="VX11" s="114"/>
      <c r="VY11" s="114"/>
      <c r="VZ11" s="114"/>
      <c r="WA11" s="114"/>
      <c r="WB11" s="114"/>
      <c r="WC11" s="114"/>
      <c r="WD11" s="114"/>
      <c r="WE11" s="114"/>
      <c r="WF11" s="114"/>
      <c r="WG11" s="114"/>
      <c r="WH11" s="114"/>
      <c r="WI11" s="114"/>
      <c r="WJ11" s="114"/>
      <c r="WK11" s="114"/>
      <c r="WL11" s="114"/>
      <c r="WM11" s="114"/>
      <c r="WN11" s="114"/>
      <c r="WO11" s="114"/>
      <c r="WP11" s="114"/>
      <c r="WQ11" s="114"/>
      <c r="WR11" s="114"/>
      <c r="WS11" s="114"/>
      <c r="WT11" s="114"/>
      <c r="WU11" s="114"/>
      <c r="WV11" s="114"/>
      <c r="WW11" s="114"/>
      <c r="WX11" s="114"/>
      <c r="WY11" s="114"/>
      <c r="WZ11" s="114"/>
      <c r="XA11" s="114"/>
      <c r="XB11" s="114"/>
      <c r="XC11" s="114"/>
      <c r="XD11" s="114"/>
      <c r="XE11" s="114"/>
      <c r="XF11" s="114"/>
      <c r="XG11" s="114"/>
      <c r="XH11" s="114"/>
      <c r="XI11" s="114"/>
      <c r="XJ11" s="114"/>
      <c r="XK11" s="114"/>
      <c r="XL11" s="114"/>
      <c r="XM11" s="114"/>
      <c r="XN11" s="114"/>
      <c r="XO11" s="114"/>
      <c r="XP11" s="114"/>
      <c r="XQ11" s="114"/>
      <c r="XR11" s="114"/>
      <c r="XS11" s="114"/>
      <c r="XT11" s="114"/>
      <c r="XU11" s="114"/>
      <c r="XV11" s="114"/>
      <c r="XW11" s="114"/>
      <c r="XX11" s="114"/>
      <c r="XY11" s="114"/>
      <c r="XZ11" s="114"/>
      <c r="YA11" s="114"/>
      <c r="YB11" s="114"/>
      <c r="YC11" s="114"/>
      <c r="YD11" s="114"/>
      <c r="YE11" s="114"/>
      <c r="YF11" s="114"/>
      <c r="YG11" s="114"/>
      <c r="YH11" s="114"/>
      <c r="YI11" s="114"/>
      <c r="YJ11" s="114"/>
      <c r="YK11" s="114"/>
      <c r="YL11" s="114"/>
      <c r="YM11" s="114"/>
      <c r="YN11" s="114"/>
      <c r="YO11" s="114"/>
      <c r="YP11" s="114"/>
      <c r="YQ11" s="114"/>
      <c r="YR11" s="114"/>
      <c r="YS11" s="114"/>
      <c r="YT11" s="114"/>
      <c r="YU11" s="114"/>
      <c r="YV11" s="114"/>
      <c r="YW11" s="114"/>
      <c r="YX11" s="114"/>
      <c r="YY11" s="114"/>
      <c r="YZ11" s="114"/>
      <c r="ZA11" s="114"/>
      <c r="ZB11" s="114"/>
      <c r="ZC11" s="114"/>
      <c r="ZD11" s="114"/>
      <c r="ZE11" s="114"/>
      <c r="ZF11" s="114"/>
      <c r="ZG11" s="114"/>
      <c r="ZH11" s="114"/>
      <c r="ZI11" s="114"/>
      <c r="ZJ11" s="114"/>
      <c r="ZK11" s="114"/>
      <c r="ZL11" s="114"/>
      <c r="ZM11" s="114"/>
      <c r="ZN11" s="114"/>
      <c r="ZO11" s="114"/>
      <c r="ZP11" s="114"/>
      <c r="ZQ11" s="114"/>
      <c r="ZR11" s="114"/>
      <c r="ZS11" s="114"/>
      <c r="ZT11" s="114"/>
      <c r="ZU11" s="114"/>
      <c r="ZV11" s="114"/>
      <c r="ZW11" s="114"/>
      <c r="ZX11" s="114"/>
      <c r="ZY11" s="114"/>
      <c r="ZZ11" s="114"/>
      <c r="AAA11" s="114"/>
      <c r="AAB11" s="114"/>
      <c r="AAC11" s="114"/>
      <c r="AAD11" s="114"/>
      <c r="AAE11" s="114"/>
      <c r="AAF11" s="114"/>
      <c r="AAG11" s="114"/>
      <c r="AAH11" s="114"/>
      <c r="AAI11" s="114"/>
      <c r="AAJ11" s="114"/>
      <c r="AAK11" s="114"/>
      <c r="AAL11" s="114"/>
      <c r="AAM11" s="114"/>
      <c r="AAN11" s="114"/>
      <c r="AAO11" s="114"/>
      <c r="AAP11" s="114"/>
      <c r="AAQ11" s="114"/>
      <c r="AAR11" s="114"/>
      <c r="AAS11" s="114"/>
      <c r="AAT11" s="114"/>
      <c r="AAU11" s="114"/>
      <c r="AAV11" s="114"/>
      <c r="AAW11" s="114"/>
      <c r="AAX11" s="114"/>
      <c r="AAY11" s="114"/>
      <c r="AAZ11" s="114"/>
      <c r="ABA11" s="114"/>
      <c r="ABB11" s="114"/>
      <c r="ABC11" s="114"/>
      <c r="ABD11" s="114"/>
      <c r="ABE11" s="114"/>
      <c r="ABF11" s="114"/>
      <c r="ABG11" s="114"/>
      <c r="ABH11" s="114"/>
      <c r="ABI11" s="114"/>
      <c r="ABJ11" s="114"/>
      <c r="ABK11" s="114"/>
      <c r="ABL11" s="114"/>
      <c r="ABM11" s="114"/>
      <c r="ABN11" s="114"/>
      <c r="ABO11" s="114"/>
      <c r="ABP11" s="114"/>
      <c r="ABQ11" s="114"/>
      <c r="ABR11" s="114"/>
      <c r="ABS11" s="114"/>
      <c r="ABT11" s="114"/>
      <c r="ABU11" s="114"/>
      <c r="ABV11" s="114"/>
      <c r="ABW11" s="114"/>
      <c r="ABX11" s="114"/>
      <c r="ABY11" s="114"/>
      <c r="ABZ11" s="114"/>
      <c r="ACA11" s="114"/>
      <c r="ACB11" s="114"/>
      <c r="ACC11" s="114"/>
      <c r="ACD11" s="114"/>
      <c r="ACE11" s="114"/>
      <c r="ACF11" s="114"/>
      <c r="ACG11" s="114"/>
      <c r="ACH11" s="114"/>
      <c r="ACI11" s="114"/>
      <c r="ACJ11" s="114"/>
      <c r="ACK11" s="114"/>
      <c r="ACL11" s="114"/>
      <c r="ACM11" s="114"/>
      <c r="ACN11" s="114"/>
      <c r="ACO11" s="114"/>
      <c r="ACP11" s="114"/>
      <c r="ACQ11" s="114"/>
      <c r="ACR11" s="114"/>
      <c r="ACS11" s="114"/>
      <c r="ACT11" s="114"/>
      <c r="ACU11" s="114"/>
      <c r="ACV11" s="114"/>
      <c r="ACW11" s="114"/>
      <c r="ACX11" s="114"/>
      <c r="ACY11" s="114"/>
      <c r="ACZ11" s="114"/>
      <c r="ADA11" s="114"/>
      <c r="ADB11" s="114"/>
      <c r="ADC11" s="114"/>
      <c r="ADD11" s="114"/>
      <c r="ADE11" s="114"/>
      <c r="ADF11" s="114"/>
      <c r="ADG11" s="114"/>
      <c r="ADH11" s="114"/>
      <c r="ADI11" s="114"/>
      <c r="ADJ11" s="114"/>
      <c r="ADK11" s="114"/>
      <c r="ADL11" s="114"/>
      <c r="ADM11" s="114"/>
      <c r="ADN11" s="114"/>
      <c r="ADO11" s="114"/>
      <c r="ADP11" s="114"/>
      <c r="ADQ11" s="114"/>
      <c r="ADR11" s="114"/>
      <c r="ADS11" s="114"/>
      <c r="ADT11" s="114"/>
      <c r="ADU11" s="114"/>
      <c r="ADV11" s="114"/>
      <c r="ADW11" s="114"/>
      <c r="ADX11" s="114"/>
      <c r="ADY11" s="114"/>
      <c r="ADZ11" s="114"/>
      <c r="AEA11" s="114"/>
      <c r="AEB11" s="114"/>
      <c r="AEC11" s="114"/>
      <c r="AED11" s="114"/>
      <c r="AEE11" s="114"/>
      <c r="AEF11" s="114"/>
      <c r="AEG11" s="114"/>
      <c r="AEH11" s="114"/>
      <c r="AEI11" s="114"/>
      <c r="AEJ11" s="114"/>
      <c r="AEK11" s="114"/>
      <c r="AEL11" s="114"/>
      <c r="AEM11" s="114"/>
      <c r="AEN11" s="114"/>
      <c r="AEO11" s="114"/>
      <c r="AEP11" s="114"/>
      <c r="AEQ11" s="114"/>
      <c r="AER11" s="114"/>
      <c r="AES11" s="114"/>
      <c r="AET11" s="114"/>
      <c r="AEU11" s="114"/>
      <c r="AEV11" s="114"/>
      <c r="AEW11" s="114"/>
      <c r="AEX11" s="114"/>
      <c r="AEY11" s="114"/>
      <c r="AEZ11" s="114"/>
      <c r="AFA11" s="114"/>
      <c r="AFB11" s="114"/>
      <c r="AFC11" s="114"/>
      <c r="AFD11" s="114"/>
      <c r="AFE11" s="114"/>
      <c r="AFF11" s="114"/>
      <c r="AFG11" s="114"/>
      <c r="AFH11" s="114"/>
      <c r="AFI11" s="114"/>
      <c r="AFJ11" s="114"/>
      <c r="AFK11" s="114"/>
      <c r="AFL11" s="114"/>
      <c r="AFM11" s="114"/>
      <c r="AFN11" s="114"/>
      <c r="AFO11" s="114"/>
      <c r="AFP11" s="114"/>
      <c r="AFQ11" s="114"/>
      <c r="AFR11" s="114"/>
      <c r="AFS11" s="114"/>
      <c r="AFT11" s="114"/>
      <c r="AFU11" s="114"/>
      <c r="AFV11" s="114"/>
      <c r="AFW11" s="114"/>
      <c r="AFX11" s="114"/>
      <c r="AFY11" s="114"/>
      <c r="AFZ11" s="114"/>
      <c r="AGA11" s="114"/>
      <c r="AGB11" s="114"/>
      <c r="AGC11" s="114"/>
      <c r="AGD11" s="114"/>
      <c r="AGE11" s="114"/>
      <c r="AGF11" s="114"/>
      <c r="AGG11" s="114"/>
      <c r="AGH11" s="114"/>
      <c r="AGI11" s="114"/>
      <c r="AGJ11" s="114"/>
      <c r="AGK11" s="114"/>
      <c r="AGL11" s="114"/>
      <c r="AGM11" s="114"/>
      <c r="AGN11" s="114"/>
      <c r="AGO11" s="114"/>
      <c r="AGP11" s="114"/>
      <c r="AGQ11" s="114"/>
      <c r="AGR11" s="114"/>
      <c r="AGS11" s="114"/>
      <c r="AGT11" s="114"/>
      <c r="AGU11" s="114"/>
      <c r="AGV11" s="114"/>
      <c r="AGW11" s="114"/>
      <c r="AGX11" s="114"/>
      <c r="AGY11" s="114"/>
      <c r="AGZ11" s="114"/>
      <c r="AHA11" s="114"/>
      <c r="AHB11" s="114"/>
      <c r="AHC11" s="114"/>
      <c r="AHD11" s="114"/>
      <c r="AHE11" s="114"/>
      <c r="AHF11" s="114"/>
      <c r="AHG11" s="114"/>
      <c r="AHH11" s="114"/>
      <c r="AHI11" s="114"/>
      <c r="AHJ11" s="114"/>
      <c r="AHK11" s="114"/>
      <c r="AHL11" s="114"/>
      <c r="AHM11" s="114"/>
      <c r="AHN11" s="114"/>
      <c r="AHO11" s="114"/>
      <c r="AHP11" s="114"/>
      <c r="AHQ11" s="114"/>
      <c r="AHR11" s="114"/>
      <c r="AHS11" s="114"/>
      <c r="AHT11" s="114"/>
      <c r="AHU11" s="114"/>
      <c r="AHV11" s="114"/>
      <c r="AHW11" s="114"/>
      <c r="AHX11" s="114"/>
      <c r="AHY11" s="114"/>
      <c r="AHZ11" s="114"/>
      <c r="AIA11" s="114"/>
      <c r="AIB11" s="114"/>
      <c r="AIC11" s="114"/>
      <c r="AID11" s="114"/>
      <c r="AIE11" s="114"/>
      <c r="AIF11" s="114"/>
      <c r="AIG11" s="114"/>
      <c r="AIH11" s="114"/>
      <c r="AII11" s="114"/>
      <c r="AIJ11" s="114"/>
      <c r="AIK11" s="114"/>
      <c r="AIL11" s="114"/>
      <c r="AIM11" s="114"/>
      <c r="AIN11" s="114"/>
      <c r="AIO11" s="114"/>
      <c r="AIP11" s="114"/>
      <c r="AIQ11" s="114"/>
      <c r="AIR11" s="114"/>
      <c r="AIS11" s="114"/>
      <c r="AIT11" s="114"/>
      <c r="AIU11" s="114"/>
      <c r="AIV11" s="114"/>
      <c r="AIW11" s="114"/>
      <c r="AIX11" s="114"/>
      <c r="AIY11" s="114"/>
      <c r="AIZ11" s="114"/>
      <c r="AJA11" s="114"/>
      <c r="AJB11" s="114"/>
      <c r="AJC11" s="114"/>
      <c r="AJD11" s="114"/>
      <c r="AJE11" s="114"/>
      <c r="AJF11" s="114"/>
      <c r="AJG11" s="114"/>
      <c r="AJH11" s="114"/>
      <c r="AJI11" s="114"/>
      <c r="AJJ11" s="114"/>
      <c r="AJK11" s="114"/>
      <c r="AJL11" s="114"/>
      <c r="AJM11" s="114"/>
      <c r="AJN11" s="114"/>
      <c r="AJO11" s="114"/>
      <c r="AJP11" s="114"/>
      <c r="AJQ11" s="114"/>
      <c r="AJR11" s="114"/>
      <c r="AJS11" s="114"/>
      <c r="AJT11" s="114"/>
      <c r="AJU11" s="114"/>
      <c r="AJV11" s="114"/>
      <c r="AJW11" s="114"/>
      <c r="AJX11" s="114"/>
      <c r="AJY11" s="114"/>
      <c r="AJZ11" s="114"/>
      <c r="AKA11" s="114"/>
      <c r="AKB11" s="114"/>
      <c r="AKC11" s="114"/>
      <c r="AKD11" s="114"/>
      <c r="AKE11" s="114"/>
      <c r="AKF11" s="114"/>
      <c r="AKG11" s="114"/>
      <c r="AKH11" s="114"/>
      <c r="AKI11" s="114"/>
      <c r="AKJ11" s="114"/>
      <c r="AKK11" s="114"/>
      <c r="AKL11" s="114"/>
      <c r="AKM11" s="114"/>
      <c r="AKN11" s="114"/>
      <c r="AKO11" s="114"/>
      <c r="AKP11" s="114"/>
      <c r="AKQ11" s="114"/>
      <c r="AKR11" s="114"/>
      <c r="AKS11" s="114"/>
      <c r="AKT11" s="114"/>
      <c r="AKU11" s="114"/>
      <c r="AKV11" s="114"/>
      <c r="AKW11" s="114"/>
      <c r="AKX11" s="114"/>
      <c r="AKY11" s="114"/>
    </row>
    <row r="12" spans="1:987" s="115" customFormat="1" ht="15" customHeight="1" x14ac:dyDescent="0.3">
      <c r="A12" s="158"/>
      <c r="B12" s="159"/>
      <c r="C12" s="463"/>
      <c r="D12" s="464" t="s">
        <v>2829</v>
      </c>
      <c r="E12" s="465"/>
      <c r="F12" s="466"/>
      <c r="G12" s="127">
        <f>SUM(G11)</f>
        <v>10000</v>
      </c>
      <c r="H12" s="128"/>
      <c r="I12" s="128"/>
      <c r="J12" s="128"/>
      <c r="K12" s="128"/>
      <c r="L12" s="128"/>
      <c r="M12" s="128"/>
      <c r="N12" s="128"/>
      <c r="O12" s="128"/>
      <c r="P12" s="128"/>
      <c r="Q12" s="128"/>
      <c r="R12" s="128"/>
      <c r="S12" s="129"/>
      <c r="T12" s="125"/>
      <c r="U12" s="114"/>
      <c r="V12" s="114"/>
      <c r="W12" s="114"/>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4"/>
      <c r="AY12" s="114"/>
      <c r="AZ12" s="114"/>
      <c r="BA12" s="114"/>
      <c r="BB12" s="114"/>
      <c r="BC12" s="114"/>
      <c r="BD12" s="114"/>
      <c r="BE12" s="114"/>
      <c r="BF12" s="114"/>
      <c r="BG12" s="114"/>
      <c r="BH12" s="114"/>
      <c r="BI12" s="114"/>
      <c r="BJ12" s="114"/>
      <c r="BK12" s="114"/>
      <c r="BL12" s="114"/>
      <c r="BM12" s="114"/>
      <c r="BN12" s="114"/>
      <c r="BO12" s="114"/>
      <c r="BP12" s="114"/>
      <c r="BQ12" s="114"/>
      <c r="BR12" s="114"/>
      <c r="BS12" s="114"/>
      <c r="BT12" s="114"/>
      <c r="BU12" s="114"/>
      <c r="BV12" s="114"/>
      <c r="BW12" s="114"/>
      <c r="BX12" s="114"/>
      <c r="BY12" s="114"/>
      <c r="BZ12" s="114"/>
      <c r="CA12" s="114"/>
      <c r="CB12" s="114"/>
      <c r="CC12" s="114"/>
      <c r="CD12" s="114"/>
      <c r="CE12" s="114"/>
      <c r="CF12" s="114"/>
      <c r="CG12" s="114"/>
      <c r="CH12" s="114"/>
      <c r="CI12" s="114"/>
      <c r="CJ12" s="114"/>
      <c r="CK12" s="114"/>
      <c r="CL12" s="114"/>
      <c r="CM12" s="114"/>
      <c r="CN12" s="114"/>
      <c r="CO12" s="114"/>
      <c r="CP12" s="114"/>
      <c r="CQ12" s="114"/>
      <c r="CR12" s="114"/>
      <c r="CS12" s="114"/>
      <c r="CT12" s="114"/>
      <c r="CU12" s="114"/>
      <c r="CV12" s="114"/>
      <c r="CW12" s="114"/>
      <c r="CX12" s="114"/>
      <c r="CY12" s="114"/>
      <c r="CZ12" s="114"/>
      <c r="DA12" s="114"/>
      <c r="DB12" s="114"/>
      <c r="DC12" s="114"/>
      <c r="DD12" s="114"/>
      <c r="DE12" s="114"/>
      <c r="DF12" s="114"/>
      <c r="DG12" s="114"/>
      <c r="DH12" s="114"/>
      <c r="DI12" s="114"/>
      <c r="DJ12" s="114"/>
      <c r="DK12" s="114"/>
      <c r="DL12" s="114"/>
      <c r="DM12" s="114"/>
      <c r="DN12" s="114"/>
      <c r="DO12" s="114"/>
      <c r="DP12" s="114"/>
      <c r="DQ12" s="114"/>
      <c r="DR12" s="114"/>
      <c r="DS12" s="114"/>
      <c r="DT12" s="114"/>
      <c r="DU12" s="114"/>
      <c r="DV12" s="114"/>
      <c r="DW12" s="114"/>
      <c r="DX12" s="114"/>
      <c r="DY12" s="114"/>
      <c r="DZ12" s="114"/>
      <c r="EA12" s="114"/>
      <c r="EB12" s="114"/>
      <c r="EC12" s="114"/>
      <c r="ED12" s="114"/>
      <c r="EE12" s="114"/>
      <c r="EF12" s="114"/>
      <c r="EG12" s="114"/>
      <c r="EH12" s="114"/>
      <c r="EI12" s="114"/>
      <c r="EJ12" s="114"/>
      <c r="EK12" s="114"/>
      <c r="EL12" s="114"/>
      <c r="EM12" s="114"/>
      <c r="EN12" s="114"/>
      <c r="EO12" s="114"/>
      <c r="EP12" s="114"/>
      <c r="EQ12" s="114"/>
      <c r="ER12" s="114"/>
      <c r="ES12" s="114"/>
      <c r="ET12" s="114"/>
      <c r="EU12" s="114"/>
      <c r="EV12" s="114"/>
      <c r="EW12" s="114"/>
      <c r="EX12" s="114"/>
      <c r="EY12" s="114"/>
      <c r="EZ12" s="114"/>
      <c r="FA12" s="114"/>
      <c r="FB12" s="114"/>
      <c r="FC12" s="114"/>
      <c r="FD12" s="114"/>
      <c r="FE12" s="114"/>
      <c r="FF12" s="114"/>
      <c r="FG12" s="114"/>
      <c r="FH12" s="114"/>
      <c r="FI12" s="114"/>
      <c r="FJ12" s="114"/>
      <c r="FK12" s="114"/>
      <c r="FL12" s="114"/>
      <c r="FM12" s="114"/>
      <c r="FN12" s="114"/>
      <c r="FO12" s="114"/>
      <c r="FP12" s="114"/>
      <c r="FQ12" s="114"/>
      <c r="FR12" s="114"/>
      <c r="FS12" s="114"/>
      <c r="FT12" s="114"/>
      <c r="FU12" s="114"/>
      <c r="FV12" s="114"/>
      <c r="FW12" s="114"/>
      <c r="FX12" s="114"/>
      <c r="FY12" s="114"/>
      <c r="FZ12" s="114"/>
      <c r="GA12" s="114"/>
      <c r="GB12" s="114"/>
      <c r="GC12" s="114"/>
      <c r="GD12" s="114"/>
      <c r="GE12" s="114"/>
      <c r="GF12" s="114"/>
      <c r="GG12" s="114"/>
      <c r="GH12" s="114"/>
      <c r="GI12" s="114"/>
      <c r="GJ12" s="114"/>
      <c r="GK12" s="114"/>
      <c r="GL12" s="114"/>
      <c r="GM12" s="114"/>
      <c r="GN12" s="114"/>
      <c r="GO12" s="114"/>
      <c r="GP12" s="114"/>
      <c r="GQ12" s="114"/>
      <c r="GR12" s="114"/>
      <c r="GS12" s="114"/>
      <c r="GT12" s="114"/>
      <c r="GU12" s="114"/>
      <c r="GV12" s="114"/>
      <c r="GW12" s="114"/>
      <c r="GX12" s="114"/>
      <c r="GY12" s="114"/>
      <c r="GZ12" s="114"/>
      <c r="HA12" s="114"/>
      <c r="HB12" s="114"/>
      <c r="HC12" s="114"/>
      <c r="HD12" s="114"/>
      <c r="HE12" s="114"/>
      <c r="HF12" s="114"/>
      <c r="HG12" s="114"/>
      <c r="HH12" s="114"/>
      <c r="HI12" s="114"/>
      <c r="HJ12" s="114"/>
      <c r="HK12" s="114"/>
      <c r="HL12" s="114"/>
      <c r="HM12" s="114"/>
      <c r="HN12" s="114"/>
      <c r="HO12" s="114"/>
      <c r="HP12" s="114"/>
      <c r="HQ12" s="114"/>
      <c r="HR12" s="114"/>
      <c r="HS12" s="114"/>
      <c r="HT12" s="114"/>
      <c r="HU12" s="114"/>
      <c r="HV12" s="114"/>
      <c r="HW12" s="114"/>
      <c r="HX12" s="114"/>
      <c r="HY12" s="114"/>
      <c r="HZ12" s="114"/>
      <c r="IA12" s="114"/>
      <c r="IB12" s="114"/>
      <c r="IC12" s="114"/>
      <c r="ID12" s="114"/>
      <c r="IE12" s="114"/>
      <c r="IF12" s="114"/>
      <c r="IG12" s="114"/>
      <c r="IH12" s="114"/>
      <c r="II12" s="114"/>
      <c r="IJ12" s="114"/>
      <c r="IK12" s="114"/>
      <c r="IL12" s="114"/>
      <c r="IM12" s="114"/>
      <c r="IN12" s="114"/>
      <c r="IO12" s="114"/>
      <c r="IP12" s="114"/>
      <c r="IQ12" s="114"/>
      <c r="IR12" s="114"/>
      <c r="IS12" s="114"/>
      <c r="IT12" s="114"/>
      <c r="IU12" s="114"/>
      <c r="IV12" s="114"/>
      <c r="IW12" s="114"/>
      <c r="IX12" s="114"/>
      <c r="IY12" s="114"/>
      <c r="IZ12" s="114"/>
      <c r="JA12" s="114"/>
      <c r="JB12" s="114"/>
      <c r="JC12" s="114"/>
      <c r="JD12" s="114"/>
      <c r="JE12" s="114"/>
      <c r="JF12" s="114"/>
      <c r="JG12" s="114"/>
      <c r="JH12" s="114"/>
      <c r="JI12" s="114"/>
      <c r="JJ12" s="114"/>
      <c r="JK12" s="114"/>
      <c r="JL12" s="114"/>
      <c r="JM12" s="114"/>
      <c r="JN12" s="114"/>
      <c r="JO12" s="114"/>
      <c r="JP12" s="114"/>
      <c r="JQ12" s="114"/>
      <c r="JR12" s="114"/>
      <c r="JS12" s="114"/>
      <c r="JT12" s="114"/>
      <c r="JU12" s="114"/>
      <c r="JV12" s="114"/>
      <c r="JW12" s="114"/>
      <c r="JX12" s="114"/>
      <c r="JY12" s="114"/>
      <c r="JZ12" s="114"/>
      <c r="KA12" s="114"/>
      <c r="KB12" s="114"/>
      <c r="KC12" s="114"/>
      <c r="KD12" s="114"/>
      <c r="KE12" s="114"/>
      <c r="KF12" s="114"/>
      <c r="KG12" s="114"/>
      <c r="KH12" s="114"/>
      <c r="KI12" s="114"/>
      <c r="KJ12" s="114"/>
      <c r="KK12" s="114"/>
      <c r="KL12" s="114"/>
      <c r="KM12" s="114"/>
      <c r="KN12" s="114"/>
      <c r="KO12" s="114"/>
      <c r="KP12" s="114"/>
      <c r="KQ12" s="114"/>
      <c r="KR12" s="114"/>
      <c r="KS12" s="114"/>
      <c r="KT12" s="114"/>
      <c r="KU12" s="114"/>
      <c r="KV12" s="114"/>
      <c r="KW12" s="114"/>
      <c r="KX12" s="114"/>
      <c r="KY12" s="114"/>
      <c r="KZ12" s="114"/>
      <c r="LA12" s="114"/>
      <c r="LB12" s="114"/>
      <c r="LC12" s="114"/>
      <c r="LD12" s="114"/>
      <c r="LE12" s="114"/>
      <c r="LF12" s="114"/>
      <c r="LG12" s="114"/>
      <c r="LH12" s="114"/>
      <c r="LI12" s="114"/>
      <c r="LJ12" s="114"/>
      <c r="LK12" s="114"/>
      <c r="LL12" s="114"/>
      <c r="LM12" s="114"/>
      <c r="LN12" s="114"/>
      <c r="LO12" s="114"/>
      <c r="LP12" s="114"/>
      <c r="LQ12" s="114"/>
      <c r="LR12" s="114"/>
      <c r="LS12" s="114"/>
      <c r="LT12" s="114"/>
      <c r="LU12" s="114"/>
      <c r="LV12" s="114"/>
      <c r="LW12" s="114"/>
      <c r="LX12" s="114"/>
      <c r="LY12" s="114"/>
      <c r="LZ12" s="114"/>
      <c r="MA12" s="114"/>
      <c r="MB12" s="114"/>
      <c r="MC12" s="114"/>
      <c r="MD12" s="114"/>
      <c r="ME12" s="114"/>
      <c r="MF12" s="114"/>
      <c r="MG12" s="114"/>
      <c r="MH12" s="114"/>
      <c r="MI12" s="114"/>
      <c r="MJ12" s="114"/>
      <c r="MK12" s="114"/>
      <c r="ML12" s="114"/>
      <c r="MM12" s="114"/>
      <c r="MN12" s="114"/>
      <c r="MO12" s="114"/>
      <c r="MP12" s="114"/>
      <c r="MQ12" s="114"/>
      <c r="MR12" s="114"/>
      <c r="MS12" s="114"/>
      <c r="MT12" s="114"/>
      <c r="MU12" s="114"/>
      <c r="MV12" s="114"/>
      <c r="MW12" s="114"/>
      <c r="MX12" s="114"/>
      <c r="MY12" s="114"/>
      <c r="MZ12" s="114"/>
      <c r="NA12" s="114"/>
      <c r="NB12" s="114"/>
      <c r="NC12" s="114"/>
      <c r="ND12" s="114"/>
      <c r="NE12" s="114"/>
      <c r="NF12" s="114"/>
      <c r="NG12" s="114"/>
      <c r="NH12" s="114"/>
      <c r="NI12" s="114"/>
      <c r="NJ12" s="114"/>
      <c r="NK12" s="114"/>
      <c r="NL12" s="114"/>
      <c r="NM12" s="114"/>
      <c r="NN12" s="114"/>
      <c r="NO12" s="114"/>
      <c r="NP12" s="114"/>
      <c r="NQ12" s="114"/>
      <c r="NR12" s="114"/>
      <c r="NS12" s="114"/>
      <c r="NT12" s="114"/>
      <c r="NU12" s="114"/>
      <c r="NV12" s="114"/>
      <c r="NW12" s="114"/>
      <c r="NX12" s="114"/>
      <c r="NY12" s="114"/>
      <c r="NZ12" s="114"/>
      <c r="OA12" s="114"/>
      <c r="OB12" s="114"/>
      <c r="OC12" s="114"/>
      <c r="OD12" s="114"/>
      <c r="OE12" s="114"/>
      <c r="OF12" s="114"/>
      <c r="OG12" s="114"/>
      <c r="OH12" s="114"/>
      <c r="OI12" s="114"/>
      <c r="OJ12" s="114"/>
      <c r="OK12" s="114"/>
      <c r="OL12" s="114"/>
      <c r="OM12" s="114"/>
      <c r="ON12" s="114"/>
      <c r="OO12" s="114"/>
      <c r="OP12" s="114"/>
      <c r="OQ12" s="114"/>
      <c r="OR12" s="114"/>
      <c r="OS12" s="114"/>
      <c r="OT12" s="114"/>
      <c r="OU12" s="114"/>
      <c r="OV12" s="114"/>
      <c r="OW12" s="114"/>
      <c r="OX12" s="114"/>
      <c r="OY12" s="114"/>
      <c r="OZ12" s="114"/>
      <c r="PA12" s="114"/>
      <c r="PB12" s="114"/>
      <c r="PC12" s="114"/>
      <c r="PD12" s="114"/>
      <c r="PE12" s="114"/>
      <c r="PF12" s="114"/>
      <c r="PG12" s="114"/>
      <c r="PH12" s="114"/>
      <c r="PI12" s="114"/>
      <c r="PJ12" s="114"/>
      <c r="PK12" s="114"/>
      <c r="PL12" s="114"/>
      <c r="PM12" s="114"/>
      <c r="PN12" s="114"/>
      <c r="PO12" s="114"/>
      <c r="PP12" s="114"/>
      <c r="PQ12" s="114"/>
      <c r="PR12" s="114"/>
      <c r="PS12" s="114"/>
      <c r="PT12" s="114"/>
      <c r="PU12" s="114"/>
      <c r="PV12" s="114"/>
      <c r="PW12" s="114"/>
      <c r="PX12" s="114"/>
      <c r="PY12" s="114"/>
      <c r="PZ12" s="114"/>
      <c r="QA12" s="114"/>
      <c r="QB12" s="114"/>
      <c r="QC12" s="114"/>
      <c r="QD12" s="114"/>
      <c r="QE12" s="114"/>
      <c r="QF12" s="114"/>
      <c r="QG12" s="114"/>
      <c r="QH12" s="114"/>
      <c r="QI12" s="114"/>
      <c r="QJ12" s="114"/>
      <c r="QK12" s="114"/>
      <c r="QL12" s="114"/>
      <c r="QM12" s="114"/>
      <c r="QN12" s="114"/>
      <c r="QO12" s="114"/>
      <c r="QP12" s="114"/>
      <c r="QQ12" s="114"/>
      <c r="QR12" s="114"/>
      <c r="QS12" s="114"/>
      <c r="QT12" s="114"/>
      <c r="QU12" s="114"/>
      <c r="QV12" s="114"/>
      <c r="QW12" s="114"/>
      <c r="QX12" s="114"/>
      <c r="QY12" s="114"/>
      <c r="QZ12" s="114"/>
      <c r="RA12" s="114"/>
      <c r="RB12" s="114"/>
      <c r="RC12" s="114"/>
      <c r="RD12" s="114"/>
      <c r="RE12" s="114"/>
      <c r="RF12" s="114"/>
      <c r="RG12" s="114"/>
      <c r="RH12" s="114"/>
      <c r="RI12" s="114"/>
      <c r="RJ12" s="114"/>
      <c r="RK12" s="114"/>
      <c r="RL12" s="114"/>
      <c r="RM12" s="114"/>
      <c r="RN12" s="114"/>
      <c r="RO12" s="114"/>
      <c r="RP12" s="114"/>
      <c r="RQ12" s="114"/>
      <c r="RR12" s="114"/>
      <c r="RS12" s="114"/>
      <c r="RT12" s="114"/>
      <c r="RU12" s="114"/>
      <c r="RV12" s="114"/>
      <c r="RW12" s="114"/>
      <c r="RX12" s="114"/>
      <c r="RY12" s="114"/>
      <c r="RZ12" s="114"/>
      <c r="SA12" s="114"/>
      <c r="SB12" s="114"/>
      <c r="SC12" s="114"/>
      <c r="SD12" s="114"/>
      <c r="SE12" s="114"/>
      <c r="SF12" s="114"/>
      <c r="SG12" s="114"/>
      <c r="SH12" s="114"/>
      <c r="SI12" s="114"/>
      <c r="SJ12" s="114"/>
      <c r="SK12" s="114"/>
      <c r="SL12" s="114"/>
      <c r="SM12" s="114"/>
      <c r="SN12" s="114"/>
      <c r="SO12" s="114"/>
      <c r="SP12" s="114"/>
      <c r="SQ12" s="114"/>
      <c r="SR12" s="114"/>
      <c r="SS12" s="114"/>
      <c r="ST12" s="114"/>
      <c r="SU12" s="114"/>
      <c r="SV12" s="114"/>
      <c r="SW12" s="114"/>
      <c r="SX12" s="114"/>
      <c r="SY12" s="114"/>
      <c r="SZ12" s="114"/>
      <c r="TA12" s="114"/>
      <c r="TB12" s="114"/>
      <c r="TC12" s="114"/>
      <c r="TD12" s="114"/>
      <c r="TE12" s="114"/>
      <c r="TF12" s="114"/>
      <c r="TG12" s="114"/>
      <c r="TH12" s="114"/>
      <c r="TI12" s="114"/>
      <c r="TJ12" s="114"/>
      <c r="TK12" s="114"/>
      <c r="TL12" s="114"/>
      <c r="TM12" s="114"/>
      <c r="TN12" s="114"/>
      <c r="TO12" s="114"/>
      <c r="TP12" s="114"/>
      <c r="TQ12" s="114"/>
      <c r="TR12" s="114"/>
      <c r="TS12" s="114"/>
      <c r="TT12" s="114"/>
      <c r="TU12" s="114"/>
      <c r="TV12" s="114"/>
      <c r="TW12" s="114"/>
      <c r="TX12" s="114"/>
      <c r="TY12" s="114"/>
      <c r="TZ12" s="114"/>
      <c r="UA12" s="114"/>
      <c r="UB12" s="114"/>
      <c r="UC12" s="114"/>
      <c r="UD12" s="114"/>
      <c r="UE12" s="114"/>
      <c r="UF12" s="114"/>
      <c r="UG12" s="114"/>
      <c r="UH12" s="114"/>
      <c r="UI12" s="114"/>
      <c r="UJ12" s="114"/>
      <c r="UK12" s="114"/>
      <c r="UL12" s="114"/>
      <c r="UM12" s="114"/>
      <c r="UN12" s="114"/>
      <c r="UO12" s="114"/>
      <c r="UP12" s="114"/>
      <c r="UQ12" s="114"/>
      <c r="UR12" s="114"/>
      <c r="US12" s="114"/>
      <c r="UT12" s="114"/>
      <c r="UU12" s="114"/>
      <c r="UV12" s="114"/>
      <c r="UW12" s="114"/>
      <c r="UX12" s="114"/>
      <c r="UY12" s="114"/>
      <c r="UZ12" s="114"/>
      <c r="VA12" s="114"/>
      <c r="VB12" s="114"/>
      <c r="VC12" s="114"/>
      <c r="VD12" s="114"/>
      <c r="VE12" s="114"/>
      <c r="VF12" s="114"/>
      <c r="VG12" s="114"/>
      <c r="VH12" s="114"/>
      <c r="VI12" s="114"/>
      <c r="VJ12" s="114"/>
      <c r="VK12" s="114"/>
      <c r="VL12" s="114"/>
      <c r="VM12" s="114"/>
      <c r="VN12" s="114"/>
      <c r="VO12" s="114"/>
      <c r="VP12" s="114"/>
      <c r="VQ12" s="114"/>
      <c r="VR12" s="114"/>
      <c r="VS12" s="114"/>
      <c r="VT12" s="114"/>
      <c r="VU12" s="114"/>
      <c r="VV12" s="114"/>
      <c r="VW12" s="114"/>
      <c r="VX12" s="114"/>
      <c r="VY12" s="114"/>
      <c r="VZ12" s="114"/>
      <c r="WA12" s="114"/>
      <c r="WB12" s="114"/>
      <c r="WC12" s="114"/>
      <c r="WD12" s="114"/>
      <c r="WE12" s="114"/>
      <c r="WF12" s="114"/>
      <c r="WG12" s="114"/>
      <c r="WH12" s="114"/>
      <c r="WI12" s="114"/>
      <c r="WJ12" s="114"/>
      <c r="WK12" s="114"/>
      <c r="WL12" s="114"/>
      <c r="WM12" s="114"/>
      <c r="WN12" s="114"/>
      <c r="WO12" s="114"/>
      <c r="WP12" s="114"/>
      <c r="WQ12" s="114"/>
      <c r="WR12" s="114"/>
      <c r="WS12" s="114"/>
      <c r="WT12" s="114"/>
      <c r="WU12" s="114"/>
      <c r="WV12" s="114"/>
      <c r="WW12" s="114"/>
      <c r="WX12" s="114"/>
      <c r="WY12" s="114"/>
      <c r="WZ12" s="114"/>
      <c r="XA12" s="114"/>
      <c r="XB12" s="114"/>
      <c r="XC12" s="114"/>
      <c r="XD12" s="114"/>
      <c r="XE12" s="114"/>
      <c r="XF12" s="114"/>
      <c r="XG12" s="114"/>
      <c r="XH12" s="114"/>
      <c r="XI12" s="114"/>
      <c r="XJ12" s="114"/>
      <c r="XK12" s="114"/>
      <c r="XL12" s="114"/>
      <c r="XM12" s="114"/>
      <c r="XN12" s="114"/>
      <c r="XO12" s="114"/>
      <c r="XP12" s="114"/>
      <c r="XQ12" s="114"/>
      <c r="XR12" s="114"/>
      <c r="XS12" s="114"/>
      <c r="XT12" s="114"/>
      <c r="XU12" s="114"/>
      <c r="XV12" s="114"/>
      <c r="XW12" s="114"/>
      <c r="XX12" s="114"/>
      <c r="XY12" s="114"/>
      <c r="XZ12" s="114"/>
      <c r="YA12" s="114"/>
      <c r="YB12" s="114"/>
      <c r="YC12" s="114"/>
      <c r="YD12" s="114"/>
      <c r="YE12" s="114"/>
      <c r="YF12" s="114"/>
      <c r="YG12" s="114"/>
      <c r="YH12" s="114"/>
      <c r="YI12" s="114"/>
      <c r="YJ12" s="114"/>
      <c r="YK12" s="114"/>
      <c r="YL12" s="114"/>
      <c r="YM12" s="114"/>
      <c r="YN12" s="114"/>
      <c r="YO12" s="114"/>
      <c r="YP12" s="114"/>
      <c r="YQ12" s="114"/>
      <c r="YR12" s="114"/>
      <c r="YS12" s="114"/>
      <c r="YT12" s="114"/>
      <c r="YU12" s="114"/>
      <c r="YV12" s="114"/>
      <c r="YW12" s="114"/>
      <c r="YX12" s="114"/>
      <c r="YY12" s="114"/>
      <c r="YZ12" s="114"/>
      <c r="ZA12" s="114"/>
      <c r="ZB12" s="114"/>
      <c r="ZC12" s="114"/>
      <c r="ZD12" s="114"/>
      <c r="ZE12" s="114"/>
      <c r="ZF12" s="114"/>
      <c r="ZG12" s="114"/>
      <c r="ZH12" s="114"/>
      <c r="ZI12" s="114"/>
      <c r="ZJ12" s="114"/>
      <c r="ZK12" s="114"/>
      <c r="ZL12" s="114"/>
      <c r="ZM12" s="114"/>
      <c r="ZN12" s="114"/>
      <c r="ZO12" s="114"/>
      <c r="ZP12" s="114"/>
      <c r="ZQ12" s="114"/>
      <c r="ZR12" s="114"/>
      <c r="ZS12" s="114"/>
      <c r="ZT12" s="114"/>
      <c r="ZU12" s="114"/>
      <c r="ZV12" s="114"/>
      <c r="ZW12" s="114"/>
      <c r="ZX12" s="114"/>
      <c r="ZY12" s="114"/>
      <c r="ZZ12" s="114"/>
      <c r="AAA12" s="114"/>
      <c r="AAB12" s="114"/>
      <c r="AAC12" s="114"/>
      <c r="AAD12" s="114"/>
      <c r="AAE12" s="114"/>
      <c r="AAF12" s="114"/>
      <c r="AAG12" s="114"/>
      <c r="AAH12" s="114"/>
      <c r="AAI12" s="114"/>
      <c r="AAJ12" s="114"/>
      <c r="AAK12" s="114"/>
      <c r="AAL12" s="114"/>
      <c r="AAM12" s="114"/>
      <c r="AAN12" s="114"/>
      <c r="AAO12" s="114"/>
      <c r="AAP12" s="114"/>
      <c r="AAQ12" s="114"/>
      <c r="AAR12" s="114"/>
      <c r="AAS12" s="114"/>
      <c r="AAT12" s="114"/>
      <c r="AAU12" s="114"/>
      <c r="AAV12" s="114"/>
      <c r="AAW12" s="114"/>
      <c r="AAX12" s="114"/>
      <c r="AAY12" s="114"/>
      <c r="AAZ12" s="114"/>
      <c r="ABA12" s="114"/>
      <c r="ABB12" s="114"/>
      <c r="ABC12" s="114"/>
      <c r="ABD12" s="114"/>
      <c r="ABE12" s="114"/>
      <c r="ABF12" s="114"/>
      <c r="ABG12" s="114"/>
      <c r="ABH12" s="114"/>
      <c r="ABI12" s="114"/>
      <c r="ABJ12" s="114"/>
      <c r="ABK12" s="114"/>
      <c r="ABL12" s="114"/>
      <c r="ABM12" s="114"/>
      <c r="ABN12" s="114"/>
      <c r="ABO12" s="114"/>
      <c r="ABP12" s="114"/>
      <c r="ABQ12" s="114"/>
      <c r="ABR12" s="114"/>
      <c r="ABS12" s="114"/>
      <c r="ABT12" s="114"/>
      <c r="ABU12" s="114"/>
      <c r="ABV12" s="114"/>
      <c r="ABW12" s="114"/>
      <c r="ABX12" s="114"/>
      <c r="ABY12" s="114"/>
      <c r="ABZ12" s="114"/>
      <c r="ACA12" s="114"/>
      <c r="ACB12" s="114"/>
      <c r="ACC12" s="114"/>
      <c r="ACD12" s="114"/>
      <c r="ACE12" s="114"/>
      <c r="ACF12" s="114"/>
      <c r="ACG12" s="114"/>
      <c r="ACH12" s="114"/>
      <c r="ACI12" s="114"/>
      <c r="ACJ12" s="114"/>
      <c r="ACK12" s="114"/>
      <c r="ACL12" s="114"/>
      <c r="ACM12" s="114"/>
      <c r="ACN12" s="114"/>
      <c r="ACO12" s="114"/>
      <c r="ACP12" s="114"/>
      <c r="ACQ12" s="114"/>
      <c r="ACR12" s="114"/>
      <c r="ACS12" s="114"/>
      <c r="ACT12" s="114"/>
      <c r="ACU12" s="114"/>
      <c r="ACV12" s="114"/>
      <c r="ACW12" s="114"/>
      <c r="ACX12" s="114"/>
      <c r="ACY12" s="114"/>
      <c r="ACZ12" s="114"/>
      <c r="ADA12" s="114"/>
      <c r="ADB12" s="114"/>
      <c r="ADC12" s="114"/>
      <c r="ADD12" s="114"/>
      <c r="ADE12" s="114"/>
      <c r="ADF12" s="114"/>
      <c r="ADG12" s="114"/>
      <c r="ADH12" s="114"/>
      <c r="ADI12" s="114"/>
      <c r="ADJ12" s="114"/>
      <c r="ADK12" s="114"/>
      <c r="ADL12" s="114"/>
      <c r="ADM12" s="114"/>
      <c r="ADN12" s="114"/>
      <c r="ADO12" s="114"/>
      <c r="ADP12" s="114"/>
      <c r="ADQ12" s="114"/>
      <c r="ADR12" s="114"/>
      <c r="ADS12" s="114"/>
      <c r="ADT12" s="114"/>
      <c r="ADU12" s="114"/>
      <c r="ADV12" s="114"/>
      <c r="ADW12" s="114"/>
      <c r="ADX12" s="114"/>
      <c r="ADY12" s="114"/>
      <c r="ADZ12" s="114"/>
      <c r="AEA12" s="114"/>
      <c r="AEB12" s="114"/>
      <c r="AEC12" s="114"/>
      <c r="AED12" s="114"/>
      <c r="AEE12" s="114"/>
      <c r="AEF12" s="114"/>
      <c r="AEG12" s="114"/>
      <c r="AEH12" s="114"/>
      <c r="AEI12" s="114"/>
      <c r="AEJ12" s="114"/>
      <c r="AEK12" s="114"/>
      <c r="AEL12" s="114"/>
      <c r="AEM12" s="114"/>
      <c r="AEN12" s="114"/>
      <c r="AEO12" s="114"/>
      <c r="AEP12" s="114"/>
      <c r="AEQ12" s="114"/>
      <c r="AER12" s="114"/>
      <c r="AES12" s="114"/>
      <c r="AET12" s="114"/>
      <c r="AEU12" s="114"/>
      <c r="AEV12" s="114"/>
      <c r="AEW12" s="114"/>
      <c r="AEX12" s="114"/>
      <c r="AEY12" s="114"/>
      <c r="AEZ12" s="114"/>
      <c r="AFA12" s="114"/>
      <c r="AFB12" s="114"/>
      <c r="AFC12" s="114"/>
      <c r="AFD12" s="114"/>
      <c r="AFE12" s="114"/>
      <c r="AFF12" s="114"/>
      <c r="AFG12" s="114"/>
      <c r="AFH12" s="114"/>
      <c r="AFI12" s="114"/>
      <c r="AFJ12" s="114"/>
      <c r="AFK12" s="114"/>
      <c r="AFL12" s="114"/>
      <c r="AFM12" s="114"/>
      <c r="AFN12" s="114"/>
      <c r="AFO12" s="114"/>
      <c r="AFP12" s="114"/>
      <c r="AFQ12" s="114"/>
      <c r="AFR12" s="114"/>
      <c r="AFS12" s="114"/>
      <c r="AFT12" s="114"/>
      <c r="AFU12" s="114"/>
      <c r="AFV12" s="114"/>
      <c r="AFW12" s="114"/>
      <c r="AFX12" s="114"/>
      <c r="AFY12" s="114"/>
      <c r="AFZ12" s="114"/>
      <c r="AGA12" s="114"/>
      <c r="AGB12" s="114"/>
      <c r="AGC12" s="114"/>
      <c r="AGD12" s="114"/>
      <c r="AGE12" s="114"/>
      <c r="AGF12" s="114"/>
      <c r="AGG12" s="114"/>
      <c r="AGH12" s="114"/>
      <c r="AGI12" s="114"/>
      <c r="AGJ12" s="114"/>
      <c r="AGK12" s="114"/>
      <c r="AGL12" s="114"/>
      <c r="AGM12" s="114"/>
      <c r="AGN12" s="114"/>
      <c r="AGO12" s="114"/>
      <c r="AGP12" s="114"/>
      <c r="AGQ12" s="114"/>
      <c r="AGR12" s="114"/>
      <c r="AGS12" s="114"/>
      <c r="AGT12" s="114"/>
      <c r="AGU12" s="114"/>
      <c r="AGV12" s="114"/>
      <c r="AGW12" s="114"/>
      <c r="AGX12" s="114"/>
      <c r="AGY12" s="114"/>
      <c r="AGZ12" s="114"/>
      <c r="AHA12" s="114"/>
      <c r="AHB12" s="114"/>
      <c r="AHC12" s="114"/>
      <c r="AHD12" s="114"/>
      <c r="AHE12" s="114"/>
      <c r="AHF12" s="114"/>
      <c r="AHG12" s="114"/>
      <c r="AHH12" s="114"/>
      <c r="AHI12" s="114"/>
      <c r="AHJ12" s="114"/>
      <c r="AHK12" s="114"/>
      <c r="AHL12" s="114"/>
      <c r="AHM12" s="114"/>
      <c r="AHN12" s="114"/>
      <c r="AHO12" s="114"/>
      <c r="AHP12" s="114"/>
      <c r="AHQ12" s="114"/>
      <c r="AHR12" s="114"/>
      <c r="AHS12" s="114"/>
      <c r="AHT12" s="114"/>
      <c r="AHU12" s="114"/>
      <c r="AHV12" s="114"/>
      <c r="AHW12" s="114"/>
      <c r="AHX12" s="114"/>
      <c r="AHY12" s="114"/>
      <c r="AHZ12" s="114"/>
      <c r="AIA12" s="114"/>
      <c r="AIB12" s="114"/>
      <c r="AIC12" s="114"/>
      <c r="AID12" s="114"/>
      <c r="AIE12" s="114"/>
      <c r="AIF12" s="114"/>
      <c r="AIG12" s="114"/>
      <c r="AIH12" s="114"/>
      <c r="AII12" s="114"/>
      <c r="AIJ12" s="114"/>
      <c r="AIK12" s="114"/>
      <c r="AIL12" s="114"/>
      <c r="AIM12" s="114"/>
      <c r="AIN12" s="114"/>
      <c r="AIO12" s="114"/>
      <c r="AIP12" s="114"/>
      <c r="AIQ12" s="114"/>
      <c r="AIR12" s="114"/>
      <c r="AIS12" s="114"/>
      <c r="AIT12" s="114"/>
      <c r="AIU12" s="114"/>
      <c r="AIV12" s="114"/>
      <c r="AIW12" s="114"/>
      <c r="AIX12" s="114"/>
      <c r="AIY12" s="114"/>
      <c r="AIZ12" s="114"/>
      <c r="AJA12" s="114"/>
      <c r="AJB12" s="114"/>
      <c r="AJC12" s="114"/>
      <c r="AJD12" s="114"/>
      <c r="AJE12" s="114"/>
      <c r="AJF12" s="114"/>
      <c r="AJG12" s="114"/>
      <c r="AJH12" s="114"/>
      <c r="AJI12" s="114"/>
      <c r="AJJ12" s="114"/>
      <c r="AJK12" s="114"/>
      <c r="AJL12" s="114"/>
      <c r="AJM12" s="114"/>
      <c r="AJN12" s="114"/>
      <c r="AJO12" s="114"/>
      <c r="AJP12" s="114"/>
      <c r="AJQ12" s="114"/>
      <c r="AJR12" s="114"/>
      <c r="AJS12" s="114"/>
      <c r="AJT12" s="114"/>
      <c r="AJU12" s="114"/>
      <c r="AJV12" s="114"/>
      <c r="AJW12" s="114"/>
      <c r="AJX12" s="114"/>
      <c r="AJY12" s="114"/>
      <c r="AJZ12" s="114"/>
      <c r="AKA12" s="114"/>
      <c r="AKB12" s="114"/>
      <c r="AKC12" s="114"/>
      <c r="AKD12" s="114"/>
      <c r="AKE12" s="114"/>
      <c r="AKF12" s="114"/>
      <c r="AKG12" s="114"/>
      <c r="AKH12" s="114"/>
      <c r="AKI12" s="114"/>
      <c r="AKJ12" s="114"/>
      <c r="AKK12" s="114"/>
      <c r="AKL12" s="114"/>
      <c r="AKM12" s="114"/>
      <c r="AKN12" s="114"/>
      <c r="AKO12" s="114"/>
      <c r="AKP12" s="114"/>
      <c r="AKQ12" s="114"/>
      <c r="AKR12" s="114"/>
      <c r="AKS12" s="114"/>
      <c r="AKT12" s="114"/>
      <c r="AKU12" s="114"/>
      <c r="AKV12" s="114"/>
      <c r="AKW12" s="114"/>
      <c r="AKX12" s="114"/>
      <c r="AKY12" s="114"/>
    </row>
    <row r="13" spans="1:987" s="115" customFormat="1" ht="15" customHeight="1" x14ac:dyDescent="0.3">
      <c r="A13" s="103">
        <v>8470230</v>
      </c>
      <c r="B13" s="104">
        <v>436110</v>
      </c>
      <c r="C13" s="461" t="s">
        <v>3066</v>
      </c>
      <c r="D13" s="151" t="s">
        <v>3067</v>
      </c>
      <c r="E13" s="160">
        <v>1</v>
      </c>
      <c r="F13" s="153">
        <v>5000</v>
      </c>
      <c r="G13" s="154">
        <f>E13*F13</f>
        <v>5000</v>
      </c>
      <c r="H13" s="155">
        <f>G13/12</f>
        <v>416.66666666666669</v>
      </c>
      <c r="I13" s="156">
        <f>G13/12</f>
        <v>416.66666666666669</v>
      </c>
      <c r="J13" s="156">
        <f>G13/12</f>
        <v>416.66666666666669</v>
      </c>
      <c r="K13" s="156">
        <f>G13/12</f>
        <v>416.66666666666669</v>
      </c>
      <c r="L13" s="156">
        <f>G13/12</f>
        <v>416.66666666666669</v>
      </c>
      <c r="M13" s="156">
        <f>G13/12</f>
        <v>416.66666666666669</v>
      </c>
      <c r="N13" s="156">
        <f>G13/12</f>
        <v>416.66666666666669</v>
      </c>
      <c r="O13" s="156">
        <f>G13/12</f>
        <v>416.66666666666669</v>
      </c>
      <c r="P13" s="156">
        <f>G13/12</f>
        <v>416.66666666666669</v>
      </c>
      <c r="Q13" s="156">
        <f>G13/12</f>
        <v>416.66666666666669</v>
      </c>
      <c r="R13" s="156">
        <f>G13/12</f>
        <v>416.66666666666669</v>
      </c>
      <c r="S13" s="157">
        <f>G13/12</f>
        <v>416.66666666666669</v>
      </c>
      <c r="T13" s="125"/>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4"/>
      <c r="AY13" s="114"/>
      <c r="AZ13" s="114"/>
      <c r="BA13" s="114"/>
      <c r="BB13" s="114"/>
      <c r="BC13" s="114"/>
      <c r="BD13" s="114"/>
      <c r="BE13" s="114"/>
      <c r="BF13" s="114"/>
      <c r="BG13" s="114"/>
      <c r="BH13" s="114"/>
      <c r="BI13" s="114"/>
      <c r="BJ13" s="114"/>
      <c r="BK13" s="114"/>
      <c r="BL13" s="114"/>
      <c r="BM13" s="114"/>
      <c r="BN13" s="114"/>
      <c r="BO13" s="114"/>
      <c r="BP13" s="114"/>
      <c r="BQ13" s="114"/>
      <c r="BR13" s="114"/>
      <c r="BS13" s="114"/>
      <c r="BT13" s="114"/>
      <c r="BU13" s="114"/>
      <c r="BV13" s="114"/>
      <c r="BW13" s="114"/>
      <c r="BX13" s="114"/>
      <c r="BY13" s="114"/>
      <c r="BZ13" s="114"/>
      <c r="CA13" s="114"/>
      <c r="CB13" s="114"/>
      <c r="CC13" s="114"/>
      <c r="CD13" s="114"/>
      <c r="CE13" s="114"/>
      <c r="CF13" s="114"/>
      <c r="CG13" s="114"/>
      <c r="CH13" s="114"/>
      <c r="CI13" s="114"/>
      <c r="CJ13" s="114"/>
      <c r="CK13" s="114"/>
      <c r="CL13" s="114"/>
      <c r="CM13" s="114"/>
      <c r="CN13" s="114"/>
      <c r="CO13" s="114"/>
      <c r="CP13" s="114"/>
      <c r="CQ13" s="114"/>
      <c r="CR13" s="114"/>
      <c r="CS13" s="114"/>
      <c r="CT13" s="114"/>
      <c r="CU13" s="114"/>
      <c r="CV13" s="114"/>
      <c r="CW13" s="114"/>
      <c r="CX13" s="114"/>
      <c r="CY13" s="114"/>
      <c r="CZ13" s="114"/>
      <c r="DA13" s="114"/>
      <c r="DB13" s="114"/>
      <c r="DC13" s="114"/>
      <c r="DD13" s="114"/>
      <c r="DE13" s="114"/>
      <c r="DF13" s="114"/>
      <c r="DG13" s="114"/>
      <c r="DH13" s="114"/>
      <c r="DI13" s="114"/>
      <c r="DJ13" s="114"/>
      <c r="DK13" s="114"/>
      <c r="DL13" s="114"/>
      <c r="DM13" s="114"/>
      <c r="DN13" s="114"/>
      <c r="DO13" s="114"/>
      <c r="DP13" s="114"/>
      <c r="DQ13" s="114"/>
      <c r="DR13" s="114"/>
      <c r="DS13" s="114"/>
      <c r="DT13" s="114"/>
      <c r="DU13" s="114"/>
      <c r="DV13" s="114"/>
      <c r="DW13" s="114"/>
      <c r="DX13" s="114"/>
      <c r="DY13" s="114"/>
      <c r="DZ13" s="114"/>
      <c r="EA13" s="114"/>
      <c r="EB13" s="114"/>
      <c r="EC13" s="114"/>
      <c r="ED13" s="114"/>
      <c r="EE13" s="114"/>
      <c r="EF13" s="114"/>
      <c r="EG13" s="114"/>
      <c r="EH13" s="114"/>
      <c r="EI13" s="114"/>
      <c r="EJ13" s="114"/>
      <c r="EK13" s="114"/>
      <c r="EL13" s="114"/>
      <c r="EM13" s="114"/>
      <c r="EN13" s="114"/>
      <c r="EO13" s="114"/>
      <c r="EP13" s="114"/>
      <c r="EQ13" s="114"/>
      <c r="ER13" s="114"/>
      <c r="ES13" s="114"/>
      <c r="ET13" s="114"/>
      <c r="EU13" s="114"/>
      <c r="EV13" s="114"/>
      <c r="EW13" s="114"/>
      <c r="EX13" s="114"/>
      <c r="EY13" s="114"/>
      <c r="EZ13" s="114"/>
      <c r="FA13" s="114"/>
      <c r="FB13" s="114"/>
      <c r="FC13" s="114"/>
      <c r="FD13" s="114"/>
      <c r="FE13" s="114"/>
      <c r="FF13" s="114"/>
      <c r="FG13" s="114"/>
      <c r="FH13" s="114"/>
      <c r="FI13" s="114"/>
      <c r="FJ13" s="114"/>
      <c r="FK13" s="114"/>
      <c r="FL13" s="114"/>
      <c r="FM13" s="114"/>
      <c r="FN13" s="114"/>
      <c r="FO13" s="114"/>
      <c r="FP13" s="114"/>
      <c r="FQ13" s="114"/>
      <c r="FR13" s="114"/>
      <c r="FS13" s="114"/>
      <c r="FT13" s="114"/>
      <c r="FU13" s="114"/>
      <c r="FV13" s="114"/>
      <c r="FW13" s="114"/>
      <c r="FX13" s="114"/>
      <c r="FY13" s="114"/>
      <c r="FZ13" s="114"/>
      <c r="GA13" s="114"/>
      <c r="GB13" s="114"/>
      <c r="GC13" s="114"/>
      <c r="GD13" s="114"/>
      <c r="GE13" s="114"/>
      <c r="GF13" s="114"/>
      <c r="GG13" s="114"/>
      <c r="GH13" s="114"/>
      <c r="GI13" s="114"/>
      <c r="GJ13" s="114"/>
      <c r="GK13" s="114"/>
      <c r="GL13" s="114"/>
      <c r="GM13" s="114"/>
      <c r="GN13" s="114"/>
      <c r="GO13" s="114"/>
      <c r="GP13" s="114"/>
      <c r="GQ13" s="114"/>
      <c r="GR13" s="114"/>
      <c r="GS13" s="114"/>
      <c r="GT13" s="114"/>
      <c r="GU13" s="114"/>
      <c r="GV13" s="114"/>
      <c r="GW13" s="114"/>
      <c r="GX13" s="114"/>
      <c r="GY13" s="114"/>
      <c r="GZ13" s="114"/>
      <c r="HA13" s="114"/>
      <c r="HB13" s="114"/>
      <c r="HC13" s="114"/>
      <c r="HD13" s="114"/>
      <c r="HE13" s="114"/>
      <c r="HF13" s="114"/>
      <c r="HG13" s="114"/>
      <c r="HH13" s="114"/>
      <c r="HI13" s="114"/>
      <c r="HJ13" s="114"/>
      <c r="HK13" s="114"/>
      <c r="HL13" s="114"/>
      <c r="HM13" s="114"/>
      <c r="HN13" s="114"/>
      <c r="HO13" s="114"/>
      <c r="HP13" s="114"/>
      <c r="HQ13" s="114"/>
      <c r="HR13" s="114"/>
      <c r="HS13" s="114"/>
      <c r="HT13" s="114"/>
      <c r="HU13" s="114"/>
      <c r="HV13" s="114"/>
      <c r="HW13" s="114"/>
      <c r="HX13" s="114"/>
      <c r="HY13" s="114"/>
      <c r="HZ13" s="114"/>
      <c r="IA13" s="114"/>
      <c r="IB13" s="114"/>
      <c r="IC13" s="114"/>
      <c r="ID13" s="114"/>
      <c r="IE13" s="114"/>
      <c r="IF13" s="114"/>
      <c r="IG13" s="114"/>
      <c r="IH13" s="114"/>
      <c r="II13" s="114"/>
      <c r="IJ13" s="114"/>
      <c r="IK13" s="114"/>
      <c r="IL13" s="114"/>
      <c r="IM13" s="114"/>
      <c r="IN13" s="114"/>
      <c r="IO13" s="114"/>
      <c r="IP13" s="114"/>
      <c r="IQ13" s="114"/>
      <c r="IR13" s="114"/>
      <c r="IS13" s="114"/>
      <c r="IT13" s="114"/>
      <c r="IU13" s="114"/>
      <c r="IV13" s="114"/>
      <c r="IW13" s="114"/>
      <c r="IX13" s="114"/>
      <c r="IY13" s="114"/>
      <c r="IZ13" s="114"/>
      <c r="JA13" s="114"/>
      <c r="JB13" s="114"/>
      <c r="JC13" s="114"/>
      <c r="JD13" s="114"/>
      <c r="JE13" s="114"/>
      <c r="JF13" s="114"/>
      <c r="JG13" s="114"/>
      <c r="JH13" s="114"/>
      <c r="JI13" s="114"/>
      <c r="JJ13" s="114"/>
      <c r="JK13" s="114"/>
      <c r="JL13" s="114"/>
      <c r="JM13" s="114"/>
      <c r="JN13" s="114"/>
      <c r="JO13" s="114"/>
      <c r="JP13" s="114"/>
      <c r="JQ13" s="114"/>
      <c r="JR13" s="114"/>
      <c r="JS13" s="114"/>
      <c r="JT13" s="114"/>
      <c r="JU13" s="114"/>
      <c r="JV13" s="114"/>
      <c r="JW13" s="114"/>
      <c r="JX13" s="114"/>
      <c r="JY13" s="114"/>
      <c r="JZ13" s="114"/>
      <c r="KA13" s="114"/>
      <c r="KB13" s="114"/>
      <c r="KC13" s="114"/>
      <c r="KD13" s="114"/>
      <c r="KE13" s="114"/>
      <c r="KF13" s="114"/>
      <c r="KG13" s="114"/>
      <c r="KH13" s="114"/>
      <c r="KI13" s="114"/>
      <c r="KJ13" s="114"/>
      <c r="KK13" s="114"/>
      <c r="KL13" s="114"/>
      <c r="KM13" s="114"/>
      <c r="KN13" s="114"/>
      <c r="KO13" s="114"/>
      <c r="KP13" s="114"/>
      <c r="KQ13" s="114"/>
      <c r="KR13" s="114"/>
      <c r="KS13" s="114"/>
      <c r="KT13" s="114"/>
      <c r="KU13" s="114"/>
      <c r="KV13" s="114"/>
      <c r="KW13" s="114"/>
      <c r="KX13" s="114"/>
      <c r="KY13" s="114"/>
      <c r="KZ13" s="114"/>
      <c r="LA13" s="114"/>
      <c r="LB13" s="114"/>
      <c r="LC13" s="114"/>
      <c r="LD13" s="114"/>
      <c r="LE13" s="114"/>
      <c r="LF13" s="114"/>
      <c r="LG13" s="114"/>
      <c r="LH13" s="114"/>
      <c r="LI13" s="114"/>
      <c r="LJ13" s="114"/>
      <c r="LK13" s="114"/>
      <c r="LL13" s="114"/>
      <c r="LM13" s="114"/>
      <c r="LN13" s="114"/>
      <c r="LO13" s="114"/>
      <c r="LP13" s="114"/>
      <c r="LQ13" s="114"/>
      <c r="LR13" s="114"/>
      <c r="LS13" s="114"/>
      <c r="LT13" s="114"/>
      <c r="LU13" s="114"/>
      <c r="LV13" s="114"/>
      <c r="LW13" s="114"/>
      <c r="LX13" s="114"/>
      <c r="LY13" s="114"/>
      <c r="LZ13" s="114"/>
      <c r="MA13" s="114"/>
      <c r="MB13" s="114"/>
      <c r="MC13" s="114"/>
      <c r="MD13" s="114"/>
      <c r="ME13" s="114"/>
      <c r="MF13" s="114"/>
      <c r="MG13" s="114"/>
      <c r="MH13" s="114"/>
      <c r="MI13" s="114"/>
      <c r="MJ13" s="114"/>
      <c r="MK13" s="114"/>
      <c r="ML13" s="114"/>
      <c r="MM13" s="114"/>
      <c r="MN13" s="114"/>
      <c r="MO13" s="114"/>
      <c r="MP13" s="114"/>
      <c r="MQ13" s="114"/>
      <c r="MR13" s="114"/>
      <c r="MS13" s="114"/>
      <c r="MT13" s="114"/>
      <c r="MU13" s="114"/>
      <c r="MV13" s="114"/>
      <c r="MW13" s="114"/>
      <c r="MX13" s="114"/>
      <c r="MY13" s="114"/>
      <c r="MZ13" s="114"/>
      <c r="NA13" s="114"/>
      <c r="NB13" s="114"/>
      <c r="NC13" s="114"/>
      <c r="ND13" s="114"/>
      <c r="NE13" s="114"/>
      <c r="NF13" s="114"/>
      <c r="NG13" s="114"/>
      <c r="NH13" s="114"/>
      <c r="NI13" s="114"/>
      <c r="NJ13" s="114"/>
      <c r="NK13" s="114"/>
      <c r="NL13" s="114"/>
      <c r="NM13" s="114"/>
      <c r="NN13" s="114"/>
      <c r="NO13" s="114"/>
      <c r="NP13" s="114"/>
      <c r="NQ13" s="114"/>
      <c r="NR13" s="114"/>
      <c r="NS13" s="114"/>
      <c r="NT13" s="114"/>
      <c r="NU13" s="114"/>
      <c r="NV13" s="114"/>
      <c r="NW13" s="114"/>
      <c r="NX13" s="114"/>
      <c r="NY13" s="114"/>
      <c r="NZ13" s="114"/>
      <c r="OA13" s="114"/>
      <c r="OB13" s="114"/>
      <c r="OC13" s="114"/>
      <c r="OD13" s="114"/>
      <c r="OE13" s="114"/>
      <c r="OF13" s="114"/>
      <c r="OG13" s="114"/>
      <c r="OH13" s="114"/>
      <c r="OI13" s="114"/>
      <c r="OJ13" s="114"/>
      <c r="OK13" s="114"/>
      <c r="OL13" s="114"/>
      <c r="OM13" s="114"/>
      <c r="ON13" s="114"/>
      <c r="OO13" s="114"/>
      <c r="OP13" s="114"/>
      <c r="OQ13" s="114"/>
      <c r="OR13" s="114"/>
      <c r="OS13" s="114"/>
      <c r="OT13" s="114"/>
      <c r="OU13" s="114"/>
      <c r="OV13" s="114"/>
      <c r="OW13" s="114"/>
      <c r="OX13" s="114"/>
      <c r="OY13" s="114"/>
      <c r="OZ13" s="114"/>
      <c r="PA13" s="114"/>
      <c r="PB13" s="114"/>
      <c r="PC13" s="114"/>
      <c r="PD13" s="114"/>
      <c r="PE13" s="114"/>
      <c r="PF13" s="114"/>
      <c r="PG13" s="114"/>
      <c r="PH13" s="114"/>
      <c r="PI13" s="114"/>
      <c r="PJ13" s="114"/>
      <c r="PK13" s="114"/>
      <c r="PL13" s="114"/>
      <c r="PM13" s="114"/>
      <c r="PN13" s="114"/>
      <c r="PO13" s="114"/>
      <c r="PP13" s="114"/>
      <c r="PQ13" s="114"/>
      <c r="PR13" s="114"/>
      <c r="PS13" s="114"/>
      <c r="PT13" s="114"/>
      <c r="PU13" s="114"/>
      <c r="PV13" s="114"/>
      <c r="PW13" s="114"/>
      <c r="PX13" s="114"/>
      <c r="PY13" s="114"/>
      <c r="PZ13" s="114"/>
      <c r="QA13" s="114"/>
      <c r="QB13" s="114"/>
      <c r="QC13" s="114"/>
      <c r="QD13" s="114"/>
      <c r="QE13" s="114"/>
      <c r="QF13" s="114"/>
      <c r="QG13" s="114"/>
      <c r="QH13" s="114"/>
      <c r="QI13" s="114"/>
      <c r="QJ13" s="114"/>
      <c r="QK13" s="114"/>
      <c r="QL13" s="114"/>
      <c r="QM13" s="114"/>
      <c r="QN13" s="114"/>
      <c r="QO13" s="114"/>
      <c r="QP13" s="114"/>
      <c r="QQ13" s="114"/>
      <c r="QR13" s="114"/>
      <c r="QS13" s="114"/>
      <c r="QT13" s="114"/>
      <c r="QU13" s="114"/>
      <c r="QV13" s="114"/>
      <c r="QW13" s="114"/>
      <c r="QX13" s="114"/>
      <c r="QY13" s="114"/>
      <c r="QZ13" s="114"/>
      <c r="RA13" s="114"/>
      <c r="RB13" s="114"/>
      <c r="RC13" s="114"/>
      <c r="RD13" s="114"/>
      <c r="RE13" s="114"/>
      <c r="RF13" s="114"/>
      <c r="RG13" s="114"/>
      <c r="RH13" s="114"/>
      <c r="RI13" s="114"/>
      <c r="RJ13" s="114"/>
      <c r="RK13" s="114"/>
      <c r="RL13" s="114"/>
      <c r="RM13" s="114"/>
      <c r="RN13" s="114"/>
      <c r="RO13" s="114"/>
      <c r="RP13" s="114"/>
      <c r="RQ13" s="114"/>
      <c r="RR13" s="114"/>
      <c r="RS13" s="114"/>
      <c r="RT13" s="114"/>
      <c r="RU13" s="114"/>
      <c r="RV13" s="114"/>
      <c r="RW13" s="114"/>
      <c r="RX13" s="114"/>
      <c r="RY13" s="114"/>
      <c r="RZ13" s="114"/>
      <c r="SA13" s="114"/>
      <c r="SB13" s="114"/>
      <c r="SC13" s="114"/>
      <c r="SD13" s="114"/>
      <c r="SE13" s="114"/>
      <c r="SF13" s="114"/>
      <c r="SG13" s="114"/>
      <c r="SH13" s="114"/>
      <c r="SI13" s="114"/>
      <c r="SJ13" s="114"/>
      <c r="SK13" s="114"/>
      <c r="SL13" s="114"/>
      <c r="SM13" s="114"/>
      <c r="SN13" s="114"/>
      <c r="SO13" s="114"/>
      <c r="SP13" s="114"/>
      <c r="SQ13" s="114"/>
      <c r="SR13" s="114"/>
      <c r="SS13" s="114"/>
      <c r="ST13" s="114"/>
      <c r="SU13" s="114"/>
      <c r="SV13" s="114"/>
      <c r="SW13" s="114"/>
      <c r="SX13" s="114"/>
      <c r="SY13" s="114"/>
      <c r="SZ13" s="114"/>
      <c r="TA13" s="114"/>
      <c r="TB13" s="114"/>
      <c r="TC13" s="114"/>
      <c r="TD13" s="114"/>
      <c r="TE13" s="114"/>
      <c r="TF13" s="114"/>
      <c r="TG13" s="114"/>
      <c r="TH13" s="114"/>
      <c r="TI13" s="114"/>
      <c r="TJ13" s="114"/>
      <c r="TK13" s="114"/>
      <c r="TL13" s="114"/>
      <c r="TM13" s="114"/>
      <c r="TN13" s="114"/>
      <c r="TO13" s="114"/>
      <c r="TP13" s="114"/>
      <c r="TQ13" s="114"/>
      <c r="TR13" s="114"/>
      <c r="TS13" s="114"/>
      <c r="TT13" s="114"/>
      <c r="TU13" s="114"/>
      <c r="TV13" s="114"/>
      <c r="TW13" s="114"/>
      <c r="TX13" s="114"/>
      <c r="TY13" s="114"/>
      <c r="TZ13" s="114"/>
      <c r="UA13" s="114"/>
      <c r="UB13" s="114"/>
      <c r="UC13" s="114"/>
      <c r="UD13" s="114"/>
      <c r="UE13" s="114"/>
      <c r="UF13" s="114"/>
      <c r="UG13" s="114"/>
      <c r="UH13" s="114"/>
      <c r="UI13" s="114"/>
      <c r="UJ13" s="114"/>
      <c r="UK13" s="114"/>
      <c r="UL13" s="114"/>
      <c r="UM13" s="114"/>
      <c r="UN13" s="114"/>
      <c r="UO13" s="114"/>
      <c r="UP13" s="114"/>
      <c r="UQ13" s="114"/>
      <c r="UR13" s="114"/>
      <c r="US13" s="114"/>
      <c r="UT13" s="114"/>
      <c r="UU13" s="114"/>
      <c r="UV13" s="114"/>
      <c r="UW13" s="114"/>
      <c r="UX13" s="114"/>
      <c r="UY13" s="114"/>
      <c r="UZ13" s="114"/>
      <c r="VA13" s="114"/>
      <c r="VB13" s="114"/>
      <c r="VC13" s="114"/>
      <c r="VD13" s="114"/>
      <c r="VE13" s="114"/>
      <c r="VF13" s="114"/>
      <c r="VG13" s="114"/>
      <c r="VH13" s="114"/>
      <c r="VI13" s="114"/>
      <c r="VJ13" s="114"/>
      <c r="VK13" s="114"/>
      <c r="VL13" s="114"/>
      <c r="VM13" s="114"/>
      <c r="VN13" s="114"/>
      <c r="VO13" s="114"/>
      <c r="VP13" s="114"/>
      <c r="VQ13" s="114"/>
      <c r="VR13" s="114"/>
      <c r="VS13" s="114"/>
      <c r="VT13" s="114"/>
      <c r="VU13" s="114"/>
      <c r="VV13" s="114"/>
      <c r="VW13" s="114"/>
      <c r="VX13" s="114"/>
      <c r="VY13" s="114"/>
      <c r="VZ13" s="114"/>
      <c r="WA13" s="114"/>
      <c r="WB13" s="114"/>
      <c r="WC13" s="114"/>
      <c r="WD13" s="114"/>
      <c r="WE13" s="114"/>
      <c r="WF13" s="114"/>
      <c r="WG13" s="114"/>
      <c r="WH13" s="114"/>
      <c r="WI13" s="114"/>
      <c r="WJ13" s="114"/>
      <c r="WK13" s="114"/>
      <c r="WL13" s="114"/>
      <c r="WM13" s="114"/>
      <c r="WN13" s="114"/>
      <c r="WO13" s="114"/>
      <c r="WP13" s="114"/>
      <c r="WQ13" s="114"/>
      <c r="WR13" s="114"/>
      <c r="WS13" s="114"/>
      <c r="WT13" s="114"/>
      <c r="WU13" s="114"/>
      <c r="WV13" s="114"/>
      <c r="WW13" s="114"/>
      <c r="WX13" s="114"/>
      <c r="WY13" s="114"/>
      <c r="WZ13" s="114"/>
      <c r="XA13" s="114"/>
      <c r="XB13" s="114"/>
      <c r="XC13" s="114"/>
      <c r="XD13" s="114"/>
      <c r="XE13" s="114"/>
      <c r="XF13" s="114"/>
      <c r="XG13" s="114"/>
      <c r="XH13" s="114"/>
      <c r="XI13" s="114"/>
      <c r="XJ13" s="114"/>
      <c r="XK13" s="114"/>
      <c r="XL13" s="114"/>
      <c r="XM13" s="114"/>
      <c r="XN13" s="114"/>
      <c r="XO13" s="114"/>
      <c r="XP13" s="114"/>
      <c r="XQ13" s="114"/>
      <c r="XR13" s="114"/>
      <c r="XS13" s="114"/>
      <c r="XT13" s="114"/>
      <c r="XU13" s="114"/>
      <c r="XV13" s="114"/>
      <c r="XW13" s="114"/>
      <c r="XX13" s="114"/>
      <c r="XY13" s="114"/>
      <c r="XZ13" s="114"/>
      <c r="YA13" s="114"/>
      <c r="YB13" s="114"/>
      <c r="YC13" s="114"/>
      <c r="YD13" s="114"/>
      <c r="YE13" s="114"/>
      <c r="YF13" s="114"/>
      <c r="YG13" s="114"/>
      <c r="YH13" s="114"/>
      <c r="YI13" s="114"/>
      <c r="YJ13" s="114"/>
      <c r="YK13" s="114"/>
      <c r="YL13" s="114"/>
      <c r="YM13" s="114"/>
      <c r="YN13" s="114"/>
      <c r="YO13" s="114"/>
      <c r="YP13" s="114"/>
      <c r="YQ13" s="114"/>
      <c r="YR13" s="114"/>
      <c r="YS13" s="114"/>
      <c r="YT13" s="114"/>
      <c r="YU13" s="114"/>
      <c r="YV13" s="114"/>
      <c r="YW13" s="114"/>
      <c r="YX13" s="114"/>
      <c r="YY13" s="114"/>
      <c r="YZ13" s="114"/>
      <c r="ZA13" s="114"/>
      <c r="ZB13" s="114"/>
      <c r="ZC13" s="114"/>
      <c r="ZD13" s="114"/>
      <c r="ZE13" s="114"/>
      <c r="ZF13" s="114"/>
      <c r="ZG13" s="114"/>
      <c r="ZH13" s="114"/>
      <c r="ZI13" s="114"/>
      <c r="ZJ13" s="114"/>
      <c r="ZK13" s="114"/>
      <c r="ZL13" s="114"/>
      <c r="ZM13" s="114"/>
      <c r="ZN13" s="114"/>
      <c r="ZO13" s="114"/>
      <c r="ZP13" s="114"/>
      <c r="ZQ13" s="114"/>
      <c r="ZR13" s="114"/>
      <c r="ZS13" s="114"/>
      <c r="ZT13" s="114"/>
      <c r="ZU13" s="114"/>
      <c r="ZV13" s="114"/>
      <c r="ZW13" s="114"/>
      <c r="ZX13" s="114"/>
      <c r="ZY13" s="114"/>
      <c r="ZZ13" s="114"/>
      <c r="AAA13" s="114"/>
      <c r="AAB13" s="114"/>
      <c r="AAC13" s="114"/>
      <c r="AAD13" s="114"/>
      <c r="AAE13" s="114"/>
      <c r="AAF13" s="114"/>
      <c r="AAG13" s="114"/>
      <c r="AAH13" s="114"/>
      <c r="AAI13" s="114"/>
      <c r="AAJ13" s="114"/>
      <c r="AAK13" s="114"/>
      <c r="AAL13" s="114"/>
      <c r="AAM13" s="114"/>
      <c r="AAN13" s="114"/>
      <c r="AAO13" s="114"/>
      <c r="AAP13" s="114"/>
      <c r="AAQ13" s="114"/>
      <c r="AAR13" s="114"/>
      <c r="AAS13" s="114"/>
      <c r="AAT13" s="114"/>
      <c r="AAU13" s="114"/>
      <c r="AAV13" s="114"/>
      <c r="AAW13" s="114"/>
      <c r="AAX13" s="114"/>
      <c r="AAY13" s="114"/>
      <c r="AAZ13" s="114"/>
      <c r="ABA13" s="114"/>
      <c r="ABB13" s="114"/>
      <c r="ABC13" s="114"/>
      <c r="ABD13" s="114"/>
      <c r="ABE13" s="114"/>
      <c r="ABF13" s="114"/>
      <c r="ABG13" s="114"/>
      <c r="ABH13" s="114"/>
      <c r="ABI13" s="114"/>
      <c r="ABJ13" s="114"/>
      <c r="ABK13" s="114"/>
      <c r="ABL13" s="114"/>
      <c r="ABM13" s="114"/>
      <c r="ABN13" s="114"/>
      <c r="ABO13" s="114"/>
      <c r="ABP13" s="114"/>
      <c r="ABQ13" s="114"/>
      <c r="ABR13" s="114"/>
      <c r="ABS13" s="114"/>
      <c r="ABT13" s="114"/>
      <c r="ABU13" s="114"/>
      <c r="ABV13" s="114"/>
      <c r="ABW13" s="114"/>
      <c r="ABX13" s="114"/>
      <c r="ABY13" s="114"/>
      <c r="ABZ13" s="114"/>
      <c r="ACA13" s="114"/>
      <c r="ACB13" s="114"/>
      <c r="ACC13" s="114"/>
      <c r="ACD13" s="114"/>
      <c r="ACE13" s="114"/>
      <c r="ACF13" s="114"/>
      <c r="ACG13" s="114"/>
      <c r="ACH13" s="114"/>
      <c r="ACI13" s="114"/>
      <c r="ACJ13" s="114"/>
      <c r="ACK13" s="114"/>
      <c r="ACL13" s="114"/>
      <c r="ACM13" s="114"/>
      <c r="ACN13" s="114"/>
      <c r="ACO13" s="114"/>
      <c r="ACP13" s="114"/>
      <c r="ACQ13" s="114"/>
      <c r="ACR13" s="114"/>
      <c r="ACS13" s="114"/>
      <c r="ACT13" s="114"/>
      <c r="ACU13" s="114"/>
      <c r="ACV13" s="114"/>
      <c r="ACW13" s="114"/>
      <c r="ACX13" s="114"/>
      <c r="ACY13" s="114"/>
      <c r="ACZ13" s="114"/>
      <c r="ADA13" s="114"/>
      <c r="ADB13" s="114"/>
      <c r="ADC13" s="114"/>
      <c r="ADD13" s="114"/>
      <c r="ADE13" s="114"/>
      <c r="ADF13" s="114"/>
      <c r="ADG13" s="114"/>
      <c r="ADH13" s="114"/>
      <c r="ADI13" s="114"/>
      <c r="ADJ13" s="114"/>
      <c r="ADK13" s="114"/>
      <c r="ADL13" s="114"/>
      <c r="ADM13" s="114"/>
      <c r="ADN13" s="114"/>
      <c r="ADO13" s="114"/>
      <c r="ADP13" s="114"/>
      <c r="ADQ13" s="114"/>
      <c r="ADR13" s="114"/>
      <c r="ADS13" s="114"/>
      <c r="ADT13" s="114"/>
      <c r="ADU13" s="114"/>
      <c r="ADV13" s="114"/>
      <c r="ADW13" s="114"/>
      <c r="ADX13" s="114"/>
      <c r="ADY13" s="114"/>
      <c r="ADZ13" s="114"/>
      <c r="AEA13" s="114"/>
      <c r="AEB13" s="114"/>
      <c r="AEC13" s="114"/>
      <c r="AED13" s="114"/>
      <c r="AEE13" s="114"/>
      <c r="AEF13" s="114"/>
      <c r="AEG13" s="114"/>
      <c r="AEH13" s="114"/>
      <c r="AEI13" s="114"/>
      <c r="AEJ13" s="114"/>
      <c r="AEK13" s="114"/>
      <c r="AEL13" s="114"/>
      <c r="AEM13" s="114"/>
      <c r="AEN13" s="114"/>
      <c r="AEO13" s="114"/>
      <c r="AEP13" s="114"/>
      <c r="AEQ13" s="114"/>
      <c r="AER13" s="114"/>
      <c r="AES13" s="114"/>
      <c r="AET13" s="114"/>
      <c r="AEU13" s="114"/>
      <c r="AEV13" s="114"/>
      <c r="AEW13" s="114"/>
      <c r="AEX13" s="114"/>
      <c r="AEY13" s="114"/>
      <c r="AEZ13" s="114"/>
      <c r="AFA13" s="114"/>
      <c r="AFB13" s="114"/>
      <c r="AFC13" s="114"/>
      <c r="AFD13" s="114"/>
      <c r="AFE13" s="114"/>
      <c r="AFF13" s="114"/>
      <c r="AFG13" s="114"/>
      <c r="AFH13" s="114"/>
      <c r="AFI13" s="114"/>
      <c r="AFJ13" s="114"/>
      <c r="AFK13" s="114"/>
      <c r="AFL13" s="114"/>
      <c r="AFM13" s="114"/>
      <c r="AFN13" s="114"/>
      <c r="AFO13" s="114"/>
      <c r="AFP13" s="114"/>
      <c r="AFQ13" s="114"/>
      <c r="AFR13" s="114"/>
      <c r="AFS13" s="114"/>
      <c r="AFT13" s="114"/>
      <c r="AFU13" s="114"/>
      <c r="AFV13" s="114"/>
      <c r="AFW13" s="114"/>
      <c r="AFX13" s="114"/>
      <c r="AFY13" s="114"/>
      <c r="AFZ13" s="114"/>
      <c r="AGA13" s="114"/>
      <c r="AGB13" s="114"/>
      <c r="AGC13" s="114"/>
      <c r="AGD13" s="114"/>
      <c r="AGE13" s="114"/>
      <c r="AGF13" s="114"/>
      <c r="AGG13" s="114"/>
      <c r="AGH13" s="114"/>
      <c r="AGI13" s="114"/>
      <c r="AGJ13" s="114"/>
      <c r="AGK13" s="114"/>
      <c r="AGL13" s="114"/>
      <c r="AGM13" s="114"/>
      <c r="AGN13" s="114"/>
      <c r="AGO13" s="114"/>
      <c r="AGP13" s="114"/>
      <c r="AGQ13" s="114"/>
      <c r="AGR13" s="114"/>
      <c r="AGS13" s="114"/>
      <c r="AGT13" s="114"/>
      <c r="AGU13" s="114"/>
      <c r="AGV13" s="114"/>
      <c r="AGW13" s="114"/>
      <c r="AGX13" s="114"/>
      <c r="AGY13" s="114"/>
      <c r="AGZ13" s="114"/>
      <c r="AHA13" s="114"/>
      <c r="AHB13" s="114"/>
      <c r="AHC13" s="114"/>
      <c r="AHD13" s="114"/>
      <c r="AHE13" s="114"/>
      <c r="AHF13" s="114"/>
      <c r="AHG13" s="114"/>
      <c r="AHH13" s="114"/>
      <c r="AHI13" s="114"/>
      <c r="AHJ13" s="114"/>
      <c r="AHK13" s="114"/>
      <c r="AHL13" s="114"/>
      <c r="AHM13" s="114"/>
      <c r="AHN13" s="114"/>
      <c r="AHO13" s="114"/>
      <c r="AHP13" s="114"/>
      <c r="AHQ13" s="114"/>
      <c r="AHR13" s="114"/>
      <c r="AHS13" s="114"/>
      <c r="AHT13" s="114"/>
      <c r="AHU13" s="114"/>
      <c r="AHV13" s="114"/>
      <c r="AHW13" s="114"/>
      <c r="AHX13" s="114"/>
      <c r="AHY13" s="114"/>
      <c r="AHZ13" s="114"/>
      <c r="AIA13" s="114"/>
      <c r="AIB13" s="114"/>
      <c r="AIC13" s="114"/>
      <c r="AID13" s="114"/>
      <c r="AIE13" s="114"/>
      <c r="AIF13" s="114"/>
      <c r="AIG13" s="114"/>
      <c r="AIH13" s="114"/>
      <c r="AII13" s="114"/>
      <c r="AIJ13" s="114"/>
      <c r="AIK13" s="114"/>
      <c r="AIL13" s="114"/>
      <c r="AIM13" s="114"/>
      <c r="AIN13" s="114"/>
      <c r="AIO13" s="114"/>
      <c r="AIP13" s="114"/>
      <c r="AIQ13" s="114"/>
      <c r="AIR13" s="114"/>
      <c r="AIS13" s="114"/>
      <c r="AIT13" s="114"/>
      <c r="AIU13" s="114"/>
      <c r="AIV13" s="114"/>
      <c r="AIW13" s="114"/>
      <c r="AIX13" s="114"/>
      <c r="AIY13" s="114"/>
      <c r="AIZ13" s="114"/>
      <c r="AJA13" s="114"/>
      <c r="AJB13" s="114"/>
      <c r="AJC13" s="114"/>
      <c r="AJD13" s="114"/>
      <c r="AJE13" s="114"/>
      <c r="AJF13" s="114"/>
      <c r="AJG13" s="114"/>
      <c r="AJH13" s="114"/>
      <c r="AJI13" s="114"/>
      <c r="AJJ13" s="114"/>
      <c r="AJK13" s="114"/>
      <c r="AJL13" s="114"/>
      <c r="AJM13" s="114"/>
      <c r="AJN13" s="114"/>
      <c r="AJO13" s="114"/>
      <c r="AJP13" s="114"/>
      <c r="AJQ13" s="114"/>
      <c r="AJR13" s="114"/>
      <c r="AJS13" s="114"/>
      <c r="AJT13" s="114"/>
      <c r="AJU13" s="114"/>
      <c r="AJV13" s="114"/>
      <c r="AJW13" s="114"/>
      <c r="AJX13" s="114"/>
      <c r="AJY13" s="114"/>
      <c r="AJZ13" s="114"/>
      <c r="AKA13" s="114"/>
      <c r="AKB13" s="114"/>
      <c r="AKC13" s="114"/>
      <c r="AKD13" s="114"/>
      <c r="AKE13" s="114"/>
      <c r="AKF13" s="114"/>
      <c r="AKG13" s="114"/>
      <c r="AKH13" s="114"/>
      <c r="AKI13" s="114"/>
      <c r="AKJ13" s="114"/>
      <c r="AKK13" s="114"/>
      <c r="AKL13" s="114"/>
      <c r="AKM13" s="114"/>
      <c r="AKN13" s="114"/>
      <c r="AKO13" s="114"/>
      <c r="AKP13" s="114"/>
      <c r="AKQ13" s="114"/>
      <c r="AKR13" s="114"/>
      <c r="AKS13" s="114"/>
      <c r="AKT13" s="114"/>
      <c r="AKU13" s="114"/>
      <c r="AKV13" s="114"/>
      <c r="AKW13" s="114"/>
      <c r="AKX13" s="114"/>
      <c r="AKY13" s="114"/>
    </row>
    <row r="14" spans="1:987" s="115" customFormat="1" ht="15" customHeight="1" x14ac:dyDescent="0.3">
      <c r="A14" s="158"/>
      <c r="B14" s="159"/>
      <c r="C14" s="463"/>
      <c r="D14" s="464" t="s">
        <v>2837</v>
      </c>
      <c r="E14" s="465"/>
      <c r="F14" s="466"/>
      <c r="G14" s="127">
        <f>SUM(G13)</f>
        <v>5000</v>
      </c>
      <c r="H14" s="128"/>
      <c r="I14" s="128"/>
      <c r="J14" s="128"/>
      <c r="K14" s="128"/>
      <c r="L14" s="128"/>
      <c r="M14" s="128"/>
      <c r="N14" s="128"/>
      <c r="O14" s="128"/>
      <c r="P14" s="128"/>
      <c r="Q14" s="128"/>
      <c r="R14" s="128"/>
      <c r="S14" s="129"/>
      <c r="T14" s="125"/>
      <c r="U14" s="114"/>
      <c r="V14" s="114"/>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4"/>
      <c r="AY14" s="114"/>
      <c r="AZ14" s="114"/>
      <c r="BA14" s="114"/>
      <c r="BB14" s="114"/>
      <c r="BC14" s="114"/>
      <c r="BD14" s="114"/>
      <c r="BE14" s="114"/>
      <c r="BF14" s="114"/>
      <c r="BG14" s="114"/>
      <c r="BH14" s="114"/>
      <c r="BI14" s="114"/>
      <c r="BJ14" s="114"/>
      <c r="BK14" s="114"/>
      <c r="BL14" s="114"/>
      <c r="BM14" s="114"/>
      <c r="BN14" s="114"/>
      <c r="BO14" s="114"/>
      <c r="BP14" s="114"/>
      <c r="BQ14" s="114"/>
      <c r="BR14" s="114"/>
      <c r="BS14" s="114"/>
      <c r="BT14" s="114"/>
      <c r="BU14" s="114"/>
      <c r="BV14" s="114"/>
      <c r="BW14" s="114"/>
      <c r="BX14" s="114"/>
      <c r="BY14" s="114"/>
      <c r="BZ14" s="114"/>
      <c r="CA14" s="114"/>
      <c r="CB14" s="114"/>
      <c r="CC14" s="114"/>
      <c r="CD14" s="114"/>
      <c r="CE14" s="114"/>
      <c r="CF14" s="114"/>
      <c r="CG14" s="114"/>
      <c r="CH14" s="114"/>
      <c r="CI14" s="114"/>
      <c r="CJ14" s="114"/>
      <c r="CK14" s="114"/>
      <c r="CL14" s="114"/>
      <c r="CM14" s="114"/>
      <c r="CN14" s="114"/>
      <c r="CO14" s="114"/>
      <c r="CP14" s="114"/>
      <c r="CQ14" s="114"/>
      <c r="CR14" s="114"/>
      <c r="CS14" s="114"/>
      <c r="CT14" s="114"/>
      <c r="CU14" s="114"/>
      <c r="CV14" s="114"/>
      <c r="CW14" s="114"/>
      <c r="CX14" s="114"/>
      <c r="CY14" s="114"/>
      <c r="CZ14" s="114"/>
      <c r="DA14" s="114"/>
      <c r="DB14" s="114"/>
      <c r="DC14" s="114"/>
      <c r="DD14" s="114"/>
      <c r="DE14" s="114"/>
      <c r="DF14" s="114"/>
      <c r="DG14" s="114"/>
      <c r="DH14" s="114"/>
      <c r="DI14" s="114"/>
      <c r="DJ14" s="114"/>
      <c r="DK14" s="114"/>
      <c r="DL14" s="114"/>
      <c r="DM14" s="114"/>
      <c r="DN14" s="114"/>
      <c r="DO14" s="114"/>
      <c r="DP14" s="114"/>
      <c r="DQ14" s="114"/>
      <c r="DR14" s="114"/>
      <c r="DS14" s="114"/>
      <c r="DT14" s="114"/>
      <c r="DU14" s="114"/>
      <c r="DV14" s="114"/>
      <c r="DW14" s="114"/>
      <c r="DX14" s="114"/>
      <c r="DY14" s="114"/>
      <c r="DZ14" s="114"/>
      <c r="EA14" s="114"/>
      <c r="EB14" s="114"/>
      <c r="EC14" s="114"/>
      <c r="ED14" s="114"/>
      <c r="EE14" s="114"/>
      <c r="EF14" s="114"/>
      <c r="EG14" s="114"/>
      <c r="EH14" s="114"/>
      <c r="EI14" s="114"/>
      <c r="EJ14" s="114"/>
      <c r="EK14" s="114"/>
      <c r="EL14" s="114"/>
      <c r="EM14" s="114"/>
      <c r="EN14" s="114"/>
      <c r="EO14" s="114"/>
      <c r="EP14" s="114"/>
      <c r="EQ14" s="114"/>
      <c r="ER14" s="114"/>
      <c r="ES14" s="114"/>
      <c r="ET14" s="114"/>
      <c r="EU14" s="114"/>
      <c r="EV14" s="114"/>
      <c r="EW14" s="114"/>
      <c r="EX14" s="114"/>
      <c r="EY14" s="114"/>
      <c r="EZ14" s="114"/>
      <c r="FA14" s="114"/>
      <c r="FB14" s="114"/>
      <c r="FC14" s="114"/>
      <c r="FD14" s="114"/>
      <c r="FE14" s="114"/>
      <c r="FF14" s="114"/>
      <c r="FG14" s="114"/>
      <c r="FH14" s="114"/>
      <c r="FI14" s="114"/>
      <c r="FJ14" s="114"/>
      <c r="FK14" s="114"/>
      <c r="FL14" s="114"/>
      <c r="FM14" s="114"/>
      <c r="FN14" s="114"/>
      <c r="FO14" s="114"/>
      <c r="FP14" s="114"/>
      <c r="FQ14" s="114"/>
      <c r="FR14" s="114"/>
      <c r="FS14" s="114"/>
      <c r="FT14" s="114"/>
      <c r="FU14" s="114"/>
      <c r="FV14" s="114"/>
      <c r="FW14" s="114"/>
      <c r="FX14" s="114"/>
      <c r="FY14" s="114"/>
      <c r="FZ14" s="114"/>
      <c r="GA14" s="114"/>
      <c r="GB14" s="114"/>
      <c r="GC14" s="114"/>
      <c r="GD14" s="114"/>
      <c r="GE14" s="114"/>
      <c r="GF14" s="114"/>
      <c r="GG14" s="114"/>
      <c r="GH14" s="114"/>
      <c r="GI14" s="114"/>
      <c r="GJ14" s="114"/>
      <c r="GK14" s="114"/>
      <c r="GL14" s="114"/>
      <c r="GM14" s="114"/>
      <c r="GN14" s="114"/>
      <c r="GO14" s="114"/>
      <c r="GP14" s="114"/>
      <c r="GQ14" s="114"/>
      <c r="GR14" s="114"/>
      <c r="GS14" s="114"/>
      <c r="GT14" s="114"/>
      <c r="GU14" s="114"/>
      <c r="GV14" s="114"/>
      <c r="GW14" s="114"/>
      <c r="GX14" s="114"/>
      <c r="GY14" s="114"/>
      <c r="GZ14" s="114"/>
      <c r="HA14" s="114"/>
      <c r="HB14" s="114"/>
      <c r="HC14" s="114"/>
      <c r="HD14" s="114"/>
      <c r="HE14" s="114"/>
      <c r="HF14" s="114"/>
      <c r="HG14" s="114"/>
      <c r="HH14" s="114"/>
      <c r="HI14" s="114"/>
      <c r="HJ14" s="114"/>
      <c r="HK14" s="114"/>
      <c r="HL14" s="114"/>
      <c r="HM14" s="114"/>
      <c r="HN14" s="114"/>
      <c r="HO14" s="114"/>
      <c r="HP14" s="114"/>
      <c r="HQ14" s="114"/>
      <c r="HR14" s="114"/>
      <c r="HS14" s="114"/>
      <c r="HT14" s="114"/>
      <c r="HU14" s="114"/>
      <c r="HV14" s="114"/>
      <c r="HW14" s="114"/>
      <c r="HX14" s="114"/>
      <c r="HY14" s="114"/>
      <c r="HZ14" s="114"/>
      <c r="IA14" s="114"/>
      <c r="IB14" s="114"/>
      <c r="IC14" s="114"/>
      <c r="ID14" s="114"/>
      <c r="IE14" s="114"/>
      <c r="IF14" s="114"/>
      <c r="IG14" s="114"/>
      <c r="IH14" s="114"/>
      <c r="II14" s="114"/>
      <c r="IJ14" s="114"/>
      <c r="IK14" s="114"/>
      <c r="IL14" s="114"/>
      <c r="IM14" s="114"/>
      <c r="IN14" s="114"/>
      <c r="IO14" s="114"/>
      <c r="IP14" s="114"/>
      <c r="IQ14" s="114"/>
      <c r="IR14" s="114"/>
      <c r="IS14" s="114"/>
      <c r="IT14" s="114"/>
      <c r="IU14" s="114"/>
      <c r="IV14" s="114"/>
      <c r="IW14" s="114"/>
      <c r="IX14" s="114"/>
      <c r="IY14" s="114"/>
      <c r="IZ14" s="114"/>
      <c r="JA14" s="114"/>
      <c r="JB14" s="114"/>
      <c r="JC14" s="114"/>
      <c r="JD14" s="114"/>
      <c r="JE14" s="114"/>
      <c r="JF14" s="114"/>
      <c r="JG14" s="114"/>
      <c r="JH14" s="114"/>
      <c r="JI14" s="114"/>
      <c r="JJ14" s="114"/>
      <c r="JK14" s="114"/>
      <c r="JL14" s="114"/>
      <c r="JM14" s="114"/>
      <c r="JN14" s="114"/>
      <c r="JO14" s="114"/>
      <c r="JP14" s="114"/>
      <c r="JQ14" s="114"/>
      <c r="JR14" s="114"/>
      <c r="JS14" s="114"/>
      <c r="JT14" s="114"/>
      <c r="JU14" s="114"/>
      <c r="JV14" s="114"/>
      <c r="JW14" s="114"/>
      <c r="JX14" s="114"/>
      <c r="JY14" s="114"/>
      <c r="JZ14" s="114"/>
      <c r="KA14" s="114"/>
      <c r="KB14" s="114"/>
      <c r="KC14" s="114"/>
      <c r="KD14" s="114"/>
      <c r="KE14" s="114"/>
      <c r="KF14" s="114"/>
      <c r="KG14" s="114"/>
      <c r="KH14" s="114"/>
      <c r="KI14" s="114"/>
      <c r="KJ14" s="114"/>
      <c r="KK14" s="114"/>
      <c r="KL14" s="114"/>
      <c r="KM14" s="114"/>
      <c r="KN14" s="114"/>
      <c r="KO14" s="114"/>
      <c r="KP14" s="114"/>
      <c r="KQ14" s="114"/>
      <c r="KR14" s="114"/>
      <c r="KS14" s="114"/>
      <c r="KT14" s="114"/>
      <c r="KU14" s="114"/>
      <c r="KV14" s="114"/>
      <c r="KW14" s="114"/>
      <c r="KX14" s="114"/>
      <c r="KY14" s="114"/>
      <c r="KZ14" s="114"/>
      <c r="LA14" s="114"/>
      <c r="LB14" s="114"/>
      <c r="LC14" s="114"/>
      <c r="LD14" s="114"/>
      <c r="LE14" s="114"/>
      <c r="LF14" s="114"/>
      <c r="LG14" s="114"/>
      <c r="LH14" s="114"/>
      <c r="LI14" s="114"/>
      <c r="LJ14" s="114"/>
      <c r="LK14" s="114"/>
      <c r="LL14" s="114"/>
      <c r="LM14" s="114"/>
      <c r="LN14" s="114"/>
      <c r="LO14" s="114"/>
      <c r="LP14" s="114"/>
      <c r="LQ14" s="114"/>
      <c r="LR14" s="114"/>
      <c r="LS14" s="114"/>
      <c r="LT14" s="114"/>
      <c r="LU14" s="114"/>
      <c r="LV14" s="114"/>
      <c r="LW14" s="114"/>
      <c r="LX14" s="114"/>
      <c r="LY14" s="114"/>
      <c r="LZ14" s="114"/>
      <c r="MA14" s="114"/>
      <c r="MB14" s="114"/>
      <c r="MC14" s="114"/>
      <c r="MD14" s="114"/>
      <c r="ME14" s="114"/>
      <c r="MF14" s="114"/>
      <c r="MG14" s="114"/>
      <c r="MH14" s="114"/>
      <c r="MI14" s="114"/>
      <c r="MJ14" s="114"/>
      <c r="MK14" s="114"/>
      <c r="ML14" s="114"/>
      <c r="MM14" s="114"/>
      <c r="MN14" s="114"/>
      <c r="MO14" s="114"/>
      <c r="MP14" s="114"/>
      <c r="MQ14" s="114"/>
      <c r="MR14" s="114"/>
      <c r="MS14" s="114"/>
      <c r="MT14" s="114"/>
      <c r="MU14" s="114"/>
      <c r="MV14" s="114"/>
      <c r="MW14" s="114"/>
      <c r="MX14" s="114"/>
      <c r="MY14" s="114"/>
      <c r="MZ14" s="114"/>
      <c r="NA14" s="114"/>
      <c r="NB14" s="114"/>
      <c r="NC14" s="114"/>
      <c r="ND14" s="114"/>
      <c r="NE14" s="114"/>
      <c r="NF14" s="114"/>
      <c r="NG14" s="114"/>
      <c r="NH14" s="114"/>
      <c r="NI14" s="114"/>
      <c r="NJ14" s="114"/>
      <c r="NK14" s="114"/>
      <c r="NL14" s="114"/>
      <c r="NM14" s="114"/>
      <c r="NN14" s="114"/>
      <c r="NO14" s="114"/>
      <c r="NP14" s="114"/>
      <c r="NQ14" s="114"/>
      <c r="NR14" s="114"/>
      <c r="NS14" s="114"/>
      <c r="NT14" s="114"/>
      <c r="NU14" s="114"/>
      <c r="NV14" s="114"/>
      <c r="NW14" s="114"/>
      <c r="NX14" s="114"/>
      <c r="NY14" s="114"/>
      <c r="NZ14" s="114"/>
      <c r="OA14" s="114"/>
      <c r="OB14" s="114"/>
      <c r="OC14" s="114"/>
      <c r="OD14" s="114"/>
      <c r="OE14" s="114"/>
      <c r="OF14" s="114"/>
      <c r="OG14" s="114"/>
      <c r="OH14" s="114"/>
      <c r="OI14" s="114"/>
      <c r="OJ14" s="114"/>
      <c r="OK14" s="114"/>
      <c r="OL14" s="114"/>
      <c r="OM14" s="114"/>
      <c r="ON14" s="114"/>
      <c r="OO14" s="114"/>
      <c r="OP14" s="114"/>
      <c r="OQ14" s="114"/>
      <c r="OR14" s="114"/>
      <c r="OS14" s="114"/>
      <c r="OT14" s="114"/>
      <c r="OU14" s="114"/>
      <c r="OV14" s="114"/>
      <c r="OW14" s="114"/>
      <c r="OX14" s="114"/>
      <c r="OY14" s="114"/>
      <c r="OZ14" s="114"/>
      <c r="PA14" s="114"/>
      <c r="PB14" s="114"/>
      <c r="PC14" s="114"/>
      <c r="PD14" s="114"/>
      <c r="PE14" s="114"/>
      <c r="PF14" s="114"/>
      <c r="PG14" s="114"/>
      <c r="PH14" s="114"/>
      <c r="PI14" s="114"/>
      <c r="PJ14" s="114"/>
      <c r="PK14" s="114"/>
      <c r="PL14" s="114"/>
      <c r="PM14" s="114"/>
      <c r="PN14" s="114"/>
      <c r="PO14" s="114"/>
      <c r="PP14" s="114"/>
      <c r="PQ14" s="114"/>
      <c r="PR14" s="114"/>
      <c r="PS14" s="114"/>
      <c r="PT14" s="114"/>
      <c r="PU14" s="114"/>
      <c r="PV14" s="114"/>
      <c r="PW14" s="114"/>
      <c r="PX14" s="114"/>
      <c r="PY14" s="114"/>
      <c r="PZ14" s="114"/>
      <c r="QA14" s="114"/>
      <c r="QB14" s="114"/>
      <c r="QC14" s="114"/>
      <c r="QD14" s="114"/>
      <c r="QE14" s="114"/>
      <c r="QF14" s="114"/>
      <c r="QG14" s="114"/>
      <c r="QH14" s="114"/>
      <c r="QI14" s="114"/>
      <c r="QJ14" s="114"/>
      <c r="QK14" s="114"/>
      <c r="QL14" s="114"/>
      <c r="QM14" s="114"/>
      <c r="QN14" s="114"/>
      <c r="QO14" s="114"/>
      <c r="QP14" s="114"/>
      <c r="QQ14" s="114"/>
      <c r="QR14" s="114"/>
      <c r="QS14" s="114"/>
      <c r="QT14" s="114"/>
      <c r="QU14" s="114"/>
      <c r="QV14" s="114"/>
      <c r="QW14" s="114"/>
      <c r="QX14" s="114"/>
      <c r="QY14" s="114"/>
      <c r="QZ14" s="114"/>
      <c r="RA14" s="114"/>
      <c r="RB14" s="114"/>
      <c r="RC14" s="114"/>
      <c r="RD14" s="114"/>
      <c r="RE14" s="114"/>
      <c r="RF14" s="114"/>
      <c r="RG14" s="114"/>
      <c r="RH14" s="114"/>
      <c r="RI14" s="114"/>
      <c r="RJ14" s="114"/>
      <c r="RK14" s="114"/>
      <c r="RL14" s="114"/>
      <c r="RM14" s="114"/>
      <c r="RN14" s="114"/>
      <c r="RO14" s="114"/>
      <c r="RP14" s="114"/>
      <c r="RQ14" s="114"/>
      <c r="RR14" s="114"/>
      <c r="RS14" s="114"/>
      <c r="RT14" s="114"/>
      <c r="RU14" s="114"/>
      <c r="RV14" s="114"/>
      <c r="RW14" s="114"/>
      <c r="RX14" s="114"/>
      <c r="RY14" s="114"/>
      <c r="RZ14" s="114"/>
      <c r="SA14" s="114"/>
      <c r="SB14" s="114"/>
      <c r="SC14" s="114"/>
      <c r="SD14" s="114"/>
      <c r="SE14" s="114"/>
      <c r="SF14" s="114"/>
      <c r="SG14" s="114"/>
      <c r="SH14" s="114"/>
      <c r="SI14" s="114"/>
      <c r="SJ14" s="114"/>
      <c r="SK14" s="114"/>
      <c r="SL14" s="114"/>
      <c r="SM14" s="114"/>
      <c r="SN14" s="114"/>
      <c r="SO14" s="114"/>
      <c r="SP14" s="114"/>
      <c r="SQ14" s="114"/>
      <c r="SR14" s="114"/>
      <c r="SS14" s="114"/>
      <c r="ST14" s="114"/>
      <c r="SU14" s="114"/>
      <c r="SV14" s="114"/>
      <c r="SW14" s="114"/>
      <c r="SX14" s="114"/>
      <c r="SY14" s="114"/>
      <c r="SZ14" s="114"/>
      <c r="TA14" s="114"/>
      <c r="TB14" s="114"/>
      <c r="TC14" s="114"/>
      <c r="TD14" s="114"/>
      <c r="TE14" s="114"/>
      <c r="TF14" s="114"/>
      <c r="TG14" s="114"/>
      <c r="TH14" s="114"/>
      <c r="TI14" s="114"/>
      <c r="TJ14" s="114"/>
      <c r="TK14" s="114"/>
      <c r="TL14" s="114"/>
      <c r="TM14" s="114"/>
      <c r="TN14" s="114"/>
      <c r="TO14" s="114"/>
      <c r="TP14" s="114"/>
      <c r="TQ14" s="114"/>
      <c r="TR14" s="114"/>
      <c r="TS14" s="114"/>
      <c r="TT14" s="114"/>
      <c r="TU14" s="114"/>
      <c r="TV14" s="114"/>
      <c r="TW14" s="114"/>
      <c r="TX14" s="114"/>
      <c r="TY14" s="114"/>
      <c r="TZ14" s="114"/>
      <c r="UA14" s="114"/>
      <c r="UB14" s="114"/>
      <c r="UC14" s="114"/>
      <c r="UD14" s="114"/>
      <c r="UE14" s="114"/>
      <c r="UF14" s="114"/>
      <c r="UG14" s="114"/>
      <c r="UH14" s="114"/>
      <c r="UI14" s="114"/>
      <c r="UJ14" s="114"/>
      <c r="UK14" s="114"/>
      <c r="UL14" s="114"/>
      <c r="UM14" s="114"/>
      <c r="UN14" s="114"/>
      <c r="UO14" s="114"/>
      <c r="UP14" s="114"/>
      <c r="UQ14" s="114"/>
      <c r="UR14" s="114"/>
      <c r="US14" s="114"/>
      <c r="UT14" s="114"/>
      <c r="UU14" s="114"/>
      <c r="UV14" s="114"/>
      <c r="UW14" s="114"/>
      <c r="UX14" s="114"/>
      <c r="UY14" s="114"/>
      <c r="UZ14" s="114"/>
      <c r="VA14" s="114"/>
      <c r="VB14" s="114"/>
      <c r="VC14" s="114"/>
      <c r="VD14" s="114"/>
      <c r="VE14" s="114"/>
      <c r="VF14" s="114"/>
      <c r="VG14" s="114"/>
      <c r="VH14" s="114"/>
      <c r="VI14" s="114"/>
      <c r="VJ14" s="114"/>
      <c r="VK14" s="114"/>
      <c r="VL14" s="114"/>
      <c r="VM14" s="114"/>
      <c r="VN14" s="114"/>
      <c r="VO14" s="114"/>
      <c r="VP14" s="114"/>
      <c r="VQ14" s="114"/>
      <c r="VR14" s="114"/>
      <c r="VS14" s="114"/>
      <c r="VT14" s="114"/>
      <c r="VU14" s="114"/>
      <c r="VV14" s="114"/>
      <c r="VW14" s="114"/>
      <c r="VX14" s="114"/>
      <c r="VY14" s="114"/>
      <c r="VZ14" s="114"/>
      <c r="WA14" s="114"/>
      <c r="WB14" s="114"/>
      <c r="WC14" s="114"/>
      <c r="WD14" s="114"/>
      <c r="WE14" s="114"/>
      <c r="WF14" s="114"/>
      <c r="WG14" s="114"/>
      <c r="WH14" s="114"/>
      <c r="WI14" s="114"/>
      <c r="WJ14" s="114"/>
      <c r="WK14" s="114"/>
      <c r="WL14" s="114"/>
      <c r="WM14" s="114"/>
      <c r="WN14" s="114"/>
      <c r="WO14" s="114"/>
      <c r="WP14" s="114"/>
      <c r="WQ14" s="114"/>
      <c r="WR14" s="114"/>
      <c r="WS14" s="114"/>
      <c r="WT14" s="114"/>
      <c r="WU14" s="114"/>
      <c r="WV14" s="114"/>
      <c r="WW14" s="114"/>
      <c r="WX14" s="114"/>
      <c r="WY14" s="114"/>
      <c r="WZ14" s="114"/>
      <c r="XA14" s="114"/>
      <c r="XB14" s="114"/>
      <c r="XC14" s="114"/>
      <c r="XD14" s="114"/>
      <c r="XE14" s="114"/>
      <c r="XF14" s="114"/>
      <c r="XG14" s="114"/>
      <c r="XH14" s="114"/>
      <c r="XI14" s="114"/>
      <c r="XJ14" s="114"/>
      <c r="XK14" s="114"/>
      <c r="XL14" s="114"/>
      <c r="XM14" s="114"/>
      <c r="XN14" s="114"/>
      <c r="XO14" s="114"/>
      <c r="XP14" s="114"/>
      <c r="XQ14" s="114"/>
      <c r="XR14" s="114"/>
      <c r="XS14" s="114"/>
      <c r="XT14" s="114"/>
      <c r="XU14" s="114"/>
      <c r="XV14" s="114"/>
      <c r="XW14" s="114"/>
      <c r="XX14" s="114"/>
      <c r="XY14" s="114"/>
      <c r="XZ14" s="114"/>
      <c r="YA14" s="114"/>
      <c r="YB14" s="114"/>
      <c r="YC14" s="114"/>
      <c r="YD14" s="114"/>
      <c r="YE14" s="114"/>
      <c r="YF14" s="114"/>
      <c r="YG14" s="114"/>
      <c r="YH14" s="114"/>
      <c r="YI14" s="114"/>
      <c r="YJ14" s="114"/>
      <c r="YK14" s="114"/>
      <c r="YL14" s="114"/>
      <c r="YM14" s="114"/>
      <c r="YN14" s="114"/>
      <c r="YO14" s="114"/>
      <c r="YP14" s="114"/>
      <c r="YQ14" s="114"/>
      <c r="YR14" s="114"/>
      <c r="YS14" s="114"/>
      <c r="YT14" s="114"/>
      <c r="YU14" s="114"/>
      <c r="YV14" s="114"/>
      <c r="YW14" s="114"/>
      <c r="YX14" s="114"/>
      <c r="YY14" s="114"/>
      <c r="YZ14" s="114"/>
      <c r="ZA14" s="114"/>
      <c r="ZB14" s="114"/>
      <c r="ZC14" s="114"/>
      <c r="ZD14" s="114"/>
      <c r="ZE14" s="114"/>
      <c r="ZF14" s="114"/>
      <c r="ZG14" s="114"/>
      <c r="ZH14" s="114"/>
      <c r="ZI14" s="114"/>
      <c r="ZJ14" s="114"/>
      <c r="ZK14" s="114"/>
      <c r="ZL14" s="114"/>
      <c r="ZM14" s="114"/>
      <c r="ZN14" s="114"/>
      <c r="ZO14" s="114"/>
      <c r="ZP14" s="114"/>
      <c r="ZQ14" s="114"/>
      <c r="ZR14" s="114"/>
      <c r="ZS14" s="114"/>
      <c r="ZT14" s="114"/>
      <c r="ZU14" s="114"/>
      <c r="ZV14" s="114"/>
      <c r="ZW14" s="114"/>
      <c r="ZX14" s="114"/>
      <c r="ZY14" s="114"/>
      <c r="ZZ14" s="114"/>
      <c r="AAA14" s="114"/>
      <c r="AAB14" s="114"/>
      <c r="AAC14" s="114"/>
      <c r="AAD14" s="114"/>
      <c r="AAE14" s="114"/>
      <c r="AAF14" s="114"/>
      <c r="AAG14" s="114"/>
      <c r="AAH14" s="114"/>
      <c r="AAI14" s="114"/>
      <c r="AAJ14" s="114"/>
      <c r="AAK14" s="114"/>
      <c r="AAL14" s="114"/>
      <c r="AAM14" s="114"/>
      <c r="AAN14" s="114"/>
      <c r="AAO14" s="114"/>
      <c r="AAP14" s="114"/>
      <c r="AAQ14" s="114"/>
      <c r="AAR14" s="114"/>
      <c r="AAS14" s="114"/>
      <c r="AAT14" s="114"/>
      <c r="AAU14" s="114"/>
      <c r="AAV14" s="114"/>
      <c r="AAW14" s="114"/>
      <c r="AAX14" s="114"/>
      <c r="AAY14" s="114"/>
      <c r="AAZ14" s="114"/>
      <c r="ABA14" s="114"/>
      <c r="ABB14" s="114"/>
      <c r="ABC14" s="114"/>
      <c r="ABD14" s="114"/>
      <c r="ABE14" s="114"/>
      <c r="ABF14" s="114"/>
      <c r="ABG14" s="114"/>
      <c r="ABH14" s="114"/>
      <c r="ABI14" s="114"/>
      <c r="ABJ14" s="114"/>
      <c r="ABK14" s="114"/>
      <c r="ABL14" s="114"/>
      <c r="ABM14" s="114"/>
      <c r="ABN14" s="114"/>
      <c r="ABO14" s="114"/>
      <c r="ABP14" s="114"/>
      <c r="ABQ14" s="114"/>
      <c r="ABR14" s="114"/>
      <c r="ABS14" s="114"/>
      <c r="ABT14" s="114"/>
      <c r="ABU14" s="114"/>
      <c r="ABV14" s="114"/>
      <c r="ABW14" s="114"/>
      <c r="ABX14" s="114"/>
      <c r="ABY14" s="114"/>
      <c r="ABZ14" s="114"/>
      <c r="ACA14" s="114"/>
      <c r="ACB14" s="114"/>
      <c r="ACC14" s="114"/>
      <c r="ACD14" s="114"/>
      <c r="ACE14" s="114"/>
      <c r="ACF14" s="114"/>
      <c r="ACG14" s="114"/>
      <c r="ACH14" s="114"/>
      <c r="ACI14" s="114"/>
      <c r="ACJ14" s="114"/>
      <c r="ACK14" s="114"/>
      <c r="ACL14" s="114"/>
      <c r="ACM14" s="114"/>
      <c r="ACN14" s="114"/>
      <c r="ACO14" s="114"/>
      <c r="ACP14" s="114"/>
      <c r="ACQ14" s="114"/>
      <c r="ACR14" s="114"/>
      <c r="ACS14" s="114"/>
      <c r="ACT14" s="114"/>
      <c r="ACU14" s="114"/>
      <c r="ACV14" s="114"/>
      <c r="ACW14" s="114"/>
      <c r="ACX14" s="114"/>
      <c r="ACY14" s="114"/>
      <c r="ACZ14" s="114"/>
      <c r="ADA14" s="114"/>
      <c r="ADB14" s="114"/>
      <c r="ADC14" s="114"/>
      <c r="ADD14" s="114"/>
      <c r="ADE14" s="114"/>
      <c r="ADF14" s="114"/>
      <c r="ADG14" s="114"/>
      <c r="ADH14" s="114"/>
      <c r="ADI14" s="114"/>
      <c r="ADJ14" s="114"/>
      <c r="ADK14" s="114"/>
      <c r="ADL14" s="114"/>
      <c r="ADM14" s="114"/>
      <c r="ADN14" s="114"/>
      <c r="ADO14" s="114"/>
      <c r="ADP14" s="114"/>
      <c r="ADQ14" s="114"/>
      <c r="ADR14" s="114"/>
      <c r="ADS14" s="114"/>
      <c r="ADT14" s="114"/>
      <c r="ADU14" s="114"/>
      <c r="ADV14" s="114"/>
      <c r="ADW14" s="114"/>
      <c r="ADX14" s="114"/>
      <c r="ADY14" s="114"/>
      <c r="ADZ14" s="114"/>
      <c r="AEA14" s="114"/>
      <c r="AEB14" s="114"/>
      <c r="AEC14" s="114"/>
      <c r="AED14" s="114"/>
      <c r="AEE14" s="114"/>
      <c r="AEF14" s="114"/>
      <c r="AEG14" s="114"/>
      <c r="AEH14" s="114"/>
      <c r="AEI14" s="114"/>
      <c r="AEJ14" s="114"/>
      <c r="AEK14" s="114"/>
      <c r="AEL14" s="114"/>
      <c r="AEM14" s="114"/>
      <c r="AEN14" s="114"/>
      <c r="AEO14" s="114"/>
      <c r="AEP14" s="114"/>
      <c r="AEQ14" s="114"/>
      <c r="AER14" s="114"/>
      <c r="AES14" s="114"/>
      <c r="AET14" s="114"/>
      <c r="AEU14" s="114"/>
      <c r="AEV14" s="114"/>
      <c r="AEW14" s="114"/>
      <c r="AEX14" s="114"/>
      <c r="AEY14" s="114"/>
      <c r="AEZ14" s="114"/>
      <c r="AFA14" s="114"/>
      <c r="AFB14" s="114"/>
      <c r="AFC14" s="114"/>
      <c r="AFD14" s="114"/>
      <c r="AFE14" s="114"/>
      <c r="AFF14" s="114"/>
      <c r="AFG14" s="114"/>
      <c r="AFH14" s="114"/>
      <c r="AFI14" s="114"/>
      <c r="AFJ14" s="114"/>
      <c r="AFK14" s="114"/>
      <c r="AFL14" s="114"/>
      <c r="AFM14" s="114"/>
      <c r="AFN14" s="114"/>
      <c r="AFO14" s="114"/>
      <c r="AFP14" s="114"/>
      <c r="AFQ14" s="114"/>
      <c r="AFR14" s="114"/>
      <c r="AFS14" s="114"/>
      <c r="AFT14" s="114"/>
      <c r="AFU14" s="114"/>
      <c r="AFV14" s="114"/>
      <c r="AFW14" s="114"/>
      <c r="AFX14" s="114"/>
      <c r="AFY14" s="114"/>
      <c r="AFZ14" s="114"/>
      <c r="AGA14" s="114"/>
      <c r="AGB14" s="114"/>
      <c r="AGC14" s="114"/>
      <c r="AGD14" s="114"/>
      <c r="AGE14" s="114"/>
      <c r="AGF14" s="114"/>
      <c r="AGG14" s="114"/>
      <c r="AGH14" s="114"/>
      <c r="AGI14" s="114"/>
      <c r="AGJ14" s="114"/>
      <c r="AGK14" s="114"/>
      <c r="AGL14" s="114"/>
      <c r="AGM14" s="114"/>
      <c r="AGN14" s="114"/>
      <c r="AGO14" s="114"/>
      <c r="AGP14" s="114"/>
      <c r="AGQ14" s="114"/>
      <c r="AGR14" s="114"/>
      <c r="AGS14" s="114"/>
      <c r="AGT14" s="114"/>
      <c r="AGU14" s="114"/>
      <c r="AGV14" s="114"/>
      <c r="AGW14" s="114"/>
      <c r="AGX14" s="114"/>
      <c r="AGY14" s="114"/>
      <c r="AGZ14" s="114"/>
      <c r="AHA14" s="114"/>
      <c r="AHB14" s="114"/>
      <c r="AHC14" s="114"/>
      <c r="AHD14" s="114"/>
      <c r="AHE14" s="114"/>
      <c r="AHF14" s="114"/>
      <c r="AHG14" s="114"/>
      <c r="AHH14" s="114"/>
      <c r="AHI14" s="114"/>
      <c r="AHJ14" s="114"/>
      <c r="AHK14" s="114"/>
      <c r="AHL14" s="114"/>
      <c r="AHM14" s="114"/>
      <c r="AHN14" s="114"/>
      <c r="AHO14" s="114"/>
      <c r="AHP14" s="114"/>
      <c r="AHQ14" s="114"/>
      <c r="AHR14" s="114"/>
      <c r="AHS14" s="114"/>
      <c r="AHT14" s="114"/>
      <c r="AHU14" s="114"/>
      <c r="AHV14" s="114"/>
      <c r="AHW14" s="114"/>
      <c r="AHX14" s="114"/>
      <c r="AHY14" s="114"/>
      <c r="AHZ14" s="114"/>
      <c r="AIA14" s="114"/>
      <c r="AIB14" s="114"/>
      <c r="AIC14" s="114"/>
      <c r="AID14" s="114"/>
      <c r="AIE14" s="114"/>
      <c r="AIF14" s="114"/>
      <c r="AIG14" s="114"/>
      <c r="AIH14" s="114"/>
      <c r="AII14" s="114"/>
      <c r="AIJ14" s="114"/>
      <c r="AIK14" s="114"/>
      <c r="AIL14" s="114"/>
      <c r="AIM14" s="114"/>
      <c r="AIN14" s="114"/>
      <c r="AIO14" s="114"/>
      <c r="AIP14" s="114"/>
      <c r="AIQ14" s="114"/>
      <c r="AIR14" s="114"/>
      <c r="AIS14" s="114"/>
      <c r="AIT14" s="114"/>
      <c r="AIU14" s="114"/>
      <c r="AIV14" s="114"/>
      <c r="AIW14" s="114"/>
      <c r="AIX14" s="114"/>
      <c r="AIY14" s="114"/>
      <c r="AIZ14" s="114"/>
      <c r="AJA14" s="114"/>
      <c r="AJB14" s="114"/>
      <c r="AJC14" s="114"/>
      <c r="AJD14" s="114"/>
      <c r="AJE14" s="114"/>
      <c r="AJF14" s="114"/>
      <c r="AJG14" s="114"/>
      <c r="AJH14" s="114"/>
      <c r="AJI14" s="114"/>
      <c r="AJJ14" s="114"/>
      <c r="AJK14" s="114"/>
      <c r="AJL14" s="114"/>
      <c r="AJM14" s="114"/>
      <c r="AJN14" s="114"/>
      <c r="AJO14" s="114"/>
      <c r="AJP14" s="114"/>
      <c r="AJQ14" s="114"/>
      <c r="AJR14" s="114"/>
      <c r="AJS14" s="114"/>
      <c r="AJT14" s="114"/>
      <c r="AJU14" s="114"/>
      <c r="AJV14" s="114"/>
      <c r="AJW14" s="114"/>
      <c r="AJX14" s="114"/>
      <c r="AJY14" s="114"/>
      <c r="AJZ14" s="114"/>
      <c r="AKA14" s="114"/>
      <c r="AKB14" s="114"/>
      <c r="AKC14" s="114"/>
      <c r="AKD14" s="114"/>
      <c r="AKE14" s="114"/>
      <c r="AKF14" s="114"/>
      <c r="AKG14" s="114"/>
      <c r="AKH14" s="114"/>
      <c r="AKI14" s="114"/>
      <c r="AKJ14" s="114"/>
      <c r="AKK14" s="114"/>
      <c r="AKL14" s="114"/>
      <c r="AKM14" s="114"/>
      <c r="AKN14" s="114"/>
      <c r="AKO14" s="114"/>
      <c r="AKP14" s="114"/>
      <c r="AKQ14" s="114"/>
      <c r="AKR14" s="114"/>
      <c r="AKS14" s="114"/>
      <c r="AKT14" s="114"/>
      <c r="AKU14" s="114"/>
      <c r="AKV14" s="114"/>
      <c r="AKW14" s="114"/>
      <c r="AKX14" s="114"/>
      <c r="AKY14" s="114"/>
    </row>
    <row r="15" spans="1:987" s="115" customFormat="1" ht="15" customHeight="1" x14ac:dyDescent="0.3">
      <c r="A15" s="116">
        <v>8470230</v>
      </c>
      <c r="B15" s="117">
        <v>425900</v>
      </c>
      <c r="C15" s="461" t="s">
        <v>3068</v>
      </c>
      <c r="D15" s="130" t="s">
        <v>3069</v>
      </c>
      <c r="E15" s="131">
        <v>2</v>
      </c>
      <c r="F15" s="132">
        <v>25000</v>
      </c>
      <c r="G15" s="133">
        <f>E15*F15</f>
        <v>50000</v>
      </c>
      <c r="H15" s="161">
        <f>G15/2</f>
        <v>25000</v>
      </c>
      <c r="I15" s="136"/>
      <c r="J15" s="136"/>
      <c r="K15" s="136"/>
      <c r="L15" s="136"/>
      <c r="M15" s="136"/>
      <c r="N15" s="136"/>
      <c r="O15" s="162">
        <f>G15/2</f>
        <v>25000</v>
      </c>
      <c r="P15" s="136"/>
      <c r="Q15" s="136"/>
      <c r="R15" s="136"/>
      <c r="S15" s="137"/>
      <c r="T15" s="125" t="s">
        <v>3070</v>
      </c>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4"/>
      <c r="AY15" s="114"/>
      <c r="AZ15" s="114"/>
      <c r="BA15" s="114"/>
      <c r="BB15" s="114"/>
      <c r="BC15" s="114"/>
      <c r="BD15" s="114"/>
      <c r="BE15" s="114"/>
      <c r="BF15" s="114"/>
      <c r="BG15" s="114"/>
      <c r="BH15" s="114"/>
      <c r="BI15" s="114"/>
      <c r="BJ15" s="114"/>
      <c r="BK15" s="114"/>
      <c r="BL15" s="114"/>
      <c r="BM15" s="114"/>
      <c r="BN15" s="114"/>
      <c r="BO15" s="114"/>
      <c r="BP15" s="114"/>
      <c r="BQ15" s="114"/>
      <c r="BR15" s="114"/>
      <c r="BS15" s="114"/>
      <c r="BT15" s="114"/>
      <c r="BU15" s="114"/>
      <c r="BV15" s="114"/>
      <c r="BW15" s="114"/>
      <c r="BX15" s="114"/>
      <c r="BY15" s="114"/>
      <c r="BZ15" s="114"/>
      <c r="CA15" s="114"/>
      <c r="CB15" s="114"/>
      <c r="CC15" s="114"/>
      <c r="CD15" s="114"/>
      <c r="CE15" s="114"/>
      <c r="CF15" s="114"/>
      <c r="CG15" s="114"/>
      <c r="CH15" s="114"/>
      <c r="CI15" s="114"/>
      <c r="CJ15" s="114"/>
      <c r="CK15" s="114"/>
      <c r="CL15" s="114"/>
      <c r="CM15" s="114"/>
      <c r="CN15" s="114"/>
      <c r="CO15" s="114"/>
      <c r="CP15" s="114"/>
      <c r="CQ15" s="114"/>
      <c r="CR15" s="114"/>
      <c r="CS15" s="114"/>
      <c r="CT15" s="114"/>
      <c r="CU15" s="114"/>
      <c r="CV15" s="114"/>
      <c r="CW15" s="114"/>
      <c r="CX15" s="114"/>
      <c r="CY15" s="114"/>
      <c r="CZ15" s="114"/>
      <c r="DA15" s="114"/>
      <c r="DB15" s="114"/>
      <c r="DC15" s="114"/>
      <c r="DD15" s="114"/>
      <c r="DE15" s="114"/>
      <c r="DF15" s="114"/>
      <c r="DG15" s="114"/>
      <c r="DH15" s="114"/>
      <c r="DI15" s="114"/>
      <c r="DJ15" s="114"/>
      <c r="DK15" s="114"/>
      <c r="DL15" s="114"/>
      <c r="DM15" s="114"/>
      <c r="DN15" s="114"/>
      <c r="DO15" s="114"/>
      <c r="DP15" s="114"/>
      <c r="DQ15" s="114"/>
      <c r="DR15" s="114"/>
      <c r="DS15" s="114"/>
      <c r="DT15" s="114"/>
      <c r="DU15" s="114"/>
      <c r="DV15" s="114"/>
      <c r="DW15" s="114"/>
      <c r="DX15" s="114"/>
      <c r="DY15" s="114"/>
      <c r="DZ15" s="114"/>
      <c r="EA15" s="114"/>
      <c r="EB15" s="114"/>
      <c r="EC15" s="114"/>
      <c r="ED15" s="114"/>
      <c r="EE15" s="114"/>
      <c r="EF15" s="114"/>
      <c r="EG15" s="114"/>
      <c r="EH15" s="114"/>
      <c r="EI15" s="114"/>
      <c r="EJ15" s="114"/>
      <c r="EK15" s="114"/>
      <c r="EL15" s="114"/>
      <c r="EM15" s="114"/>
      <c r="EN15" s="114"/>
      <c r="EO15" s="114"/>
      <c r="EP15" s="114"/>
      <c r="EQ15" s="114"/>
      <c r="ER15" s="114"/>
      <c r="ES15" s="114"/>
      <c r="ET15" s="114"/>
      <c r="EU15" s="114"/>
      <c r="EV15" s="114"/>
      <c r="EW15" s="114"/>
      <c r="EX15" s="114"/>
      <c r="EY15" s="114"/>
      <c r="EZ15" s="114"/>
      <c r="FA15" s="114"/>
      <c r="FB15" s="114"/>
      <c r="FC15" s="114"/>
      <c r="FD15" s="114"/>
      <c r="FE15" s="114"/>
      <c r="FF15" s="114"/>
      <c r="FG15" s="114"/>
      <c r="FH15" s="114"/>
      <c r="FI15" s="114"/>
      <c r="FJ15" s="114"/>
      <c r="FK15" s="114"/>
      <c r="FL15" s="114"/>
      <c r="FM15" s="114"/>
      <c r="FN15" s="114"/>
      <c r="FO15" s="114"/>
      <c r="FP15" s="114"/>
      <c r="FQ15" s="114"/>
      <c r="FR15" s="114"/>
      <c r="FS15" s="114"/>
      <c r="FT15" s="114"/>
      <c r="FU15" s="114"/>
      <c r="FV15" s="114"/>
      <c r="FW15" s="114"/>
      <c r="FX15" s="114"/>
      <c r="FY15" s="114"/>
      <c r="FZ15" s="114"/>
      <c r="GA15" s="114"/>
      <c r="GB15" s="114"/>
      <c r="GC15" s="114"/>
      <c r="GD15" s="114"/>
      <c r="GE15" s="114"/>
      <c r="GF15" s="114"/>
      <c r="GG15" s="114"/>
      <c r="GH15" s="114"/>
      <c r="GI15" s="114"/>
      <c r="GJ15" s="114"/>
      <c r="GK15" s="114"/>
      <c r="GL15" s="114"/>
      <c r="GM15" s="114"/>
      <c r="GN15" s="114"/>
      <c r="GO15" s="114"/>
      <c r="GP15" s="114"/>
      <c r="GQ15" s="114"/>
      <c r="GR15" s="114"/>
      <c r="GS15" s="114"/>
      <c r="GT15" s="114"/>
      <c r="GU15" s="114"/>
      <c r="GV15" s="114"/>
      <c r="GW15" s="114"/>
      <c r="GX15" s="114"/>
      <c r="GY15" s="114"/>
      <c r="GZ15" s="114"/>
      <c r="HA15" s="114"/>
      <c r="HB15" s="114"/>
      <c r="HC15" s="114"/>
      <c r="HD15" s="114"/>
      <c r="HE15" s="114"/>
      <c r="HF15" s="114"/>
      <c r="HG15" s="114"/>
      <c r="HH15" s="114"/>
      <c r="HI15" s="114"/>
      <c r="HJ15" s="114"/>
      <c r="HK15" s="114"/>
      <c r="HL15" s="114"/>
      <c r="HM15" s="114"/>
      <c r="HN15" s="114"/>
      <c r="HO15" s="114"/>
      <c r="HP15" s="114"/>
      <c r="HQ15" s="114"/>
      <c r="HR15" s="114"/>
      <c r="HS15" s="114"/>
      <c r="HT15" s="114"/>
      <c r="HU15" s="114"/>
      <c r="HV15" s="114"/>
      <c r="HW15" s="114"/>
      <c r="HX15" s="114"/>
      <c r="HY15" s="114"/>
      <c r="HZ15" s="114"/>
      <c r="IA15" s="114"/>
      <c r="IB15" s="114"/>
      <c r="IC15" s="114"/>
      <c r="ID15" s="114"/>
      <c r="IE15" s="114"/>
      <c r="IF15" s="114"/>
      <c r="IG15" s="114"/>
      <c r="IH15" s="114"/>
      <c r="II15" s="114"/>
      <c r="IJ15" s="114"/>
      <c r="IK15" s="114"/>
      <c r="IL15" s="114"/>
      <c r="IM15" s="114"/>
      <c r="IN15" s="114"/>
      <c r="IO15" s="114"/>
      <c r="IP15" s="114"/>
      <c r="IQ15" s="114"/>
      <c r="IR15" s="114"/>
      <c r="IS15" s="114"/>
      <c r="IT15" s="114"/>
      <c r="IU15" s="114"/>
      <c r="IV15" s="114"/>
      <c r="IW15" s="114"/>
      <c r="IX15" s="114"/>
      <c r="IY15" s="114"/>
      <c r="IZ15" s="114"/>
      <c r="JA15" s="114"/>
      <c r="JB15" s="114"/>
      <c r="JC15" s="114"/>
      <c r="JD15" s="114"/>
      <c r="JE15" s="114"/>
      <c r="JF15" s="114"/>
      <c r="JG15" s="114"/>
      <c r="JH15" s="114"/>
      <c r="JI15" s="114"/>
      <c r="JJ15" s="114"/>
      <c r="JK15" s="114"/>
      <c r="JL15" s="114"/>
      <c r="JM15" s="114"/>
      <c r="JN15" s="114"/>
      <c r="JO15" s="114"/>
      <c r="JP15" s="114"/>
      <c r="JQ15" s="114"/>
      <c r="JR15" s="114"/>
      <c r="JS15" s="114"/>
      <c r="JT15" s="114"/>
      <c r="JU15" s="114"/>
      <c r="JV15" s="114"/>
      <c r="JW15" s="114"/>
      <c r="JX15" s="114"/>
      <c r="JY15" s="114"/>
      <c r="JZ15" s="114"/>
      <c r="KA15" s="114"/>
      <c r="KB15" s="114"/>
      <c r="KC15" s="114"/>
      <c r="KD15" s="114"/>
      <c r="KE15" s="114"/>
      <c r="KF15" s="114"/>
      <c r="KG15" s="114"/>
      <c r="KH15" s="114"/>
      <c r="KI15" s="114"/>
      <c r="KJ15" s="114"/>
      <c r="KK15" s="114"/>
      <c r="KL15" s="114"/>
      <c r="KM15" s="114"/>
      <c r="KN15" s="114"/>
      <c r="KO15" s="114"/>
      <c r="KP15" s="114"/>
      <c r="KQ15" s="114"/>
      <c r="KR15" s="114"/>
      <c r="KS15" s="114"/>
      <c r="KT15" s="114"/>
      <c r="KU15" s="114"/>
      <c r="KV15" s="114"/>
      <c r="KW15" s="114"/>
      <c r="KX15" s="114"/>
      <c r="KY15" s="114"/>
      <c r="KZ15" s="114"/>
      <c r="LA15" s="114"/>
      <c r="LB15" s="114"/>
      <c r="LC15" s="114"/>
      <c r="LD15" s="114"/>
      <c r="LE15" s="114"/>
      <c r="LF15" s="114"/>
      <c r="LG15" s="114"/>
      <c r="LH15" s="114"/>
      <c r="LI15" s="114"/>
      <c r="LJ15" s="114"/>
      <c r="LK15" s="114"/>
      <c r="LL15" s="114"/>
      <c r="LM15" s="114"/>
      <c r="LN15" s="114"/>
      <c r="LO15" s="114"/>
      <c r="LP15" s="114"/>
      <c r="LQ15" s="114"/>
      <c r="LR15" s="114"/>
      <c r="LS15" s="114"/>
      <c r="LT15" s="114"/>
      <c r="LU15" s="114"/>
      <c r="LV15" s="114"/>
      <c r="LW15" s="114"/>
      <c r="LX15" s="114"/>
      <c r="LY15" s="114"/>
      <c r="LZ15" s="114"/>
      <c r="MA15" s="114"/>
      <c r="MB15" s="114"/>
      <c r="MC15" s="114"/>
      <c r="MD15" s="114"/>
      <c r="ME15" s="114"/>
      <c r="MF15" s="114"/>
      <c r="MG15" s="114"/>
      <c r="MH15" s="114"/>
      <c r="MI15" s="114"/>
      <c r="MJ15" s="114"/>
      <c r="MK15" s="114"/>
      <c r="ML15" s="114"/>
      <c r="MM15" s="114"/>
      <c r="MN15" s="114"/>
      <c r="MO15" s="114"/>
      <c r="MP15" s="114"/>
      <c r="MQ15" s="114"/>
      <c r="MR15" s="114"/>
      <c r="MS15" s="114"/>
      <c r="MT15" s="114"/>
      <c r="MU15" s="114"/>
      <c r="MV15" s="114"/>
      <c r="MW15" s="114"/>
      <c r="MX15" s="114"/>
      <c r="MY15" s="114"/>
      <c r="MZ15" s="114"/>
      <c r="NA15" s="114"/>
      <c r="NB15" s="114"/>
      <c r="NC15" s="114"/>
      <c r="ND15" s="114"/>
      <c r="NE15" s="114"/>
      <c r="NF15" s="114"/>
      <c r="NG15" s="114"/>
      <c r="NH15" s="114"/>
      <c r="NI15" s="114"/>
      <c r="NJ15" s="114"/>
      <c r="NK15" s="114"/>
      <c r="NL15" s="114"/>
      <c r="NM15" s="114"/>
      <c r="NN15" s="114"/>
      <c r="NO15" s="114"/>
      <c r="NP15" s="114"/>
      <c r="NQ15" s="114"/>
      <c r="NR15" s="114"/>
      <c r="NS15" s="114"/>
      <c r="NT15" s="114"/>
      <c r="NU15" s="114"/>
      <c r="NV15" s="114"/>
      <c r="NW15" s="114"/>
      <c r="NX15" s="114"/>
      <c r="NY15" s="114"/>
      <c r="NZ15" s="114"/>
      <c r="OA15" s="114"/>
      <c r="OB15" s="114"/>
      <c r="OC15" s="114"/>
      <c r="OD15" s="114"/>
      <c r="OE15" s="114"/>
      <c r="OF15" s="114"/>
      <c r="OG15" s="114"/>
      <c r="OH15" s="114"/>
      <c r="OI15" s="114"/>
      <c r="OJ15" s="114"/>
      <c r="OK15" s="114"/>
      <c r="OL15" s="114"/>
      <c r="OM15" s="114"/>
      <c r="ON15" s="114"/>
      <c r="OO15" s="114"/>
      <c r="OP15" s="114"/>
      <c r="OQ15" s="114"/>
      <c r="OR15" s="114"/>
      <c r="OS15" s="114"/>
      <c r="OT15" s="114"/>
      <c r="OU15" s="114"/>
      <c r="OV15" s="114"/>
      <c r="OW15" s="114"/>
      <c r="OX15" s="114"/>
      <c r="OY15" s="114"/>
      <c r="OZ15" s="114"/>
      <c r="PA15" s="114"/>
      <c r="PB15" s="114"/>
      <c r="PC15" s="114"/>
      <c r="PD15" s="114"/>
      <c r="PE15" s="114"/>
      <c r="PF15" s="114"/>
      <c r="PG15" s="114"/>
      <c r="PH15" s="114"/>
      <c r="PI15" s="114"/>
      <c r="PJ15" s="114"/>
      <c r="PK15" s="114"/>
      <c r="PL15" s="114"/>
      <c r="PM15" s="114"/>
      <c r="PN15" s="114"/>
      <c r="PO15" s="114"/>
      <c r="PP15" s="114"/>
      <c r="PQ15" s="114"/>
      <c r="PR15" s="114"/>
      <c r="PS15" s="114"/>
      <c r="PT15" s="114"/>
      <c r="PU15" s="114"/>
      <c r="PV15" s="114"/>
      <c r="PW15" s="114"/>
      <c r="PX15" s="114"/>
      <c r="PY15" s="114"/>
      <c r="PZ15" s="114"/>
      <c r="QA15" s="114"/>
      <c r="QB15" s="114"/>
      <c r="QC15" s="114"/>
      <c r="QD15" s="114"/>
      <c r="QE15" s="114"/>
      <c r="QF15" s="114"/>
      <c r="QG15" s="114"/>
      <c r="QH15" s="114"/>
      <c r="QI15" s="114"/>
      <c r="QJ15" s="114"/>
      <c r="QK15" s="114"/>
      <c r="QL15" s="114"/>
      <c r="QM15" s="114"/>
      <c r="QN15" s="114"/>
      <c r="QO15" s="114"/>
      <c r="QP15" s="114"/>
      <c r="QQ15" s="114"/>
      <c r="QR15" s="114"/>
      <c r="QS15" s="114"/>
      <c r="QT15" s="114"/>
      <c r="QU15" s="114"/>
      <c r="QV15" s="114"/>
      <c r="QW15" s="114"/>
      <c r="QX15" s="114"/>
      <c r="QY15" s="114"/>
      <c r="QZ15" s="114"/>
      <c r="RA15" s="114"/>
      <c r="RB15" s="114"/>
      <c r="RC15" s="114"/>
      <c r="RD15" s="114"/>
      <c r="RE15" s="114"/>
      <c r="RF15" s="114"/>
      <c r="RG15" s="114"/>
      <c r="RH15" s="114"/>
      <c r="RI15" s="114"/>
      <c r="RJ15" s="114"/>
      <c r="RK15" s="114"/>
      <c r="RL15" s="114"/>
      <c r="RM15" s="114"/>
      <c r="RN15" s="114"/>
      <c r="RO15" s="114"/>
      <c r="RP15" s="114"/>
      <c r="RQ15" s="114"/>
      <c r="RR15" s="114"/>
      <c r="RS15" s="114"/>
      <c r="RT15" s="114"/>
      <c r="RU15" s="114"/>
      <c r="RV15" s="114"/>
      <c r="RW15" s="114"/>
      <c r="RX15" s="114"/>
      <c r="RY15" s="114"/>
      <c r="RZ15" s="114"/>
      <c r="SA15" s="114"/>
      <c r="SB15" s="114"/>
      <c r="SC15" s="114"/>
      <c r="SD15" s="114"/>
      <c r="SE15" s="114"/>
      <c r="SF15" s="114"/>
      <c r="SG15" s="114"/>
      <c r="SH15" s="114"/>
      <c r="SI15" s="114"/>
      <c r="SJ15" s="114"/>
      <c r="SK15" s="114"/>
      <c r="SL15" s="114"/>
      <c r="SM15" s="114"/>
      <c r="SN15" s="114"/>
      <c r="SO15" s="114"/>
      <c r="SP15" s="114"/>
      <c r="SQ15" s="114"/>
      <c r="SR15" s="114"/>
      <c r="SS15" s="114"/>
      <c r="ST15" s="114"/>
      <c r="SU15" s="114"/>
      <c r="SV15" s="114"/>
      <c r="SW15" s="114"/>
      <c r="SX15" s="114"/>
      <c r="SY15" s="114"/>
      <c r="SZ15" s="114"/>
      <c r="TA15" s="114"/>
      <c r="TB15" s="114"/>
      <c r="TC15" s="114"/>
      <c r="TD15" s="114"/>
      <c r="TE15" s="114"/>
      <c r="TF15" s="114"/>
      <c r="TG15" s="114"/>
      <c r="TH15" s="114"/>
      <c r="TI15" s="114"/>
      <c r="TJ15" s="114"/>
      <c r="TK15" s="114"/>
      <c r="TL15" s="114"/>
      <c r="TM15" s="114"/>
      <c r="TN15" s="114"/>
      <c r="TO15" s="114"/>
      <c r="TP15" s="114"/>
      <c r="TQ15" s="114"/>
      <c r="TR15" s="114"/>
      <c r="TS15" s="114"/>
      <c r="TT15" s="114"/>
      <c r="TU15" s="114"/>
      <c r="TV15" s="114"/>
      <c r="TW15" s="114"/>
      <c r="TX15" s="114"/>
      <c r="TY15" s="114"/>
      <c r="TZ15" s="114"/>
      <c r="UA15" s="114"/>
      <c r="UB15" s="114"/>
      <c r="UC15" s="114"/>
      <c r="UD15" s="114"/>
      <c r="UE15" s="114"/>
      <c r="UF15" s="114"/>
      <c r="UG15" s="114"/>
      <c r="UH15" s="114"/>
      <c r="UI15" s="114"/>
      <c r="UJ15" s="114"/>
      <c r="UK15" s="114"/>
      <c r="UL15" s="114"/>
      <c r="UM15" s="114"/>
      <c r="UN15" s="114"/>
      <c r="UO15" s="114"/>
      <c r="UP15" s="114"/>
      <c r="UQ15" s="114"/>
      <c r="UR15" s="114"/>
      <c r="US15" s="114"/>
      <c r="UT15" s="114"/>
      <c r="UU15" s="114"/>
      <c r="UV15" s="114"/>
      <c r="UW15" s="114"/>
      <c r="UX15" s="114"/>
      <c r="UY15" s="114"/>
      <c r="UZ15" s="114"/>
      <c r="VA15" s="114"/>
      <c r="VB15" s="114"/>
      <c r="VC15" s="114"/>
      <c r="VD15" s="114"/>
      <c r="VE15" s="114"/>
      <c r="VF15" s="114"/>
      <c r="VG15" s="114"/>
      <c r="VH15" s="114"/>
      <c r="VI15" s="114"/>
      <c r="VJ15" s="114"/>
      <c r="VK15" s="114"/>
      <c r="VL15" s="114"/>
      <c r="VM15" s="114"/>
      <c r="VN15" s="114"/>
      <c r="VO15" s="114"/>
      <c r="VP15" s="114"/>
      <c r="VQ15" s="114"/>
      <c r="VR15" s="114"/>
      <c r="VS15" s="114"/>
      <c r="VT15" s="114"/>
      <c r="VU15" s="114"/>
      <c r="VV15" s="114"/>
      <c r="VW15" s="114"/>
      <c r="VX15" s="114"/>
      <c r="VY15" s="114"/>
      <c r="VZ15" s="114"/>
      <c r="WA15" s="114"/>
      <c r="WB15" s="114"/>
      <c r="WC15" s="114"/>
      <c r="WD15" s="114"/>
      <c r="WE15" s="114"/>
      <c r="WF15" s="114"/>
      <c r="WG15" s="114"/>
      <c r="WH15" s="114"/>
      <c r="WI15" s="114"/>
      <c r="WJ15" s="114"/>
      <c r="WK15" s="114"/>
      <c r="WL15" s="114"/>
      <c r="WM15" s="114"/>
      <c r="WN15" s="114"/>
      <c r="WO15" s="114"/>
      <c r="WP15" s="114"/>
      <c r="WQ15" s="114"/>
      <c r="WR15" s="114"/>
      <c r="WS15" s="114"/>
      <c r="WT15" s="114"/>
      <c r="WU15" s="114"/>
      <c r="WV15" s="114"/>
      <c r="WW15" s="114"/>
      <c r="WX15" s="114"/>
      <c r="WY15" s="114"/>
      <c r="WZ15" s="114"/>
      <c r="XA15" s="114"/>
      <c r="XB15" s="114"/>
      <c r="XC15" s="114"/>
      <c r="XD15" s="114"/>
      <c r="XE15" s="114"/>
      <c r="XF15" s="114"/>
      <c r="XG15" s="114"/>
      <c r="XH15" s="114"/>
      <c r="XI15" s="114"/>
      <c r="XJ15" s="114"/>
      <c r="XK15" s="114"/>
      <c r="XL15" s="114"/>
      <c r="XM15" s="114"/>
      <c r="XN15" s="114"/>
      <c r="XO15" s="114"/>
      <c r="XP15" s="114"/>
      <c r="XQ15" s="114"/>
      <c r="XR15" s="114"/>
      <c r="XS15" s="114"/>
      <c r="XT15" s="114"/>
      <c r="XU15" s="114"/>
      <c r="XV15" s="114"/>
      <c r="XW15" s="114"/>
      <c r="XX15" s="114"/>
      <c r="XY15" s="114"/>
      <c r="XZ15" s="114"/>
      <c r="YA15" s="114"/>
      <c r="YB15" s="114"/>
      <c r="YC15" s="114"/>
      <c r="YD15" s="114"/>
      <c r="YE15" s="114"/>
      <c r="YF15" s="114"/>
      <c r="YG15" s="114"/>
      <c r="YH15" s="114"/>
      <c r="YI15" s="114"/>
      <c r="YJ15" s="114"/>
      <c r="YK15" s="114"/>
      <c r="YL15" s="114"/>
      <c r="YM15" s="114"/>
      <c r="YN15" s="114"/>
      <c r="YO15" s="114"/>
      <c r="YP15" s="114"/>
      <c r="YQ15" s="114"/>
      <c r="YR15" s="114"/>
      <c r="YS15" s="114"/>
      <c r="YT15" s="114"/>
      <c r="YU15" s="114"/>
      <c r="YV15" s="114"/>
      <c r="YW15" s="114"/>
      <c r="YX15" s="114"/>
      <c r="YY15" s="114"/>
      <c r="YZ15" s="114"/>
      <c r="ZA15" s="114"/>
      <c r="ZB15" s="114"/>
      <c r="ZC15" s="114"/>
      <c r="ZD15" s="114"/>
      <c r="ZE15" s="114"/>
      <c r="ZF15" s="114"/>
      <c r="ZG15" s="114"/>
      <c r="ZH15" s="114"/>
      <c r="ZI15" s="114"/>
      <c r="ZJ15" s="114"/>
      <c r="ZK15" s="114"/>
      <c r="ZL15" s="114"/>
      <c r="ZM15" s="114"/>
      <c r="ZN15" s="114"/>
      <c r="ZO15" s="114"/>
      <c r="ZP15" s="114"/>
      <c r="ZQ15" s="114"/>
      <c r="ZR15" s="114"/>
      <c r="ZS15" s="114"/>
      <c r="ZT15" s="114"/>
      <c r="ZU15" s="114"/>
      <c r="ZV15" s="114"/>
      <c r="ZW15" s="114"/>
      <c r="ZX15" s="114"/>
      <c r="ZY15" s="114"/>
      <c r="ZZ15" s="114"/>
      <c r="AAA15" s="114"/>
      <c r="AAB15" s="114"/>
      <c r="AAC15" s="114"/>
      <c r="AAD15" s="114"/>
      <c r="AAE15" s="114"/>
      <c r="AAF15" s="114"/>
      <c r="AAG15" s="114"/>
      <c r="AAH15" s="114"/>
      <c r="AAI15" s="114"/>
      <c r="AAJ15" s="114"/>
      <c r="AAK15" s="114"/>
      <c r="AAL15" s="114"/>
      <c r="AAM15" s="114"/>
      <c r="AAN15" s="114"/>
      <c r="AAO15" s="114"/>
      <c r="AAP15" s="114"/>
      <c r="AAQ15" s="114"/>
      <c r="AAR15" s="114"/>
      <c r="AAS15" s="114"/>
      <c r="AAT15" s="114"/>
      <c r="AAU15" s="114"/>
      <c r="AAV15" s="114"/>
      <c r="AAW15" s="114"/>
      <c r="AAX15" s="114"/>
      <c r="AAY15" s="114"/>
      <c r="AAZ15" s="114"/>
      <c r="ABA15" s="114"/>
      <c r="ABB15" s="114"/>
      <c r="ABC15" s="114"/>
      <c r="ABD15" s="114"/>
      <c r="ABE15" s="114"/>
      <c r="ABF15" s="114"/>
      <c r="ABG15" s="114"/>
      <c r="ABH15" s="114"/>
      <c r="ABI15" s="114"/>
      <c r="ABJ15" s="114"/>
      <c r="ABK15" s="114"/>
      <c r="ABL15" s="114"/>
      <c r="ABM15" s="114"/>
      <c r="ABN15" s="114"/>
      <c r="ABO15" s="114"/>
      <c r="ABP15" s="114"/>
      <c r="ABQ15" s="114"/>
      <c r="ABR15" s="114"/>
      <c r="ABS15" s="114"/>
      <c r="ABT15" s="114"/>
      <c r="ABU15" s="114"/>
      <c r="ABV15" s="114"/>
      <c r="ABW15" s="114"/>
      <c r="ABX15" s="114"/>
      <c r="ABY15" s="114"/>
      <c r="ABZ15" s="114"/>
      <c r="ACA15" s="114"/>
      <c r="ACB15" s="114"/>
      <c r="ACC15" s="114"/>
      <c r="ACD15" s="114"/>
      <c r="ACE15" s="114"/>
      <c r="ACF15" s="114"/>
      <c r="ACG15" s="114"/>
      <c r="ACH15" s="114"/>
      <c r="ACI15" s="114"/>
      <c r="ACJ15" s="114"/>
      <c r="ACK15" s="114"/>
      <c r="ACL15" s="114"/>
      <c r="ACM15" s="114"/>
      <c r="ACN15" s="114"/>
      <c r="ACO15" s="114"/>
      <c r="ACP15" s="114"/>
      <c r="ACQ15" s="114"/>
      <c r="ACR15" s="114"/>
      <c r="ACS15" s="114"/>
      <c r="ACT15" s="114"/>
      <c r="ACU15" s="114"/>
      <c r="ACV15" s="114"/>
      <c r="ACW15" s="114"/>
      <c r="ACX15" s="114"/>
      <c r="ACY15" s="114"/>
      <c r="ACZ15" s="114"/>
      <c r="ADA15" s="114"/>
      <c r="ADB15" s="114"/>
      <c r="ADC15" s="114"/>
      <c r="ADD15" s="114"/>
      <c r="ADE15" s="114"/>
      <c r="ADF15" s="114"/>
      <c r="ADG15" s="114"/>
      <c r="ADH15" s="114"/>
      <c r="ADI15" s="114"/>
      <c r="ADJ15" s="114"/>
      <c r="ADK15" s="114"/>
      <c r="ADL15" s="114"/>
      <c r="ADM15" s="114"/>
      <c r="ADN15" s="114"/>
      <c r="ADO15" s="114"/>
      <c r="ADP15" s="114"/>
      <c r="ADQ15" s="114"/>
      <c r="ADR15" s="114"/>
      <c r="ADS15" s="114"/>
      <c r="ADT15" s="114"/>
      <c r="ADU15" s="114"/>
      <c r="ADV15" s="114"/>
      <c r="ADW15" s="114"/>
      <c r="ADX15" s="114"/>
      <c r="ADY15" s="114"/>
      <c r="ADZ15" s="114"/>
      <c r="AEA15" s="114"/>
      <c r="AEB15" s="114"/>
      <c r="AEC15" s="114"/>
      <c r="AED15" s="114"/>
      <c r="AEE15" s="114"/>
      <c r="AEF15" s="114"/>
      <c r="AEG15" s="114"/>
      <c r="AEH15" s="114"/>
      <c r="AEI15" s="114"/>
      <c r="AEJ15" s="114"/>
      <c r="AEK15" s="114"/>
      <c r="AEL15" s="114"/>
      <c r="AEM15" s="114"/>
      <c r="AEN15" s="114"/>
      <c r="AEO15" s="114"/>
      <c r="AEP15" s="114"/>
      <c r="AEQ15" s="114"/>
      <c r="AER15" s="114"/>
      <c r="AES15" s="114"/>
      <c r="AET15" s="114"/>
      <c r="AEU15" s="114"/>
      <c r="AEV15" s="114"/>
      <c r="AEW15" s="114"/>
      <c r="AEX15" s="114"/>
      <c r="AEY15" s="114"/>
      <c r="AEZ15" s="114"/>
      <c r="AFA15" s="114"/>
      <c r="AFB15" s="114"/>
      <c r="AFC15" s="114"/>
      <c r="AFD15" s="114"/>
      <c r="AFE15" s="114"/>
      <c r="AFF15" s="114"/>
      <c r="AFG15" s="114"/>
      <c r="AFH15" s="114"/>
      <c r="AFI15" s="114"/>
      <c r="AFJ15" s="114"/>
      <c r="AFK15" s="114"/>
      <c r="AFL15" s="114"/>
      <c r="AFM15" s="114"/>
      <c r="AFN15" s="114"/>
      <c r="AFO15" s="114"/>
      <c r="AFP15" s="114"/>
      <c r="AFQ15" s="114"/>
      <c r="AFR15" s="114"/>
      <c r="AFS15" s="114"/>
      <c r="AFT15" s="114"/>
      <c r="AFU15" s="114"/>
      <c r="AFV15" s="114"/>
      <c r="AFW15" s="114"/>
      <c r="AFX15" s="114"/>
      <c r="AFY15" s="114"/>
      <c r="AFZ15" s="114"/>
      <c r="AGA15" s="114"/>
      <c r="AGB15" s="114"/>
      <c r="AGC15" s="114"/>
      <c r="AGD15" s="114"/>
      <c r="AGE15" s="114"/>
      <c r="AGF15" s="114"/>
      <c r="AGG15" s="114"/>
      <c r="AGH15" s="114"/>
      <c r="AGI15" s="114"/>
      <c r="AGJ15" s="114"/>
      <c r="AGK15" s="114"/>
      <c r="AGL15" s="114"/>
      <c r="AGM15" s="114"/>
      <c r="AGN15" s="114"/>
      <c r="AGO15" s="114"/>
      <c r="AGP15" s="114"/>
      <c r="AGQ15" s="114"/>
      <c r="AGR15" s="114"/>
      <c r="AGS15" s="114"/>
      <c r="AGT15" s="114"/>
      <c r="AGU15" s="114"/>
      <c r="AGV15" s="114"/>
      <c r="AGW15" s="114"/>
      <c r="AGX15" s="114"/>
      <c r="AGY15" s="114"/>
      <c r="AGZ15" s="114"/>
      <c r="AHA15" s="114"/>
      <c r="AHB15" s="114"/>
      <c r="AHC15" s="114"/>
      <c r="AHD15" s="114"/>
      <c r="AHE15" s="114"/>
      <c r="AHF15" s="114"/>
      <c r="AHG15" s="114"/>
      <c r="AHH15" s="114"/>
      <c r="AHI15" s="114"/>
      <c r="AHJ15" s="114"/>
      <c r="AHK15" s="114"/>
      <c r="AHL15" s="114"/>
      <c r="AHM15" s="114"/>
      <c r="AHN15" s="114"/>
      <c r="AHO15" s="114"/>
      <c r="AHP15" s="114"/>
      <c r="AHQ15" s="114"/>
      <c r="AHR15" s="114"/>
      <c r="AHS15" s="114"/>
      <c r="AHT15" s="114"/>
      <c r="AHU15" s="114"/>
      <c r="AHV15" s="114"/>
      <c r="AHW15" s="114"/>
      <c r="AHX15" s="114"/>
      <c r="AHY15" s="114"/>
      <c r="AHZ15" s="114"/>
      <c r="AIA15" s="114"/>
      <c r="AIB15" s="114"/>
      <c r="AIC15" s="114"/>
      <c r="AID15" s="114"/>
      <c r="AIE15" s="114"/>
      <c r="AIF15" s="114"/>
      <c r="AIG15" s="114"/>
      <c r="AIH15" s="114"/>
      <c r="AII15" s="114"/>
      <c r="AIJ15" s="114"/>
      <c r="AIK15" s="114"/>
      <c r="AIL15" s="114"/>
      <c r="AIM15" s="114"/>
      <c r="AIN15" s="114"/>
      <c r="AIO15" s="114"/>
      <c r="AIP15" s="114"/>
      <c r="AIQ15" s="114"/>
      <c r="AIR15" s="114"/>
      <c r="AIS15" s="114"/>
      <c r="AIT15" s="114"/>
      <c r="AIU15" s="114"/>
      <c r="AIV15" s="114"/>
      <c r="AIW15" s="114"/>
      <c r="AIX15" s="114"/>
      <c r="AIY15" s="114"/>
      <c r="AIZ15" s="114"/>
      <c r="AJA15" s="114"/>
      <c r="AJB15" s="114"/>
      <c r="AJC15" s="114"/>
      <c r="AJD15" s="114"/>
      <c r="AJE15" s="114"/>
      <c r="AJF15" s="114"/>
      <c r="AJG15" s="114"/>
      <c r="AJH15" s="114"/>
      <c r="AJI15" s="114"/>
      <c r="AJJ15" s="114"/>
      <c r="AJK15" s="114"/>
      <c r="AJL15" s="114"/>
      <c r="AJM15" s="114"/>
      <c r="AJN15" s="114"/>
      <c r="AJO15" s="114"/>
      <c r="AJP15" s="114"/>
      <c r="AJQ15" s="114"/>
      <c r="AJR15" s="114"/>
      <c r="AJS15" s="114"/>
      <c r="AJT15" s="114"/>
      <c r="AJU15" s="114"/>
      <c r="AJV15" s="114"/>
      <c r="AJW15" s="114"/>
      <c r="AJX15" s="114"/>
      <c r="AJY15" s="114"/>
      <c r="AJZ15" s="114"/>
      <c r="AKA15" s="114"/>
      <c r="AKB15" s="114"/>
      <c r="AKC15" s="114"/>
      <c r="AKD15" s="114"/>
      <c r="AKE15" s="114"/>
      <c r="AKF15" s="114"/>
      <c r="AKG15" s="114"/>
      <c r="AKH15" s="114"/>
      <c r="AKI15" s="114"/>
      <c r="AKJ15" s="114"/>
      <c r="AKK15" s="114"/>
      <c r="AKL15" s="114"/>
      <c r="AKM15" s="114"/>
      <c r="AKN15" s="114"/>
      <c r="AKO15" s="114"/>
      <c r="AKP15" s="114"/>
      <c r="AKQ15" s="114"/>
      <c r="AKR15" s="114"/>
      <c r="AKS15" s="114"/>
      <c r="AKT15" s="114"/>
      <c r="AKU15" s="114"/>
      <c r="AKV15" s="114"/>
      <c r="AKW15" s="114"/>
      <c r="AKX15" s="114"/>
      <c r="AKY15" s="114"/>
    </row>
    <row r="16" spans="1:987" ht="15" customHeight="1" x14ac:dyDescent="0.3">
      <c r="A16" s="116"/>
      <c r="B16" s="117"/>
      <c r="C16" s="462"/>
      <c r="D16" s="118" t="s">
        <v>3071</v>
      </c>
      <c r="E16" s="119">
        <v>1</v>
      </c>
      <c r="F16" s="120">
        <v>1000</v>
      </c>
      <c r="G16" s="121">
        <f>E16*F16</f>
        <v>1000</v>
      </c>
      <c r="H16" s="122"/>
      <c r="I16" s="123"/>
      <c r="J16" s="123"/>
      <c r="K16" s="123"/>
      <c r="L16" s="148">
        <v>500</v>
      </c>
      <c r="M16" s="123"/>
      <c r="N16" s="123"/>
      <c r="O16" s="123"/>
      <c r="P16" s="123"/>
      <c r="Q16" s="123"/>
      <c r="R16" s="148">
        <f>G16/2</f>
        <v>500</v>
      </c>
      <c r="S16" s="124"/>
      <c r="T16" s="125"/>
    </row>
    <row r="17" spans="1:987" ht="15" customHeight="1" x14ac:dyDescent="0.3">
      <c r="A17" s="116"/>
      <c r="B17" s="117"/>
      <c r="C17" s="462"/>
      <c r="D17" s="138" t="s">
        <v>3072</v>
      </c>
      <c r="E17" s="139">
        <v>183</v>
      </c>
      <c r="F17" s="140">
        <v>50</v>
      </c>
      <c r="G17" s="141">
        <f>E17*F17</f>
        <v>9150</v>
      </c>
      <c r="H17" s="146"/>
      <c r="I17" s="147"/>
      <c r="J17" s="147"/>
      <c r="K17" s="147">
        <v>5250</v>
      </c>
      <c r="L17" s="147"/>
      <c r="M17" s="147"/>
      <c r="N17" s="147"/>
      <c r="O17" s="147"/>
      <c r="P17" s="147"/>
      <c r="Q17" s="147">
        <v>3900</v>
      </c>
      <c r="R17" s="147"/>
      <c r="S17" s="163"/>
      <c r="T17" s="125" t="s">
        <v>3058</v>
      </c>
    </row>
    <row r="18" spans="1:987" ht="15" customHeight="1" x14ac:dyDescent="0.3">
      <c r="A18" s="158"/>
      <c r="B18" s="159"/>
      <c r="C18" s="463"/>
      <c r="D18" s="464" t="s">
        <v>2826</v>
      </c>
      <c r="E18" s="465"/>
      <c r="F18" s="466"/>
      <c r="G18" s="127">
        <f>SUM(G15:G17)</f>
        <v>60150</v>
      </c>
      <c r="H18" s="128"/>
      <c r="I18" s="128"/>
      <c r="J18" s="128"/>
      <c r="K18" s="128"/>
      <c r="L18" s="128"/>
      <c r="M18" s="128"/>
      <c r="N18" s="128"/>
      <c r="O18" s="128"/>
      <c r="P18" s="128"/>
      <c r="Q18" s="128"/>
      <c r="R18" s="128"/>
      <c r="S18" s="129"/>
      <c r="T18" s="125"/>
    </row>
    <row r="19" spans="1:987" s="115" customFormat="1" ht="15" customHeight="1" x14ac:dyDescent="0.3">
      <c r="A19" s="103">
        <v>8470230</v>
      </c>
      <c r="B19" s="104">
        <v>428640</v>
      </c>
      <c r="C19" s="461" t="s">
        <v>3073</v>
      </c>
      <c r="D19" s="151" t="s">
        <v>3074</v>
      </c>
      <c r="E19" s="152">
        <v>1000</v>
      </c>
      <c r="F19" s="153">
        <v>40</v>
      </c>
      <c r="G19" s="133">
        <f>E19*F19</f>
        <v>40000</v>
      </c>
      <c r="H19" s="134"/>
      <c r="I19" s="162">
        <f>G19</f>
        <v>40000</v>
      </c>
      <c r="J19" s="135"/>
      <c r="K19" s="135"/>
      <c r="L19" s="135"/>
      <c r="M19" s="135"/>
      <c r="N19" s="135"/>
      <c r="O19" s="135"/>
      <c r="P19" s="135"/>
      <c r="Q19" s="135"/>
      <c r="R19" s="135"/>
      <c r="S19" s="164"/>
      <c r="T19" s="125"/>
      <c r="U19" s="114"/>
      <c r="V19" s="114"/>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c r="AY19" s="114"/>
      <c r="AZ19" s="114"/>
      <c r="BA19" s="114"/>
      <c r="BB19" s="114"/>
      <c r="BC19" s="114"/>
      <c r="BD19" s="114"/>
      <c r="BE19" s="114"/>
      <c r="BF19" s="114"/>
      <c r="BG19" s="114"/>
      <c r="BH19" s="114"/>
      <c r="BI19" s="114"/>
      <c r="BJ19" s="114"/>
      <c r="BK19" s="114"/>
      <c r="BL19" s="114"/>
      <c r="BM19" s="114"/>
      <c r="BN19" s="114"/>
      <c r="BO19" s="114"/>
      <c r="BP19" s="114"/>
      <c r="BQ19" s="114"/>
      <c r="BR19" s="114"/>
      <c r="BS19" s="114"/>
      <c r="BT19" s="114"/>
      <c r="BU19" s="114"/>
      <c r="BV19" s="114"/>
      <c r="BW19" s="114"/>
      <c r="BX19" s="114"/>
      <c r="BY19" s="114"/>
      <c r="BZ19" s="114"/>
      <c r="CA19" s="114"/>
      <c r="CB19" s="114"/>
      <c r="CC19" s="114"/>
      <c r="CD19" s="114"/>
      <c r="CE19" s="114"/>
      <c r="CF19" s="114"/>
      <c r="CG19" s="114"/>
      <c r="CH19" s="114"/>
      <c r="CI19" s="114"/>
      <c r="CJ19" s="114"/>
      <c r="CK19" s="114"/>
      <c r="CL19" s="114"/>
      <c r="CM19" s="114"/>
      <c r="CN19" s="114"/>
      <c r="CO19" s="114"/>
      <c r="CP19" s="114"/>
      <c r="CQ19" s="114"/>
      <c r="CR19" s="114"/>
      <c r="CS19" s="114"/>
      <c r="CT19" s="114"/>
      <c r="CU19" s="114"/>
      <c r="CV19" s="114"/>
      <c r="CW19" s="114"/>
      <c r="CX19" s="114"/>
      <c r="CY19" s="114"/>
      <c r="CZ19" s="114"/>
      <c r="DA19" s="114"/>
      <c r="DB19" s="114"/>
      <c r="DC19" s="114"/>
      <c r="DD19" s="114"/>
      <c r="DE19" s="114"/>
      <c r="DF19" s="114"/>
      <c r="DG19" s="114"/>
      <c r="DH19" s="114"/>
      <c r="DI19" s="114"/>
      <c r="DJ19" s="114"/>
      <c r="DK19" s="114"/>
      <c r="DL19" s="114"/>
      <c r="DM19" s="114"/>
      <c r="DN19" s="114"/>
      <c r="DO19" s="114"/>
      <c r="DP19" s="114"/>
      <c r="DQ19" s="114"/>
      <c r="DR19" s="114"/>
      <c r="DS19" s="114"/>
      <c r="DT19" s="114"/>
      <c r="DU19" s="114"/>
      <c r="DV19" s="114"/>
      <c r="DW19" s="114"/>
      <c r="DX19" s="114"/>
      <c r="DY19" s="114"/>
      <c r="DZ19" s="114"/>
      <c r="EA19" s="114"/>
      <c r="EB19" s="114"/>
      <c r="EC19" s="114"/>
      <c r="ED19" s="114"/>
      <c r="EE19" s="114"/>
      <c r="EF19" s="114"/>
      <c r="EG19" s="114"/>
      <c r="EH19" s="114"/>
      <c r="EI19" s="114"/>
      <c r="EJ19" s="114"/>
      <c r="EK19" s="114"/>
      <c r="EL19" s="114"/>
      <c r="EM19" s="114"/>
      <c r="EN19" s="114"/>
      <c r="EO19" s="114"/>
      <c r="EP19" s="114"/>
      <c r="EQ19" s="114"/>
      <c r="ER19" s="114"/>
      <c r="ES19" s="114"/>
      <c r="ET19" s="114"/>
      <c r="EU19" s="114"/>
      <c r="EV19" s="114"/>
      <c r="EW19" s="114"/>
      <c r="EX19" s="114"/>
      <c r="EY19" s="114"/>
      <c r="EZ19" s="114"/>
      <c r="FA19" s="114"/>
      <c r="FB19" s="114"/>
      <c r="FC19" s="114"/>
      <c r="FD19" s="114"/>
      <c r="FE19" s="114"/>
      <c r="FF19" s="114"/>
      <c r="FG19" s="114"/>
      <c r="FH19" s="114"/>
      <c r="FI19" s="114"/>
      <c r="FJ19" s="114"/>
      <c r="FK19" s="114"/>
      <c r="FL19" s="114"/>
      <c r="FM19" s="114"/>
      <c r="FN19" s="114"/>
      <c r="FO19" s="114"/>
      <c r="FP19" s="114"/>
      <c r="FQ19" s="114"/>
      <c r="FR19" s="114"/>
      <c r="FS19" s="114"/>
      <c r="FT19" s="114"/>
      <c r="FU19" s="114"/>
      <c r="FV19" s="114"/>
      <c r="FW19" s="114"/>
      <c r="FX19" s="114"/>
      <c r="FY19" s="114"/>
      <c r="FZ19" s="114"/>
      <c r="GA19" s="114"/>
      <c r="GB19" s="114"/>
      <c r="GC19" s="114"/>
      <c r="GD19" s="114"/>
      <c r="GE19" s="114"/>
      <c r="GF19" s="114"/>
      <c r="GG19" s="114"/>
      <c r="GH19" s="114"/>
      <c r="GI19" s="114"/>
      <c r="GJ19" s="114"/>
      <c r="GK19" s="114"/>
      <c r="GL19" s="114"/>
      <c r="GM19" s="114"/>
      <c r="GN19" s="114"/>
      <c r="GO19" s="114"/>
      <c r="GP19" s="114"/>
      <c r="GQ19" s="114"/>
      <c r="GR19" s="114"/>
      <c r="GS19" s="114"/>
      <c r="GT19" s="114"/>
      <c r="GU19" s="114"/>
      <c r="GV19" s="114"/>
      <c r="GW19" s="114"/>
      <c r="GX19" s="114"/>
      <c r="GY19" s="114"/>
      <c r="GZ19" s="114"/>
      <c r="HA19" s="114"/>
      <c r="HB19" s="114"/>
      <c r="HC19" s="114"/>
      <c r="HD19" s="114"/>
      <c r="HE19" s="114"/>
      <c r="HF19" s="114"/>
      <c r="HG19" s="114"/>
      <c r="HH19" s="114"/>
      <c r="HI19" s="114"/>
      <c r="HJ19" s="114"/>
      <c r="HK19" s="114"/>
      <c r="HL19" s="114"/>
      <c r="HM19" s="114"/>
      <c r="HN19" s="114"/>
      <c r="HO19" s="114"/>
      <c r="HP19" s="114"/>
      <c r="HQ19" s="114"/>
      <c r="HR19" s="114"/>
      <c r="HS19" s="114"/>
      <c r="HT19" s="114"/>
      <c r="HU19" s="114"/>
      <c r="HV19" s="114"/>
      <c r="HW19" s="114"/>
      <c r="HX19" s="114"/>
      <c r="HY19" s="114"/>
      <c r="HZ19" s="114"/>
      <c r="IA19" s="114"/>
      <c r="IB19" s="114"/>
      <c r="IC19" s="114"/>
      <c r="ID19" s="114"/>
      <c r="IE19" s="114"/>
      <c r="IF19" s="114"/>
      <c r="IG19" s="114"/>
      <c r="IH19" s="114"/>
      <c r="II19" s="114"/>
      <c r="IJ19" s="114"/>
      <c r="IK19" s="114"/>
      <c r="IL19" s="114"/>
      <c r="IM19" s="114"/>
      <c r="IN19" s="114"/>
      <c r="IO19" s="114"/>
      <c r="IP19" s="114"/>
      <c r="IQ19" s="114"/>
      <c r="IR19" s="114"/>
      <c r="IS19" s="114"/>
      <c r="IT19" s="114"/>
      <c r="IU19" s="114"/>
      <c r="IV19" s="114"/>
      <c r="IW19" s="114"/>
      <c r="IX19" s="114"/>
      <c r="IY19" s="114"/>
      <c r="IZ19" s="114"/>
      <c r="JA19" s="114"/>
      <c r="JB19" s="114"/>
      <c r="JC19" s="114"/>
      <c r="JD19" s="114"/>
      <c r="JE19" s="114"/>
      <c r="JF19" s="114"/>
      <c r="JG19" s="114"/>
      <c r="JH19" s="114"/>
      <c r="JI19" s="114"/>
      <c r="JJ19" s="114"/>
      <c r="JK19" s="114"/>
      <c r="JL19" s="114"/>
      <c r="JM19" s="114"/>
      <c r="JN19" s="114"/>
      <c r="JO19" s="114"/>
      <c r="JP19" s="114"/>
      <c r="JQ19" s="114"/>
      <c r="JR19" s="114"/>
      <c r="JS19" s="114"/>
      <c r="JT19" s="114"/>
      <c r="JU19" s="114"/>
      <c r="JV19" s="114"/>
      <c r="JW19" s="114"/>
      <c r="JX19" s="114"/>
      <c r="JY19" s="114"/>
      <c r="JZ19" s="114"/>
      <c r="KA19" s="114"/>
      <c r="KB19" s="114"/>
      <c r="KC19" s="114"/>
      <c r="KD19" s="114"/>
      <c r="KE19" s="114"/>
      <c r="KF19" s="114"/>
      <c r="KG19" s="114"/>
      <c r="KH19" s="114"/>
      <c r="KI19" s="114"/>
      <c r="KJ19" s="114"/>
      <c r="KK19" s="114"/>
      <c r="KL19" s="114"/>
      <c r="KM19" s="114"/>
      <c r="KN19" s="114"/>
      <c r="KO19" s="114"/>
      <c r="KP19" s="114"/>
      <c r="KQ19" s="114"/>
      <c r="KR19" s="114"/>
      <c r="KS19" s="114"/>
      <c r="KT19" s="114"/>
      <c r="KU19" s="114"/>
      <c r="KV19" s="114"/>
      <c r="KW19" s="114"/>
      <c r="KX19" s="114"/>
      <c r="KY19" s="114"/>
      <c r="KZ19" s="114"/>
      <c r="LA19" s="114"/>
      <c r="LB19" s="114"/>
      <c r="LC19" s="114"/>
      <c r="LD19" s="114"/>
      <c r="LE19" s="114"/>
      <c r="LF19" s="114"/>
      <c r="LG19" s="114"/>
      <c r="LH19" s="114"/>
      <c r="LI19" s="114"/>
      <c r="LJ19" s="114"/>
      <c r="LK19" s="114"/>
      <c r="LL19" s="114"/>
      <c r="LM19" s="114"/>
      <c r="LN19" s="114"/>
      <c r="LO19" s="114"/>
      <c r="LP19" s="114"/>
      <c r="LQ19" s="114"/>
      <c r="LR19" s="114"/>
      <c r="LS19" s="114"/>
      <c r="LT19" s="114"/>
      <c r="LU19" s="114"/>
      <c r="LV19" s="114"/>
      <c r="LW19" s="114"/>
      <c r="LX19" s="114"/>
      <c r="LY19" s="114"/>
      <c r="LZ19" s="114"/>
      <c r="MA19" s="114"/>
      <c r="MB19" s="114"/>
      <c r="MC19" s="114"/>
      <c r="MD19" s="114"/>
      <c r="ME19" s="114"/>
      <c r="MF19" s="114"/>
      <c r="MG19" s="114"/>
      <c r="MH19" s="114"/>
      <c r="MI19" s="114"/>
      <c r="MJ19" s="114"/>
      <c r="MK19" s="114"/>
      <c r="ML19" s="114"/>
      <c r="MM19" s="114"/>
      <c r="MN19" s="114"/>
      <c r="MO19" s="114"/>
      <c r="MP19" s="114"/>
      <c r="MQ19" s="114"/>
      <c r="MR19" s="114"/>
      <c r="MS19" s="114"/>
      <c r="MT19" s="114"/>
      <c r="MU19" s="114"/>
      <c r="MV19" s="114"/>
      <c r="MW19" s="114"/>
      <c r="MX19" s="114"/>
      <c r="MY19" s="114"/>
      <c r="MZ19" s="114"/>
      <c r="NA19" s="114"/>
      <c r="NB19" s="114"/>
      <c r="NC19" s="114"/>
      <c r="ND19" s="114"/>
      <c r="NE19" s="114"/>
      <c r="NF19" s="114"/>
      <c r="NG19" s="114"/>
      <c r="NH19" s="114"/>
      <c r="NI19" s="114"/>
      <c r="NJ19" s="114"/>
      <c r="NK19" s="114"/>
      <c r="NL19" s="114"/>
      <c r="NM19" s="114"/>
      <c r="NN19" s="114"/>
      <c r="NO19" s="114"/>
      <c r="NP19" s="114"/>
      <c r="NQ19" s="114"/>
      <c r="NR19" s="114"/>
      <c r="NS19" s="114"/>
      <c r="NT19" s="114"/>
      <c r="NU19" s="114"/>
      <c r="NV19" s="114"/>
      <c r="NW19" s="114"/>
      <c r="NX19" s="114"/>
      <c r="NY19" s="114"/>
      <c r="NZ19" s="114"/>
      <c r="OA19" s="114"/>
      <c r="OB19" s="114"/>
      <c r="OC19" s="114"/>
      <c r="OD19" s="114"/>
      <c r="OE19" s="114"/>
      <c r="OF19" s="114"/>
      <c r="OG19" s="114"/>
      <c r="OH19" s="114"/>
      <c r="OI19" s="114"/>
      <c r="OJ19" s="114"/>
      <c r="OK19" s="114"/>
      <c r="OL19" s="114"/>
      <c r="OM19" s="114"/>
      <c r="ON19" s="114"/>
      <c r="OO19" s="114"/>
      <c r="OP19" s="114"/>
      <c r="OQ19" s="114"/>
      <c r="OR19" s="114"/>
      <c r="OS19" s="114"/>
      <c r="OT19" s="114"/>
      <c r="OU19" s="114"/>
      <c r="OV19" s="114"/>
      <c r="OW19" s="114"/>
      <c r="OX19" s="114"/>
      <c r="OY19" s="114"/>
      <c r="OZ19" s="114"/>
      <c r="PA19" s="114"/>
      <c r="PB19" s="114"/>
      <c r="PC19" s="114"/>
      <c r="PD19" s="114"/>
      <c r="PE19" s="114"/>
      <c r="PF19" s="114"/>
      <c r="PG19" s="114"/>
      <c r="PH19" s="114"/>
      <c r="PI19" s="114"/>
      <c r="PJ19" s="114"/>
      <c r="PK19" s="114"/>
      <c r="PL19" s="114"/>
      <c r="PM19" s="114"/>
      <c r="PN19" s="114"/>
      <c r="PO19" s="114"/>
      <c r="PP19" s="114"/>
      <c r="PQ19" s="114"/>
      <c r="PR19" s="114"/>
      <c r="PS19" s="114"/>
      <c r="PT19" s="114"/>
      <c r="PU19" s="114"/>
      <c r="PV19" s="114"/>
      <c r="PW19" s="114"/>
      <c r="PX19" s="114"/>
      <c r="PY19" s="114"/>
      <c r="PZ19" s="114"/>
      <c r="QA19" s="114"/>
      <c r="QB19" s="114"/>
      <c r="QC19" s="114"/>
      <c r="QD19" s="114"/>
      <c r="QE19" s="114"/>
      <c r="QF19" s="114"/>
      <c r="QG19" s="114"/>
      <c r="QH19" s="114"/>
      <c r="QI19" s="114"/>
      <c r="QJ19" s="114"/>
      <c r="QK19" s="114"/>
      <c r="QL19" s="114"/>
      <c r="QM19" s="114"/>
      <c r="QN19" s="114"/>
      <c r="QO19" s="114"/>
      <c r="QP19" s="114"/>
      <c r="QQ19" s="114"/>
      <c r="QR19" s="114"/>
      <c r="QS19" s="114"/>
      <c r="QT19" s="114"/>
      <c r="QU19" s="114"/>
      <c r="QV19" s="114"/>
      <c r="QW19" s="114"/>
      <c r="QX19" s="114"/>
      <c r="QY19" s="114"/>
      <c r="QZ19" s="114"/>
      <c r="RA19" s="114"/>
      <c r="RB19" s="114"/>
      <c r="RC19" s="114"/>
      <c r="RD19" s="114"/>
      <c r="RE19" s="114"/>
      <c r="RF19" s="114"/>
      <c r="RG19" s="114"/>
      <c r="RH19" s="114"/>
      <c r="RI19" s="114"/>
      <c r="RJ19" s="114"/>
      <c r="RK19" s="114"/>
      <c r="RL19" s="114"/>
      <c r="RM19" s="114"/>
      <c r="RN19" s="114"/>
      <c r="RO19" s="114"/>
      <c r="RP19" s="114"/>
      <c r="RQ19" s="114"/>
      <c r="RR19" s="114"/>
      <c r="RS19" s="114"/>
      <c r="RT19" s="114"/>
      <c r="RU19" s="114"/>
      <c r="RV19" s="114"/>
      <c r="RW19" s="114"/>
      <c r="RX19" s="114"/>
      <c r="RY19" s="114"/>
      <c r="RZ19" s="114"/>
      <c r="SA19" s="114"/>
      <c r="SB19" s="114"/>
      <c r="SC19" s="114"/>
      <c r="SD19" s="114"/>
      <c r="SE19" s="114"/>
      <c r="SF19" s="114"/>
      <c r="SG19" s="114"/>
      <c r="SH19" s="114"/>
      <c r="SI19" s="114"/>
      <c r="SJ19" s="114"/>
      <c r="SK19" s="114"/>
      <c r="SL19" s="114"/>
      <c r="SM19" s="114"/>
      <c r="SN19" s="114"/>
      <c r="SO19" s="114"/>
      <c r="SP19" s="114"/>
      <c r="SQ19" s="114"/>
      <c r="SR19" s="114"/>
      <c r="SS19" s="114"/>
      <c r="ST19" s="114"/>
      <c r="SU19" s="114"/>
      <c r="SV19" s="114"/>
      <c r="SW19" s="114"/>
      <c r="SX19" s="114"/>
      <c r="SY19" s="114"/>
      <c r="SZ19" s="114"/>
      <c r="TA19" s="114"/>
      <c r="TB19" s="114"/>
      <c r="TC19" s="114"/>
      <c r="TD19" s="114"/>
      <c r="TE19" s="114"/>
      <c r="TF19" s="114"/>
      <c r="TG19" s="114"/>
      <c r="TH19" s="114"/>
      <c r="TI19" s="114"/>
      <c r="TJ19" s="114"/>
      <c r="TK19" s="114"/>
      <c r="TL19" s="114"/>
      <c r="TM19" s="114"/>
      <c r="TN19" s="114"/>
      <c r="TO19" s="114"/>
      <c r="TP19" s="114"/>
      <c r="TQ19" s="114"/>
      <c r="TR19" s="114"/>
      <c r="TS19" s="114"/>
      <c r="TT19" s="114"/>
      <c r="TU19" s="114"/>
      <c r="TV19" s="114"/>
      <c r="TW19" s="114"/>
      <c r="TX19" s="114"/>
      <c r="TY19" s="114"/>
      <c r="TZ19" s="114"/>
      <c r="UA19" s="114"/>
      <c r="UB19" s="114"/>
      <c r="UC19" s="114"/>
      <c r="UD19" s="114"/>
      <c r="UE19" s="114"/>
      <c r="UF19" s="114"/>
      <c r="UG19" s="114"/>
      <c r="UH19" s="114"/>
      <c r="UI19" s="114"/>
      <c r="UJ19" s="114"/>
      <c r="UK19" s="114"/>
      <c r="UL19" s="114"/>
      <c r="UM19" s="114"/>
      <c r="UN19" s="114"/>
      <c r="UO19" s="114"/>
      <c r="UP19" s="114"/>
      <c r="UQ19" s="114"/>
      <c r="UR19" s="114"/>
      <c r="US19" s="114"/>
      <c r="UT19" s="114"/>
      <c r="UU19" s="114"/>
      <c r="UV19" s="114"/>
      <c r="UW19" s="114"/>
      <c r="UX19" s="114"/>
      <c r="UY19" s="114"/>
      <c r="UZ19" s="114"/>
      <c r="VA19" s="114"/>
      <c r="VB19" s="114"/>
      <c r="VC19" s="114"/>
      <c r="VD19" s="114"/>
      <c r="VE19" s="114"/>
      <c r="VF19" s="114"/>
      <c r="VG19" s="114"/>
      <c r="VH19" s="114"/>
      <c r="VI19" s="114"/>
      <c r="VJ19" s="114"/>
      <c r="VK19" s="114"/>
      <c r="VL19" s="114"/>
      <c r="VM19" s="114"/>
      <c r="VN19" s="114"/>
      <c r="VO19" s="114"/>
      <c r="VP19" s="114"/>
      <c r="VQ19" s="114"/>
      <c r="VR19" s="114"/>
      <c r="VS19" s="114"/>
      <c r="VT19" s="114"/>
      <c r="VU19" s="114"/>
      <c r="VV19" s="114"/>
      <c r="VW19" s="114"/>
      <c r="VX19" s="114"/>
      <c r="VY19" s="114"/>
      <c r="VZ19" s="114"/>
      <c r="WA19" s="114"/>
      <c r="WB19" s="114"/>
      <c r="WC19" s="114"/>
      <c r="WD19" s="114"/>
      <c r="WE19" s="114"/>
      <c r="WF19" s="114"/>
      <c r="WG19" s="114"/>
      <c r="WH19" s="114"/>
      <c r="WI19" s="114"/>
      <c r="WJ19" s="114"/>
      <c r="WK19" s="114"/>
      <c r="WL19" s="114"/>
      <c r="WM19" s="114"/>
      <c r="WN19" s="114"/>
      <c r="WO19" s="114"/>
      <c r="WP19" s="114"/>
      <c r="WQ19" s="114"/>
      <c r="WR19" s="114"/>
      <c r="WS19" s="114"/>
      <c r="WT19" s="114"/>
      <c r="WU19" s="114"/>
      <c r="WV19" s="114"/>
      <c r="WW19" s="114"/>
      <c r="WX19" s="114"/>
      <c r="WY19" s="114"/>
      <c r="WZ19" s="114"/>
      <c r="XA19" s="114"/>
      <c r="XB19" s="114"/>
      <c r="XC19" s="114"/>
      <c r="XD19" s="114"/>
      <c r="XE19" s="114"/>
      <c r="XF19" s="114"/>
      <c r="XG19" s="114"/>
      <c r="XH19" s="114"/>
      <c r="XI19" s="114"/>
      <c r="XJ19" s="114"/>
      <c r="XK19" s="114"/>
      <c r="XL19" s="114"/>
      <c r="XM19" s="114"/>
      <c r="XN19" s="114"/>
      <c r="XO19" s="114"/>
      <c r="XP19" s="114"/>
      <c r="XQ19" s="114"/>
      <c r="XR19" s="114"/>
      <c r="XS19" s="114"/>
      <c r="XT19" s="114"/>
      <c r="XU19" s="114"/>
      <c r="XV19" s="114"/>
      <c r="XW19" s="114"/>
      <c r="XX19" s="114"/>
      <c r="XY19" s="114"/>
      <c r="XZ19" s="114"/>
      <c r="YA19" s="114"/>
      <c r="YB19" s="114"/>
      <c r="YC19" s="114"/>
      <c r="YD19" s="114"/>
      <c r="YE19" s="114"/>
      <c r="YF19" s="114"/>
      <c r="YG19" s="114"/>
      <c r="YH19" s="114"/>
      <c r="YI19" s="114"/>
      <c r="YJ19" s="114"/>
      <c r="YK19" s="114"/>
      <c r="YL19" s="114"/>
      <c r="YM19" s="114"/>
      <c r="YN19" s="114"/>
      <c r="YO19" s="114"/>
      <c r="YP19" s="114"/>
      <c r="YQ19" s="114"/>
      <c r="YR19" s="114"/>
      <c r="YS19" s="114"/>
      <c r="YT19" s="114"/>
      <c r="YU19" s="114"/>
      <c r="YV19" s="114"/>
      <c r="YW19" s="114"/>
      <c r="YX19" s="114"/>
      <c r="YY19" s="114"/>
      <c r="YZ19" s="114"/>
      <c r="ZA19" s="114"/>
      <c r="ZB19" s="114"/>
      <c r="ZC19" s="114"/>
      <c r="ZD19" s="114"/>
      <c r="ZE19" s="114"/>
      <c r="ZF19" s="114"/>
      <c r="ZG19" s="114"/>
      <c r="ZH19" s="114"/>
      <c r="ZI19" s="114"/>
      <c r="ZJ19" s="114"/>
      <c r="ZK19" s="114"/>
      <c r="ZL19" s="114"/>
      <c r="ZM19" s="114"/>
      <c r="ZN19" s="114"/>
      <c r="ZO19" s="114"/>
      <c r="ZP19" s="114"/>
      <c r="ZQ19" s="114"/>
      <c r="ZR19" s="114"/>
      <c r="ZS19" s="114"/>
      <c r="ZT19" s="114"/>
      <c r="ZU19" s="114"/>
      <c r="ZV19" s="114"/>
      <c r="ZW19" s="114"/>
      <c r="ZX19" s="114"/>
      <c r="ZY19" s="114"/>
      <c r="ZZ19" s="114"/>
      <c r="AAA19" s="114"/>
      <c r="AAB19" s="114"/>
      <c r="AAC19" s="114"/>
      <c r="AAD19" s="114"/>
      <c r="AAE19" s="114"/>
      <c r="AAF19" s="114"/>
      <c r="AAG19" s="114"/>
      <c r="AAH19" s="114"/>
      <c r="AAI19" s="114"/>
      <c r="AAJ19" s="114"/>
      <c r="AAK19" s="114"/>
      <c r="AAL19" s="114"/>
      <c r="AAM19" s="114"/>
      <c r="AAN19" s="114"/>
      <c r="AAO19" s="114"/>
      <c r="AAP19" s="114"/>
      <c r="AAQ19" s="114"/>
      <c r="AAR19" s="114"/>
      <c r="AAS19" s="114"/>
      <c r="AAT19" s="114"/>
      <c r="AAU19" s="114"/>
      <c r="AAV19" s="114"/>
      <c r="AAW19" s="114"/>
      <c r="AAX19" s="114"/>
      <c r="AAY19" s="114"/>
      <c r="AAZ19" s="114"/>
      <c r="ABA19" s="114"/>
      <c r="ABB19" s="114"/>
      <c r="ABC19" s="114"/>
      <c r="ABD19" s="114"/>
      <c r="ABE19" s="114"/>
      <c r="ABF19" s="114"/>
      <c r="ABG19" s="114"/>
      <c r="ABH19" s="114"/>
      <c r="ABI19" s="114"/>
      <c r="ABJ19" s="114"/>
      <c r="ABK19" s="114"/>
      <c r="ABL19" s="114"/>
      <c r="ABM19" s="114"/>
      <c r="ABN19" s="114"/>
      <c r="ABO19" s="114"/>
      <c r="ABP19" s="114"/>
      <c r="ABQ19" s="114"/>
      <c r="ABR19" s="114"/>
      <c r="ABS19" s="114"/>
      <c r="ABT19" s="114"/>
      <c r="ABU19" s="114"/>
      <c r="ABV19" s="114"/>
      <c r="ABW19" s="114"/>
      <c r="ABX19" s="114"/>
      <c r="ABY19" s="114"/>
      <c r="ABZ19" s="114"/>
      <c r="ACA19" s="114"/>
      <c r="ACB19" s="114"/>
      <c r="ACC19" s="114"/>
      <c r="ACD19" s="114"/>
      <c r="ACE19" s="114"/>
      <c r="ACF19" s="114"/>
      <c r="ACG19" s="114"/>
      <c r="ACH19" s="114"/>
      <c r="ACI19" s="114"/>
      <c r="ACJ19" s="114"/>
      <c r="ACK19" s="114"/>
      <c r="ACL19" s="114"/>
      <c r="ACM19" s="114"/>
      <c r="ACN19" s="114"/>
      <c r="ACO19" s="114"/>
      <c r="ACP19" s="114"/>
      <c r="ACQ19" s="114"/>
      <c r="ACR19" s="114"/>
      <c r="ACS19" s="114"/>
      <c r="ACT19" s="114"/>
      <c r="ACU19" s="114"/>
      <c r="ACV19" s="114"/>
      <c r="ACW19" s="114"/>
      <c r="ACX19" s="114"/>
      <c r="ACY19" s="114"/>
      <c r="ACZ19" s="114"/>
      <c r="ADA19" s="114"/>
      <c r="ADB19" s="114"/>
      <c r="ADC19" s="114"/>
      <c r="ADD19" s="114"/>
      <c r="ADE19" s="114"/>
      <c r="ADF19" s="114"/>
      <c r="ADG19" s="114"/>
      <c r="ADH19" s="114"/>
      <c r="ADI19" s="114"/>
      <c r="ADJ19" s="114"/>
      <c r="ADK19" s="114"/>
      <c r="ADL19" s="114"/>
      <c r="ADM19" s="114"/>
      <c r="ADN19" s="114"/>
      <c r="ADO19" s="114"/>
      <c r="ADP19" s="114"/>
      <c r="ADQ19" s="114"/>
      <c r="ADR19" s="114"/>
      <c r="ADS19" s="114"/>
      <c r="ADT19" s="114"/>
      <c r="ADU19" s="114"/>
      <c r="ADV19" s="114"/>
      <c r="ADW19" s="114"/>
      <c r="ADX19" s="114"/>
      <c r="ADY19" s="114"/>
      <c r="ADZ19" s="114"/>
      <c r="AEA19" s="114"/>
      <c r="AEB19" s="114"/>
      <c r="AEC19" s="114"/>
      <c r="AED19" s="114"/>
      <c r="AEE19" s="114"/>
      <c r="AEF19" s="114"/>
      <c r="AEG19" s="114"/>
      <c r="AEH19" s="114"/>
      <c r="AEI19" s="114"/>
      <c r="AEJ19" s="114"/>
      <c r="AEK19" s="114"/>
      <c r="AEL19" s="114"/>
      <c r="AEM19" s="114"/>
      <c r="AEN19" s="114"/>
      <c r="AEO19" s="114"/>
      <c r="AEP19" s="114"/>
      <c r="AEQ19" s="114"/>
      <c r="AER19" s="114"/>
      <c r="AES19" s="114"/>
      <c r="AET19" s="114"/>
      <c r="AEU19" s="114"/>
      <c r="AEV19" s="114"/>
      <c r="AEW19" s="114"/>
      <c r="AEX19" s="114"/>
      <c r="AEY19" s="114"/>
      <c r="AEZ19" s="114"/>
      <c r="AFA19" s="114"/>
      <c r="AFB19" s="114"/>
      <c r="AFC19" s="114"/>
      <c r="AFD19" s="114"/>
      <c r="AFE19" s="114"/>
      <c r="AFF19" s="114"/>
      <c r="AFG19" s="114"/>
      <c r="AFH19" s="114"/>
      <c r="AFI19" s="114"/>
      <c r="AFJ19" s="114"/>
      <c r="AFK19" s="114"/>
      <c r="AFL19" s="114"/>
      <c r="AFM19" s="114"/>
      <c r="AFN19" s="114"/>
      <c r="AFO19" s="114"/>
      <c r="AFP19" s="114"/>
      <c r="AFQ19" s="114"/>
      <c r="AFR19" s="114"/>
      <c r="AFS19" s="114"/>
      <c r="AFT19" s="114"/>
      <c r="AFU19" s="114"/>
      <c r="AFV19" s="114"/>
      <c r="AFW19" s="114"/>
      <c r="AFX19" s="114"/>
      <c r="AFY19" s="114"/>
      <c r="AFZ19" s="114"/>
      <c r="AGA19" s="114"/>
      <c r="AGB19" s="114"/>
      <c r="AGC19" s="114"/>
      <c r="AGD19" s="114"/>
      <c r="AGE19" s="114"/>
      <c r="AGF19" s="114"/>
      <c r="AGG19" s="114"/>
      <c r="AGH19" s="114"/>
      <c r="AGI19" s="114"/>
      <c r="AGJ19" s="114"/>
      <c r="AGK19" s="114"/>
      <c r="AGL19" s="114"/>
      <c r="AGM19" s="114"/>
      <c r="AGN19" s="114"/>
      <c r="AGO19" s="114"/>
      <c r="AGP19" s="114"/>
      <c r="AGQ19" s="114"/>
      <c r="AGR19" s="114"/>
      <c r="AGS19" s="114"/>
      <c r="AGT19" s="114"/>
      <c r="AGU19" s="114"/>
      <c r="AGV19" s="114"/>
      <c r="AGW19" s="114"/>
      <c r="AGX19" s="114"/>
      <c r="AGY19" s="114"/>
      <c r="AGZ19" s="114"/>
      <c r="AHA19" s="114"/>
      <c r="AHB19" s="114"/>
      <c r="AHC19" s="114"/>
      <c r="AHD19" s="114"/>
      <c r="AHE19" s="114"/>
      <c r="AHF19" s="114"/>
      <c r="AHG19" s="114"/>
      <c r="AHH19" s="114"/>
      <c r="AHI19" s="114"/>
      <c r="AHJ19" s="114"/>
      <c r="AHK19" s="114"/>
      <c r="AHL19" s="114"/>
      <c r="AHM19" s="114"/>
      <c r="AHN19" s="114"/>
      <c r="AHO19" s="114"/>
      <c r="AHP19" s="114"/>
      <c r="AHQ19" s="114"/>
      <c r="AHR19" s="114"/>
      <c r="AHS19" s="114"/>
      <c r="AHT19" s="114"/>
      <c r="AHU19" s="114"/>
      <c r="AHV19" s="114"/>
      <c r="AHW19" s="114"/>
      <c r="AHX19" s="114"/>
      <c r="AHY19" s="114"/>
      <c r="AHZ19" s="114"/>
      <c r="AIA19" s="114"/>
      <c r="AIB19" s="114"/>
      <c r="AIC19" s="114"/>
      <c r="AID19" s="114"/>
      <c r="AIE19" s="114"/>
      <c r="AIF19" s="114"/>
      <c r="AIG19" s="114"/>
      <c r="AIH19" s="114"/>
      <c r="AII19" s="114"/>
      <c r="AIJ19" s="114"/>
      <c r="AIK19" s="114"/>
      <c r="AIL19" s="114"/>
      <c r="AIM19" s="114"/>
      <c r="AIN19" s="114"/>
      <c r="AIO19" s="114"/>
      <c r="AIP19" s="114"/>
      <c r="AIQ19" s="114"/>
      <c r="AIR19" s="114"/>
      <c r="AIS19" s="114"/>
      <c r="AIT19" s="114"/>
      <c r="AIU19" s="114"/>
      <c r="AIV19" s="114"/>
      <c r="AIW19" s="114"/>
      <c r="AIX19" s="114"/>
      <c r="AIY19" s="114"/>
      <c r="AIZ19" s="114"/>
      <c r="AJA19" s="114"/>
      <c r="AJB19" s="114"/>
      <c r="AJC19" s="114"/>
      <c r="AJD19" s="114"/>
      <c r="AJE19" s="114"/>
      <c r="AJF19" s="114"/>
      <c r="AJG19" s="114"/>
      <c r="AJH19" s="114"/>
      <c r="AJI19" s="114"/>
      <c r="AJJ19" s="114"/>
      <c r="AJK19" s="114"/>
      <c r="AJL19" s="114"/>
      <c r="AJM19" s="114"/>
      <c r="AJN19" s="114"/>
      <c r="AJO19" s="114"/>
      <c r="AJP19" s="114"/>
      <c r="AJQ19" s="114"/>
      <c r="AJR19" s="114"/>
      <c r="AJS19" s="114"/>
      <c r="AJT19" s="114"/>
      <c r="AJU19" s="114"/>
      <c r="AJV19" s="114"/>
      <c r="AJW19" s="114"/>
      <c r="AJX19" s="114"/>
      <c r="AJY19" s="114"/>
      <c r="AJZ19" s="114"/>
      <c r="AKA19" s="114"/>
      <c r="AKB19" s="114"/>
      <c r="AKC19" s="114"/>
      <c r="AKD19" s="114"/>
      <c r="AKE19" s="114"/>
      <c r="AKF19" s="114"/>
      <c r="AKG19" s="114"/>
      <c r="AKH19" s="114"/>
      <c r="AKI19" s="114"/>
      <c r="AKJ19" s="114"/>
      <c r="AKK19" s="114"/>
      <c r="AKL19" s="114"/>
      <c r="AKM19" s="114"/>
      <c r="AKN19" s="114"/>
      <c r="AKO19" s="114"/>
      <c r="AKP19" s="114"/>
      <c r="AKQ19" s="114"/>
      <c r="AKR19" s="114"/>
      <c r="AKS19" s="114"/>
      <c r="AKT19" s="114"/>
      <c r="AKU19" s="114"/>
      <c r="AKV19" s="114"/>
      <c r="AKW19" s="114"/>
      <c r="AKX19" s="114"/>
      <c r="AKY19" s="114"/>
    </row>
    <row r="20" spans="1:987" ht="15" customHeight="1" x14ac:dyDescent="0.3">
      <c r="A20" s="116"/>
      <c r="B20" s="117"/>
      <c r="C20" s="462"/>
      <c r="D20" s="118" t="s">
        <v>3075</v>
      </c>
      <c r="E20" s="119">
        <v>63</v>
      </c>
      <c r="F20" s="120">
        <v>500</v>
      </c>
      <c r="G20" s="121">
        <f>E20*F20</f>
        <v>31500</v>
      </c>
      <c r="H20" s="122"/>
      <c r="I20" s="148">
        <f>G20</f>
        <v>31500</v>
      </c>
      <c r="J20" s="123"/>
      <c r="K20" s="123"/>
      <c r="L20" s="123"/>
      <c r="M20" s="123"/>
      <c r="N20" s="123"/>
      <c r="O20" s="123"/>
      <c r="P20" s="123"/>
      <c r="Q20" s="123"/>
      <c r="R20" s="123"/>
      <c r="S20" s="124"/>
      <c r="T20" s="125"/>
    </row>
    <row r="21" spans="1:987" ht="15" customHeight="1" x14ac:dyDescent="0.3">
      <c r="A21" s="158"/>
      <c r="B21" s="159"/>
      <c r="C21" s="463"/>
      <c r="D21" s="464" t="s">
        <v>2828</v>
      </c>
      <c r="E21" s="465"/>
      <c r="F21" s="466"/>
      <c r="G21" s="127">
        <f>SUM(G19:G20)</f>
        <v>71500</v>
      </c>
      <c r="H21" s="128"/>
      <c r="I21" s="128"/>
      <c r="J21" s="128"/>
      <c r="K21" s="128"/>
      <c r="L21" s="128"/>
      <c r="M21" s="128"/>
      <c r="N21" s="128"/>
      <c r="O21" s="128"/>
      <c r="P21" s="128"/>
      <c r="Q21" s="128"/>
      <c r="R21" s="128"/>
      <c r="S21" s="129"/>
      <c r="T21" s="125"/>
    </row>
    <row r="22" spans="1:987" s="115" customFormat="1" ht="15" customHeight="1" x14ac:dyDescent="0.3">
      <c r="A22" s="116">
        <v>8470230</v>
      </c>
      <c r="B22" s="117">
        <v>428090</v>
      </c>
      <c r="C22" s="461" t="s">
        <v>3076</v>
      </c>
      <c r="D22" s="130" t="s">
        <v>3077</v>
      </c>
      <c r="E22" s="131">
        <v>2</v>
      </c>
      <c r="F22" s="132">
        <v>17000</v>
      </c>
      <c r="G22" s="133">
        <f>E22*F22</f>
        <v>34000</v>
      </c>
      <c r="H22" s="134"/>
      <c r="I22" s="162">
        <f>G22/2</f>
        <v>17000</v>
      </c>
      <c r="J22" s="135"/>
      <c r="K22" s="135"/>
      <c r="L22" s="135"/>
      <c r="M22" s="135"/>
      <c r="N22" s="162">
        <f>G22/2</f>
        <v>17000</v>
      </c>
      <c r="O22" s="135"/>
      <c r="P22" s="135"/>
      <c r="Q22" s="135"/>
      <c r="R22" s="135"/>
      <c r="S22" s="164"/>
      <c r="T22" s="125"/>
      <c r="U22" s="114"/>
      <c r="V22" s="114"/>
      <c r="W22" s="114"/>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4"/>
      <c r="AY22" s="114"/>
      <c r="AZ22" s="114"/>
      <c r="BA22" s="114"/>
      <c r="BB22" s="114"/>
      <c r="BC22" s="114"/>
      <c r="BD22" s="114"/>
      <c r="BE22" s="114"/>
      <c r="BF22" s="114"/>
      <c r="BG22" s="114"/>
      <c r="BH22" s="114"/>
      <c r="BI22" s="114"/>
      <c r="BJ22" s="114"/>
      <c r="BK22" s="114"/>
      <c r="BL22" s="114"/>
      <c r="BM22" s="114"/>
      <c r="BN22" s="114"/>
      <c r="BO22" s="114"/>
      <c r="BP22" s="114"/>
      <c r="BQ22" s="114"/>
      <c r="BR22" s="114"/>
      <c r="BS22" s="114"/>
      <c r="BT22" s="114"/>
      <c r="BU22" s="114"/>
      <c r="BV22" s="114"/>
      <c r="BW22" s="114"/>
      <c r="BX22" s="114"/>
      <c r="BY22" s="114"/>
      <c r="BZ22" s="114"/>
      <c r="CA22" s="114"/>
      <c r="CB22" s="114"/>
      <c r="CC22" s="114"/>
      <c r="CD22" s="114"/>
      <c r="CE22" s="114"/>
      <c r="CF22" s="114"/>
      <c r="CG22" s="114"/>
      <c r="CH22" s="114"/>
      <c r="CI22" s="114"/>
      <c r="CJ22" s="114"/>
      <c r="CK22" s="114"/>
      <c r="CL22" s="114"/>
      <c r="CM22" s="114"/>
      <c r="CN22" s="114"/>
      <c r="CO22" s="114"/>
      <c r="CP22" s="114"/>
      <c r="CQ22" s="114"/>
      <c r="CR22" s="114"/>
      <c r="CS22" s="114"/>
      <c r="CT22" s="114"/>
      <c r="CU22" s="114"/>
      <c r="CV22" s="114"/>
      <c r="CW22" s="114"/>
      <c r="CX22" s="114"/>
      <c r="CY22" s="114"/>
      <c r="CZ22" s="114"/>
      <c r="DA22" s="114"/>
      <c r="DB22" s="114"/>
      <c r="DC22" s="114"/>
      <c r="DD22" s="114"/>
      <c r="DE22" s="114"/>
      <c r="DF22" s="114"/>
      <c r="DG22" s="114"/>
      <c r="DH22" s="114"/>
      <c r="DI22" s="114"/>
      <c r="DJ22" s="114"/>
      <c r="DK22" s="114"/>
      <c r="DL22" s="114"/>
      <c r="DM22" s="114"/>
      <c r="DN22" s="114"/>
      <c r="DO22" s="114"/>
      <c r="DP22" s="114"/>
      <c r="DQ22" s="114"/>
      <c r="DR22" s="114"/>
      <c r="DS22" s="114"/>
      <c r="DT22" s="114"/>
      <c r="DU22" s="114"/>
      <c r="DV22" s="114"/>
      <c r="DW22" s="114"/>
      <c r="DX22" s="114"/>
      <c r="DY22" s="114"/>
      <c r="DZ22" s="114"/>
      <c r="EA22" s="114"/>
      <c r="EB22" s="114"/>
      <c r="EC22" s="114"/>
      <c r="ED22" s="114"/>
      <c r="EE22" s="114"/>
      <c r="EF22" s="114"/>
      <c r="EG22" s="114"/>
      <c r="EH22" s="114"/>
      <c r="EI22" s="114"/>
      <c r="EJ22" s="114"/>
      <c r="EK22" s="114"/>
      <c r="EL22" s="114"/>
      <c r="EM22" s="114"/>
      <c r="EN22" s="114"/>
      <c r="EO22" s="114"/>
      <c r="EP22" s="114"/>
      <c r="EQ22" s="114"/>
      <c r="ER22" s="114"/>
      <c r="ES22" s="114"/>
      <c r="ET22" s="114"/>
      <c r="EU22" s="114"/>
      <c r="EV22" s="114"/>
      <c r="EW22" s="114"/>
      <c r="EX22" s="114"/>
      <c r="EY22" s="114"/>
      <c r="EZ22" s="114"/>
      <c r="FA22" s="114"/>
      <c r="FB22" s="114"/>
      <c r="FC22" s="114"/>
      <c r="FD22" s="114"/>
      <c r="FE22" s="114"/>
      <c r="FF22" s="114"/>
      <c r="FG22" s="114"/>
      <c r="FH22" s="114"/>
      <c r="FI22" s="114"/>
      <c r="FJ22" s="114"/>
      <c r="FK22" s="114"/>
      <c r="FL22" s="114"/>
      <c r="FM22" s="114"/>
      <c r="FN22" s="114"/>
      <c r="FO22" s="114"/>
      <c r="FP22" s="114"/>
      <c r="FQ22" s="114"/>
      <c r="FR22" s="114"/>
      <c r="FS22" s="114"/>
      <c r="FT22" s="114"/>
      <c r="FU22" s="114"/>
      <c r="FV22" s="114"/>
      <c r="FW22" s="114"/>
      <c r="FX22" s="114"/>
      <c r="FY22" s="114"/>
      <c r="FZ22" s="114"/>
      <c r="GA22" s="114"/>
      <c r="GB22" s="114"/>
      <c r="GC22" s="114"/>
      <c r="GD22" s="114"/>
      <c r="GE22" s="114"/>
      <c r="GF22" s="114"/>
      <c r="GG22" s="114"/>
      <c r="GH22" s="114"/>
      <c r="GI22" s="114"/>
      <c r="GJ22" s="114"/>
      <c r="GK22" s="114"/>
      <c r="GL22" s="114"/>
      <c r="GM22" s="114"/>
      <c r="GN22" s="114"/>
      <c r="GO22" s="114"/>
      <c r="GP22" s="114"/>
      <c r="GQ22" s="114"/>
      <c r="GR22" s="114"/>
      <c r="GS22" s="114"/>
      <c r="GT22" s="114"/>
      <c r="GU22" s="114"/>
      <c r="GV22" s="114"/>
      <c r="GW22" s="114"/>
      <c r="GX22" s="114"/>
      <c r="GY22" s="114"/>
      <c r="GZ22" s="114"/>
      <c r="HA22" s="114"/>
      <c r="HB22" s="114"/>
      <c r="HC22" s="114"/>
      <c r="HD22" s="114"/>
      <c r="HE22" s="114"/>
      <c r="HF22" s="114"/>
      <c r="HG22" s="114"/>
      <c r="HH22" s="114"/>
      <c r="HI22" s="114"/>
      <c r="HJ22" s="114"/>
      <c r="HK22" s="114"/>
      <c r="HL22" s="114"/>
      <c r="HM22" s="114"/>
      <c r="HN22" s="114"/>
      <c r="HO22" s="114"/>
      <c r="HP22" s="114"/>
      <c r="HQ22" s="114"/>
      <c r="HR22" s="114"/>
      <c r="HS22" s="114"/>
      <c r="HT22" s="114"/>
      <c r="HU22" s="114"/>
      <c r="HV22" s="114"/>
      <c r="HW22" s="114"/>
      <c r="HX22" s="114"/>
      <c r="HY22" s="114"/>
      <c r="HZ22" s="114"/>
      <c r="IA22" s="114"/>
      <c r="IB22" s="114"/>
      <c r="IC22" s="114"/>
      <c r="ID22" s="114"/>
      <c r="IE22" s="114"/>
      <c r="IF22" s="114"/>
      <c r="IG22" s="114"/>
      <c r="IH22" s="114"/>
      <c r="II22" s="114"/>
      <c r="IJ22" s="114"/>
      <c r="IK22" s="114"/>
      <c r="IL22" s="114"/>
      <c r="IM22" s="114"/>
      <c r="IN22" s="114"/>
      <c r="IO22" s="114"/>
      <c r="IP22" s="114"/>
      <c r="IQ22" s="114"/>
      <c r="IR22" s="114"/>
      <c r="IS22" s="114"/>
      <c r="IT22" s="114"/>
      <c r="IU22" s="114"/>
      <c r="IV22" s="114"/>
      <c r="IW22" s="114"/>
      <c r="IX22" s="114"/>
      <c r="IY22" s="114"/>
      <c r="IZ22" s="114"/>
      <c r="JA22" s="114"/>
      <c r="JB22" s="114"/>
      <c r="JC22" s="114"/>
      <c r="JD22" s="114"/>
      <c r="JE22" s="114"/>
      <c r="JF22" s="114"/>
      <c r="JG22" s="114"/>
      <c r="JH22" s="114"/>
      <c r="JI22" s="114"/>
      <c r="JJ22" s="114"/>
      <c r="JK22" s="114"/>
      <c r="JL22" s="114"/>
      <c r="JM22" s="114"/>
      <c r="JN22" s="114"/>
      <c r="JO22" s="114"/>
      <c r="JP22" s="114"/>
      <c r="JQ22" s="114"/>
      <c r="JR22" s="114"/>
      <c r="JS22" s="114"/>
      <c r="JT22" s="114"/>
      <c r="JU22" s="114"/>
      <c r="JV22" s="114"/>
      <c r="JW22" s="114"/>
      <c r="JX22" s="114"/>
      <c r="JY22" s="114"/>
      <c r="JZ22" s="114"/>
      <c r="KA22" s="114"/>
      <c r="KB22" s="114"/>
      <c r="KC22" s="114"/>
      <c r="KD22" s="114"/>
      <c r="KE22" s="114"/>
      <c r="KF22" s="114"/>
      <c r="KG22" s="114"/>
      <c r="KH22" s="114"/>
      <c r="KI22" s="114"/>
      <c r="KJ22" s="114"/>
      <c r="KK22" s="114"/>
      <c r="KL22" s="114"/>
      <c r="KM22" s="114"/>
      <c r="KN22" s="114"/>
      <c r="KO22" s="114"/>
      <c r="KP22" s="114"/>
      <c r="KQ22" s="114"/>
      <c r="KR22" s="114"/>
      <c r="KS22" s="114"/>
      <c r="KT22" s="114"/>
      <c r="KU22" s="114"/>
      <c r="KV22" s="114"/>
      <c r="KW22" s="114"/>
      <c r="KX22" s="114"/>
      <c r="KY22" s="114"/>
      <c r="KZ22" s="114"/>
      <c r="LA22" s="114"/>
      <c r="LB22" s="114"/>
      <c r="LC22" s="114"/>
      <c r="LD22" s="114"/>
      <c r="LE22" s="114"/>
      <c r="LF22" s="114"/>
      <c r="LG22" s="114"/>
      <c r="LH22" s="114"/>
      <c r="LI22" s="114"/>
      <c r="LJ22" s="114"/>
      <c r="LK22" s="114"/>
      <c r="LL22" s="114"/>
      <c r="LM22" s="114"/>
      <c r="LN22" s="114"/>
      <c r="LO22" s="114"/>
      <c r="LP22" s="114"/>
      <c r="LQ22" s="114"/>
      <c r="LR22" s="114"/>
      <c r="LS22" s="114"/>
      <c r="LT22" s="114"/>
      <c r="LU22" s="114"/>
      <c r="LV22" s="114"/>
      <c r="LW22" s="114"/>
      <c r="LX22" s="114"/>
      <c r="LY22" s="114"/>
      <c r="LZ22" s="114"/>
      <c r="MA22" s="114"/>
      <c r="MB22" s="114"/>
      <c r="MC22" s="114"/>
      <c r="MD22" s="114"/>
      <c r="ME22" s="114"/>
      <c r="MF22" s="114"/>
      <c r="MG22" s="114"/>
      <c r="MH22" s="114"/>
      <c r="MI22" s="114"/>
      <c r="MJ22" s="114"/>
      <c r="MK22" s="114"/>
      <c r="ML22" s="114"/>
      <c r="MM22" s="114"/>
      <c r="MN22" s="114"/>
      <c r="MO22" s="114"/>
      <c r="MP22" s="114"/>
      <c r="MQ22" s="114"/>
      <c r="MR22" s="114"/>
      <c r="MS22" s="114"/>
      <c r="MT22" s="114"/>
      <c r="MU22" s="114"/>
      <c r="MV22" s="114"/>
      <c r="MW22" s="114"/>
      <c r="MX22" s="114"/>
      <c r="MY22" s="114"/>
      <c r="MZ22" s="114"/>
      <c r="NA22" s="114"/>
      <c r="NB22" s="114"/>
      <c r="NC22" s="114"/>
      <c r="ND22" s="114"/>
      <c r="NE22" s="114"/>
      <c r="NF22" s="114"/>
      <c r="NG22" s="114"/>
      <c r="NH22" s="114"/>
      <c r="NI22" s="114"/>
      <c r="NJ22" s="114"/>
      <c r="NK22" s="114"/>
      <c r="NL22" s="114"/>
      <c r="NM22" s="114"/>
      <c r="NN22" s="114"/>
      <c r="NO22" s="114"/>
      <c r="NP22" s="114"/>
      <c r="NQ22" s="114"/>
      <c r="NR22" s="114"/>
      <c r="NS22" s="114"/>
      <c r="NT22" s="114"/>
      <c r="NU22" s="114"/>
      <c r="NV22" s="114"/>
      <c r="NW22" s="114"/>
      <c r="NX22" s="114"/>
      <c r="NY22" s="114"/>
      <c r="NZ22" s="114"/>
      <c r="OA22" s="114"/>
      <c r="OB22" s="114"/>
      <c r="OC22" s="114"/>
      <c r="OD22" s="114"/>
      <c r="OE22" s="114"/>
      <c r="OF22" s="114"/>
      <c r="OG22" s="114"/>
      <c r="OH22" s="114"/>
      <c r="OI22" s="114"/>
      <c r="OJ22" s="114"/>
      <c r="OK22" s="114"/>
      <c r="OL22" s="114"/>
      <c r="OM22" s="114"/>
      <c r="ON22" s="114"/>
      <c r="OO22" s="114"/>
      <c r="OP22" s="114"/>
      <c r="OQ22" s="114"/>
      <c r="OR22" s="114"/>
      <c r="OS22" s="114"/>
      <c r="OT22" s="114"/>
      <c r="OU22" s="114"/>
      <c r="OV22" s="114"/>
      <c r="OW22" s="114"/>
      <c r="OX22" s="114"/>
      <c r="OY22" s="114"/>
      <c r="OZ22" s="114"/>
      <c r="PA22" s="114"/>
      <c r="PB22" s="114"/>
      <c r="PC22" s="114"/>
      <c r="PD22" s="114"/>
      <c r="PE22" s="114"/>
      <c r="PF22" s="114"/>
      <c r="PG22" s="114"/>
      <c r="PH22" s="114"/>
      <c r="PI22" s="114"/>
      <c r="PJ22" s="114"/>
      <c r="PK22" s="114"/>
      <c r="PL22" s="114"/>
      <c r="PM22" s="114"/>
      <c r="PN22" s="114"/>
      <c r="PO22" s="114"/>
      <c r="PP22" s="114"/>
      <c r="PQ22" s="114"/>
      <c r="PR22" s="114"/>
      <c r="PS22" s="114"/>
      <c r="PT22" s="114"/>
      <c r="PU22" s="114"/>
      <c r="PV22" s="114"/>
      <c r="PW22" s="114"/>
      <c r="PX22" s="114"/>
      <c r="PY22" s="114"/>
      <c r="PZ22" s="114"/>
      <c r="QA22" s="114"/>
      <c r="QB22" s="114"/>
      <c r="QC22" s="114"/>
      <c r="QD22" s="114"/>
      <c r="QE22" s="114"/>
      <c r="QF22" s="114"/>
      <c r="QG22" s="114"/>
      <c r="QH22" s="114"/>
      <c r="QI22" s="114"/>
      <c r="QJ22" s="114"/>
      <c r="QK22" s="114"/>
      <c r="QL22" s="114"/>
      <c r="QM22" s="114"/>
      <c r="QN22" s="114"/>
      <c r="QO22" s="114"/>
      <c r="QP22" s="114"/>
      <c r="QQ22" s="114"/>
      <c r="QR22" s="114"/>
      <c r="QS22" s="114"/>
      <c r="QT22" s="114"/>
      <c r="QU22" s="114"/>
      <c r="QV22" s="114"/>
      <c r="QW22" s="114"/>
      <c r="QX22" s="114"/>
      <c r="QY22" s="114"/>
      <c r="QZ22" s="114"/>
      <c r="RA22" s="114"/>
      <c r="RB22" s="114"/>
      <c r="RC22" s="114"/>
      <c r="RD22" s="114"/>
      <c r="RE22" s="114"/>
      <c r="RF22" s="114"/>
      <c r="RG22" s="114"/>
      <c r="RH22" s="114"/>
      <c r="RI22" s="114"/>
      <c r="RJ22" s="114"/>
      <c r="RK22" s="114"/>
      <c r="RL22" s="114"/>
      <c r="RM22" s="114"/>
      <c r="RN22" s="114"/>
      <c r="RO22" s="114"/>
      <c r="RP22" s="114"/>
      <c r="RQ22" s="114"/>
      <c r="RR22" s="114"/>
      <c r="RS22" s="114"/>
      <c r="RT22" s="114"/>
      <c r="RU22" s="114"/>
      <c r="RV22" s="114"/>
      <c r="RW22" s="114"/>
      <c r="RX22" s="114"/>
      <c r="RY22" s="114"/>
      <c r="RZ22" s="114"/>
      <c r="SA22" s="114"/>
      <c r="SB22" s="114"/>
      <c r="SC22" s="114"/>
      <c r="SD22" s="114"/>
      <c r="SE22" s="114"/>
      <c r="SF22" s="114"/>
      <c r="SG22" s="114"/>
      <c r="SH22" s="114"/>
      <c r="SI22" s="114"/>
      <c r="SJ22" s="114"/>
      <c r="SK22" s="114"/>
      <c r="SL22" s="114"/>
      <c r="SM22" s="114"/>
      <c r="SN22" s="114"/>
      <c r="SO22" s="114"/>
      <c r="SP22" s="114"/>
      <c r="SQ22" s="114"/>
      <c r="SR22" s="114"/>
      <c r="SS22" s="114"/>
      <c r="ST22" s="114"/>
      <c r="SU22" s="114"/>
      <c r="SV22" s="114"/>
      <c r="SW22" s="114"/>
      <c r="SX22" s="114"/>
      <c r="SY22" s="114"/>
      <c r="SZ22" s="114"/>
      <c r="TA22" s="114"/>
      <c r="TB22" s="114"/>
      <c r="TC22" s="114"/>
      <c r="TD22" s="114"/>
      <c r="TE22" s="114"/>
      <c r="TF22" s="114"/>
      <c r="TG22" s="114"/>
      <c r="TH22" s="114"/>
      <c r="TI22" s="114"/>
      <c r="TJ22" s="114"/>
      <c r="TK22" s="114"/>
      <c r="TL22" s="114"/>
      <c r="TM22" s="114"/>
      <c r="TN22" s="114"/>
      <c r="TO22" s="114"/>
      <c r="TP22" s="114"/>
      <c r="TQ22" s="114"/>
      <c r="TR22" s="114"/>
      <c r="TS22" s="114"/>
      <c r="TT22" s="114"/>
      <c r="TU22" s="114"/>
      <c r="TV22" s="114"/>
      <c r="TW22" s="114"/>
      <c r="TX22" s="114"/>
      <c r="TY22" s="114"/>
      <c r="TZ22" s="114"/>
      <c r="UA22" s="114"/>
      <c r="UB22" s="114"/>
      <c r="UC22" s="114"/>
      <c r="UD22" s="114"/>
      <c r="UE22" s="114"/>
      <c r="UF22" s="114"/>
      <c r="UG22" s="114"/>
      <c r="UH22" s="114"/>
      <c r="UI22" s="114"/>
      <c r="UJ22" s="114"/>
      <c r="UK22" s="114"/>
      <c r="UL22" s="114"/>
      <c r="UM22" s="114"/>
      <c r="UN22" s="114"/>
      <c r="UO22" s="114"/>
      <c r="UP22" s="114"/>
      <c r="UQ22" s="114"/>
      <c r="UR22" s="114"/>
      <c r="US22" s="114"/>
      <c r="UT22" s="114"/>
      <c r="UU22" s="114"/>
      <c r="UV22" s="114"/>
      <c r="UW22" s="114"/>
      <c r="UX22" s="114"/>
      <c r="UY22" s="114"/>
      <c r="UZ22" s="114"/>
      <c r="VA22" s="114"/>
      <c r="VB22" s="114"/>
      <c r="VC22" s="114"/>
      <c r="VD22" s="114"/>
      <c r="VE22" s="114"/>
      <c r="VF22" s="114"/>
      <c r="VG22" s="114"/>
      <c r="VH22" s="114"/>
      <c r="VI22" s="114"/>
      <c r="VJ22" s="114"/>
      <c r="VK22" s="114"/>
      <c r="VL22" s="114"/>
      <c r="VM22" s="114"/>
      <c r="VN22" s="114"/>
      <c r="VO22" s="114"/>
      <c r="VP22" s="114"/>
      <c r="VQ22" s="114"/>
      <c r="VR22" s="114"/>
      <c r="VS22" s="114"/>
      <c r="VT22" s="114"/>
      <c r="VU22" s="114"/>
      <c r="VV22" s="114"/>
      <c r="VW22" s="114"/>
      <c r="VX22" s="114"/>
      <c r="VY22" s="114"/>
      <c r="VZ22" s="114"/>
      <c r="WA22" s="114"/>
      <c r="WB22" s="114"/>
      <c r="WC22" s="114"/>
      <c r="WD22" s="114"/>
      <c r="WE22" s="114"/>
      <c r="WF22" s="114"/>
      <c r="WG22" s="114"/>
      <c r="WH22" s="114"/>
      <c r="WI22" s="114"/>
      <c r="WJ22" s="114"/>
      <c r="WK22" s="114"/>
      <c r="WL22" s="114"/>
      <c r="WM22" s="114"/>
      <c r="WN22" s="114"/>
      <c r="WO22" s="114"/>
      <c r="WP22" s="114"/>
      <c r="WQ22" s="114"/>
      <c r="WR22" s="114"/>
      <c r="WS22" s="114"/>
      <c r="WT22" s="114"/>
      <c r="WU22" s="114"/>
      <c r="WV22" s="114"/>
      <c r="WW22" s="114"/>
      <c r="WX22" s="114"/>
      <c r="WY22" s="114"/>
      <c r="WZ22" s="114"/>
      <c r="XA22" s="114"/>
      <c r="XB22" s="114"/>
      <c r="XC22" s="114"/>
      <c r="XD22" s="114"/>
      <c r="XE22" s="114"/>
      <c r="XF22" s="114"/>
      <c r="XG22" s="114"/>
      <c r="XH22" s="114"/>
      <c r="XI22" s="114"/>
      <c r="XJ22" s="114"/>
      <c r="XK22" s="114"/>
      <c r="XL22" s="114"/>
      <c r="XM22" s="114"/>
      <c r="XN22" s="114"/>
      <c r="XO22" s="114"/>
      <c r="XP22" s="114"/>
      <c r="XQ22" s="114"/>
      <c r="XR22" s="114"/>
      <c r="XS22" s="114"/>
      <c r="XT22" s="114"/>
      <c r="XU22" s="114"/>
      <c r="XV22" s="114"/>
      <c r="XW22" s="114"/>
      <c r="XX22" s="114"/>
      <c r="XY22" s="114"/>
      <c r="XZ22" s="114"/>
      <c r="YA22" s="114"/>
      <c r="YB22" s="114"/>
      <c r="YC22" s="114"/>
      <c r="YD22" s="114"/>
      <c r="YE22" s="114"/>
      <c r="YF22" s="114"/>
      <c r="YG22" s="114"/>
      <c r="YH22" s="114"/>
      <c r="YI22" s="114"/>
      <c r="YJ22" s="114"/>
      <c r="YK22" s="114"/>
      <c r="YL22" s="114"/>
      <c r="YM22" s="114"/>
      <c r="YN22" s="114"/>
      <c r="YO22" s="114"/>
      <c r="YP22" s="114"/>
      <c r="YQ22" s="114"/>
      <c r="YR22" s="114"/>
      <c r="YS22" s="114"/>
      <c r="YT22" s="114"/>
      <c r="YU22" s="114"/>
      <c r="YV22" s="114"/>
      <c r="YW22" s="114"/>
      <c r="YX22" s="114"/>
      <c r="YY22" s="114"/>
      <c r="YZ22" s="114"/>
      <c r="ZA22" s="114"/>
      <c r="ZB22" s="114"/>
      <c r="ZC22" s="114"/>
      <c r="ZD22" s="114"/>
      <c r="ZE22" s="114"/>
      <c r="ZF22" s="114"/>
      <c r="ZG22" s="114"/>
      <c r="ZH22" s="114"/>
      <c r="ZI22" s="114"/>
      <c r="ZJ22" s="114"/>
      <c r="ZK22" s="114"/>
      <c r="ZL22" s="114"/>
      <c r="ZM22" s="114"/>
      <c r="ZN22" s="114"/>
      <c r="ZO22" s="114"/>
      <c r="ZP22" s="114"/>
      <c r="ZQ22" s="114"/>
      <c r="ZR22" s="114"/>
      <c r="ZS22" s="114"/>
      <c r="ZT22" s="114"/>
      <c r="ZU22" s="114"/>
      <c r="ZV22" s="114"/>
      <c r="ZW22" s="114"/>
      <c r="ZX22" s="114"/>
      <c r="ZY22" s="114"/>
      <c r="ZZ22" s="114"/>
      <c r="AAA22" s="114"/>
      <c r="AAB22" s="114"/>
      <c r="AAC22" s="114"/>
      <c r="AAD22" s="114"/>
      <c r="AAE22" s="114"/>
      <c r="AAF22" s="114"/>
      <c r="AAG22" s="114"/>
      <c r="AAH22" s="114"/>
      <c r="AAI22" s="114"/>
      <c r="AAJ22" s="114"/>
      <c r="AAK22" s="114"/>
      <c r="AAL22" s="114"/>
      <c r="AAM22" s="114"/>
      <c r="AAN22" s="114"/>
      <c r="AAO22" s="114"/>
      <c r="AAP22" s="114"/>
      <c r="AAQ22" s="114"/>
      <c r="AAR22" s="114"/>
      <c r="AAS22" s="114"/>
      <c r="AAT22" s="114"/>
      <c r="AAU22" s="114"/>
      <c r="AAV22" s="114"/>
      <c r="AAW22" s="114"/>
      <c r="AAX22" s="114"/>
      <c r="AAY22" s="114"/>
      <c r="AAZ22" s="114"/>
      <c r="ABA22" s="114"/>
      <c r="ABB22" s="114"/>
      <c r="ABC22" s="114"/>
      <c r="ABD22" s="114"/>
      <c r="ABE22" s="114"/>
      <c r="ABF22" s="114"/>
      <c r="ABG22" s="114"/>
      <c r="ABH22" s="114"/>
      <c r="ABI22" s="114"/>
      <c r="ABJ22" s="114"/>
      <c r="ABK22" s="114"/>
      <c r="ABL22" s="114"/>
      <c r="ABM22" s="114"/>
      <c r="ABN22" s="114"/>
      <c r="ABO22" s="114"/>
      <c r="ABP22" s="114"/>
      <c r="ABQ22" s="114"/>
      <c r="ABR22" s="114"/>
      <c r="ABS22" s="114"/>
      <c r="ABT22" s="114"/>
      <c r="ABU22" s="114"/>
      <c r="ABV22" s="114"/>
      <c r="ABW22" s="114"/>
      <c r="ABX22" s="114"/>
      <c r="ABY22" s="114"/>
      <c r="ABZ22" s="114"/>
      <c r="ACA22" s="114"/>
      <c r="ACB22" s="114"/>
      <c r="ACC22" s="114"/>
      <c r="ACD22" s="114"/>
      <c r="ACE22" s="114"/>
      <c r="ACF22" s="114"/>
      <c r="ACG22" s="114"/>
      <c r="ACH22" s="114"/>
      <c r="ACI22" s="114"/>
      <c r="ACJ22" s="114"/>
      <c r="ACK22" s="114"/>
      <c r="ACL22" s="114"/>
      <c r="ACM22" s="114"/>
      <c r="ACN22" s="114"/>
      <c r="ACO22" s="114"/>
      <c r="ACP22" s="114"/>
      <c r="ACQ22" s="114"/>
      <c r="ACR22" s="114"/>
      <c r="ACS22" s="114"/>
      <c r="ACT22" s="114"/>
      <c r="ACU22" s="114"/>
      <c r="ACV22" s="114"/>
      <c r="ACW22" s="114"/>
      <c r="ACX22" s="114"/>
      <c r="ACY22" s="114"/>
      <c r="ACZ22" s="114"/>
      <c r="ADA22" s="114"/>
      <c r="ADB22" s="114"/>
      <c r="ADC22" s="114"/>
      <c r="ADD22" s="114"/>
      <c r="ADE22" s="114"/>
      <c r="ADF22" s="114"/>
      <c r="ADG22" s="114"/>
      <c r="ADH22" s="114"/>
      <c r="ADI22" s="114"/>
      <c r="ADJ22" s="114"/>
      <c r="ADK22" s="114"/>
      <c r="ADL22" s="114"/>
      <c r="ADM22" s="114"/>
      <c r="ADN22" s="114"/>
      <c r="ADO22" s="114"/>
      <c r="ADP22" s="114"/>
      <c r="ADQ22" s="114"/>
      <c r="ADR22" s="114"/>
      <c r="ADS22" s="114"/>
      <c r="ADT22" s="114"/>
      <c r="ADU22" s="114"/>
      <c r="ADV22" s="114"/>
      <c r="ADW22" s="114"/>
      <c r="ADX22" s="114"/>
      <c r="ADY22" s="114"/>
      <c r="ADZ22" s="114"/>
      <c r="AEA22" s="114"/>
      <c r="AEB22" s="114"/>
      <c r="AEC22" s="114"/>
      <c r="AED22" s="114"/>
      <c r="AEE22" s="114"/>
      <c r="AEF22" s="114"/>
      <c r="AEG22" s="114"/>
      <c r="AEH22" s="114"/>
      <c r="AEI22" s="114"/>
      <c r="AEJ22" s="114"/>
      <c r="AEK22" s="114"/>
      <c r="AEL22" s="114"/>
      <c r="AEM22" s="114"/>
      <c r="AEN22" s="114"/>
      <c r="AEO22" s="114"/>
      <c r="AEP22" s="114"/>
      <c r="AEQ22" s="114"/>
      <c r="AER22" s="114"/>
      <c r="AES22" s="114"/>
      <c r="AET22" s="114"/>
      <c r="AEU22" s="114"/>
      <c r="AEV22" s="114"/>
      <c r="AEW22" s="114"/>
      <c r="AEX22" s="114"/>
      <c r="AEY22" s="114"/>
      <c r="AEZ22" s="114"/>
      <c r="AFA22" s="114"/>
      <c r="AFB22" s="114"/>
      <c r="AFC22" s="114"/>
      <c r="AFD22" s="114"/>
      <c r="AFE22" s="114"/>
      <c r="AFF22" s="114"/>
      <c r="AFG22" s="114"/>
      <c r="AFH22" s="114"/>
      <c r="AFI22" s="114"/>
      <c r="AFJ22" s="114"/>
      <c r="AFK22" s="114"/>
      <c r="AFL22" s="114"/>
      <c r="AFM22" s="114"/>
      <c r="AFN22" s="114"/>
      <c r="AFO22" s="114"/>
      <c r="AFP22" s="114"/>
      <c r="AFQ22" s="114"/>
      <c r="AFR22" s="114"/>
      <c r="AFS22" s="114"/>
      <c r="AFT22" s="114"/>
      <c r="AFU22" s="114"/>
      <c r="AFV22" s="114"/>
      <c r="AFW22" s="114"/>
      <c r="AFX22" s="114"/>
      <c r="AFY22" s="114"/>
      <c r="AFZ22" s="114"/>
      <c r="AGA22" s="114"/>
      <c r="AGB22" s="114"/>
      <c r="AGC22" s="114"/>
      <c r="AGD22" s="114"/>
      <c r="AGE22" s="114"/>
      <c r="AGF22" s="114"/>
      <c r="AGG22" s="114"/>
      <c r="AGH22" s="114"/>
      <c r="AGI22" s="114"/>
      <c r="AGJ22" s="114"/>
      <c r="AGK22" s="114"/>
      <c r="AGL22" s="114"/>
      <c r="AGM22" s="114"/>
      <c r="AGN22" s="114"/>
      <c r="AGO22" s="114"/>
      <c r="AGP22" s="114"/>
      <c r="AGQ22" s="114"/>
      <c r="AGR22" s="114"/>
      <c r="AGS22" s="114"/>
      <c r="AGT22" s="114"/>
      <c r="AGU22" s="114"/>
      <c r="AGV22" s="114"/>
      <c r="AGW22" s="114"/>
      <c r="AGX22" s="114"/>
      <c r="AGY22" s="114"/>
      <c r="AGZ22" s="114"/>
      <c r="AHA22" s="114"/>
      <c r="AHB22" s="114"/>
      <c r="AHC22" s="114"/>
      <c r="AHD22" s="114"/>
      <c r="AHE22" s="114"/>
      <c r="AHF22" s="114"/>
      <c r="AHG22" s="114"/>
      <c r="AHH22" s="114"/>
      <c r="AHI22" s="114"/>
      <c r="AHJ22" s="114"/>
      <c r="AHK22" s="114"/>
      <c r="AHL22" s="114"/>
      <c r="AHM22" s="114"/>
      <c r="AHN22" s="114"/>
      <c r="AHO22" s="114"/>
      <c r="AHP22" s="114"/>
      <c r="AHQ22" s="114"/>
      <c r="AHR22" s="114"/>
      <c r="AHS22" s="114"/>
      <c r="AHT22" s="114"/>
      <c r="AHU22" s="114"/>
      <c r="AHV22" s="114"/>
      <c r="AHW22" s="114"/>
      <c r="AHX22" s="114"/>
      <c r="AHY22" s="114"/>
      <c r="AHZ22" s="114"/>
      <c r="AIA22" s="114"/>
      <c r="AIB22" s="114"/>
      <c r="AIC22" s="114"/>
      <c r="AID22" s="114"/>
      <c r="AIE22" s="114"/>
      <c r="AIF22" s="114"/>
      <c r="AIG22" s="114"/>
      <c r="AIH22" s="114"/>
      <c r="AII22" s="114"/>
      <c r="AIJ22" s="114"/>
      <c r="AIK22" s="114"/>
      <c r="AIL22" s="114"/>
      <c r="AIM22" s="114"/>
      <c r="AIN22" s="114"/>
      <c r="AIO22" s="114"/>
      <c r="AIP22" s="114"/>
      <c r="AIQ22" s="114"/>
      <c r="AIR22" s="114"/>
      <c r="AIS22" s="114"/>
      <c r="AIT22" s="114"/>
      <c r="AIU22" s="114"/>
      <c r="AIV22" s="114"/>
      <c r="AIW22" s="114"/>
      <c r="AIX22" s="114"/>
      <c r="AIY22" s="114"/>
      <c r="AIZ22" s="114"/>
      <c r="AJA22" s="114"/>
      <c r="AJB22" s="114"/>
      <c r="AJC22" s="114"/>
      <c r="AJD22" s="114"/>
      <c r="AJE22" s="114"/>
      <c r="AJF22" s="114"/>
      <c r="AJG22" s="114"/>
      <c r="AJH22" s="114"/>
      <c r="AJI22" s="114"/>
      <c r="AJJ22" s="114"/>
      <c r="AJK22" s="114"/>
      <c r="AJL22" s="114"/>
      <c r="AJM22" s="114"/>
      <c r="AJN22" s="114"/>
      <c r="AJO22" s="114"/>
      <c r="AJP22" s="114"/>
      <c r="AJQ22" s="114"/>
      <c r="AJR22" s="114"/>
      <c r="AJS22" s="114"/>
      <c r="AJT22" s="114"/>
      <c r="AJU22" s="114"/>
      <c r="AJV22" s="114"/>
      <c r="AJW22" s="114"/>
      <c r="AJX22" s="114"/>
      <c r="AJY22" s="114"/>
      <c r="AJZ22" s="114"/>
      <c r="AKA22" s="114"/>
      <c r="AKB22" s="114"/>
      <c r="AKC22" s="114"/>
      <c r="AKD22" s="114"/>
      <c r="AKE22" s="114"/>
      <c r="AKF22" s="114"/>
      <c r="AKG22" s="114"/>
      <c r="AKH22" s="114"/>
      <c r="AKI22" s="114"/>
      <c r="AKJ22" s="114"/>
      <c r="AKK22" s="114"/>
      <c r="AKL22" s="114"/>
      <c r="AKM22" s="114"/>
      <c r="AKN22" s="114"/>
      <c r="AKO22" s="114"/>
      <c r="AKP22" s="114"/>
      <c r="AKQ22" s="114"/>
      <c r="AKR22" s="114"/>
      <c r="AKS22" s="114"/>
      <c r="AKT22" s="114"/>
      <c r="AKU22" s="114"/>
      <c r="AKV22" s="114"/>
      <c r="AKW22" s="114"/>
      <c r="AKX22" s="114"/>
      <c r="AKY22" s="114"/>
    </row>
    <row r="23" spans="1:987" ht="15" customHeight="1" x14ac:dyDescent="0.3">
      <c r="A23" s="116"/>
      <c r="B23" s="117"/>
      <c r="C23" s="462"/>
      <c r="D23" s="138" t="s">
        <v>3078</v>
      </c>
      <c r="E23" s="139">
        <v>2</v>
      </c>
      <c r="F23" s="140">
        <v>9000</v>
      </c>
      <c r="G23" s="141">
        <f>E23*F23</f>
        <v>18000</v>
      </c>
      <c r="H23" s="146"/>
      <c r="I23" s="144">
        <f>G23/2</f>
        <v>9000</v>
      </c>
      <c r="J23" s="147"/>
      <c r="K23" s="147"/>
      <c r="L23" s="147"/>
      <c r="M23" s="147"/>
      <c r="N23" s="144">
        <f>G23/2</f>
        <v>9000</v>
      </c>
      <c r="O23" s="147"/>
      <c r="P23" s="147"/>
      <c r="Q23" s="147"/>
      <c r="R23" s="147"/>
      <c r="S23" s="163"/>
      <c r="T23" s="125"/>
    </row>
    <row r="24" spans="1:987" ht="15" customHeight="1" x14ac:dyDescent="0.3">
      <c r="A24" s="116"/>
      <c r="B24" s="117"/>
      <c r="C24" s="462"/>
      <c r="D24" s="138" t="s">
        <v>3079</v>
      </c>
      <c r="E24" s="139">
        <v>3</v>
      </c>
      <c r="F24" s="140">
        <v>8000</v>
      </c>
      <c r="G24" s="141">
        <f>E24*F24</f>
        <v>24000</v>
      </c>
      <c r="H24" s="146"/>
      <c r="I24" s="147"/>
      <c r="J24" s="144">
        <f>G24/3</f>
        <v>8000</v>
      </c>
      <c r="K24" s="144">
        <f>G24/3</f>
        <v>8000</v>
      </c>
      <c r="L24" s="147"/>
      <c r="M24" s="147"/>
      <c r="N24" s="147"/>
      <c r="O24" s="147"/>
      <c r="P24" s="144">
        <f>G24/3</f>
        <v>8000</v>
      </c>
      <c r="Q24" s="147"/>
      <c r="R24" s="147"/>
      <c r="S24" s="163"/>
      <c r="T24" s="125"/>
    </row>
    <row r="25" spans="1:987" ht="15" customHeight="1" x14ac:dyDescent="0.3">
      <c r="A25" s="116"/>
      <c r="B25" s="117"/>
      <c r="C25" s="462"/>
      <c r="D25" s="118" t="s">
        <v>3080</v>
      </c>
      <c r="E25" s="119">
        <v>3</v>
      </c>
      <c r="F25" s="120">
        <v>6600</v>
      </c>
      <c r="G25" s="121">
        <f>E25*F25</f>
        <v>19800</v>
      </c>
      <c r="H25" s="122"/>
      <c r="I25" s="123"/>
      <c r="J25" s="148">
        <f>G25/3</f>
        <v>6600</v>
      </c>
      <c r="K25" s="148">
        <f>G25/3</f>
        <v>6600</v>
      </c>
      <c r="L25" s="123"/>
      <c r="M25" s="123"/>
      <c r="N25" s="123"/>
      <c r="O25" s="123"/>
      <c r="P25" s="148">
        <f>G25/3</f>
        <v>6600</v>
      </c>
      <c r="Q25" s="123"/>
      <c r="R25" s="123"/>
      <c r="S25" s="124"/>
      <c r="T25" s="125"/>
    </row>
    <row r="26" spans="1:987" ht="15" customHeight="1" x14ac:dyDescent="0.3">
      <c r="A26" s="116"/>
      <c r="B26" s="117"/>
      <c r="C26" s="463"/>
      <c r="D26" s="464" t="s">
        <v>2827</v>
      </c>
      <c r="E26" s="465"/>
      <c r="F26" s="466"/>
      <c r="G26" s="127">
        <f>SUM(G22:G25)</f>
        <v>95800</v>
      </c>
      <c r="H26" s="128"/>
      <c r="I26" s="128"/>
      <c r="J26" s="128"/>
      <c r="K26" s="128"/>
      <c r="L26" s="128"/>
      <c r="M26" s="128"/>
      <c r="N26" s="128"/>
      <c r="O26" s="128"/>
      <c r="P26" s="128"/>
      <c r="Q26" s="128"/>
      <c r="R26" s="128"/>
      <c r="S26" s="129"/>
      <c r="T26" s="125"/>
    </row>
    <row r="27" spans="1:987" s="115" customFormat="1" ht="15" customHeight="1" x14ac:dyDescent="0.3">
      <c r="A27" s="103">
        <v>8470230</v>
      </c>
      <c r="B27" s="104">
        <v>425510</v>
      </c>
      <c r="C27" s="461" t="s">
        <v>3081</v>
      </c>
      <c r="D27" s="130" t="s">
        <v>3082</v>
      </c>
      <c r="E27" s="131">
        <v>12</v>
      </c>
      <c r="F27" s="132">
        <v>1000</v>
      </c>
      <c r="G27" s="133">
        <f t="shared" si="0"/>
        <v>12000</v>
      </c>
      <c r="H27" s="165">
        <f>G27/12</f>
        <v>1000</v>
      </c>
      <c r="I27" s="166">
        <f>G27/12</f>
        <v>1000</v>
      </c>
      <c r="J27" s="166">
        <f>G27/12</f>
        <v>1000</v>
      </c>
      <c r="K27" s="166">
        <f>G27/12</f>
        <v>1000</v>
      </c>
      <c r="L27" s="166">
        <f>G27/12</f>
        <v>1000</v>
      </c>
      <c r="M27" s="166">
        <f>G27/12</f>
        <v>1000</v>
      </c>
      <c r="N27" s="166">
        <f>G27/12</f>
        <v>1000</v>
      </c>
      <c r="O27" s="166">
        <f>G27/12</f>
        <v>1000</v>
      </c>
      <c r="P27" s="166">
        <f>G27/12</f>
        <v>1000</v>
      </c>
      <c r="Q27" s="166">
        <f>G27/12</f>
        <v>1000</v>
      </c>
      <c r="R27" s="166">
        <f>G27/12</f>
        <v>1000</v>
      </c>
      <c r="S27" s="167">
        <f>G27/12</f>
        <v>1000</v>
      </c>
      <c r="T27" s="125" t="s">
        <v>3058</v>
      </c>
      <c r="U27" s="114"/>
      <c r="V27" s="114"/>
      <c r="W27" s="114"/>
      <c r="X27" s="114"/>
      <c r="Y27" s="114"/>
      <c r="Z27" s="114"/>
      <c r="AA27" s="114"/>
      <c r="AB27" s="114"/>
      <c r="AC27" s="114"/>
      <c r="AD27" s="114"/>
      <c r="AE27" s="114"/>
      <c r="AF27" s="114"/>
      <c r="AG27" s="114"/>
      <c r="AH27" s="114"/>
      <c r="AI27" s="114"/>
      <c r="AJ27" s="114"/>
      <c r="AK27" s="114"/>
      <c r="AL27" s="114"/>
      <c r="AM27" s="114"/>
      <c r="AN27" s="114"/>
      <c r="AO27" s="114"/>
      <c r="AP27" s="114"/>
      <c r="AQ27" s="114"/>
      <c r="AR27" s="114"/>
      <c r="AS27" s="114"/>
      <c r="AT27" s="114"/>
      <c r="AU27" s="114"/>
      <c r="AV27" s="114"/>
      <c r="AW27" s="114"/>
      <c r="AX27" s="114"/>
      <c r="AY27" s="114"/>
      <c r="AZ27" s="114"/>
      <c r="BA27" s="114"/>
      <c r="BB27" s="114"/>
      <c r="BC27" s="114"/>
      <c r="BD27" s="114"/>
      <c r="BE27" s="114"/>
      <c r="BF27" s="114"/>
      <c r="BG27" s="114"/>
      <c r="BH27" s="114"/>
      <c r="BI27" s="114"/>
      <c r="BJ27" s="114"/>
      <c r="BK27" s="114"/>
      <c r="BL27" s="114"/>
      <c r="BM27" s="114"/>
      <c r="BN27" s="114"/>
      <c r="BO27" s="114"/>
      <c r="BP27" s="114"/>
      <c r="BQ27" s="114"/>
      <c r="BR27" s="114"/>
      <c r="BS27" s="114"/>
      <c r="BT27" s="114"/>
      <c r="BU27" s="114"/>
      <c r="BV27" s="114"/>
      <c r="BW27" s="114"/>
      <c r="BX27" s="114"/>
      <c r="BY27" s="114"/>
      <c r="BZ27" s="114"/>
      <c r="CA27" s="114"/>
      <c r="CB27" s="114"/>
      <c r="CC27" s="114"/>
      <c r="CD27" s="114"/>
      <c r="CE27" s="114"/>
      <c r="CF27" s="114"/>
      <c r="CG27" s="114"/>
      <c r="CH27" s="114"/>
      <c r="CI27" s="114"/>
      <c r="CJ27" s="114"/>
      <c r="CK27" s="114"/>
      <c r="CL27" s="114"/>
      <c r="CM27" s="114"/>
      <c r="CN27" s="114"/>
      <c r="CO27" s="114"/>
      <c r="CP27" s="114"/>
      <c r="CQ27" s="114"/>
      <c r="CR27" s="114"/>
      <c r="CS27" s="114"/>
      <c r="CT27" s="114"/>
      <c r="CU27" s="114"/>
      <c r="CV27" s="114"/>
      <c r="CW27" s="114"/>
      <c r="CX27" s="114"/>
      <c r="CY27" s="114"/>
      <c r="CZ27" s="114"/>
      <c r="DA27" s="114"/>
      <c r="DB27" s="114"/>
      <c r="DC27" s="114"/>
      <c r="DD27" s="114"/>
      <c r="DE27" s="114"/>
      <c r="DF27" s="114"/>
      <c r="DG27" s="114"/>
      <c r="DH27" s="114"/>
      <c r="DI27" s="114"/>
      <c r="DJ27" s="114"/>
      <c r="DK27" s="114"/>
      <c r="DL27" s="114"/>
      <c r="DM27" s="114"/>
      <c r="DN27" s="114"/>
      <c r="DO27" s="114"/>
      <c r="DP27" s="114"/>
      <c r="DQ27" s="114"/>
      <c r="DR27" s="114"/>
      <c r="DS27" s="114"/>
      <c r="DT27" s="114"/>
      <c r="DU27" s="114"/>
      <c r="DV27" s="114"/>
      <c r="DW27" s="114"/>
      <c r="DX27" s="114"/>
      <c r="DY27" s="114"/>
      <c r="DZ27" s="114"/>
      <c r="EA27" s="114"/>
      <c r="EB27" s="114"/>
      <c r="EC27" s="114"/>
      <c r="ED27" s="114"/>
      <c r="EE27" s="114"/>
      <c r="EF27" s="114"/>
      <c r="EG27" s="114"/>
      <c r="EH27" s="114"/>
      <c r="EI27" s="114"/>
      <c r="EJ27" s="114"/>
      <c r="EK27" s="114"/>
      <c r="EL27" s="114"/>
      <c r="EM27" s="114"/>
      <c r="EN27" s="114"/>
      <c r="EO27" s="114"/>
      <c r="EP27" s="114"/>
      <c r="EQ27" s="114"/>
      <c r="ER27" s="114"/>
      <c r="ES27" s="114"/>
      <c r="ET27" s="114"/>
      <c r="EU27" s="114"/>
      <c r="EV27" s="114"/>
      <c r="EW27" s="114"/>
      <c r="EX27" s="114"/>
      <c r="EY27" s="114"/>
      <c r="EZ27" s="114"/>
      <c r="FA27" s="114"/>
      <c r="FB27" s="114"/>
      <c r="FC27" s="114"/>
      <c r="FD27" s="114"/>
      <c r="FE27" s="114"/>
      <c r="FF27" s="114"/>
      <c r="FG27" s="114"/>
      <c r="FH27" s="114"/>
      <c r="FI27" s="114"/>
      <c r="FJ27" s="114"/>
      <c r="FK27" s="114"/>
      <c r="FL27" s="114"/>
      <c r="FM27" s="114"/>
      <c r="FN27" s="114"/>
      <c r="FO27" s="114"/>
      <c r="FP27" s="114"/>
      <c r="FQ27" s="114"/>
      <c r="FR27" s="114"/>
      <c r="FS27" s="114"/>
      <c r="FT27" s="114"/>
      <c r="FU27" s="114"/>
      <c r="FV27" s="114"/>
      <c r="FW27" s="114"/>
      <c r="FX27" s="114"/>
      <c r="FY27" s="114"/>
      <c r="FZ27" s="114"/>
      <c r="GA27" s="114"/>
      <c r="GB27" s="114"/>
      <c r="GC27" s="114"/>
      <c r="GD27" s="114"/>
      <c r="GE27" s="114"/>
      <c r="GF27" s="114"/>
      <c r="GG27" s="114"/>
      <c r="GH27" s="114"/>
      <c r="GI27" s="114"/>
      <c r="GJ27" s="114"/>
      <c r="GK27" s="114"/>
      <c r="GL27" s="114"/>
      <c r="GM27" s="114"/>
      <c r="GN27" s="114"/>
      <c r="GO27" s="114"/>
      <c r="GP27" s="114"/>
      <c r="GQ27" s="114"/>
      <c r="GR27" s="114"/>
      <c r="GS27" s="114"/>
      <c r="GT27" s="114"/>
      <c r="GU27" s="114"/>
      <c r="GV27" s="114"/>
      <c r="GW27" s="114"/>
      <c r="GX27" s="114"/>
      <c r="GY27" s="114"/>
      <c r="GZ27" s="114"/>
      <c r="HA27" s="114"/>
      <c r="HB27" s="114"/>
      <c r="HC27" s="114"/>
      <c r="HD27" s="114"/>
      <c r="HE27" s="114"/>
      <c r="HF27" s="114"/>
      <c r="HG27" s="114"/>
      <c r="HH27" s="114"/>
      <c r="HI27" s="114"/>
      <c r="HJ27" s="114"/>
      <c r="HK27" s="114"/>
      <c r="HL27" s="114"/>
      <c r="HM27" s="114"/>
      <c r="HN27" s="114"/>
      <c r="HO27" s="114"/>
      <c r="HP27" s="114"/>
      <c r="HQ27" s="114"/>
      <c r="HR27" s="114"/>
      <c r="HS27" s="114"/>
      <c r="HT27" s="114"/>
      <c r="HU27" s="114"/>
      <c r="HV27" s="114"/>
      <c r="HW27" s="114"/>
      <c r="HX27" s="114"/>
      <c r="HY27" s="114"/>
      <c r="HZ27" s="114"/>
      <c r="IA27" s="114"/>
      <c r="IB27" s="114"/>
      <c r="IC27" s="114"/>
      <c r="ID27" s="114"/>
      <c r="IE27" s="114"/>
      <c r="IF27" s="114"/>
      <c r="IG27" s="114"/>
      <c r="IH27" s="114"/>
      <c r="II27" s="114"/>
      <c r="IJ27" s="114"/>
      <c r="IK27" s="114"/>
      <c r="IL27" s="114"/>
      <c r="IM27" s="114"/>
      <c r="IN27" s="114"/>
      <c r="IO27" s="114"/>
      <c r="IP27" s="114"/>
      <c r="IQ27" s="114"/>
      <c r="IR27" s="114"/>
      <c r="IS27" s="114"/>
      <c r="IT27" s="114"/>
      <c r="IU27" s="114"/>
      <c r="IV27" s="114"/>
      <c r="IW27" s="114"/>
      <c r="IX27" s="114"/>
      <c r="IY27" s="114"/>
      <c r="IZ27" s="114"/>
      <c r="JA27" s="114"/>
      <c r="JB27" s="114"/>
      <c r="JC27" s="114"/>
      <c r="JD27" s="114"/>
      <c r="JE27" s="114"/>
      <c r="JF27" s="114"/>
      <c r="JG27" s="114"/>
      <c r="JH27" s="114"/>
      <c r="JI27" s="114"/>
      <c r="JJ27" s="114"/>
      <c r="JK27" s="114"/>
      <c r="JL27" s="114"/>
      <c r="JM27" s="114"/>
      <c r="JN27" s="114"/>
      <c r="JO27" s="114"/>
      <c r="JP27" s="114"/>
      <c r="JQ27" s="114"/>
      <c r="JR27" s="114"/>
      <c r="JS27" s="114"/>
      <c r="JT27" s="114"/>
      <c r="JU27" s="114"/>
      <c r="JV27" s="114"/>
      <c r="JW27" s="114"/>
      <c r="JX27" s="114"/>
      <c r="JY27" s="114"/>
      <c r="JZ27" s="114"/>
      <c r="KA27" s="114"/>
      <c r="KB27" s="114"/>
      <c r="KC27" s="114"/>
      <c r="KD27" s="114"/>
      <c r="KE27" s="114"/>
      <c r="KF27" s="114"/>
      <c r="KG27" s="114"/>
      <c r="KH27" s="114"/>
      <c r="KI27" s="114"/>
      <c r="KJ27" s="114"/>
      <c r="KK27" s="114"/>
      <c r="KL27" s="114"/>
      <c r="KM27" s="114"/>
      <c r="KN27" s="114"/>
      <c r="KO27" s="114"/>
      <c r="KP27" s="114"/>
      <c r="KQ27" s="114"/>
      <c r="KR27" s="114"/>
      <c r="KS27" s="114"/>
      <c r="KT27" s="114"/>
      <c r="KU27" s="114"/>
      <c r="KV27" s="114"/>
      <c r="KW27" s="114"/>
      <c r="KX27" s="114"/>
      <c r="KY27" s="114"/>
      <c r="KZ27" s="114"/>
      <c r="LA27" s="114"/>
      <c r="LB27" s="114"/>
      <c r="LC27" s="114"/>
      <c r="LD27" s="114"/>
      <c r="LE27" s="114"/>
      <c r="LF27" s="114"/>
      <c r="LG27" s="114"/>
      <c r="LH27" s="114"/>
      <c r="LI27" s="114"/>
      <c r="LJ27" s="114"/>
      <c r="LK27" s="114"/>
      <c r="LL27" s="114"/>
      <c r="LM27" s="114"/>
      <c r="LN27" s="114"/>
      <c r="LO27" s="114"/>
      <c r="LP27" s="114"/>
      <c r="LQ27" s="114"/>
      <c r="LR27" s="114"/>
      <c r="LS27" s="114"/>
      <c r="LT27" s="114"/>
      <c r="LU27" s="114"/>
      <c r="LV27" s="114"/>
      <c r="LW27" s="114"/>
      <c r="LX27" s="114"/>
      <c r="LY27" s="114"/>
      <c r="LZ27" s="114"/>
      <c r="MA27" s="114"/>
      <c r="MB27" s="114"/>
      <c r="MC27" s="114"/>
      <c r="MD27" s="114"/>
      <c r="ME27" s="114"/>
      <c r="MF27" s="114"/>
      <c r="MG27" s="114"/>
      <c r="MH27" s="114"/>
      <c r="MI27" s="114"/>
      <c r="MJ27" s="114"/>
      <c r="MK27" s="114"/>
      <c r="ML27" s="114"/>
      <c r="MM27" s="114"/>
      <c r="MN27" s="114"/>
      <c r="MO27" s="114"/>
      <c r="MP27" s="114"/>
      <c r="MQ27" s="114"/>
      <c r="MR27" s="114"/>
      <c r="MS27" s="114"/>
      <c r="MT27" s="114"/>
      <c r="MU27" s="114"/>
      <c r="MV27" s="114"/>
      <c r="MW27" s="114"/>
      <c r="MX27" s="114"/>
      <c r="MY27" s="114"/>
      <c r="MZ27" s="114"/>
      <c r="NA27" s="114"/>
      <c r="NB27" s="114"/>
      <c r="NC27" s="114"/>
      <c r="ND27" s="114"/>
      <c r="NE27" s="114"/>
      <c r="NF27" s="114"/>
      <c r="NG27" s="114"/>
      <c r="NH27" s="114"/>
      <c r="NI27" s="114"/>
      <c r="NJ27" s="114"/>
      <c r="NK27" s="114"/>
      <c r="NL27" s="114"/>
      <c r="NM27" s="114"/>
      <c r="NN27" s="114"/>
      <c r="NO27" s="114"/>
      <c r="NP27" s="114"/>
      <c r="NQ27" s="114"/>
      <c r="NR27" s="114"/>
      <c r="NS27" s="114"/>
      <c r="NT27" s="114"/>
      <c r="NU27" s="114"/>
      <c r="NV27" s="114"/>
      <c r="NW27" s="114"/>
      <c r="NX27" s="114"/>
      <c r="NY27" s="114"/>
      <c r="NZ27" s="114"/>
      <c r="OA27" s="114"/>
      <c r="OB27" s="114"/>
      <c r="OC27" s="114"/>
      <c r="OD27" s="114"/>
      <c r="OE27" s="114"/>
      <c r="OF27" s="114"/>
      <c r="OG27" s="114"/>
      <c r="OH27" s="114"/>
      <c r="OI27" s="114"/>
      <c r="OJ27" s="114"/>
      <c r="OK27" s="114"/>
      <c r="OL27" s="114"/>
      <c r="OM27" s="114"/>
      <c r="ON27" s="114"/>
      <c r="OO27" s="114"/>
      <c r="OP27" s="114"/>
      <c r="OQ27" s="114"/>
      <c r="OR27" s="114"/>
      <c r="OS27" s="114"/>
      <c r="OT27" s="114"/>
      <c r="OU27" s="114"/>
      <c r="OV27" s="114"/>
      <c r="OW27" s="114"/>
      <c r="OX27" s="114"/>
      <c r="OY27" s="114"/>
      <c r="OZ27" s="114"/>
      <c r="PA27" s="114"/>
      <c r="PB27" s="114"/>
      <c r="PC27" s="114"/>
      <c r="PD27" s="114"/>
      <c r="PE27" s="114"/>
      <c r="PF27" s="114"/>
      <c r="PG27" s="114"/>
      <c r="PH27" s="114"/>
      <c r="PI27" s="114"/>
      <c r="PJ27" s="114"/>
      <c r="PK27" s="114"/>
      <c r="PL27" s="114"/>
      <c r="PM27" s="114"/>
      <c r="PN27" s="114"/>
      <c r="PO27" s="114"/>
      <c r="PP27" s="114"/>
      <c r="PQ27" s="114"/>
      <c r="PR27" s="114"/>
      <c r="PS27" s="114"/>
      <c r="PT27" s="114"/>
      <c r="PU27" s="114"/>
      <c r="PV27" s="114"/>
      <c r="PW27" s="114"/>
      <c r="PX27" s="114"/>
      <c r="PY27" s="114"/>
      <c r="PZ27" s="114"/>
      <c r="QA27" s="114"/>
      <c r="QB27" s="114"/>
      <c r="QC27" s="114"/>
      <c r="QD27" s="114"/>
      <c r="QE27" s="114"/>
      <c r="QF27" s="114"/>
      <c r="QG27" s="114"/>
      <c r="QH27" s="114"/>
      <c r="QI27" s="114"/>
      <c r="QJ27" s="114"/>
      <c r="QK27" s="114"/>
      <c r="QL27" s="114"/>
      <c r="QM27" s="114"/>
      <c r="QN27" s="114"/>
      <c r="QO27" s="114"/>
      <c r="QP27" s="114"/>
      <c r="QQ27" s="114"/>
      <c r="QR27" s="114"/>
      <c r="QS27" s="114"/>
      <c r="QT27" s="114"/>
      <c r="QU27" s="114"/>
      <c r="QV27" s="114"/>
      <c r="QW27" s="114"/>
      <c r="QX27" s="114"/>
      <c r="QY27" s="114"/>
      <c r="QZ27" s="114"/>
      <c r="RA27" s="114"/>
      <c r="RB27" s="114"/>
      <c r="RC27" s="114"/>
      <c r="RD27" s="114"/>
      <c r="RE27" s="114"/>
      <c r="RF27" s="114"/>
      <c r="RG27" s="114"/>
      <c r="RH27" s="114"/>
      <c r="RI27" s="114"/>
      <c r="RJ27" s="114"/>
      <c r="RK27" s="114"/>
      <c r="RL27" s="114"/>
      <c r="RM27" s="114"/>
      <c r="RN27" s="114"/>
      <c r="RO27" s="114"/>
      <c r="RP27" s="114"/>
      <c r="RQ27" s="114"/>
      <c r="RR27" s="114"/>
      <c r="RS27" s="114"/>
      <c r="RT27" s="114"/>
      <c r="RU27" s="114"/>
      <c r="RV27" s="114"/>
      <c r="RW27" s="114"/>
      <c r="RX27" s="114"/>
      <c r="RY27" s="114"/>
      <c r="RZ27" s="114"/>
      <c r="SA27" s="114"/>
      <c r="SB27" s="114"/>
      <c r="SC27" s="114"/>
      <c r="SD27" s="114"/>
      <c r="SE27" s="114"/>
      <c r="SF27" s="114"/>
      <c r="SG27" s="114"/>
      <c r="SH27" s="114"/>
      <c r="SI27" s="114"/>
      <c r="SJ27" s="114"/>
      <c r="SK27" s="114"/>
      <c r="SL27" s="114"/>
      <c r="SM27" s="114"/>
      <c r="SN27" s="114"/>
      <c r="SO27" s="114"/>
      <c r="SP27" s="114"/>
      <c r="SQ27" s="114"/>
      <c r="SR27" s="114"/>
      <c r="SS27" s="114"/>
      <c r="ST27" s="114"/>
      <c r="SU27" s="114"/>
      <c r="SV27" s="114"/>
      <c r="SW27" s="114"/>
      <c r="SX27" s="114"/>
      <c r="SY27" s="114"/>
      <c r="SZ27" s="114"/>
      <c r="TA27" s="114"/>
      <c r="TB27" s="114"/>
      <c r="TC27" s="114"/>
      <c r="TD27" s="114"/>
      <c r="TE27" s="114"/>
      <c r="TF27" s="114"/>
      <c r="TG27" s="114"/>
      <c r="TH27" s="114"/>
      <c r="TI27" s="114"/>
      <c r="TJ27" s="114"/>
      <c r="TK27" s="114"/>
      <c r="TL27" s="114"/>
      <c r="TM27" s="114"/>
      <c r="TN27" s="114"/>
      <c r="TO27" s="114"/>
      <c r="TP27" s="114"/>
      <c r="TQ27" s="114"/>
      <c r="TR27" s="114"/>
      <c r="TS27" s="114"/>
      <c r="TT27" s="114"/>
      <c r="TU27" s="114"/>
      <c r="TV27" s="114"/>
      <c r="TW27" s="114"/>
      <c r="TX27" s="114"/>
      <c r="TY27" s="114"/>
      <c r="TZ27" s="114"/>
      <c r="UA27" s="114"/>
      <c r="UB27" s="114"/>
      <c r="UC27" s="114"/>
      <c r="UD27" s="114"/>
      <c r="UE27" s="114"/>
      <c r="UF27" s="114"/>
      <c r="UG27" s="114"/>
      <c r="UH27" s="114"/>
      <c r="UI27" s="114"/>
      <c r="UJ27" s="114"/>
      <c r="UK27" s="114"/>
      <c r="UL27" s="114"/>
      <c r="UM27" s="114"/>
      <c r="UN27" s="114"/>
      <c r="UO27" s="114"/>
      <c r="UP27" s="114"/>
      <c r="UQ27" s="114"/>
      <c r="UR27" s="114"/>
      <c r="US27" s="114"/>
      <c r="UT27" s="114"/>
      <c r="UU27" s="114"/>
      <c r="UV27" s="114"/>
      <c r="UW27" s="114"/>
      <c r="UX27" s="114"/>
      <c r="UY27" s="114"/>
      <c r="UZ27" s="114"/>
      <c r="VA27" s="114"/>
      <c r="VB27" s="114"/>
      <c r="VC27" s="114"/>
      <c r="VD27" s="114"/>
      <c r="VE27" s="114"/>
      <c r="VF27" s="114"/>
      <c r="VG27" s="114"/>
      <c r="VH27" s="114"/>
      <c r="VI27" s="114"/>
      <c r="VJ27" s="114"/>
      <c r="VK27" s="114"/>
      <c r="VL27" s="114"/>
      <c r="VM27" s="114"/>
      <c r="VN27" s="114"/>
      <c r="VO27" s="114"/>
      <c r="VP27" s="114"/>
      <c r="VQ27" s="114"/>
      <c r="VR27" s="114"/>
      <c r="VS27" s="114"/>
      <c r="VT27" s="114"/>
      <c r="VU27" s="114"/>
      <c r="VV27" s="114"/>
      <c r="VW27" s="114"/>
      <c r="VX27" s="114"/>
      <c r="VY27" s="114"/>
      <c r="VZ27" s="114"/>
      <c r="WA27" s="114"/>
      <c r="WB27" s="114"/>
      <c r="WC27" s="114"/>
      <c r="WD27" s="114"/>
      <c r="WE27" s="114"/>
      <c r="WF27" s="114"/>
      <c r="WG27" s="114"/>
      <c r="WH27" s="114"/>
      <c r="WI27" s="114"/>
      <c r="WJ27" s="114"/>
      <c r="WK27" s="114"/>
      <c r="WL27" s="114"/>
      <c r="WM27" s="114"/>
      <c r="WN27" s="114"/>
      <c r="WO27" s="114"/>
      <c r="WP27" s="114"/>
      <c r="WQ27" s="114"/>
      <c r="WR27" s="114"/>
      <c r="WS27" s="114"/>
      <c r="WT27" s="114"/>
      <c r="WU27" s="114"/>
      <c r="WV27" s="114"/>
      <c r="WW27" s="114"/>
      <c r="WX27" s="114"/>
      <c r="WY27" s="114"/>
      <c r="WZ27" s="114"/>
      <c r="XA27" s="114"/>
      <c r="XB27" s="114"/>
      <c r="XC27" s="114"/>
      <c r="XD27" s="114"/>
      <c r="XE27" s="114"/>
      <c r="XF27" s="114"/>
      <c r="XG27" s="114"/>
      <c r="XH27" s="114"/>
      <c r="XI27" s="114"/>
      <c r="XJ27" s="114"/>
      <c r="XK27" s="114"/>
      <c r="XL27" s="114"/>
      <c r="XM27" s="114"/>
      <c r="XN27" s="114"/>
      <c r="XO27" s="114"/>
      <c r="XP27" s="114"/>
      <c r="XQ27" s="114"/>
      <c r="XR27" s="114"/>
      <c r="XS27" s="114"/>
      <c r="XT27" s="114"/>
      <c r="XU27" s="114"/>
      <c r="XV27" s="114"/>
      <c r="XW27" s="114"/>
      <c r="XX27" s="114"/>
      <c r="XY27" s="114"/>
      <c r="XZ27" s="114"/>
      <c r="YA27" s="114"/>
      <c r="YB27" s="114"/>
      <c r="YC27" s="114"/>
      <c r="YD27" s="114"/>
      <c r="YE27" s="114"/>
      <c r="YF27" s="114"/>
      <c r="YG27" s="114"/>
      <c r="YH27" s="114"/>
      <c r="YI27" s="114"/>
      <c r="YJ27" s="114"/>
      <c r="YK27" s="114"/>
      <c r="YL27" s="114"/>
      <c r="YM27" s="114"/>
      <c r="YN27" s="114"/>
      <c r="YO27" s="114"/>
      <c r="YP27" s="114"/>
      <c r="YQ27" s="114"/>
      <c r="YR27" s="114"/>
      <c r="YS27" s="114"/>
      <c r="YT27" s="114"/>
      <c r="YU27" s="114"/>
      <c r="YV27" s="114"/>
      <c r="YW27" s="114"/>
      <c r="YX27" s="114"/>
      <c r="YY27" s="114"/>
      <c r="YZ27" s="114"/>
      <c r="ZA27" s="114"/>
      <c r="ZB27" s="114"/>
      <c r="ZC27" s="114"/>
      <c r="ZD27" s="114"/>
      <c r="ZE27" s="114"/>
      <c r="ZF27" s="114"/>
      <c r="ZG27" s="114"/>
      <c r="ZH27" s="114"/>
      <c r="ZI27" s="114"/>
      <c r="ZJ27" s="114"/>
      <c r="ZK27" s="114"/>
      <c r="ZL27" s="114"/>
      <c r="ZM27" s="114"/>
      <c r="ZN27" s="114"/>
      <c r="ZO27" s="114"/>
      <c r="ZP27" s="114"/>
      <c r="ZQ27" s="114"/>
      <c r="ZR27" s="114"/>
      <c r="ZS27" s="114"/>
      <c r="ZT27" s="114"/>
      <c r="ZU27" s="114"/>
      <c r="ZV27" s="114"/>
      <c r="ZW27" s="114"/>
      <c r="ZX27" s="114"/>
      <c r="ZY27" s="114"/>
      <c r="ZZ27" s="114"/>
      <c r="AAA27" s="114"/>
      <c r="AAB27" s="114"/>
      <c r="AAC27" s="114"/>
      <c r="AAD27" s="114"/>
      <c r="AAE27" s="114"/>
      <c r="AAF27" s="114"/>
      <c r="AAG27" s="114"/>
      <c r="AAH27" s="114"/>
      <c r="AAI27" s="114"/>
      <c r="AAJ27" s="114"/>
      <c r="AAK27" s="114"/>
      <c r="AAL27" s="114"/>
      <c r="AAM27" s="114"/>
      <c r="AAN27" s="114"/>
      <c r="AAO27" s="114"/>
      <c r="AAP27" s="114"/>
      <c r="AAQ27" s="114"/>
      <c r="AAR27" s="114"/>
      <c r="AAS27" s="114"/>
      <c r="AAT27" s="114"/>
      <c r="AAU27" s="114"/>
      <c r="AAV27" s="114"/>
      <c r="AAW27" s="114"/>
      <c r="AAX27" s="114"/>
      <c r="AAY27" s="114"/>
      <c r="AAZ27" s="114"/>
      <c r="ABA27" s="114"/>
      <c r="ABB27" s="114"/>
      <c r="ABC27" s="114"/>
      <c r="ABD27" s="114"/>
      <c r="ABE27" s="114"/>
      <c r="ABF27" s="114"/>
      <c r="ABG27" s="114"/>
      <c r="ABH27" s="114"/>
      <c r="ABI27" s="114"/>
      <c r="ABJ27" s="114"/>
      <c r="ABK27" s="114"/>
      <c r="ABL27" s="114"/>
      <c r="ABM27" s="114"/>
      <c r="ABN27" s="114"/>
      <c r="ABO27" s="114"/>
      <c r="ABP27" s="114"/>
      <c r="ABQ27" s="114"/>
      <c r="ABR27" s="114"/>
      <c r="ABS27" s="114"/>
      <c r="ABT27" s="114"/>
      <c r="ABU27" s="114"/>
      <c r="ABV27" s="114"/>
      <c r="ABW27" s="114"/>
      <c r="ABX27" s="114"/>
      <c r="ABY27" s="114"/>
      <c r="ABZ27" s="114"/>
      <c r="ACA27" s="114"/>
      <c r="ACB27" s="114"/>
      <c r="ACC27" s="114"/>
      <c r="ACD27" s="114"/>
      <c r="ACE27" s="114"/>
      <c r="ACF27" s="114"/>
      <c r="ACG27" s="114"/>
      <c r="ACH27" s="114"/>
      <c r="ACI27" s="114"/>
      <c r="ACJ27" s="114"/>
      <c r="ACK27" s="114"/>
      <c r="ACL27" s="114"/>
      <c r="ACM27" s="114"/>
      <c r="ACN27" s="114"/>
      <c r="ACO27" s="114"/>
      <c r="ACP27" s="114"/>
      <c r="ACQ27" s="114"/>
      <c r="ACR27" s="114"/>
      <c r="ACS27" s="114"/>
      <c r="ACT27" s="114"/>
      <c r="ACU27" s="114"/>
      <c r="ACV27" s="114"/>
      <c r="ACW27" s="114"/>
      <c r="ACX27" s="114"/>
      <c r="ACY27" s="114"/>
      <c r="ACZ27" s="114"/>
      <c r="ADA27" s="114"/>
      <c r="ADB27" s="114"/>
      <c r="ADC27" s="114"/>
      <c r="ADD27" s="114"/>
      <c r="ADE27" s="114"/>
      <c r="ADF27" s="114"/>
      <c r="ADG27" s="114"/>
      <c r="ADH27" s="114"/>
      <c r="ADI27" s="114"/>
      <c r="ADJ27" s="114"/>
      <c r="ADK27" s="114"/>
      <c r="ADL27" s="114"/>
      <c r="ADM27" s="114"/>
      <c r="ADN27" s="114"/>
      <c r="ADO27" s="114"/>
      <c r="ADP27" s="114"/>
      <c r="ADQ27" s="114"/>
      <c r="ADR27" s="114"/>
      <c r="ADS27" s="114"/>
      <c r="ADT27" s="114"/>
      <c r="ADU27" s="114"/>
      <c r="ADV27" s="114"/>
      <c r="ADW27" s="114"/>
      <c r="ADX27" s="114"/>
      <c r="ADY27" s="114"/>
      <c r="ADZ27" s="114"/>
      <c r="AEA27" s="114"/>
      <c r="AEB27" s="114"/>
      <c r="AEC27" s="114"/>
      <c r="AED27" s="114"/>
      <c r="AEE27" s="114"/>
      <c r="AEF27" s="114"/>
      <c r="AEG27" s="114"/>
      <c r="AEH27" s="114"/>
      <c r="AEI27" s="114"/>
      <c r="AEJ27" s="114"/>
      <c r="AEK27" s="114"/>
      <c r="AEL27" s="114"/>
      <c r="AEM27" s="114"/>
      <c r="AEN27" s="114"/>
      <c r="AEO27" s="114"/>
      <c r="AEP27" s="114"/>
      <c r="AEQ27" s="114"/>
      <c r="AER27" s="114"/>
      <c r="AES27" s="114"/>
      <c r="AET27" s="114"/>
      <c r="AEU27" s="114"/>
      <c r="AEV27" s="114"/>
      <c r="AEW27" s="114"/>
      <c r="AEX27" s="114"/>
      <c r="AEY27" s="114"/>
      <c r="AEZ27" s="114"/>
      <c r="AFA27" s="114"/>
      <c r="AFB27" s="114"/>
      <c r="AFC27" s="114"/>
      <c r="AFD27" s="114"/>
      <c r="AFE27" s="114"/>
      <c r="AFF27" s="114"/>
      <c r="AFG27" s="114"/>
      <c r="AFH27" s="114"/>
      <c r="AFI27" s="114"/>
      <c r="AFJ27" s="114"/>
      <c r="AFK27" s="114"/>
      <c r="AFL27" s="114"/>
      <c r="AFM27" s="114"/>
      <c r="AFN27" s="114"/>
      <c r="AFO27" s="114"/>
      <c r="AFP27" s="114"/>
      <c r="AFQ27" s="114"/>
      <c r="AFR27" s="114"/>
      <c r="AFS27" s="114"/>
      <c r="AFT27" s="114"/>
      <c r="AFU27" s="114"/>
      <c r="AFV27" s="114"/>
      <c r="AFW27" s="114"/>
      <c r="AFX27" s="114"/>
      <c r="AFY27" s="114"/>
      <c r="AFZ27" s="114"/>
      <c r="AGA27" s="114"/>
      <c r="AGB27" s="114"/>
      <c r="AGC27" s="114"/>
      <c r="AGD27" s="114"/>
      <c r="AGE27" s="114"/>
      <c r="AGF27" s="114"/>
      <c r="AGG27" s="114"/>
      <c r="AGH27" s="114"/>
      <c r="AGI27" s="114"/>
      <c r="AGJ27" s="114"/>
      <c r="AGK27" s="114"/>
      <c r="AGL27" s="114"/>
      <c r="AGM27" s="114"/>
      <c r="AGN27" s="114"/>
      <c r="AGO27" s="114"/>
      <c r="AGP27" s="114"/>
      <c r="AGQ27" s="114"/>
      <c r="AGR27" s="114"/>
      <c r="AGS27" s="114"/>
      <c r="AGT27" s="114"/>
      <c r="AGU27" s="114"/>
      <c r="AGV27" s="114"/>
      <c r="AGW27" s="114"/>
      <c r="AGX27" s="114"/>
      <c r="AGY27" s="114"/>
      <c r="AGZ27" s="114"/>
      <c r="AHA27" s="114"/>
      <c r="AHB27" s="114"/>
      <c r="AHC27" s="114"/>
      <c r="AHD27" s="114"/>
      <c r="AHE27" s="114"/>
      <c r="AHF27" s="114"/>
      <c r="AHG27" s="114"/>
      <c r="AHH27" s="114"/>
      <c r="AHI27" s="114"/>
      <c r="AHJ27" s="114"/>
      <c r="AHK27" s="114"/>
      <c r="AHL27" s="114"/>
      <c r="AHM27" s="114"/>
      <c r="AHN27" s="114"/>
      <c r="AHO27" s="114"/>
      <c r="AHP27" s="114"/>
      <c r="AHQ27" s="114"/>
      <c r="AHR27" s="114"/>
      <c r="AHS27" s="114"/>
      <c r="AHT27" s="114"/>
      <c r="AHU27" s="114"/>
      <c r="AHV27" s="114"/>
      <c r="AHW27" s="114"/>
      <c r="AHX27" s="114"/>
      <c r="AHY27" s="114"/>
      <c r="AHZ27" s="114"/>
      <c r="AIA27" s="114"/>
      <c r="AIB27" s="114"/>
      <c r="AIC27" s="114"/>
      <c r="AID27" s="114"/>
      <c r="AIE27" s="114"/>
      <c r="AIF27" s="114"/>
      <c r="AIG27" s="114"/>
      <c r="AIH27" s="114"/>
      <c r="AII27" s="114"/>
      <c r="AIJ27" s="114"/>
      <c r="AIK27" s="114"/>
      <c r="AIL27" s="114"/>
      <c r="AIM27" s="114"/>
      <c r="AIN27" s="114"/>
      <c r="AIO27" s="114"/>
      <c r="AIP27" s="114"/>
      <c r="AIQ27" s="114"/>
      <c r="AIR27" s="114"/>
      <c r="AIS27" s="114"/>
      <c r="AIT27" s="114"/>
      <c r="AIU27" s="114"/>
      <c r="AIV27" s="114"/>
      <c r="AIW27" s="114"/>
      <c r="AIX27" s="114"/>
      <c r="AIY27" s="114"/>
      <c r="AIZ27" s="114"/>
      <c r="AJA27" s="114"/>
      <c r="AJB27" s="114"/>
      <c r="AJC27" s="114"/>
      <c r="AJD27" s="114"/>
      <c r="AJE27" s="114"/>
      <c r="AJF27" s="114"/>
      <c r="AJG27" s="114"/>
      <c r="AJH27" s="114"/>
      <c r="AJI27" s="114"/>
      <c r="AJJ27" s="114"/>
      <c r="AJK27" s="114"/>
      <c r="AJL27" s="114"/>
      <c r="AJM27" s="114"/>
      <c r="AJN27" s="114"/>
      <c r="AJO27" s="114"/>
      <c r="AJP27" s="114"/>
      <c r="AJQ27" s="114"/>
      <c r="AJR27" s="114"/>
      <c r="AJS27" s="114"/>
      <c r="AJT27" s="114"/>
      <c r="AJU27" s="114"/>
      <c r="AJV27" s="114"/>
      <c r="AJW27" s="114"/>
      <c r="AJX27" s="114"/>
      <c r="AJY27" s="114"/>
      <c r="AJZ27" s="114"/>
      <c r="AKA27" s="114"/>
      <c r="AKB27" s="114"/>
      <c r="AKC27" s="114"/>
      <c r="AKD27" s="114"/>
      <c r="AKE27" s="114"/>
      <c r="AKF27" s="114"/>
      <c r="AKG27" s="114"/>
      <c r="AKH27" s="114"/>
      <c r="AKI27" s="114"/>
      <c r="AKJ27" s="114"/>
      <c r="AKK27" s="114"/>
      <c r="AKL27" s="114"/>
      <c r="AKM27" s="114"/>
      <c r="AKN27" s="114"/>
      <c r="AKO27" s="114"/>
      <c r="AKP27" s="114"/>
      <c r="AKQ27" s="114"/>
      <c r="AKR27" s="114"/>
      <c r="AKS27" s="114"/>
      <c r="AKT27" s="114"/>
      <c r="AKU27" s="114"/>
      <c r="AKV27" s="114"/>
      <c r="AKW27" s="114"/>
      <c r="AKX27" s="114"/>
      <c r="AKY27" s="114"/>
    </row>
    <row r="28" spans="1:987" ht="15" customHeight="1" x14ac:dyDescent="0.3">
      <c r="A28" s="116"/>
      <c r="B28" s="117"/>
      <c r="C28" s="462"/>
      <c r="D28" s="138" t="s">
        <v>3083</v>
      </c>
      <c r="E28" s="139">
        <v>12</v>
      </c>
      <c r="F28" s="140">
        <v>2200</v>
      </c>
      <c r="G28" s="141">
        <f t="shared" si="0"/>
        <v>26400</v>
      </c>
      <c r="H28" s="168">
        <f>G28/12</f>
        <v>2200</v>
      </c>
      <c r="I28" s="169">
        <f>G28/12</f>
        <v>2200</v>
      </c>
      <c r="J28" s="169">
        <f>G28/12</f>
        <v>2200</v>
      </c>
      <c r="K28" s="169">
        <f>G28/12</f>
        <v>2200</v>
      </c>
      <c r="L28" s="169">
        <f>G28/12</f>
        <v>2200</v>
      </c>
      <c r="M28" s="169">
        <f>G28/12</f>
        <v>2200</v>
      </c>
      <c r="N28" s="169">
        <f>G28/12</f>
        <v>2200</v>
      </c>
      <c r="O28" s="169">
        <f>G28/12</f>
        <v>2200</v>
      </c>
      <c r="P28" s="169">
        <f>G28/12</f>
        <v>2200</v>
      </c>
      <c r="Q28" s="169">
        <f>G28/12</f>
        <v>2200</v>
      </c>
      <c r="R28" s="169">
        <f>G28/12</f>
        <v>2200</v>
      </c>
      <c r="S28" s="170">
        <f>G28/12</f>
        <v>2200</v>
      </c>
      <c r="T28" s="125"/>
    </row>
    <row r="29" spans="1:987" ht="15" customHeight="1" x14ac:dyDescent="0.3">
      <c r="A29" s="116"/>
      <c r="B29" s="117"/>
      <c r="C29" s="463"/>
      <c r="D29" s="464" t="s">
        <v>2824</v>
      </c>
      <c r="E29" s="465"/>
      <c r="F29" s="466"/>
      <c r="G29" s="127">
        <f>SUM(G27:G28)</f>
        <v>38400</v>
      </c>
      <c r="H29" s="128"/>
      <c r="I29" s="128"/>
      <c r="J29" s="128"/>
      <c r="K29" s="128"/>
      <c r="L29" s="128"/>
      <c r="M29" s="128"/>
      <c r="N29" s="128"/>
      <c r="O29" s="128"/>
      <c r="P29" s="128"/>
      <c r="Q29" s="128"/>
      <c r="R29" s="128"/>
      <c r="S29" s="129"/>
      <c r="T29" s="125"/>
    </row>
    <row r="30" spans="1:987" s="115" customFormat="1" ht="15" customHeight="1" x14ac:dyDescent="0.3">
      <c r="A30" s="103">
        <v>8470230</v>
      </c>
      <c r="B30" s="104">
        <v>425550</v>
      </c>
      <c r="C30" s="461" t="s">
        <v>3084</v>
      </c>
      <c r="D30" s="130" t="s">
        <v>3082</v>
      </c>
      <c r="E30" s="131">
        <v>24</v>
      </c>
      <c r="F30" s="132">
        <v>1100</v>
      </c>
      <c r="G30" s="133">
        <f t="shared" si="0"/>
        <v>26400</v>
      </c>
      <c r="H30" s="171">
        <f>G30/12</f>
        <v>2200</v>
      </c>
      <c r="I30" s="171">
        <f>G30/12</f>
        <v>2200</v>
      </c>
      <c r="J30" s="171">
        <f>G30/12</f>
        <v>2200</v>
      </c>
      <c r="K30" s="171">
        <f>G30/12</f>
        <v>2200</v>
      </c>
      <c r="L30" s="171">
        <f>G30/12</f>
        <v>2200</v>
      </c>
      <c r="M30" s="171">
        <f>G30/12</f>
        <v>2200</v>
      </c>
      <c r="N30" s="171">
        <f>G30/12</f>
        <v>2200</v>
      </c>
      <c r="O30" s="171">
        <f>G30/12</f>
        <v>2200</v>
      </c>
      <c r="P30" s="171">
        <f>G30/12</f>
        <v>2200</v>
      </c>
      <c r="Q30" s="171">
        <f>G30/12</f>
        <v>2200</v>
      </c>
      <c r="R30" s="171">
        <f>G30/12</f>
        <v>2200</v>
      </c>
      <c r="S30" s="172">
        <f>G30/12</f>
        <v>2200</v>
      </c>
      <c r="T30" s="125" t="s">
        <v>3085</v>
      </c>
      <c r="U30" s="114"/>
      <c r="V30" s="114"/>
      <c r="W30" s="114"/>
      <c r="X30" s="114"/>
      <c r="Y30" s="114"/>
      <c r="Z30" s="114"/>
      <c r="AA30" s="114"/>
      <c r="AB30" s="114"/>
      <c r="AC30" s="114"/>
      <c r="AD30" s="114"/>
      <c r="AE30" s="114"/>
      <c r="AF30" s="114"/>
      <c r="AG30" s="114"/>
      <c r="AH30" s="114"/>
      <c r="AI30" s="114"/>
      <c r="AJ30" s="114"/>
      <c r="AK30" s="114"/>
      <c r="AL30" s="114"/>
      <c r="AM30" s="114"/>
      <c r="AN30" s="114"/>
      <c r="AO30" s="114"/>
      <c r="AP30" s="114"/>
      <c r="AQ30" s="114"/>
      <c r="AR30" s="114"/>
      <c r="AS30" s="114"/>
      <c r="AT30" s="114"/>
      <c r="AU30" s="114"/>
      <c r="AV30" s="114"/>
      <c r="AW30" s="114"/>
      <c r="AX30" s="114"/>
      <c r="AY30" s="114"/>
      <c r="AZ30" s="114"/>
      <c r="BA30" s="114"/>
      <c r="BB30" s="114"/>
      <c r="BC30" s="114"/>
      <c r="BD30" s="114"/>
      <c r="BE30" s="114"/>
      <c r="BF30" s="114"/>
      <c r="BG30" s="114"/>
      <c r="BH30" s="114"/>
      <c r="BI30" s="114"/>
      <c r="BJ30" s="114"/>
      <c r="BK30" s="114"/>
      <c r="BL30" s="114"/>
      <c r="BM30" s="114"/>
      <c r="BN30" s="114"/>
      <c r="BO30" s="114"/>
      <c r="BP30" s="114"/>
      <c r="BQ30" s="114"/>
      <c r="BR30" s="114"/>
      <c r="BS30" s="114"/>
      <c r="BT30" s="114"/>
      <c r="BU30" s="114"/>
      <c r="BV30" s="114"/>
      <c r="BW30" s="114"/>
      <c r="BX30" s="114"/>
      <c r="BY30" s="114"/>
      <c r="BZ30" s="114"/>
      <c r="CA30" s="114"/>
      <c r="CB30" s="114"/>
      <c r="CC30" s="114"/>
      <c r="CD30" s="114"/>
      <c r="CE30" s="114"/>
      <c r="CF30" s="114"/>
      <c r="CG30" s="114"/>
      <c r="CH30" s="114"/>
      <c r="CI30" s="114"/>
      <c r="CJ30" s="114"/>
      <c r="CK30" s="114"/>
      <c r="CL30" s="114"/>
      <c r="CM30" s="114"/>
      <c r="CN30" s="114"/>
      <c r="CO30" s="114"/>
      <c r="CP30" s="114"/>
      <c r="CQ30" s="114"/>
      <c r="CR30" s="114"/>
      <c r="CS30" s="114"/>
      <c r="CT30" s="114"/>
      <c r="CU30" s="114"/>
      <c r="CV30" s="114"/>
      <c r="CW30" s="114"/>
      <c r="CX30" s="114"/>
      <c r="CY30" s="114"/>
      <c r="CZ30" s="114"/>
      <c r="DA30" s="114"/>
      <c r="DB30" s="114"/>
      <c r="DC30" s="114"/>
      <c r="DD30" s="114"/>
      <c r="DE30" s="114"/>
      <c r="DF30" s="114"/>
      <c r="DG30" s="114"/>
      <c r="DH30" s="114"/>
      <c r="DI30" s="114"/>
      <c r="DJ30" s="114"/>
      <c r="DK30" s="114"/>
      <c r="DL30" s="114"/>
      <c r="DM30" s="114"/>
      <c r="DN30" s="114"/>
      <c r="DO30" s="114"/>
      <c r="DP30" s="114"/>
      <c r="DQ30" s="114"/>
      <c r="DR30" s="114"/>
      <c r="DS30" s="114"/>
      <c r="DT30" s="114"/>
      <c r="DU30" s="114"/>
      <c r="DV30" s="114"/>
      <c r="DW30" s="114"/>
      <c r="DX30" s="114"/>
      <c r="DY30" s="114"/>
      <c r="DZ30" s="114"/>
      <c r="EA30" s="114"/>
      <c r="EB30" s="114"/>
      <c r="EC30" s="114"/>
      <c r="ED30" s="114"/>
      <c r="EE30" s="114"/>
      <c r="EF30" s="114"/>
      <c r="EG30" s="114"/>
      <c r="EH30" s="114"/>
      <c r="EI30" s="114"/>
      <c r="EJ30" s="114"/>
      <c r="EK30" s="114"/>
      <c r="EL30" s="114"/>
      <c r="EM30" s="114"/>
      <c r="EN30" s="114"/>
      <c r="EO30" s="114"/>
      <c r="EP30" s="114"/>
      <c r="EQ30" s="114"/>
      <c r="ER30" s="114"/>
      <c r="ES30" s="114"/>
      <c r="ET30" s="114"/>
      <c r="EU30" s="114"/>
      <c r="EV30" s="114"/>
      <c r="EW30" s="114"/>
      <c r="EX30" s="114"/>
      <c r="EY30" s="114"/>
      <c r="EZ30" s="114"/>
      <c r="FA30" s="114"/>
      <c r="FB30" s="114"/>
      <c r="FC30" s="114"/>
      <c r="FD30" s="114"/>
      <c r="FE30" s="114"/>
      <c r="FF30" s="114"/>
      <c r="FG30" s="114"/>
      <c r="FH30" s="114"/>
      <c r="FI30" s="114"/>
      <c r="FJ30" s="114"/>
      <c r="FK30" s="114"/>
      <c r="FL30" s="114"/>
      <c r="FM30" s="114"/>
      <c r="FN30" s="114"/>
      <c r="FO30" s="114"/>
      <c r="FP30" s="114"/>
      <c r="FQ30" s="114"/>
      <c r="FR30" s="114"/>
      <c r="FS30" s="114"/>
      <c r="FT30" s="114"/>
      <c r="FU30" s="114"/>
      <c r="FV30" s="114"/>
      <c r="FW30" s="114"/>
      <c r="FX30" s="114"/>
      <c r="FY30" s="114"/>
      <c r="FZ30" s="114"/>
      <c r="GA30" s="114"/>
      <c r="GB30" s="114"/>
      <c r="GC30" s="114"/>
      <c r="GD30" s="114"/>
      <c r="GE30" s="114"/>
      <c r="GF30" s="114"/>
      <c r="GG30" s="114"/>
      <c r="GH30" s="114"/>
      <c r="GI30" s="114"/>
      <c r="GJ30" s="114"/>
      <c r="GK30" s="114"/>
      <c r="GL30" s="114"/>
      <c r="GM30" s="114"/>
      <c r="GN30" s="114"/>
      <c r="GO30" s="114"/>
      <c r="GP30" s="114"/>
      <c r="GQ30" s="114"/>
      <c r="GR30" s="114"/>
      <c r="GS30" s="114"/>
      <c r="GT30" s="114"/>
      <c r="GU30" s="114"/>
      <c r="GV30" s="114"/>
      <c r="GW30" s="114"/>
      <c r="GX30" s="114"/>
      <c r="GY30" s="114"/>
      <c r="GZ30" s="114"/>
      <c r="HA30" s="114"/>
      <c r="HB30" s="114"/>
      <c r="HC30" s="114"/>
      <c r="HD30" s="114"/>
      <c r="HE30" s="114"/>
      <c r="HF30" s="114"/>
      <c r="HG30" s="114"/>
      <c r="HH30" s="114"/>
      <c r="HI30" s="114"/>
      <c r="HJ30" s="114"/>
      <c r="HK30" s="114"/>
      <c r="HL30" s="114"/>
      <c r="HM30" s="114"/>
      <c r="HN30" s="114"/>
      <c r="HO30" s="114"/>
      <c r="HP30" s="114"/>
      <c r="HQ30" s="114"/>
      <c r="HR30" s="114"/>
      <c r="HS30" s="114"/>
      <c r="HT30" s="114"/>
      <c r="HU30" s="114"/>
      <c r="HV30" s="114"/>
      <c r="HW30" s="114"/>
      <c r="HX30" s="114"/>
      <c r="HY30" s="114"/>
      <c r="HZ30" s="114"/>
      <c r="IA30" s="114"/>
      <c r="IB30" s="114"/>
      <c r="IC30" s="114"/>
      <c r="ID30" s="114"/>
      <c r="IE30" s="114"/>
      <c r="IF30" s="114"/>
      <c r="IG30" s="114"/>
      <c r="IH30" s="114"/>
      <c r="II30" s="114"/>
      <c r="IJ30" s="114"/>
      <c r="IK30" s="114"/>
      <c r="IL30" s="114"/>
      <c r="IM30" s="114"/>
      <c r="IN30" s="114"/>
      <c r="IO30" s="114"/>
      <c r="IP30" s="114"/>
      <c r="IQ30" s="114"/>
      <c r="IR30" s="114"/>
      <c r="IS30" s="114"/>
      <c r="IT30" s="114"/>
      <c r="IU30" s="114"/>
      <c r="IV30" s="114"/>
      <c r="IW30" s="114"/>
      <c r="IX30" s="114"/>
      <c r="IY30" s="114"/>
      <c r="IZ30" s="114"/>
      <c r="JA30" s="114"/>
      <c r="JB30" s="114"/>
      <c r="JC30" s="114"/>
      <c r="JD30" s="114"/>
      <c r="JE30" s="114"/>
      <c r="JF30" s="114"/>
      <c r="JG30" s="114"/>
      <c r="JH30" s="114"/>
      <c r="JI30" s="114"/>
      <c r="JJ30" s="114"/>
      <c r="JK30" s="114"/>
      <c r="JL30" s="114"/>
      <c r="JM30" s="114"/>
      <c r="JN30" s="114"/>
      <c r="JO30" s="114"/>
      <c r="JP30" s="114"/>
      <c r="JQ30" s="114"/>
      <c r="JR30" s="114"/>
      <c r="JS30" s="114"/>
      <c r="JT30" s="114"/>
      <c r="JU30" s="114"/>
      <c r="JV30" s="114"/>
      <c r="JW30" s="114"/>
      <c r="JX30" s="114"/>
      <c r="JY30" s="114"/>
      <c r="JZ30" s="114"/>
      <c r="KA30" s="114"/>
      <c r="KB30" s="114"/>
      <c r="KC30" s="114"/>
      <c r="KD30" s="114"/>
      <c r="KE30" s="114"/>
      <c r="KF30" s="114"/>
      <c r="KG30" s="114"/>
      <c r="KH30" s="114"/>
      <c r="KI30" s="114"/>
      <c r="KJ30" s="114"/>
      <c r="KK30" s="114"/>
      <c r="KL30" s="114"/>
      <c r="KM30" s="114"/>
      <c r="KN30" s="114"/>
      <c r="KO30" s="114"/>
      <c r="KP30" s="114"/>
      <c r="KQ30" s="114"/>
      <c r="KR30" s="114"/>
      <c r="KS30" s="114"/>
      <c r="KT30" s="114"/>
      <c r="KU30" s="114"/>
      <c r="KV30" s="114"/>
      <c r="KW30" s="114"/>
      <c r="KX30" s="114"/>
      <c r="KY30" s="114"/>
      <c r="KZ30" s="114"/>
      <c r="LA30" s="114"/>
      <c r="LB30" s="114"/>
      <c r="LC30" s="114"/>
      <c r="LD30" s="114"/>
      <c r="LE30" s="114"/>
      <c r="LF30" s="114"/>
      <c r="LG30" s="114"/>
      <c r="LH30" s="114"/>
      <c r="LI30" s="114"/>
      <c r="LJ30" s="114"/>
      <c r="LK30" s="114"/>
      <c r="LL30" s="114"/>
      <c r="LM30" s="114"/>
      <c r="LN30" s="114"/>
      <c r="LO30" s="114"/>
      <c r="LP30" s="114"/>
      <c r="LQ30" s="114"/>
      <c r="LR30" s="114"/>
      <c r="LS30" s="114"/>
      <c r="LT30" s="114"/>
      <c r="LU30" s="114"/>
      <c r="LV30" s="114"/>
      <c r="LW30" s="114"/>
      <c r="LX30" s="114"/>
      <c r="LY30" s="114"/>
      <c r="LZ30" s="114"/>
      <c r="MA30" s="114"/>
      <c r="MB30" s="114"/>
      <c r="MC30" s="114"/>
      <c r="MD30" s="114"/>
      <c r="ME30" s="114"/>
      <c r="MF30" s="114"/>
      <c r="MG30" s="114"/>
      <c r="MH30" s="114"/>
      <c r="MI30" s="114"/>
      <c r="MJ30" s="114"/>
      <c r="MK30" s="114"/>
      <c r="ML30" s="114"/>
      <c r="MM30" s="114"/>
      <c r="MN30" s="114"/>
      <c r="MO30" s="114"/>
      <c r="MP30" s="114"/>
      <c r="MQ30" s="114"/>
      <c r="MR30" s="114"/>
      <c r="MS30" s="114"/>
      <c r="MT30" s="114"/>
      <c r="MU30" s="114"/>
      <c r="MV30" s="114"/>
      <c r="MW30" s="114"/>
      <c r="MX30" s="114"/>
      <c r="MY30" s="114"/>
      <c r="MZ30" s="114"/>
      <c r="NA30" s="114"/>
      <c r="NB30" s="114"/>
      <c r="NC30" s="114"/>
      <c r="ND30" s="114"/>
      <c r="NE30" s="114"/>
      <c r="NF30" s="114"/>
      <c r="NG30" s="114"/>
      <c r="NH30" s="114"/>
      <c r="NI30" s="114"/>
      <c r="NJ30" s="114"/>
      <c r="NK30" s="114"/>
      <c r="NL30" s="114"/>
      <c r="NM30" s="114"/>
      <c r="NN30" s="114"/>
      <c r="NO30" s="114"/>
      <c r="NP30" s="114"/>
      <c r="NQ30" s="114"/>
      <c r="NR30" s="114"/>
      <c r="NS30" s="114"/>
      <c r="NT30" s="114"/>
      <c r="NU30" s="114"/>
      <c r="NV30" s="114"/>
      <c r="NW30" s="114"/>
      <c r="NX30" s="114"/>
      <c r="NY30" s="114"/>
      <c r="NZ30" s="114"/>
      <c r="OA30" s="114"/>
      <c r="OB30" s="114"/>
      <c r="OC30" s="114"/>
      <c r="OD30" s="114"/>
      <c r="OE30" s="114"/>
      <c r="OF30" s="114"/>
      <c r="OG30" s="114"/>
      <c r="OH30" s="114"/>
      <c r="OI30" s="114"/>
      <c r="OJ30" s="114"/>
      <c r="OK30" s="114"/>
      <c r="OL30" s="114"/>
      <c r="OM30" s="114"/>
      <c r="ON30" s="114"/>
      <c r="OO30" s="114"/>
      <c r="OP30" s="114"/>
      <c r="OQ30" s="114"/>
      <c r="OR30" s="114"/>
      <c r="OS30" s="114"/>
      <c r="OT30" s="114"/>
      <c r="OU30" s="114"/>
      <c r="OV30" s="114"/>
      <c r="OW30" s="114"/>
      <c r="OX30" s="114"/>
      <c r="OY30" s="114"/>
      <c r="OZ30" s="114"/>
      <c r="PA30" s="114"/>
      <c r="PB30" s="114"/>
      <c r="PC30" s="114"/>
      <c r="PD30" s="114"/>
      <c r="PE30" s="114"/>
      <c r="PF30" s="114"/>
      <c r="PG30" s="114"/>
      <c r="PH30" s="114"/>
      <c r="PI30" s="114"/>
      <c r="PJ30" s="114"/>
      <c r="PK30" s="114"/>
      <c r="PL30" s="114"/>
      <c r="PM30" s="114"/>
      <c r="PN30" s="114"/>
      <c r="PO30" s="114"/>
      <c r="PP30" s="114"/>
      <c r="PQ30" s="114"/>
      <c r="PR30" s="114"/>
      <c r="PS30" s="114"/>
      <c r="PT30" s="114"/>
      <c r="PU30" s="114"/>
      <c r="PV30" s="114"/>
      <c r="PW30" s="114"/>
      <c r="PX30" s="114"/>
      <c r="PY30" s="114"/>
      <c r="PZ30" s="114"/>
      <c r="QA30" s="114"/>
      <c r="QB30" s="114"/>
      <c r="QC30" s="114"/>
      <c r="QD30" s="114"/>
      <c r="QE30" s="114"/>
      <c r="QF30" s="114"/>
      <c r="QG30" s="114"/>
      <c r="QH30" s="114"/>
      <c r="QI30" s="114"/>
      <c r="QJ30" s="114"/>
      <c r="QK30" s="114"/>
      <c r="QL30" s="114"/>
      <c r="QM30" s="114"/>
      <c r="QN30" s="114"/>
      <c r="QO30" s="114"/>
      <c r="QP30" s="114"/>
      <c r="QQ30" s="114"/>
      <c r="QR30" s="114"/>
      <c r="QS30" s="114"/>
      <c r="QT30" s="114"/>
      <c r="QU30" s="114"/>
      <c r="QV30" s="114"/>
      <c r="QW30" s="114"/>
      <c r="QX30" s="114"/>
      <c r="QY30" s="114"/>
      <c r="QZ30" s="114"/>
      <c r="RA30" s="114"/>
      <c r="RB30" s="114"/>
      <c r="RC30" s="114"/>
      <c r="RD30" s="114"/>
      <c r="RE30" s="114"/>
      <c r="RF30" s="114"/>
      <c r="RG30" s="114"/>
      <c r="RH30" s="114"/>
      <c r="RI30" s="114"/>
      <c r="RJ30" s="114"/>
      <c r="RK30" s="114"/>
      <c r="RL30" s="114"/>
      <c r="RM30" s="114"/>
      <c r="RN30" s="114"/>
      <c r="RO30" s="114"/>
      <c r="RP30" s="114"/>
      <c r="RQ30" s="114"/>
      <c r="RR30" s="114"/>
      <c r="RS30" s="114"/>
      <c r="RT30" s="114"/>
      <c r="RU30" s="114"/>
      <c r="RV30" s="114"/>
      <c r="RW30" s="114"/>
      <c r="RX30" s="114"/>
      <c r="RY30" s="114"/>
      <c r="RZ30" s="114"/>
      <c r="SA30" s="114"/>
      <c r="SB30" s="114"/>
      <c r="SC30" s="114"/>
      <c r="SD30" s="114"/>
      <c r="SE30" s="114"/>
      <c r="SF30" s="114"/>
      <c r="SG30" s="114"/>
      <c r="SH30" s="114"/>
      <c r="SI30" s="114"/>
      <c r="SJ30" s="114"/>
      <c r="SK30" s="114"/>
      <c r="SL30" s="114"/>
      <c r="SM30" s="114"/>
      <c r="SN30" s="114"/>
      <c r="SO30" s="114"/>
      <c r="SP30" s="114"/>
      <c r="SQ30" s="114"/>
      <c r="SR30" s="114"/>
      <c r="SS30" s="114"/>
      <c r="ST30" s="114"/>
      <c r="SU30" s="114"/>
      <c r="SV30" s="114"/>
      <c r="SW30" s="114"/>
      <c r="SX30" s="114"/>
      <c r="SY30" s="114"/>
      <c r="SZ30" s="114"/>
      <c r="TA30" s="114"/>
      <c r="TB30" s="114"/>
      <c r="TC30" s="114"/>
      <c r="TD30" s="114"/>
      <c r="TE30" s="114"/>
      <c r="TF30" s="114"/>
      <c r="TG30" s="114"/>
      <c r="TH30" s="114"/>
      <c r="TI30" s="114"/>
      <c r="TJ30" s="114"/>
      <c r="TK30" s="114"/>
      <c r="TL30" s="114"/>
      <c r="TM30" s="114"/>
      <c r="TN30" s="114"/>
      <c r="TO30" s="114"/>
      <c r="TP30" s="114"/>
      <c r="TQ30" s="114"/>
      <c r="TR30" s="114"/>
      <c r="TS30" s="114"/>
      <c r="TT30" s="114"/>
      <c r="TU30" s="114"/>
      <c r="TV30" s="114"/>
      <c r="TW30" s="114"/>
      <c r="TX30" s="114"/>
      <c r="TY30" s="114"/>
      <c r="TZ30" s="114"/>
      <c r="UA30" s="114"/>
      <c r="UB30" s="114"/>
      <c r="UC30" s="114"/>
      <c r="UD30" s="114"/>
      <c r="UE30" s="114"/>
      <c r="UF30" s="114"/>
      <c r="UG30" s="114"/>
      <c r="UH30" s="114"/>
      <c r="UI30" s="114"/>
      <c r="UJ30" s="114"/>
      <c r="UK30" s="114"/>
      <c r="UL30" s="114"/>
      <c r="UM30" s="114"/>
      <c r="UN30" s="114"/>
      <c r="UO30" s="114"/>
      <c r="UP30" s="114"/>
      <c r="UQ30" s="114"/>
      <c r="UR30" s="114"/>
      <c r="US30" s="114"/>
      <c r="UT30" s="114"/>
      <c r="UU30" s="114"/>
      <c r="UV30" s="114"/>
      <c r="UW30" s="114"/>
      <c r="UX30" s="114"/>
      <c r="UY30" s="114"/>
      <c r="UZ30" s="114"/>
      <c r="VA30" s="114"/>
      <c r="VB30" s="114"/>
      <c r="VC30" s="114"/>
      <c r="VD30" s="114"/>
      <c r="VE30" s="114"/>
      <c r="VF30" s="114"/>
      <c r="VG30" s="114"/>
      <c r="VH30" s="114"/>
      <c r="VI30" s="114"/>
      <c r="VJ30" s="114"/>
      <c r="VK30" s="114"/>
      <c r="VL30" s="114"/>
      <c r="VM30" s="114"/>
      <c r="VN30" s="114"/>
      <c r="VO30" s="114"/>
      <c r="VP30" s="114"/>
      <c r="VQ30" s="114"/>
      <c r="VR30" s="114"/>
      <c r="VS30" s="114"/>
      <c r="VT30" s="114"/>
      <c r="VU30" s="114"/>
      <c r="VV30" s="114"/>
      <c r="VW30" s="114"/>
      <c r="VX30" s="114"/>
      <c r="VY30" s="114"/>
      <c r="VZ30" s="114"/>
      <c r="WA30" s="114"/>
      <c r="WB30" s="114"/>
      <c r="WC30" s="114"/>
      <c r="WD30" s="114"/>
      <c r="WE30" s="114"/>
      <c r="WF30" s="114"/>
      <c r="WG30" s="114"/>
      <c r="WH30" s="114"/>
      <c r="WI30" s="114"/>
      <c r="WJ30" s="114"/>
      <c r="WK30" s="114"/>
      <c r="WL30" s="114"/>
      <c r="WM30" s="114"/>
      <c r="WN30" s="114"/>
      <c r="WO30" s="114"/>
      <c r="WP30" s="114"/>
      <c r="WQ30" s="114"/>
      <c r="WR30" s="114"/>
      <c r="WS30" s="114"/>
      <c r="WT30" s="114"/>
      <c r="WU30" s="114"/>
      <c r="WV30" s="114"/>
      <c r="WW30" s="114"/>
      <c r="WX30" s="114"/>
      <c r="WY30" s="114"/>
      <c r="WZ30" s="114"/>
      <c r="XA30" s="114"/>
      <c r="XB30" s="114"/>
      <c r="XC30" s="114"/>
      <c r="XD30" s="114"/>
      <c r="XE30" s="114"/>
      <c r="XF30" s="114"/>
      <c r="XG30" s="114"/>
      <c r="XH30" s="114"/>
      <c r="XI30" s="114"/>
      <c r="XJ30" s="114"/>
      <c r="XK30" s="114"/>
      <c r="XL30" s="114"/>
      <c r="XM30" s="114"/>
      <c r="XN30" s="114"/>
      <c r="XO30" s="114"/>
      <c r="XP30" s="114"/>
      <c r="XQ30" s="114"/>
      <c r="XR30" s="114"/>
      <c r="XS30" s="114"/>
      <c r="XT30" s="114"/>
      <c r="XU30" s="114"/>
      <c r="XV30" s="114"/>
      <c r="XW30" s="114"/>
      <c r="XX30" s="114"/>
      <c r="XY30" s="114"/>
      <c r="XZ30" s="114"/>
      <c r="YA30" s="114"/>
      <c r="YB30" s="114"/>
      <c r="YC30" s="114"/>
      <c r="YD30" s="114"/>
      <c r="YE30" s="114"/>
      <c r="YF30" s="114"/>
      <c r="YG30" s="114"/>
      <c r="YH30" s="114"/>
      <c r="YI30" s="114"/>
      <c r="YJ30" s="114"/>
      <c r="YK30" s="114"/>
      <c r="YL30" s="114"/>
      <c r="YM30" s="114"/>
      <c r="YN30" s="114"/>
      <c r="YO30" s="114"/>
      <c r="YP30" s="114"/>
      <c r="YQ30" s="114"/>
      <c r="YR30" s="114"/>
      <c r="YS30" s="114"/>
      <c r="YT30" s="114"/>
      <c r="YU30" s="114"/>
      <c r="YV30" s="114"/>
      <c r="YW30" s="114"/>
      <c r="YX30" s="114"/>
      <c r="YY30" s="114"/>
      <c r="YZ30" s="114"/>
      <c r="ZA30" s="114"/>
      <c r="ZB30" s="114"/>
      <c r="ZC30" s="114"/>
      <c r="ZD30" s="114"/>
      <c r="ZE30" s="114"/>
      <c r="ZF30" s="114"/>
      <c r="ZG30" s="114"/>
      <c r="ZH30" s="114"/>
      <c r="ZI30" s="114"/>
      <c r="ZJ30" s="114"/>
      <c r="ZK30" s="114"/>
      <c r="ZL30" s="114"/>
      <c r="ZM30" s="114"/>
      <c r="ZN30" s="114"/>
      <c r="ZO30" s="114"/>
      <c r="ZP30" s="114"/>
      <c r="ZQ30" s="114"/>
      <c r="ZR30" s="114"/>
      <c r="ZS30" s="114"/>
      <c r="ZT30" s="114"/>
      <c r="ZU30" s="114"/>
      <c r="ZV30" s="114"/>
      <c r="ZW30" s="114"/>
      <c r="ZX30" s="114"/>
      <c r="ZY30" s="114"/>
      <c r="ZZ30" s="114"/>
      <c r="AAA30" s="114"/>
      <c r="AAB30" s="114"/>
      <c r="AAC30" s="114"/>
      <c r="AAD30" s="114"/>
      <c r="AAE30" s="114"/>
      <c r="AAF30" s="114"/>
      <c r="AAG30" s="114"/>
      <c r="AAH30" s="114"/>
      <c r="AAI30" s="114"/>
      <c r="AAJ30" s="114"/>
      <c r="AAK30" s="114"/>
      <c r="AAL30" s="114"/>
      <c r="AAM30" s="114"/>
      <c r="AAN30" s="114"/>
      <c r="AAO30" s="114"/>
      <c r="AAP30" s="114"/>
      <c r="AAQ30" s="114"/>
      <c r="AAR30" s="114"/>
      <c r="AAS30" s="114"/>
      <c r="AAT30" s="114"/>
      <c r="AAU30" s="114"/>
      <c r="AAV30" s="114"/>
      <c r="AAW30" s="114"/>
      <c r="AAX30" s="114"/>
      <c r="AAY30" s="114"/>
      <c r="AAZ30" s="114"/>
      <c r="ABA30" s="114"/>
      <c r="ABB30" s="114"/>
      <c r="ABC30" s="114"/>
      <c r="ABD30" s="114"/>
      <c r="ABE30" s="114"/>
      <c r="ABF30" s="114"/>
      <c r="ABG30" s="114"/>
      <c r="ABH30" s="114"/>
      <c r="ABI30" s="114"/>
      <c r="ABJ30" s="114"/>
      <c r="ABK30" s="114"/>
      <c r="ABL30" s="114"/>
      <c r="ABM30" s="114"/>
      <c r="ABN30" s="114"/>
      <c r="ABO30" s="114"/>
      <c r="ABP30" s="114"/>
      <c r="ABQ30" s="114"/>
      <c r="ABR30" s="114"/>
      <c r="ABS30" s="114"/>
      <c r="ABT30" s="114"/>
      <c r="ABU30" s="114"/>
      <c r="ABV30" s="114"/>
      <c r="ABW30" s="114"/>
      <c r="ABX30" s="114"/>
      <c r="ABY30" s="114"/>
      <c r="ABZ30" s="114"/>
      <c r="ACA30" s="114"/>
      <c r="ACB30" s="114"/>
      <c r="ACC30" s="114"/>
      <c r="ACD30" s="114"/>
      <c r="ACE30" s="114"/>
      <c r="ACF30" s="114"/>
      <c r="ACG30" s="114"/>
      <c r="ACH30" s="114"/>
      <c r="ACI30" s="114"/>
      <c r="ACJ30" s="114"/>
      <c r="ACK30" s="114"/>
      <c r="ACL30" s="114"/>
      <c r="ACM30" s="114"/>
      <c r="ACN30" s="114"/>
      <c r="ACO30" s="114"/>
      <c r="ACP30" s="114"/>
      <c r="ACQ30" s="114"/>
      <c r="ACR30" s="114"/>
      <c r="ACS30" s="114"/>
      <c r="ACT30" s="114"/>
      <c r="ACU30" s="114"/>
      <c r="ACV30" s="114"/>
      <c r="ACW30" s="114"/>
      <c r="ACX30" s="114"/>
      <c r="ACY30" s="114"/>
      <c r="ACZ30" s="114"/>
      <c r="ADA30" s="114"/>
      <c r="ADB30" s="114"/>
      <c r="ADC30" s="114"/>
      <c r="ADD30" s="114"/>
      <c r="ADE30" s="114"/>
      <c r="ADF30" s="114"/>
      <c r="ADG30" s="114"/>
      <c r="ADH30" s="114"/>
      <c r="ADI30" s="114"/>
      <c r="ADJ30" s="114"/>
      <c r="ADK30" s="114"/>
      <c r="ADL30" s="114"/>
      <c r="ADM30" s="114"/>
      <c r="ADN30" s="114"/>
      <c r="ADO30" s="114"/>
      <c r="ADP30" s="114"/>
      <c r="ADQ30" s="114"/>
      <c r="ADR30" s="114"/>
      <c r="ADS30" s="114"/>
      <c r="ADT30" s="114"/>
      <c r="ADU30" s="114"/>
      <c r="ADV30" s="114"/>
      <c r="ADW30" s="114"/>
      <c r="ADX30" s="114"/>
      <c r="ADY30" s="114"/>
      <c r="ADZ30" s="114"/>
      <c r="AEA30" s="114"/>
      <c r="AEB30" s="114"/>
      <c r="AEC30" s="114"/>
      <c r="AED30" s="114"/>
      <c r="AEE30" s="114"/>
      <c r="AEF30" s="114"/>
      <c r="AEG30" s="114"/>
      <c r="AEH30" s="114"/>
      <c r="AEI30" s="114"/>
      <c r="AEJ30" s="114"/>
      <c r="AEK30" s="114"/>
      <c r="AEL30" s="114"/>
      <c r="AEM30" s="114"/>
      <c r="AEN30" s="114"/>
      <c r="AEO30" s="114"/>
      <c r="AEP30" s="114"/>
      <c r="AEQ30" s="114"/>
      <c r="AER30" s="114"/>
      <c r="AES30" s="114"/>
      <c r="AET30" s="114"/>
      <c r="AEU30" s="114"/>
      <c r="AEV30" s="114"/>
      <c r="AEW30" s="114"/>
      <c r="AEX30" s="114"/>
      <c r="AEY30" s="114"/>
      <c r="AEZ30" s="114"/>
      <c r="AFA30" s="114"/>
      <c r="AFB30" s="114"/>
      <c r="AFC30" s="114"/>
      <c r="AFD30" s="114"/>
      <c r="AFE30" s="114"/>
      <c r="AFF30" s="114"/>
      <c r="AFG30" s="114"/>
      <c r="AFH30" s="114"/>
      <c r="AFI30" s="114"/>
      <c r="AFJ30" s="114"/>
      <c r="AFK30" s="114"/>
      <c r="AFL30" s="114"/>
      <c r="AFM30" s="114"/>
      <c r="AFN30" s="114"/>
      <c r="AFO30" s="114"/>
      <c r="AFP30" s="114"/>
      <c r="AFQ30" s="114"/>
      <c r="AFR30" s="114"/>
      <c r="AFS30" s="114"/>
      <c r="AFT30" s="114"/>
      <c r="AFU30" s="114"/>
      <c r="AFV30" s="114"/>
      <c r="AFW30" s="114"/>
      <c r="AFX30" s="114"/>
      <c r="AFY30" s="114"/>
      <c r="AFZ30" s="114"/>
      <c r="AGA30" s="114"/>
      <c r="AGB30" s="114"/>
      <c r="AGC30" s="114"/>
      <c r="AGD30" s="114"/>
      <c r="AGE30" s="114"/>
      <c r="AGF30" s="114"/>
      <c r="AGG30" s="114"/>
      <c r="AGH30" s="114"/>
      <c r="AGI30" s="114"/>
      <c r="AGJ30" s="114"/>
      <c r="AGK30" s="114"/>
      <c r="AGL30" s="114"/>
      <c r="AGM30" s="114"/>
      <c r="AGN30" s="114"/>
      <c r="AGO30" s="114"/>
      <c r="AGP30" s="114"/>
      <c r="AGQ30" s="114"/>
      <c r="AGR30" s="114"/>
      <c r="AGS30" s="114"/>
      <c r="AGT30" s="114"/>
      <c r="AGU30" s="114"/>
      <c r="AGV30" s="114"/>
      <c r="AGW30" s="114"/>
      <c r="AGX30" s="114"/>
      <c r="AGY30" s="114"/>
      <c r="AGZ30" s="114"/>
      <c r="AHA30" s="114"/>
      <c r="AHB30" s="114"/>
      <c r="AHC30" s="114"/>
      <c r="AHD30" s="114"/>
      <c r="AHE30" s="114"/>
      <c r="AHF30" s="114"/>
      <c r="AHG30" s="114"/>
      <c r="AHH30" s="114"/>
      <c r="AHI30" s="114"/>
      <c r="AHJ30" s="114"/>
      <c r="AHK30" s="114"/>
      <c r="AHL30" s="114"/>
      <c r="AHM30" s="114"/>
      <c r="AHN30" s="114"/>
      <c r="AHO30" s="114"/>
      <c r="AHP30" s="114"/>
      <c r="AHQ30" s="114"/>
      <c r="AHR30" s="114"/>
      <c r="AHS30" s="114"/>
      <c r="AHT30" s="114"/>
      <c r="AHU30" s="114"/>
      <c r="AHV30" s="114"/>
      <c r="AHW30" s="114"/>
      <c r="AHX30" s="114"/>
      <c r="AHY30" s="114"/>
      <c r="AHZ30" s="114"/>
      <c r="AIA30" s="114"/>
      <c r="AIB30" s="114"/>
      <c r="AIC30" s="114"/>
      <c r="AID30" s="114"/>
      <c r="AIE30" s="114"/>
      <c r="AIF30" s="114"/>
      <c r="AIG30" s="114"/>
      <c r="AIH30" s="114"/>
      <c r="AII30" s="114"/>
      <c r="AIJ30" s="114"/>
      <c r="AIK30" s="114"/>
      <c r="AIL30" s="114"/>
      <c r="AIM30" s="114"/>
      <c r="AIN30" s="114"/>
      <c r="AIO30" s="114"/>
      <c r="AIP30" s="114"/>
      <c r="AIQ30" s="114"/>
      <c r="AIR30" s="114"/>
      <c r="AIS30" s="114"/>
      <c r="AIT30" s="114"/>
      <c r="AIU30" s="114"/>
      <c r="AIV30" s="114"/>
      <c r="AIW30" s="114"/>
      <c r="AIX30" s="114"/>
      <c r="AIY30" s="114"/>
      <c r="AIZ30" s="114"/>
      <c r="AJA30" s="114"/>
      <c r="AJB30" s="114"/>
      <c r="AJC30" s="114"/>
      <c r="AJD30" s="114"/>
      <c r="AJE30" s="114"/>
      <c r="AJF30" s="114"/>
      <c r="AJG30" s="114"/>
      <c r="AJH30" s="114"/>
      <c r="AJI30" s="114"/>
      <c r="AJJ30" s="114"/>
      <c r="AJK30" s="114"/>
      <c r="AJL30" s="114"/>
      <c r="AJM30" s="114"/>
      <c r="AJN30" s="114"/>
      <c r="AJO30" s="114"/>
      <c r="AJP30" s="114"/>
      <c r="AJQ30" s="114"/>
      <c r="AJR30" s="114"/>
      <c r="AJS30" s="114"/>
      <c r="AJT30" s="114"/>
      <c r="AJU30" s="114"/>
      <c r="AJV30" s="114"/>
      <c r="AJW30" s="114"/>
      <c r="AJX30" s="114"/>
      <c r="AJY30" s="114"/>
      <c r="AJZ30" s="114"/>
      <c r="AKA30" s="114"/>
      <c r="AKB30" s="114"/>
      <c r="AKC30" s="114"/>
      <c r="AKD30" s="114"/>
      <c r="AKE30" s="114"/>
      <c r="AKF30" s="114"/>
      <c r="AKG30" s="114"/>
      <c r="AKH30" s="114"/>
      <c r="AKI30" s="114"/>
      <c r="AKJ30" s="114"/>
      <c r="AKK30" s="114"/>
      <c r="AKL30" s="114"/>
      <c r="AKM30" s="114"/>
      <c r="AKN30" s="114"/>
      <c r="AKO30" s="114"/>
      <c r="AKP30" s="114"/>
      <c r="AKQ30" s="114"/>
      <c r="AKR30" s="114"/>
      <c r="AKS30" s="114"/>
      <c r="AKT30" s="114"/>
      <c r="AKU30" s="114"/>
      <c r="AKV30" s="114"/>
      <c r="AKW30" s="114"/>
      <c r="AKX30" s="114"/>
      <c r="AKY30" s="114"/>
    </row>
    <row r="31" spans="1:987" ht="15" customHeight="1" x14ac:dyDescent="0.3">
      <c r="A31" s="116"/>
      <c r="B31" s="117"/>
      <c r="C31" s="462"/>
      <c r="D31" s="138" t="s">
        <v>3086</v>
      </c>
      <c r="E31" s="139">
        <v>24</v>
      </c>
      <c r="F31" s="140">
        <v>7700</v>
      </c>
      <c r="G31" s="141">
        <f t="shared" si="0"/>
        <v>184800</v>
      </c>
      <c r="H31" s="173">
        <f>G31/12</f>
        <v>15400</v>
      </c>
      <c r="I31" s="173">
        <f>G31/12</f>
        <v>15400</v>
      </c>
      <c r="J31" s="173">
        <f>G31/12</f>
        <v>15400</v>
      </c>
      <c r="K31" s="173">
        <f>G31/12</f>
        <v>15400</v>
      </c>
      <c r="L31" s="173">
        <f>G31/12</f>
        <v>15400</v>
      </c>
      <c r="M31" s="173">
        <f>G31/12</f>
        <v>15400</v>
      </c>
      <c r="N31" s="173">
        <f>G31/12</f>
        <v>15400</v>
      </c>
      <c r="O31" s="173">
        <f>G31/12</f>
        <v>15400</v>
      </c>
      <c r="P31" s="173">
        <f>G31/12</f>
        <v>15400</v>
      </c>
      <c r="Q31" s="173">
        <f>G31/12</f>
        <v>15400</v>
      </c>
      <c r="R31" s="173">
        <f>G31/12</f>
        <v>15400</v>
      </c>
      <c r="S31" s="174">
        <f>G31/12</f>
        <v>15400</v>
      </c>
      <c r="T31" s="125"/>
    </row>
    <row r="32" spans="1:987" ht="15" customHeight="1" x14ac:dyDescent="0.3">
      <c r="A32" s="116"/>
      <c r="B32" s="117"/>
      <c r="C32" s="462"/>
      <c r="D32" s="118" t="s">
        <v>3087</v>
      </c>
      <c r="E32" s="119">
        <v>24</v>
      </c>
      <c r="F32" s="120">
        <v>6000</v>
      </c>
      <c r="G32" s="121">
        <f t="shared" si="0"/>
        <v>144000</v>
      </c>
      <c r="H32" s="175">
        <v>12000</v>
      </c>
      <c r="I32" s="175">
        <f>G32/12</f>
        <v>12000</v>
      </c>
      <c r="J32" s="175">
        <f>G32/12</f>
        <v>12000</v>
      </c>
      <c r="K32" s="175">
        <f>G32/12</f>
        <v>12000</v>
      </c>
      <c r="L32" s="175">
        <f>G32/12</f>
        <v>12000</v>
      </c>
      <c r="M32" s="175">
        <f>G32/12</f>
        <v>12000</v>
      </c>
      <c r="N32" s="175">
        <f>G32/12</f>
        <v>12000</v>
      </c>
      <c r="O32" s="175">
        <f>G32/12</f>
        <v>12000</v>
      </c>
      <c r="P32" s="175">
        <f>G32/12</f>
        <v>12000</v>
      </c>
      <c r="Q32" s="175">
        <f>G32/12</f>
        <v>12000</v>
      </c>
      <c r="R32" s="175">
        <f>G32/12</f>
        <v>12000</v>
      </c>
      <c r="S32" s="176">
        <f>G32/12</f>
        <v>12000</v>
      </c>
      <c r="T32" s="125"/>
    </row>
    <row r="33" spans="1:987" ht="15" customHeight="1" x14ac:dyDescent="0.3">
      <c r="A33" s="116"/>
      <c r="B33" s="117"/>
      <c r="C33" s="463"/>
      <c r="D33" s="464" t="s">
        <v>2825</v>
      </c>
      <c r="E33" s="465"/>
      <c r="F33" s="466"/>
      <c r="G33" s="127">
        <f>SUM(G30:G32)</f>
        <v>355200</v>
      </c>
      <c r="H33" s="177"/>
      <c r="I33" s="128"/>
      <c r="J33" s="128"/>
      <c r="K33" s="128"/>
      <c r="L33" s="128"/>
      <c r="M33" s="128"/>
      <c r="N33" s="128"/>
      <c r="O33" s="128"/>
      <c r="P33" s="128"/>
      <c r="Q33" s="128"/>
      <c r="R33" s="128"/>
      <c r="S33" s="129"/>
      <c r="T33" s="125"/>
    </row>
    <row r="34" spans="1:987" s="182" customFormat="1" ht="15" customHeight="1" x14ac:dyDescent="0.3">
      <c r="A34" s="103">
        <v>8470230</v>
      </c>
      <c r="B34" s="104">
        <v>425761</v>
      </c>
      <c r="C34" s="461" t="s">
        <v>3088</v>
      </c>
      <c r="D34" s="151" t="s">
        <v>3089</v>
      </c>
      <c r="E34" s="152">
        <v>12</v>
      </c>
      <c r="F34" s="153">
        <v>15000</v>
      </c>
      <c r="G34" s="141">
        <f>E34*F34</f>
        <v>180000</v>
      </c>
      <c r="H34" s="178">
        <f>G34/12</f>
        <v>15000</v>
      </c>
      <c r="I34" s="179">
        <f>G34/12</f>
        <v>15000</v>
      </c>
      <c r="J34" s="179">
        <f>G34/12</f>
        <v>15000</v>
      </c>
      <c r="K34" s="179">
        <f>G34/12</f>
        <v>15000</v>
      </c>
      <c r="L34" s="179">
        <f>G34/12</f>
        <v>15000</v>
      </c>
      <c r="M34" s="179">
        <f>G34/12</f>
        <v>15000</v>
      </c>
      <c r="N34" s="179">
        <f>G34/12</f>
        <v>15000</v>
      </c>
      <c r="O34" s="179">
        <f>G34/12</f>
        <v>15000</v>
      </c>
      <c r="P34" s="179">
        <f>G34/12</f>
        <v>15000</v>
      </c>
      <c r="Q34" s="179">
        <f>G34/12</f>
        <v>15000</v>
      </c>
      <c r="R34" s="179">
        <f>G34/12</f>
        <v>15000</v>
      </c>
      <c r="S34" s="180">
        <f>G34/12</f>
        <v>15000</v>
      </c>
      <c r="T34" s="125" t="s">
        <v>3058</v>
      </c>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c r="CY34" s="181"/>
      <c r="CZ34" s="181"/>
      <c r="DA34" s="181"/>
      <c r="DB34" s="181"/>
      <c r="DC34" s="181"/>
      <c r="DD34" s="181"/>
      <c r="DE34" s="181"/>
      <c r="DF34" s="181"/>
      <c r="DG34" s="181"/>
      <c r="DH34" s="181"/>
      <c r="DI34" s="181"/>
      <c r="DJ34" s="181"/>
      <c r="DK34" s="181"/>
      <c r="DL34" s="181"/>
      <c r="DM34" s="181"/>
      <c r="DN34" s="181"/>
      <c r="DO34" s="181"/>
      <c r="DP34" s="181"/>
      <c r="DQ34" s="181"/>
      <c r="DR34" s="181"/>
      <c r="DS34" s="181"/>
      <c r="DT34" s="181"/>
      <c r="DU34" s="181"/>
      <c r="DV34" s="181"/>
      <c r="DW34" s="181"/>
      <c r="DX34" s="181"/>
      <c r="DY34" s="181"/>
      <c r="DZ34" s="181"/>
      <c r="EA34" s="181"/>
      <c r="EB34" s="181"/>
      <c r="EC34" s="181"/>
      <c r="ED34" s="181"/>
      <c r="EE34" s="181"/>
      <c r="EF34" s="181"/>
      <c r="EG34" s="181"/>
      <c r="EH34" s="181"/>
      <c r="EI34" s="181"/>
      <c r="EJ34" s="181"/>
      <c r="EK34" s="181"/>
      <c r="EL34" s="181"/>
      <c r="EM34" s="181"/>
      <c r="EN34" s="181"/>
      <c r="EO34" s="181"/>
      <c r="EP34" s="181"/>
      <c r="EQ34" s="181"/>
      <c r="ER34" s="181"/>
      <c r="ES34" s="181"/>
      <c r="ET34" s="181"/>
      <c r="EU34" s="181"/>
      <c r="EV34" s="181"/>
      <c r="EW34" s="181"/>
      <c r="EX34" s="181"/>
      <c r="EY34" s="181"/>
      <c r="EZ34" s="181"/>
      <c r="FA34" s="181"/>
      <c r="FB34" s="181"/>
      <c r="FC34" s="181"/>
      <c r="FD34" s="181"/>
      <c r="FE34" s="181"/>
      <c r="FF34" s="181"/>
      <c r="FG34" s="181"/>
      <c r="FH34" s="181"/>
      <c r="FI34" s="181"/>
      <c r="FJ34" s="181"/>
      <c r="FK34" s="181"/>
      <c r="FL34" s="181"/>
      <c r="FM34" s="181"/>
      <c r="FN34" s="181"/>
      <c r="FO34" s="181"/>
      <c r="FP34" s="181"/>
      <c r="FQ34" s="181"/>
      <c r="FR34" s="181"/>
      <c r="FS34" s="181"/>
      <c r="FT34" s="181"/>
      <c r="FU34" s="181"/>
      <c r="FV34" s="181"/>
      <c r="FW34" s="181"/>
      <c r="FX34" s="181"/>
      <c r="FY34" s="181"/>
      <c r="FZ34" s="181"/>
      <c r="GA34" s="181"/>
      <c r="GB34" s="181"/>
      <c r="GC34" s="181"/>
      <c r="GD34" s="181"/>
      <c r="GE34" s="181"/>
      <c r="GF34" s="181"/>
      <c r="GG34" s="181"/>
      <c r="GH34" s="181"/>
      <c r="GI34" s="181"/>
      <c r="GJ34" s="181"/>
      <c r="GK34" s="181"/>
      <c r="GL34" s="181"/>
      <c r="GM34" s="181"/>
      <c r="GN34" s="181"/>
      <c r="GO34" s="181"/>
      <c r="GP34" s="181"/>
      <c r="GQ34" s="181"/>
      <c r="GR34" s="181"/>
      <c r="GS34" s="181"/>
      <c r="GT34" s="181"/>
      <c r="GU34" s="181"/>
      <c r="GV34" s="181"/>
      <c r="GW34" s="181"/>
      <c r="GX34" s="181"/>
      <c r="GY34" s="181"/>
      <c r="GZ34" s="181"/>
      <c r="HA34" s="181"/>
      <c r="HB34" s="181"/>
      <c r="HC34" s="181"/>
      <c r="HD34" s="181"/>
      <c r="HE34" s="181"/>
      <c r="HF34" s="181"/>
      <c r="HG34" s="181"/>
      <c r="HH34" s="181"/>
      <c r="HI34" s="181"/>
      <c r="HJ34" s="181"/>
      <c r="HK34" s="181"/>
      <c r="HL34" s="181"/>
      <c r="HM34" s="181"/>
      <c r="HN34" s="181"/>
      <c r="HO34" s="181"/>
      <c r="HP34" s="181"/>
      <c r="HQ34" s="181"/>
      <c r="HR34" s="181"/>
      <c r="HS34" s="181"/>
      <c r="HT34" s="181"/>
      <c r="HU34" s="181"/>
      <c r="HV34" s="181"/>
      <c r="HW34" s="181"/>
      <c r="HX34" s="181"/>
      <c r="HY34" s="181"/>
      <c r="HZ34" s="181"/>
      <c r="IA34" s="181"/>
      <c r="IB34" s="181"/>
      <c r="IC34" s="181"/>
      <c r="ID34" s="181"/>
      <c r="IE34" s="181"/>
      <c r="IF34" s="181"/>
      <c r="IG34" s="181"/>
      <c r="IH34" s="181"/>
      <c r="II34" s="181"/>
      <c r="IJ34" s="181"/>
      <c r="IK34" s="181"/>
      <c r="IL34" s="181"/>
      <c r="IM34" s="181"/>
      <c r="IN34" s="181"/>
      <c r="IO34" s="181"/>
      <c r="IP34" s="181"/>
      <c r="IQ34" s="181"/>
      <c r="IR34" s="181"/>
      <c r="IS34" s="181"/>
      <c r="IT34" s="181"/>
      <c r="IU34" s="181"/>
      <c r="IV34" s="181"/>
      <c r="IW34" s="181"/>
      <c r="IX34" s="181"/>
      <c r="IY34" s="181"/>
      <c r="IZ34" s="181"/>
      <c r="JA34" s="181"/>
      <c r="JB34" s="181"/>
      <c r="JC34" s="181"/>
      <c r="JD34" s="181"/>
      <c r="JE34" s="181"/>
      <c r="JF34" s="181"/>
      <c r="JG34" s="181"/>
      <c r="JH34" s="181"/>
      <c r="JI34" s="181"/>
      <c r="JJ34" s="181"/>
      <c r="JK34" s="181"/>
      <c r="JL34" s="181"/>
      <c r="JM34" s="181"/>
      <c r="JN34" s="181"/>
      <c r="JO34" s="181"/>
      <c r="JP34" s="181"/>
      <c r="JQ34" s="181"/>
      <c r="JR34" s="181"/>
      <c r="JS34" s="181"/>
      <c r="JT34" s="181"/>
      <c r="JU34" s="181"/>
      <c r="JV34" s="181"/>
      <c r="JW34" s="181"/>
      <c r="JX34" s="181"/>
      <c r="JY34" s="181"/>
      <c r="JZ34" s="181"/>
      <c r="KA34" s="181"/>
      <c r="KB34" s="181"/>
      <c r="KC34" s="181"/>
      <c r="KD34" s="181"/>
      <c r="KE34" s="181"/>
      <c r="KF34" s="181"/>
      <c r="KG34" s="181"/>
      <c r="KH34" s="181"/>
      <c r="KI34" s="181"/>
      <c r="KJ34" s="181"/>
      <c r="KK34" s="181"/>
      <c r="KL34" s="181"/>
      <c r="KM34" s="181"/>
      <c r="KN34" s="181"/>
      <c r="KO34" s="181"/>
      <c r="KP34" s="181"/>
      <c r="KQ34" s="181"/>
      <c r="KR34" s="181"/>
      <c r="KS34" s="181"/>
      <c r="KT34" s="181"/>
      <c r="KU34" s="181"/>
      <c r="KV34" s="181"/>
      <c r="KW34" s="181"/>
      <c r="KX34" s="181"/>
      <c r="KY34" s="181"/>
      <c r="KZ34" s="181"/>
      <c r="LA34" s="181"/>
      <c r="LB34" s="181"/>
      <c r="LC34" s="181"/>
      <c r="LD34" s="181"/>
      <c r="LE34" s="181"/>
      <c r="LF34" s="181"/>
      <c r="LG34" s="181"/>
      <c r="LH34" s="181"/>
      <c r="LI34" s="181"/>
      <c r="LJ34" s="181"/>
      <c r="LK34" s="181"/>
      <c r="LL34" s="181"/>
      <c r="LM34" s="181"/>
      <c r="LN34" s="181"/>
      <c r="LO34" s="181"/>
      <c r="LP34" s="181"/>
      <c r="LQ34" s="181"/>
      <c r="LR34" s="181"/>
      <c r="LS34" s="181"/>
      <c r="LT34" s="181"/>
      <c r="LU34" s="181"/>
      <c r="LV34" s="181"/>
      <c r="LW34" s="181"/>
      <c r="LX34" s="181"/>
      <c r="LY34" s="181"/>
      <c r="LZ34" s="181"/>
      <c r="MA34" s="181"/>
      <c r="MB34" s="181"/>
      <c r="MC34" s="181"/>
      <c r="MD34" s="181"/>
      <c r="ME34" s="181"/>
      <c r="MF34" s="181"/>
      <c r="MG34" s="181"/>
      <c r="MH34" s="181"/>
      <c r="MI34" s="181"/>
      <c r="MJ34" s="181"/>
      <c r="MK34" s="181"/>
      <c r="ML34" s="181"/>
      <c r="MM34" s="181"/>
      <c r="MN34" s="181"/>
      <c r="MO34" s="181"/>
      <c r="MP34" s="181"/>
      <c r="MQ34" s="181"/>
      <c r="MR34" s="181"/>
      <c r="MS34" s="181"/>
      <c r="MT34" s="181"/>
      <c r="MU34" s="181"/>
      <c r="MV34" s="181"/>
      <c r="MW34" s="181"/>
      <c r="MX34" s="181"/>
      <c r="MY34" s="181"/>
      <c r="MZ34" s="181"/>
      <c r="NA34" s="181"/>
      <c r="NB34" s="181"/>
      <c r="NC34" s="181"/>
      <c r="ND34" s="181"/>
      <c r="NE34" s="181"/>
      <c r="NF34" s="181"/>
      <c r="NG34" s="181"/>
      <c r="NH34" s="181"/>
      <c r="NI34" s="181"/>
      <c r="NJ34" s="181"/>
      <c r="NK34" s="181"/>
      <c r="NL34" s="181"/>
      <c r="NM34" s="181"/>
      <c r="NN34" s="181"/>
      <c r="NO34" s="181"/>
      <c r="NP34" s="181"/>
      <c r="NQ34" s="181"/>
      <c r="NR34" s="181"/>
      <c r="NS34" s="181"/>
      <c r="NT34" s="181"/>
      <c r="NU34" s="181"/>
      <c r="NV34" s="181"/>
      <c r="NW34" s="181"/>
      <c r="NX34" s="181"/>
      <c r="NY34" s="181"/>
      <c r="NZ34" s="181"/>
      <c r="OA34" s="181"/>
      <c r="OB34" s="181"/>
      <c r="OC34" s="181"/>
      <c r="OD34" s="181"/>
      <c r="OE34" s="181"/>
      <c r="OF34" s="181"/>
      <c r="OG34" s="181"/>
      <c r="OH34" s="181"/>
      <c r="OI34" s="181"/>
      <c r="OJ34" s="181"/>
      <c r="OK34" s="181"/>
      <c r="OL34" s="181"/>
      <c r="OM34" s="181"/>
      <c r="ON34" s="181"/>
      <c r="OO34" s="181"/>
      <c r="OP34" s="181"/>
      <c r="OQ34" s="181"/>
      <c r="OR34" s="181"/>
      <c r="OS34" s="181"/>
      <c r="OT34" s="181"/>
      <c r="OU34" s="181"/>
      <c r="OV34" s="181"/>
      <c r="OW34" s="181"/>
      <c r="OX34" s="181"/>
      <c r="OY34" s="181"/>
      <c r="OZ34" s="181"/>
      <c r="PA34" s="181"/>
      <c r="PB34" s="181"/>
      <c r="PC34" s="181"/>
      <c r="PD34" s="181"/>
      <c r="PE34" s="181"/>
      <c r="PF34" s="181"/>
      <c r="PG34" s="181"/>
      <c r="PH34" s="181"/>
      <c r="PI34" s="181"/>
      <c r="PJ34" s="181"/>
      <c r="PK34" s="181"/>
      <c r="PL34" s="181"/>
      <c r="PM34" s="181"/>
      <c r="PN34" s="181"/>
      <c r="PO34" s="181"/>
      <c r="PP34" s="181"/>
      <c r="PQ34" s="181"/>
      <c r="PR34" s="181"/>
      <c r="PS34" s="181"/>
      <c r="PT34" s="181"/>
      <c r="PU34" s="181"/>
      <c r="PV34" s="181"/>
      <c r="PW34" s="181"/>
      <c r="PX34" s="181"/>
      <c r="PY34" s="181"/>
      <c r="PZ34" s="181"/>
      <c r="QA34" s="181"/>
      <c r="QB34" s="181"/>
      <c r="QC34" s="181"/>
      <c r="QD34" s="181"/>
      <c r="QE34" s="181"/>
      <c r="QF34" s="181"/>
      <c r="QG34" s="181"/>
      <c r="QH34" s="181"/>
      <c r="QI34" s="181"/>
      <c r="QJ34" s="181"/>
      <c r="QK34" s="181"/>
      <c r="QL34" s="181"/>
      <c r="QM34" s="181"/>
      <c r="QN34" s="181"/>
      <c r="QO34" s="181"/>
      <c r="QP34" s="181"/>
      <c r="QQ34" s="181"/>
      <c r="QR34" s="181"/>
      <c r="QS34" s="181"/>
      <c r="QT34" s="181"/>
      <c r="QU34" s="181"/>
      <c r="QV34" s="181"/>
      <c r="QW34" s="181"/>
      <c r="QX34" s="181"/>
      <c r="QY34" s="181"/>
      <c r="QZ34" s="181"/>
      <c r="RA34" s="181"/>
      <c r="RB34" s="181"/>
      <c r="RC34" s="181"/>
      <c r="RD34" s="181"/>
      <c r="RE34" s="181"/>
      <c r="RF34" s="181"/>
      <c r="RG34" s="181"/>
      <c r="RH34" s="181"/>
      <c r="RI34" s="181"/>
      <c r="RJ34" s="181"/>
      <c r="RK34" s="181"/>
      <c r="RL34" s="181"/>
      <c r="RM34" s="181"/>
      <c r="RN34" s="181"/>
      <c r="RO34" s="181"/>
      <c r="RP34" s="181"/>
      <c r="RQ34" s="181"/>
      <c r="RR34" s="181"/>
      <c r="RS34" s="181"/>
      <c r="RT34" s="181"/>
      <c r="RU34" s="181"/>
      <c r="RV34" s="181"/>
      <c r="RW34" s="181"/>
      <c r="RX34" s="181"/>
      <c r="RY34" s="181"/>
      <c r="RZ34" s="181"/>
      <c r="SA34" s="181"/>
      <c r="SB34" s="181"/>
      <c r="SC34" s="181"/>
      <c r="SD34" s="181"/>
      <c r="SE34" s="181"/>
      <c r="SF34" s="181"/>
      <c r="SG34" s="181"/>
      <c r="SH34" s="181"/>
      <c r="SI34" s="181"/>
      <c r="SJ34" s="181"/>
      <c r="SK34" s="181"/>
      <c r="SL34" s="181"/>
      <c r="SM34" s="181"/>
      <c r="SN34" s="181"/>
      <c r="SO34" s="181"/>
      <c r="SP34" s="181"/>
      <c r="SQ34" s="181"/>
      <c r="SR34" s="181"/>
      <c r="SS34" s="181"/>
      <c r="ST34" s="181"/>
      <c r="SU34" s="181"/>
      <c r="SV34" s="181"/>
      <c r="SW34" s="181"/>
      <c r="SX34" s="181"/>
      <c r="SY34" s="181"/>
      <c r="SZ34" s="181"/>
      <c r="TA34" s="181"/>
      <c r="TB34" s="181"/>
      <c r="TC34" s="181"/>
      <c r="TD34" s="181"/>
      <c r="TE34" s="181"/>
      <c r="TF34" s="181"/>
      <c r="TG34" s="181"/>
      <c r="TH34" s="181"/>
      <c r="TI34" s="181"/>
      <c r="TJ34" s="181"/>
      <c r="TK34" s="181"/>
      <c r="TL34" s="181"/>
      <c r="TM34" s="181"/>
      <c r="TN34" s="181"/>
      <c r="TO34" s="181"/>
      <c r="TP34" s="181"/>
      <c r="TQ34" s="181"/>
      <c r="TR34" s="181"/>
      <c r="TS34" s="181"/>
      <c r="TT34" s="181"/>
      <c r="TU34" s="181"/>
      <c r="TV34" s="181"/>
      <c r="TW34" s="181"/>
      <c r="TX34" s="181"/>
      <c r="TY34" s="181"/>
      <c r="TZ34" s="181"/>
      <c r="UA34" s="181"/>
      <c r="UB34" s="181"/>
      <c r="UC34" s="181"/>
      <c r="UD34" s="181"/>
      <c r="UE34" s="181"/>
      <c r="UF34" s="181"/>
      <c r="UG34" s="181"/>
      <c r="UH34" s="181"/>
      <c r="UI34" s="181"/>
      <c r="UJ34" s="181"/>
      <c r="UK34" s="181"/>
      <c r="UL34" s="181"/>
      <c r="UM34" s="181"/>
      <c r="UN34" s="181"/>
      <c r="UO34" s="181"/>
      <c r="UP34" s="181"/>
      <c r="UQ34" s="181"/>
      <c r="UR34" s="181"/>
      <c r="US34" s="181"/>
      <c r="UT34" s="181"/>
      <c r="UU34" s="181"/>
      <c r="UV34" s="181"/>
      <c r="UW34" s="181"/>
      <c r="UX34" s="181"/>
      <c r="UY34" s="181"/>
      <c r="UZ34" s="181"/>
      <c r="VA34" s="181"/>
      <c r="VB34" s="181"/>
      <c r="VC34" s="181"/>
      <c r="VD34" s="181"/>
      <c r="VE34" s="181"/>
      <c r="VF34" s="181"/>
      <c r="VG34" s="181"/>
      <c r="VH34" s="181"/>
      <c r="VI34" s="181"/>
      <c r="VJ34" s="181"/>
      <c r="VK34" s="181"/>
      <c r="VL34" s="181"/>
      <c r="VM34" s="181"/>
      <c r="VN34" s="181"/>
      <c r="VO34" s="181"/>
      <c r="VP34" s="181"/>
      <c r="VQ34" s="181"/>
      <c r="VR34" s="181"/>
      <c r="VS34" s="181"/>
      <c r="VT34" s="181"/>
      <c r="VU34" s="181"/>
      <c r="VV34" s="181"/>
      <c r="VW34" s="181"/>
      <c r="VX34" s="181"/>
      <c r="VY34" s="181"/>
      <c r="VZ34" s="181"/>
      <c r="WA34" s="181"/>
      <c r="WB34" s="181"/>
      <c r="WC34" s="181"/>
      <c r="WD34" s="181"/>
      <c r="WE34" s="181"/>
      <c r="WF34" s="181"/>
      <c r="WG34" s="181"/>
      <c r="WH34" s="181"/>
      <c r="WI34" s="181"/>
      <c r="WJ34" s="181"/>
      <c r="WK34" s="181"/>
      <c r="WL34" s="181"/>
      <c r="WM34" s="181"/>
      <c r="WN34" s="181"/>
      <c r="WO34" s="181"/>
      <c r="WP34" s="181"/>
      <c r="WQ34" s="181"/>
      <c r="WR34" s="181"/>
      <c r="WS34" s="181"/>
      <c r="WT34" s="181"/>
      <c r="WU34" s="181"/>
      <c r="WV34" s="181"/>
      <c r="WW34" s="181"/>
      <c r="WX34" s="181"/>
      <c r="WY34" s="181"/>
      <c r="WZ34" s="181"/>
      <c r="XA34" s="181"/>
      <c r="XB34" s="181"/>
      <c r="XC34" s="181"/>
      <c r="XD34" s="181"/>
      <c r="XE34" s="181"/>
      <c r="XF34" s="181"/>
      <c r="XG34" s="181"/>
      <c r="XH34" s="181"/>
      <c r="XI34" s="181"/>
      <c r="XJ34" s="181"/>
      <c r="XK34" s="181"/>
      <c r="XL34" s="181"/>
      <c r="XM34" s="181"/>
      <c r="XN34" s="181"/>
      <c r="XO34" s="181"/>
      <c r="XP34" s="181"/>
      <c r="XQ34" s="181"/>
      <c r="XR34" s="181"/>
      <c r="XS34" s="181"/>
      <c r="XT34" s="181"/>
      <c r="XU34" s="181"/>
      <c r="XV34" s="181"/>
      <c r="XW34" s="181"/>
      <c r="XX34" s="181"/>
      <c r="XY34" s="181"/>
      <c r="XZ34" s="181"/>
      <c r="YA34" s="181"/>
      <c r="YB34" s="181"/>
      <c r="YC34" s="181"/>
      <c r="YD34" s="181"/>
      <c r="YE34" s="181"/>
      <c r="YF34" s="181"/>
      <c r="YG34" s="181"/>
      <c r="YH34" s="181"/>
      <c r="YI34" s="181"/>
      <c r="YJ34" s="181"/>
      <c r="YK34" s="181"/>
      <c r="YL34" s="181"/>
      <c r="YM34" s="181"/>
      <c r="YN34" s="181"/>
      <c r="YO34" s="181"/>
      <c r="YP34" s="181"/>
      <c r="YQ34" s="181"/>
      <c r="YR34" s="181"/>
      <c r="YS34" s="181"/>
      <c r="YT34" s="181"/>
      <c r="YU34" s="181"/>
      <c r="YV34" s="181"/>
      <c r="YW34" s="181"/>
      <c r="YX34" s="181"/>
      <c r="YY34" s="181"/>
      <c r="YZ34" s="181"/>
      <c r="ZA34" s="181"/>
      <c r="ZB34" s="181"/>
      <c r="ZC34" s="181"/>
      <c r="ZD34" s="181"/>
      <c r="ZE34" s="181"/>
      <c r="ZF34" s="181"/>
      <c r="ZG34" s="181"/>
      <c r="ZH34" s="181"/>
      <c r="ZI34" s="181"/>
      <c r="ZJ34" s="181"/>
      <c r="ZK34" s="181"/>
      <c r="ZL34" s="181"/>
      <c r="ZM34" s="181"/>
      <c r="ZN34" s="181"/>
      <c r="ZO34" s="181"/>
      <c r="ZP34" s="181"/>
      <c r="ZQ34" s="181"/>
      <c r="ZR34" s="181"/>
      <c r="ZS34" s="181"/>
      <c r="ZT34" s="181"/>
      <c r="ZU34" s="181"/>
      <c r="ZV34" s="181"/>
      <c r="ZW34" s="181"/>
      <c r="ZX34" s="181"/>
      <c r="ZY34" s="181"/>
      <c r="ZZ34" s="181"/>
      <c r="AAA34" s="181"/>
      <c r="AAB34" s="181"/>
      <c r="AAC34" s="181"/>
      <c r="AAD34" s="181"/>
      <c r="AAE34" s="181"/>
      <c r="AAF34" s="181"/>
      <c r="AAG34" s="181"/>
      <c r="AAH34" s="181"/>
      <c r="AAI34" s="181"/>
      <c r="AAJ34" s="181"/>
      <c r="AAK34" s="181"/>
      <c r="AAL34" s="181"/>
      <c r="AAM34" s="181"/>
      <c r="AAN34" s="181"/>
      <c r="AAO34" s="181"/>
      <c r="AAP34" s="181"/>
      <c r="AAQ34" s="181"/>
      <c r="AAR34" s="181"/>
      <c r="AAS34" s="181"/>
      <c r="AAT34" s="181"/>
      <c r="AAU34" s="181"/>
      <c r="AAV34" s="181"/>
      <c r="AAW34" s="181"/>
      <c r="AAX34" s="181"/>
      <c r="AAY34" s="181"/>
      <c r="AAZ34" s="181"/>
      <c r="ABA34" s="181"/>
      <c r="ABB34" s="181"/>
      <c r="ABC34" s="181"/>
      <c r="ABD34" s="181"/>
      <c r="ABE34" s="181"/>
      <c r="ABF34" s="181"/>
      <c r="ABG34" s="181"/>
      <c r="ABH34" s="181"/>
      <c r="ABI34" s="181"/>
      <c r="ABJ34" s="181"/>
      <c r="ABK34" s="181"/>
      <c r="ABL34" s="181"/>
      <c r="ABM34" s="181"/>
      <c r="ABN34" s="181"/>
      <c r="ABO34" s="181"/>
      <c r="ABP34" s="181"/>
      <c r="ABQ34" s="181"/>
      <c r="ABR34" s="181"/>
      <c r="ABS34" s="181"/>
      <c r="ABT34" s="181"/>
      <c r="ABU34" s="181"/>
      <c r="ABV34" s="181"/>
      <c r="ABW34" s="181"/>
      <c r="ABX34" s="181"/>
      <c r="ABY34" s="181"/>
      <c r="ABZ34" s="181"/>
      <c r="ACA34" s="181"/>
      <c r="ACB34" s="181"/>
      <c r="ACC34" s="181"/>
      <c r="ACD34" s="181"/>
      <c r="ACE34" s="181"/>
      <c r="ACF34" s="181"/>
      <c r="ACG34" s="181"/>
      <c r="ACH34" s="181"/>
      <c r="ACI34" s="181"/>
      <c r="ACJ34" s="181"/>
      <c r="ACK34" s="181"/>
      <c r="ACL34" s="181"/>
      <c r="ACM34" s="181"/>
      <c r="ACN34" s="181"/>
      <c r="ACO34" s="181"/>
      <c r="ACP34" s="181"/>
      <c r="ACQ34" s="181"/>
      <c r="ACR34" s="181"/>
      <c r="ACS34" s="181"/>
      <c r="ACT34" s="181"/>
      <c r="ACU34" s="181"/>
      <c r="ACV34" s="181"/>
      <c r="ACW34" s="181"/>
      <c r="ACX34" s="181"/>
      <c r="ACY34" s="181"/>
      <c r="ACZ34" s="181"/>
      <c r="ADA34" s="181"/>
      <c r="ADB34" s="181"/>
      <c r="ADC34" s="181"/>
      <c r="ADD34" s="181"/>
      <c r="ADE34" s="181"/>
      <c r="ADF34" s="181"/>
      <c r="ADG34" s="181"/>
      <c r="ADH34" s="181"/>
      <c r="ADI34" s="181"/>
      <c r="ADJ34" s="181"/>
      <c r="ADK34" s="181"/>
      <c r="ADL34" s="181"/>
      <c r="ADM34" s="181"/>
      <c r="ADN34" s="181"/>
      <c r="ADO34" s="181"/>
      <c r="ADP34" s="181"/>
      <c r="ADQ34" s="181"/>
      <c r="ADR34" s="181"/>
      <c r="ADS34" s="181"/>
      <c r="ADT34" s="181"/>
      <c r="ADU34" s="181"/>
      <c r="ADV34" s="181"/>
      <c r="ADW34" s="181"/>
      <c r="ADX34" s="181"/>
      <c r="ADY34" s="181"/>
      <c r="ADZ34" s="181"/>
      <c r="AEA34" s="181"/>
      <c r="AEB34" s="181"/>
      <c r="AEC34" s="181"/>
      <c r="AED34" s="181"/>
      <c r="AEE34" s="181"/>
      <c r="AEF34" s="181"/>
      <c r="AEG34" s="181"/>
      <c r="AEH34" s="181"/>
      <c r="AEI34" s="181"/>
      <c r="AEJ34" s="181"/>
      <c r="AEK34" s="181"/>
      <c r="AEL34" s="181"/>
      <c r="AEM34" s="181"/>
      <c r="AEN34" s="181"/>
      <c r="AEO34" s="181"/>
      <c r="AEP34" s="181"/>
      <c r="AEQ34" s="181"/>
      <c r="AER34" s="181"/>
      <c r="AES34" s="181"/>
      <c r="AET34" s="181"/>
      <c r="AEU34" s="181"/>
      <c r="AEV34" s="181"/>
      <c r="AEW34" s="181"/>
      <c r="AEX34" s="181"/>
      <c r="AEY34" s="181"/>
      <c r="AEZ34" s="181"/>
      <c r="AFA34" s="181"/>
      <c r="AFB34" s="181"/>
      <c r="AFC34" s="181"/>
      <c r="AFD34" s="181"/>
      <c r="AFE34" s="181"/>
      <c r="AFF34" s="181"/>
      <c r="AFG34" s="181"/>
      <c r="AFH34" s="181"/>
      <c r="AFI34" s="181"/>
      <c r="AFJ34" s="181"/>
      <c r="AFK34" s="181"/>
      <c r="AFL34" s="181"/>
      <c r="AFM34" s="181"/>
      <c r="AFN34" s="181"/>
      <c r="AFO34" s="181"/>
      <c r="AFP34" s="181"/>
      <c r="AFQ34" s="181"/>
      <c r="AFR34" s="181"/>
      <c r="AFS34" s="181"/>
      <c r="AFT34" s="181"/>
      <c r="AFU34" s="181"/>
      <c r="AFV34" s="181"/>
      <c r="AFW34" s="181"/>
      <c r="AFX34" s="181"/>
      <c r="AFY34" s="181"/>
      <c r="AFZ34" s="181"/>
      <c r="AGA34" s="181"/>
      <c r="AGB34" s="181"/>
      <c r="AGC34" s="181"/>
      <c r="AGD34" s="181"/>
      <c r="AGE34" s="181"/>
      <c r="AGF34" s="181"/>
      <c r="AGG34" s="181"/>
      <c r="AGH34" s="181"/>
      <c r="AGI34" s="181"/>
      <c r="AGJ34" s="181"/>
      <c r="AGK34" s="181"/>
      <c r="AGL34" s="181"/>
      <c r="AGM34" s="181"/>
      <c r="AGN34" s="181"/>
      <c r="AGO34" s="181"/>
      <c r="AGP34" s="181"/>
      <c r="AGQ34" s="181"/>
      <c r="AGR34" s="181"/>
      <c r="AGS34" s="181"/>
      <c r="AGT34" s="181"/>
      <c r="AGU34" s="181"/>
      <c r="AGV34" s="181"/>
      <c r="AGW34" s="181"/>
      <c r="AGX34" s="181"/>
      <c r="AGY34" s="181"/>
      <c r="AGZ34" s="181"/>
      <c r="AHA34" s="181"/>
      <c r="AHB34" s="181"/>
      <c r="AHC34" s="181"/>
      <c r="AHD34" s="181"/>
      <c r="AHE34" s="181"/>
      <c r="AHF34" s="181"/>
      <c r="AHG34" s="181"/>
      <c r="AHH34" s="181"/>
      <c r="AHI34" s="181"/>
      <c r="AHJ34" s="181"/>
      <c r="AHK34" s="181"/>
      <c r="AHL34" s="181"/>
      <c r="AHM34" s="181"/>
      <c r="AHN34" s="181"/>
      <c r="AHO34" s="181"/>
      <c r="AHP34" s="181"/>
      <c r="AHQ34" s="181"/>
      <c r="AHR34" s="181"/>
      <c r="AHS34" s="181"/>
      <c r="AHT34" s="181"/>
      <c r="AHU34" s="181"/>
      <c r="AHV34" s="181"/>
      <c r="AHW34" s="181"/>
      <c r="AHX34" s="181"/>
      <c r="AHY34" s="181"/>
      <c r="AHZ34" s="181"/>
      <c r="AIA34" s="181"/>
      <c r="AIB34" s="181"/>
      <c r="AIC34" s="181"/>
      <c r="AID34" s="181"/>
      <c r="AIE34" s="181"/>
      <c r="AIF34" s="181"/>
      <c r="AIG34" s="181"/>
      <c r="AIH34" s="181"/>
      <c r="AII34" s="181"/>
      <c r="AIJ34" s="181"/>
      <c r="AIK34" s="181"/>
      <c r="AIL34" s="181"/>
      <c r="AIM34" s="181"/>
      <c r="AIN34" s="181"/>
      <c r="AIO34" s="181"/>
      <c r="AIP34" s="181"/>
      <c r="AIQ34" s="181"/>
      <c r="AIR34" s="181"/>
      <c r="AIS34" s="181"/>
      <c r="AIT34" s="181"/>
      <c r="AIU34" s="181"/>
      <c r="AIV34" s="181"/>
      <c r="AIW34" s="181"/>
      <c r="AIX34" s="181"/>
      <c r="AIY34" s="181"/>
      <c r="AIZ34" s="181"/>
      <c r="AJA34" s="181"/>
      <c r="AJB34" s="181"/>
      <c r="AJC34" s="181"/>
      <c r="AJD34" s="181"/>
      <c r="AJE34" s="181"/>
      <c r="AJF34" s="181"/>
      <c r="AJG34" s="181"/>
      <c r="AJH34" s="181"/>
      <c r="AJI34" s="181"/>
      <c r="AJJ34" s="181"/>
      <c r="AJK34" s="181"/>
      <c r="AJL34" s="181"/>
      <c r="AJM34" s="181"/>
      <c r="AJN34" s="181"/>
      <c r="AJO34" s="181"/>
      <c r="AJP34" s="181"/>
      <c r="AJQ34" s="181"/>
      <c r="AJR34" s="181"/>
      <c r="AJS34" s="181"/>
      <c r="AJT34" s="181"/>
      <c r="AJU34" s="181"/>
      <c r="AJV34" s="181"/>
      <c r="AJW34" s="181"/>
      <c r="AJX34" s="181"/>
      <c r="AJY34" s="181"/>
      <c r="AJZ34" s="181"/>
      <c r="AKA34" s="181"/>
      <c r="AKB34" s="181"/>
      <c r="AKC34" s="181"/>
      <c r="AKD34" s="181"/>
      <c r="AKE34" s="181"/>
      <c r="AKF34" s="181"/>
      <c r="AKG34" s="181"/>
      <c r="AKH34" s="181"/>
      <c r="AKI34" s="181"/>
      <c r="AKJ34" s="181"/>
      <c r="AKK34" s="181"/>
      <c r="AKL34" s="181"/>
      <c r="AKM34" s="181"/>
      <c r="AKN34" s="181"/>
      <c r="AKO34" s="181"/>
      <c r="AKP34" s="181"/>
      <c r="AKQ34" s="181"/>
      <c r="AKR34" s="181"/>
      <c r="AKS34" s="181"/>
      <c r="AKT34" s="181"/>
      <c r="AKU34" s="181"/>
      <c r="AKV34" s="181"/>
      <c r="AKW34" s="181"/>
      <c r="AKX34" s="181"/>
      <c r="AKY34" s="181"/>
    </row>
    <row r="35" spans="1:987" s="182" customFormat="1" ht="15" customHeight="1" x14ac:dyDescent="0.3">
      <c r="A35" s="158"/>
      <c r="B35" s="159"/>
      <c r="C35" s="463"/>
      <c r="D35" s="464" t="s">
        <v>2835</v>
      </c>
      <c r="E35" s="465"/>
      <c r="F35" s="466"/>
      <c r="G35" s="127">
        <f>SUM(G34)</f>
        <v>180000</v>
      </c>
      <c r="H35" s="177"/>
      <c r="I35" s="128"/>
      <c r="J35" s="128"/>
      <c r="K35" s="128"/>
      <c r="L35" s="128"/>
      <c r="M35" s="128"/>
      <c r="N35" s="128"/>
      <c r="O35" s="128"/>
      <c r="P35" s="128"/>
      <c r="Q35" s="128"/>
      <c r="R35" s="128"/>
      <c r="S35" s="129"/>
      <c r="T35" s="125"/>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c r="CY35" s="181"/>
      <c r="CZ35" s="181"/>
      <c r="DA35" s="181"/>
      <c r="DB35" s="181"/>
      <c r="DC35" s="181"/>
      <c r="DD35" s="181"/>
      <c r="DE35" s="181"/>
      <c r="DF35" s="181"/>
      <c r="DG35" s="181"/>
      <c r="DH35" s="181"/>
      <c r="DI35" s="181"/>
      <c r="DJ35" s="181"/>
      <c r="DK35" s="181"/>
      <c r="DL35" s="181"/>
      <c r="DM35" s="181"/>
      <c r="DN35" s="181"/>
      <c r="DO35" s="181"/>
      <c r="DP35" s="181"/>
      <c r="DQ35" s="181"/>
      <c r="DR35" s="181"/>
      <c r="DS35" s="181"/>
      <c r="DT35" s="181"/>
      <c r="DU35" s="181"/>
      <c r="DV35" s="181"/>
      <c r="DW35" s="181"/>
      <c r="DX35" s="181"/>
      <c r="DY35" s="181"/>
      <c r="DZ35" s="181"/>
      <c r="EA35" s="181"/>
      <c r="EB35" s="181"/>
      <c r="EC35" s="181"/>
      <c r="ED35" s="181"/>
      <c r="EE35" s="181"/>
      <c r="EF35" s="181"/>
      <c r="EG35" s="181"/>
      <c r="EH35" s="181"/>
      <c r="EI35" s="181"/>
      <c r="EJ35" s="181"/>
      <c r="EK35" s="181"/>
      <c r="EL35" s="181"/>
      <c r="EM35" s="181"/>
      <c r="EN35" s="181"/>
      <c r="EO35" s="181"/>
      <c r="EP35" s="181"/>
      <c r="EQ35" s="181"/>
      <c r="ER35" s="181"/>
      <c r="ES35" s="181"/>
      <c r="ET35" s="181"/>
      <c r="EU35" s="181"/>
      <c r="EV35" s="181"/>
      <c r="EW35" s="181"/>
      <c r="EX35" s="181"/>
      <c r="EY35" s="181"/>
      <c r="EZ35" s="181"/>
      <c r="FA35" s="181"/>
      <c r="FB35" s="181"/>
      <c r="FC35" s="181"/>
      <c r="FD35" s="181"/>
      <c r="FE35" s="181"/>
      <c r="FF35" s="181"/>
      <c r="FG35" s="181"/>
      <c r="FH35" s="181"/>
      <c r="FI35" s="181"/>
      <c r="FJ35" s="181"/>
      <c r="FK35" s="181"/>
      <c r="FL35" s="181"/>
      <c r="FM35" s="181"/>
      <c r="FN35" s="181"/>
      <c r="FO35" s="181"/>
      <c r="FP35" s="181"/>
      <c r="FQ35" s="181"/>
      <c r="FR35" s="181"/>
      <c r="FS35" s="181"/>
      <c r="FT35" s="181"/>
      <c r="FU35" s="181"/>
      <c r="FV35" s="181"/>
      <c r="FW35" s="181"/>
      <c r="FX35" s="181"/>
      <c r="FY35" s="181"/>
      <c r="FZ35" s="181"/>
      <c r="GA35" s="181"/>
      <c r="GB35" s="181"/>
      <c r="GC35" s="181"/>
      <c r="GD35" s="181"/>
      <c r="GE35" s="181"/>
      <c r="GF35" s="181"/>
      <c r="GG35" s="181"/>
      <c r="GH35" s="181"/>
      <c r="GI35" s="181"/>
      <c r="GJ35" s="181"/>
      <c r="GK35" s="181"/>
      <c r="GL35" s="181"/>
      <c r="GM35" s="181"/>
      <c r="GN35" s="181"/>
      <c r="GO35" s="181"/>
      <c r="GP35" s="181"/>
      <c r="GQ35" s="181"/>
      <c r="GR35" s="181"/>
      <c r="GS35" s="181"/>
      <c r="GT35" s="181"/>
      <c r="GU35" s="181"/>
      <c r="GV35" s="181"/>
      <c r="GW35" s="181"/>
      <c r="GX35" s="181"/>
      <c r="GY35" s="181"/>
      <c r="GZ35" s="181"/>
      <c r="HA35" s="181"/>
      <c r="HB35" s="181"/>
      <c r="HC35" s="181"/>
      <c r="HD35" s="181"/>
      <c r="HE35" s="181"/>
      <c r="HF35" s="181"/>
      <c r="HG35" s="181"/>
      <c r="HH35" s="181"/>
      <c r="HI35" s="181"/>
      <c r="HJ35" s="181"/>
      <c r="HK35" s="181"/>
      <c r="HL35" s="181"/>
      <c r="HM35" s="181"/>
      <c r="HN35" s="181"/>
      <c r="HO35" s="181"/>
      <c r="HP35" s="181"/>
      <c r="HQ35" s="181"/>
      <c r="HR35" s="181"/>
      <c r="HS35" s="181"/>
      <c r="HT35" s="181"/>
      <c r="HU35" s="181"/>
      <c r="HV35" s="181"/>
      <c r="HW35" s="181"/>
      <c r="HX35" s="181"/>
      <c r="HY35" s="181"/>
      <c r="HZ35" s="181"/>
      <c r="IA35" s="181"/>
      <c r="IB35" s="181"/>
      <c r="IC35" s="181"/>
      <c r="ID35" s="181"/>
      <c r="IE35" s="181"/>
      <c r="IF35" s="181"/>
      <c r="IG35" s="181"/>
      <c r="IH35" s="181"/>
      <c r="II35" s="181"/>
      <c r="IJ35" s="181"/>
      <c r="IK35" s="181"/>
      <c r="IL35" s="181"/>
      <c r="IM35" s="181"/>
      <c r="IN35" s="181"/>
      <c r="IO35" s="181"/>
      <c r="IP35" s="181"/>
      <c r="IQ35" s="181"/>
      <c r="IR35" s="181"/>
      <c r="IS35" s="181"/>
      <c r="IT35" s="181"/>
      <c r="IU35" s="181"/>
      <c r="IV35" s="181"/>
      <c r="IW35" s="181"/>
      <c r="IX35" s="181"/>
      <c r="IY35" s="181"/>
      <c r="IZ35" s="181"/>
      <c r="JA35" s="181"/>
      <c r="JB35" s="181"/>
      <c r="JC35" s="181"/>
      <c r="JD35" s="181"/>
      <c r="JE35" s="181"/>
      <c r="JF35" s="181"/>
      <c r="JG35" s="181"/>
      <c r="JH35" s="181"/>
      <c r="JI35" s="181"/>
      <c r="JJ35" s="181"/>
      <c r="JK35" s="181"/>
      <c r="JL35" s="181"/>
      <c r="JM35" s="181"/>
      <c r="JN35" s="181"/>
      <c r="JO35" s="181"/>
      <c r="JP35" s="181"/>
      <c r="JQ35" s="181"/>
      <c r="JR35" s="181"/>
      <c r="JS35" s="181"/>
      <c r="JT35" s="181"/>
      <c r="JU35" s="181"/>
      <c r="JV35" s="181"/>
      <c r="JW35" s="181"/>
      <c r="JX35" s="181"/>
      <c r="JY35" s="181"/>
      <c r="JZ35" s="181"/>
      <c r="KA35" s="181"/>
      <c r="KB35" s="181"/>
      <c r="KC35" s="181"/>
      <c r="KD35" s="181"/>
      <c r="KE35" s="181"/>
      <c r="KF35" s="181"/>
      <c r="KG35" s="181"/>
      <c r="KH35" s="181"/>
      <c r="KI35" s="181"/>
      <c r="KJ35" s="181"/>
      <c r="KK35" s="181"/>
      <c r="KL35" s="181"/>
      <c r="KM35" s="181"/>
      <c r="KN35" s="181"/>
      <c r="KO35" s="181"/>
      <c r="KP35" s="181"/>
      <c r="KQ35" s="181"/>
      <c r="KR35" s="181"/>
      <c r="KS35" s="181"/>
      <c r="KT35" s="181"/>
      <c r="KU35" s="181"/>
      <c r="KV35" s="181"/>
      <c r="KW35" s="181"/>
      <c r="KX35" s="181"/>
      <c r="KY35" s="181"/>
      <c r="KZ35" s="181"/>
      <c r="LA35" s="181"/>
      <c r="LB35" s="181"/>
      <c r="LC35" s="181"/>
      <c r="LD35" s="181"/>
      <c r="LE35" s="181"/>
      <c r="LF35" s="181"/>
      <c r="LG35" s="181"/>
      <c r="LH35" s="181"/>
      <c r="LI35" s="181"/>
      <c r="LJ35" s="181"/>
      <c r="LK35" s="181"/>
      <c r="LL35" s="181"/>
      <c r="LM35" s="181"/>
      <c r="LN35" s="181"/>
      <c r="LO35" s="181"/>
      <c r="LP35" s="181"/>
      <c r="LQ35" s="181"/>
      <c r="LR35" s="181"/>
      <c r="LS35" s="181"/>
      <c r="LT35" s="181"/>
      <c r="LU35" s="181"/>
      <c r="LV35" s="181"/>
      <c r="LW35" s="181"/>
      <c r="LX35" s="181"/>
      <c r="LY35" s="181"/>
      <c r="LZ35" s="181"/>
      <c r="MA35" s="181"/>
      <c r="MB35" s="181"/>
      <c r="MC35" s="181"/>
      <c r="MD35" s="181"/>
      <c r="ME35" s="181"/>
      <c r="MF35" s="181"/>
      <c r="MG35" s="181"/>
      <c r="MH35" s="181"/>
      <c r="MI35" s="181"/>
      <c r="MJ35" s="181"/>
      <c r="MK35" s="181"/>
      <c r="ML35" s="181"/>
      <c r="MM35" s="181"/>
      <c r="MN35" s="181"/>
      <c r="MO35" s="181"/>
      <c r="MP35" s="181"/>
      <c r="MQ35" s="181"/>
      <c r="MR35" s="181"/>
      <c r="MS35" s="181"/>
      <c r="MT35" s="181"/>
      <c r="MU35" s="181"/>
      <c r="MV35" s="181"/>
      <c r="MW35" s="181"/>
      <c r="MX35" s="181"/>
      <c r="MY35" s="181"/>
      <c r="MZ35" s="181"/>
      <c r="NA35" s="181"/>
      <c r="NB35" s="181"/>
      <c r="NC35" s="181"/>
      <c r="ND35" s="181"/>
      <c r="NE35" s="181"/>
      <c r="NF35" s="181"/>
      <c r="NG35" s="181"/>
      <c r="NH35" s="181"/>
      <c r="NI35" s="181"/>
      <c r="NJ35" s="181"/>
      <c r="NK35" s="181"/>
      <c r="NL35" s="181"/>
      <c r="NM35" s="181"/>
      <c r="NN35" s="181"/>
      <c r="NO35" s="181"/>
      <c r="NP35" s="181"/>
      <c r="NQ35" s="181"/>
      <c r="NR35" s="181"/>
      <c r="NS35" s="181"/>
      <c r="NT35" s="181"/>
      <c r="NU35" s="181"/>
      <c r="NV35" s="181"/>
      <c r="NW35" s="181"/>
      <c r="NX35" s="181"/>
      <c r="NY35" s="181"/>
      <c r="NZ35" s="181"/>
      <c r="OA35" s="181"/>
      <c r="OB35" s="181"/>
      <c r="OC35" s="181"/>
      <c r="OD35" s="181"/>
      <c r="OE35" s="181"/>
      <c r="OF35" s="181"/>
      <c r="OG35" s="181"/>
      <c r="OH35" s="181"/>
      <c r="OI35" s="181"/>
      <c r="OJ35" s="181"/>
      <c r="OK35" s="181"/>
      <c r="OL35" s="181"/>
      <c r="OM35" s="181"/>
      <c r="ON35" s="181"/>
      <c r="OO35" s="181"/>
      <c r="OP35" s="181"/>
      <c r="OQ35" s="181"/>
      <c r="OR35" s="181"/>
      <c r="OS35" s="181"/>
      <c r="OT35" s="181"/>
      <c r="OU35" s="181"/>
      <c r="OV35" s="181"/>
      <c r="OW35" s="181"/>
      <c r="OX35" s="181"/>
      <c r="OY35" s="181"/>
      <c r="OZ35" s="181"/>
      <c r="PA35" s="181"/>
      <c r="PB35" s="181"/>
      <c r="PC35" s="181"/>
      <c r="PD35" s="181"/>
      <c r="PE35" s="181"/>
      <c r="PF35" s="181"/>
      <c r="PG35" s="181"/>
      <c r="PH35" s="181"/>
      <c r="PI35" s="181"/>
      <c r="PJ35" s="181"/>
      <c r="PK35" s="181"/>
      <c r="PL35" s="181"/>
      <c r="PM35" s="181"/>
      <c r="PN35" s="181"/>
      <c r="PO35" s="181"/>
      <c r="PP35" s="181"/>
      <c r="PQ35" s="181"/>
      <c r="PR35" s="181"/>
      <c r="PS35" s="181"/>
      <c r="PT35" s="181"/>
      <c r="PU35" s="181"/>
      <c r="PV35" s="181"/>
      <c r="PW35" s="181"/>
      <c r="PX35" s="181"/>
      <c r="PY35" s="181"/>
      <c r="PZ35" s="181"/>
      <c r="QA35" s="181"/>
      <c r="QB35" s="181"/>
      <c r="QC35" s="181"/>
      <c r="QD35" s="181"/>
      <c r="QE35" s="181"/>
      <c r="QF35" s="181"/>
      <c r="QG35" s="181"/>
      <c r="QH35" s="181"/>
      <c r="QI35" s="181"/>
      <c r="QJ35" s="181"/>
      <c r="QK35" s="181"/>
      <c r="QL35" s="181"/>
      <c r="QM35" s="181"/>
      <c r="QN35" s="181"/>
      <c r="QO35" s="181"/>
      <c r="QP35" s="181"/>
      <c r="QQ35" s="181"/>
      <c r="QR35" s="181"/>
      <c r="QS35" s="181"/>
      <c r="QT35" s="181"/>
      <c r="QU35" s="181"/>
      <c r="QV35" s="181"/>
      <c r="QW35" s="181"/>
      <c r="QX35" s="181"/>
      <c r="QY35" s="181"/>
      <c r="QZ35" s="181"/>
      <c r="RA35" s="181"/>
      <c r="RB35" s="181"/>
      <c r="RC35" s="181"/>
      <c r="RD35" s="181"/>
      <c r="RE35" s="181"/>
      <c r="RF35" s="181"/>
      <c r="RG35" s="181"/>
      <c r="RH35" s="181"/>
      <c r="RI35" s="181"/>
      <c r="RJ35" s="181"/>
      <c r="RK35" s="181"/>
      <c r="RL35" s="181"/>
      <c r="RM35" s="181"/>
      <c r="RN35" s="181"/>
      <c r="RO35" s="181"/>
      <c r="RP35" s="181"/>
      <c r="RQ35" s="181"/>
      <c r="RR35" s="181"/>
      <c r="RS35" s="181"/>
      <c r="RT35" s="181"/>
      <c r="RU35" s="181"/>
      <c r="RV35" s="181"/>
      <c r="RW35" s="181"/>
      <c r="RX35" s="181"/>
      <c r="RY35" s="181"/>
      <c r="RZ35" s="181"/>
      <c r="SA35" s="181"/>
      <c r="SB35" s="181"/>
      <c r="SC35" s="181"/>
      <c r="SD35" s="181"/>
      <c r="SE35" s="181"/>
      <c r="SF35" s="181"/>
      <c r="SG35" s="181"/>
      <c r="SH35" s="181"/>
      <c r="SI35" s="181"/>
      <c r="SJ35" s="181"/>
      <c r="SK35" s="181"/>
      <c r="SL35" s="181"/>
      <c r="SM35" s="181"/>
      <c r="SN35" s="181"/>
      <c r="SO35" s="181"/>
      <c r="SP35" s="181"/>
      <c r="SQ35" s="181"/>
      <c r="SR35" s="181"/>
      <c r="SS35" s="181"/>
      <c r="ST35" s="181"/>
      <c r="SU35" s="181"/>
      <c r="SV35" s="181"/>
      <c r="SW35" s="181"/>
      <c r="SX35" s="181"/>
      <c r="SY35" s="181"/>
      <c r="SZ35" s="181"/>
      <c r="TA35" s="181"/>
      <c r="TB35" s="181"/>
      <c r="TC35" s="181"/>
      <c r="TD35" s="181"/>
      <c r="TE35" s="181"/>
      <c r="TF35" s="181"/>
      <c r="TG35" s="181"/>
      <c r="TH35" s="181"/>
      <c r="TI35" s="181"/>
      <c r="TJ35" s="181"/>
      <c r="TK35" s="181"/>
      <c r="TL35" s="181"/>
      <c r="TM35" s="181"/>
      <c r="TN35" s="181"/>
      <c r="TO35" s="181"/>
      <c r="TP35" s="181"/>
      <c r="TQ35" s="181"/>
      <c r="TR35" s="181"/>
      <c r="TS35" s="181"/>
      <c r="TT35" s="181"/>
      <c r="TU35" s="181"/>
      <c r="TV35" s="181"/>
      <c r="TW35" s="181"/>
      <c r="TX35" s="181"/>
      <c r="TY35" s="181"/>
      <c r="TZ35" s="181"/>
      <c r="UA35" s="181"/>
      <c r="UB35" s="181"/>
      <c r="UC35" s="181"/>
      <c r="UD35" s="181"/>
      <c r="UE35" s="181"/>
      <c r="UF35" s="181"/>
      <c r="UG35" s="181"/>
      <c r="UH35" s="181"/>
      <c r="UI35" s="181"/>
      <c r="UJ35" s="181"/>
      <c r="UK35" s="181"/>
      <c r="UL35" s="181"/>
      <c r="UM35" s="181"/>
      <c r="UN35" s="181"/>
      <c r="UO35" s="181"/>
      <c r="UP35" s="181"/>
      <c r="UQ35" s="181"/>
      <c r="UR35" s="181"/>
      <c r="US35" s="181"/>
      <c r="UT35" s="181"/>
      <c r="UU35" s="181"/>
      <c r="UV35" s="181"/>
      <c r="UW35" s="181"/>
      <c r="UX35" s="181"/>
      <c r="UY35" s="181"/>
      <c r="UZ35" s="181"/>
      <c r="VA35" s="181"/>
      <c r="VB35" s="181"/>
      <c r="VC35" s="181"/>
      <c r="VD35" s="181"/>
      <c r="VE35" s="181"/>
      <c r="VF35" s="181"/>
      <c r="VG35" s="181"/>
      <c r="VH35" s="181"/>
      <c r="VI35" s="181"/>
      <c r="VJ35" s="181"/>
      <c r="VK35" s="181"/>
      <c r="VL35" s="181"/>
      <c r="VM35" s="181"/>
      <c r="VN35" s="181"/>
      <c r="VO35" s="181"/>
      <c r="VP35" s="181"/>
      <c r="VQ35" s="181"/>
      <c r="VR35" s="181"/>
      <c r="VS35" s="181"/>
      <c r="VT35" s="181"/>
      <c r="VU35" s="181"/>
      <c r="VV35" s="181"/>
      <c r="VW35" s="181"/>
      <c r="VX35" s="181"/>
      <c r="VY35" s="181"/>
      <c r="VZ35" s="181"/>
      <c r="WA35" s="181"/>
      <c r="WB35" s="181"/>
      <c r="WC35" s="181"/>
      <c r="WD35" s="181"/>
      <c r="WE35" s="181"/>
      <c r="WF35" s="181"/>
      <c r="WG35" s="181"/>
      <c r="WH35" s="181"/>
      <c r="WI35" s="181"/>
      <c r="WJ35" s="181"/>
      <c r="WK35" s="181"/>
      <c r="WL35" s="181"/>
      <c r="WM35" s="181"/>
      <c r="WN35" s="181"/>
      <c r="WO35" s="181"/>
      <c r="WP35" s="181"/>
      <c r="WQ35" s="181"/>
      <c r="WR35" s="181"/>
      <c r="WS35" s="181"/>
      <c r="WT35" s="181"/>
      <c r="WU35" s="181"/>
      <c r="WV35" s="181"/>
      <c r="WW35" s="181"/>
      <c r="WX35" s="181"/>
      <c r="WY35" s="181"/>
      <c r="WZ35" s="181"/>
      <c r="XA35" s="181"/>
      <c r="XB35" s="181"/>
      <c r="XC35" s="181"/>
      <c r="XD35" s="181"/>
      <c r="XE35" s="181"/>
      <c r="XF35" s="181"/>
      <c r="XG35" s="181"/>
      <c r="XH35" s="181"/>
      <c r="XI35" s="181"/>
      <c r="XJ35" s="181"/>
      <c r="XK35" s="181"/>
      <c r="XL35" s="181"/>
      <c r="XM35" s="181"/>
      <c r="XN35" s="181"/>
      <c r="XO35" s="181"/>
      <c r="XP35" s="181"/>
      <c r="XQ35" s="181"/>
      <c r="XR35" s="181"/>
      <c r="XS35" s="181"/>
      <c r="XT35" s="181"/>
      <c r="XU35" s="181"/>
      <c r="XV35" s="181"/>
      <c r="XW35" s="181"/>
      <c r="XX35" s="181"/>
      <c r="XY35" s="181"/>
      <c r="XZ35" s="181"/>
      <c r="YA35" s="181"/>
      <c r="YB35" s="181"/>
      <c r="YC35" s="181"/>
      <c r="YD35" s="181"/>
      <c r="YE35" s="181"/>
      <c r="YF35" s="181"/>
      <c r="YG35" s="181"/>
      <c r="YH35" s="181"/>
      <c r="YI35" s="181"/>
      <c r="YJ35" s="181"/>
      <c r="YK35" s="181"/>
      <c r="YL35" s="181"/>
      <c r="YM35" s="181"/>
      <c r="YN35" s="181"/>
      <c r="YO35" s="181"/>
      <c r="YP35" s="181"/>
      <c r="YQ35" s="181"/>
      <c r="YR35" s="181"/>
      <c r="YS35" s="181"/>
      <c r="YT35" s="181"/>
      <c r="YU35" s="181"/>
      <c r="YV35" s="181"/>
      <c r="YW35" s="181"/>
      <c r="YX35" s="181"/>
      <c r="YY35" s="181"/>
      <c r="YZ35" s="181"/>
      <c r="ZA35" s="181"/>
      <c r="ZB35" s="181"/>
      <c r="ZC35" s="181"/>
      <c r="ZD35" s="181"/>
      <c r="ZE35" s="181"/>
      <c r="ZF35" s="181"/>
      <c r="ZG35" s="181"/>
      <c r="ZH35" s="181"/>
      <c r="ZI35" s="181"/>
      <c r="ZJ35" s="181"/>
      <c r="ZK35" s="181"/>
      <c r="ZL35" s="181"/>
      <c r="ZM35" s="181"/>
      <c r="ZN35" s="181"/>
      <c r="ZO35" s="181"/>
      <c r="ZP35" s="181"/>
      <c r="ZQ35" s="181"/>
      <c r="ZR35" s="181"/>
      <c r="ZS35" s="181"/>
      <c r="ZT35" s="181"/>
      <c r="ZU35" s="181"/>
      <c r="ZV35" s="181"/>
      <c r="ZW35" s="181"/>
      <c r="ZX35" s="181"/>
      <c r="ZY35" s="181"/>
      <c r="ZZ35" s="181"/>
      <c r="AAA35" s="181"/>
      <c r="AAB35" s="181"/>
      <c r="AAC35" s="181"/>
      <c r="AAD35" s="181"/>
      <c r="AAE35" s="181"/>
      <c r="AAF35" s="181"/>
      <c r="AAG35" s="181"/>
      <c r="AAH35" s="181"/>
      <c r="AAI35" s="181"/>
      <c r="AAJ35" s="181"/>
      <c r="AAK35" s="181"/>
      <c r="AAL35" s="181"/>
      <c r="AAM35" s="181"/>
      <c r="AAN35" s="181"/>
      <c r="AAO35" s="181"/>
      <c r="AAP35" s="181"/>
      <c r="AAQ35" s="181"/>
      <c r="AAR35" s="181"/>
      <c r="AAS35" s="181"/>
      <c r="AAT35" s="181"/>
      <c r="AAU35" s="181"/>
      <c r="AAV35" s="181"/>
      <c r="AAW35" s="181"/>
      <c r="AAX35" s="181"/>
      <c r="AAY35" s="181"/>
      <c r="AAZ35" s="181"/>
      <c r="ABA35" s="181"/>
      <c r="ABB35" s="181"/>
      <c r="ABC35" s="181"/>
      <c r="ABD35" s="181"/>
      <c r="ABE35" s="181"/>
      <c r="ABF35" s="181"/>
      <c r="ABG35" s="181"/>
      <c r="ABH35" s="181"/>
      <c r="ABI35" s="181"/>
      <c r="ABJ35" s="181"/>
      <c r="ABK35" s="181"/>
      <c r="ABL35" s="181"/>
      <c r="ABM35" s="181"/>
      <c r="ABN35" s="181"/>
      <c r="ABO35" s="181"/>
      <c r="ABP35" s="181"/>
      <c r="ABQ35" s="181"/>
      <c r="ABR35" s="181"/>
      <c r="ABS35" s="181"/>
      <c r="ABT35" s="181"/>
      <c r="ABU35" s="181"/>
      <c r="ABV35" s="181"/>
      <c r="ABW35" s="181"/>
      <c r="ABX35" s="181"/>
      <c r="ABY35" s="181"/>
      <c r="ABZ35" s="181"/>
      <c r="ACA35" s="181"/>
      <c r="ACB35" s="181"/>
      <c r="ACC35" s="181"/>
      <c r="ACD35" s="181"/>
      <c r="ACE35" s="181"/>
      <c r="ACF35" s="181"/>
      <c r="ACG35" s="181"/>
      <c r="ACH35" s="181"/>
      <c r="ACI35" s="181"/>
      <c r="ACJ35" s="181"/>
      <c r="ACK35" s="181"/>
      <c r="ACL35" s="181"/>
      <c r="ACM35" s="181"/>
      <c r="ACN35" s="181"/>
      <c r="ACO35" s="181"/>
      <c r="ACP35" s="181"/>
      <c r="ACQ35" s="181"/>
      <c r="ACR35" s="181"/>
      <c r="ACS35" s="181"/>
      <c r="ACT35" s="181"/>
      <c r="ACU35" s="181"/>
      <c r="ACV35" s="181"/>
      <c r="ACW35" s="181"/>
      <c r="ACX35" s="181"/>
      <c r="ACY35" s="181"/>
      <c r="ACZ35" s="181"/>
      <c r="ADA35" s="181"/>
      <c r="ADB35" s="181"/>
      <c r="ADC35" s="181"/>
      <c r="ADD35" s="181"/>
      <c r="ADE35" s="181"/>
      <c r="ADF35" s="181"/>
      <c r="ADG35" s="181"/>
      <c r="ADH35" s="181"/>
      <c r="ADI35" s="181"/>
      <c r="ADJ35" s="181"/>
      <c r="ADK35" s="181"/>
      <c r="ADL35" s="181"/>
      <c r="ADM35" s="181"/>
      <c r="ADN35" s="181"/>
      <c r="ADO35" s="181"/>
      <c r="ADP35" s="181"/>
      <c r="ADQ35" s="181"/>
      <c r="ADR35" s="181"/>
      <c r="ADS35" s="181"/>
      <c r="ADT35" s="181"/>
      <c r="ADU35" s="181"/>
      <c r="ADV35" s="181"/>
      <c r="ADW35" s="181"/>
      <c r="ADX35" s="181"/>
      <c r="ADY35" s="181"/>
      <c r="ADZ35" s="181"/>
      <c r="AEA35" s="181"/>
      <c r="AEB35" s="181"/>
      <c r="AEC35" s="181"/>
      <c r="AED35" s="181"/>
      <c r="AEE35" s="181"/>
      <c r="AEF35" s="181"/>
      <c r="AEG35" s="181"/>
      <c r="AEH35" s="181"/>
      <c r="AEI35" s="181"/>
      <c r="AEJ35" s="181"/>
      <c r="AEK35" s="181"/>
      <c r="AEL35" s="181"/>
      <c r="AEM35" s="181"/>
      <c r="AEN35" s="181"/>
      <c r="AEO35" s="181"/>
      <c r="AEP35" s="181"/>
      <c r="AEQ35" s="181"/>
      <c r="AER35" s="181"/>
      <c r="AES35" s="181"/>
      <c r="AET35" s="181"/>
      <c r="AEU35" s="181"/>
      <c r="AEV35" s="181"/>
      <c r="AEW35" s="181"/>
      <c r="AEX35" s="181"/>
      <c r="AEY35" s="181"/>
      <c r="AEZ35" s="181"/>
      <c r="AFA35" s="181"/>
      <c r="AFB35" s="181"/>
      <c r="AFC35" s="181"/>
      <c r="AFD35" s="181"/>
      <c r="AFE35" s="181"/>
      <c r="AFF35" s="181"/>
      <c r="AFG35" s="181"/>
      <c r="AFH35" s="181"/>
      <c r="AFI35" s="181"/>
      <c r="AFJ35" s="181"/>
      <c r="AFK35" s="181"/>
      <c r="AFL35" s="181"/>
      <c r="AFM35" s="181"/>
      <c r="AFN35" s="181"/>
      <c r="AFO35" s="181"/>
      <c r="AFP35" s="181"/>
      <c r="AFQ35" s="181"/>
      <c r="AFR35" s="181"/>
      <c r="AFS35" s="181"/>
      <c r="AFT35" s="181"/>
      <c r="AFU35" s="181"/>
      <c r="AFV35" s="181"/>
      <c r="AFW35" s="181"/>
      <c r="AFX35" s="181"/>
      <c r="AFY35" s="181"/>
      <c r="AFZ35" s="181"/>
      <c r="AGA35" s="181"/>
      <c r="AGB35" s="181"/>
      <c r="AGC35" s="181"/>
      <c r="AGD35" s="181"/>
      <c r="AGE35" s="181"/>
      <c r="AGF35" s="181"/>
      <c r="AGG35" s="181"/>
      <c r="AGH35" s="181"/>
      <c r="AGI35" s="181"/>
      <c r="AGJ35" s="181"/>
      <c r="AGK35" s="181"/>
      <c r="AGL35" s="181"/>
      <c r="AGM35" s="181"/>
      <c r="AGN35" s="181"/>
      <c r="AGO35" s="181"/>
      <c r="AGP35" s="181"/>
      <c r="AGQ35" s="181"/>
      <c r="AGR35" s="181"/>
      <c r="AGS35" s="181"/>
      <c r="AGT35" s="181"/>
      <c r="AGU35" s="181"/>
      <c r="AGV35" s="181"/>
      <c r="AGW35" s="181"/>
      <c r="AGX35" s="181"/>
      <c r="AGY35" s="181"/>
      <c r="AGZ35" s="181"/>
      <c r="AHA35" s="181"/>
      <c r="AHB35" s="181"/>
      <c r="AHC35" s="181"/>
      <c r="AHD35" s="181"/>
      <c r="AHE35" s="181"/>
      <c r="AHF35" s="181"/>
      <c r="AHG35" s="181"/>
      <c r="AHH35" s="181"/>
      <c r="AHI35" s="181"/>
      <c r="AHJ35" s="181"/>
      <c r="AHK35" s="181"/>
      <c r="AHL35" s="181"/>
      <c r="AHM35" s="181"/>
      <c r="AHN35" s="181"/>
      <c r="AHO35" s="181"/>
      <c r="AHP35" s="181"/>
      <c r="AHQ35" s="181"/>
      <c r="AHR35" s="181"/>
      <c r="AHS35" s="181"/>
      <c r="AHT35" s="181"/>
      <c r="AHU35" s="181"/>
      <c r="AHV35" s="181"/>
      <c r="AHW35" s="181"/>
      <c r="AHX35" s="181"/>
      <c r="AHY35" s="181"/>
      <c r="AHZ35" s="181"/>
      <c r="AIA35" s="181"/>
      <c r="AIB35" s="181"/>
      <c r="AIC35" s="181"/>
      <c r="AID35" s="181"/>
      <c r="AIE35" s="181"/>
      <c r="AIF35" s="181"/>
      <c r="AIG35" s="181"/>
      <c r="AIH35" s="181"/>
      <c r="AII35" s="181"/>
      <c r="AIJ35" s="181"/>
      <c r="AIK35" s="181"/>
      <c r="AIL35" s="181"/>
      <c r="AIM35" s="181"/>
      <c r="AIN35" s="181"/>
      <c r="AIO35" s="181"/>
      <c r="AIP35" s="181"/>
      <c r="AIQ35" s="181"/>
      <c r="AIR35" s="181"/>
      <c r="AIS35" s="181"/>
      <c r="AIT35" s="181"/>
      <c r="AIU35" s="181"/>
      <c r="AIV35" s="181"/>
      <c r="AIW35" s="181"/>
      <c r="AIX35" s="181"/>
      <c r="AIY35" s="181"/>
      <c r="AIZ35" s="181"/>
      <c r="AJA35" s="181"/>
      <c r="AJB35" s="181"/>
      <c r="AJC35" s="181"/>
      <c r="AJD35" s="181"/>
      <c r="AJE35" s="181"/>
      <c r="AJF35" s="181"/>
      <c r="AJG35" s="181"/>
      <c r="AJH35" s="181"/>
      <c r="AJI35" s="181"/>
      <c r="AJJ35" s="181"/>
      <c r="AJK35" s="181"/>
      <c r="AJL35" s="181"/>
      <c r="AJM35" s="181"/>
      <c r="AJN35" s="181"/>
      <c r="AJO35" s="181"/>
      <c r="AJP35" s="181"/>
      <c r="AJQ35" s="181"/>
      <c r="AJR35" s="181"/>
      <c r="AJS35" s="181"/>
      <c r="AJT35" s="181"/>
      <c r="AJU35" s="181"/>
      <c r="AJV35" s="181"/>
      <c r="AJW35" s="181"/>
      <c r="AJX35" s="181"/>
      <c r="AJY35" s="181"/>
      <c r="AJZ35" s="181"/>
      <c r="AKA35" s="181"/>
      <c r="AKB35" s="181"/>
      <c r="AKC35" s="181"/>
      <c r="AKD35" s="181"/>
      <c r="AKE35" s="181"/>
      <c r="AKF35" s="181"/>
      <c r="AKG35" s="181"/>
      <c r="AKH35" s="181"/>
      <c r="AKI35" s="181"/>
      <c r="AKJ35" s="181"/>
      <c r="AKK35" s="181"/>
      <c r="AKL35" s="181"/>
      <c r="AKM35" s="181"/>
      <c r="AKN35" s="181"/>
      <c r="AKO35" s="181"/>
      <c r="AKP35" s="181"/>
      <c r="AKQ35" s="181"/>
      <c r="AKR35" s="181"/>
      <c r="AKS35" s="181"/>
      <c r="AKT35" s="181"/>
      <c r="AKU35" s="181"/>
      <c r="AKV35" s="181"/>
      <c r="AKW35" s="181"/>
      <c r="AKX35" s="181"/>
      <c r="AKY35" s="181"/>
    </row>
    <row r="36" spans="1:987" s="115" customFormat="1" ht="15" customHeight="1" x14ac:dyDescent="0.3">
      <c r="A36" s="116">
        <v>8470230</v>
      </c>
      <c r="B36" s="117">
        <v>425762</v>
      </c>
      <c r="C36" s="461" t="s">
        <v>3090</v>
      </c>
      <c r="D36" s="151" t="s">
        <v>3091</v>
      </c>
      <c r="E36" s="152">
        <v>12</v>
      </c>
      <c r="F36" s="153">
        <v>15000</v>
      </c>
      <c r="G36" s="154">
        <f>E36*F36</f>
        <v>180000</v>
      </c>
      <c r="H36" s="183">
        <f>G36/12</f>
        <v>15000</v>
      </c>
      <c r="I36" s="184">
        <f>G36/12</f>
        <v>15000</v>
      </c>
      <c r="J36" s="184">
        <f>G36/12</f>
        <v>15000</v>
      </c>
      <c r="K36" s="184">
        <f>G36/12</f>
        <v>15000</v>
      </c>
      <c r="L36" s="184">
        <f>G36/12</f>
        <v>15000</v>
      </c>
      <c r="M36" s="184">
        <f>G36/12</f>
        <v>15000</v>
      </c>
      <c r="N36" s="184">
        <f>G36/12</f>
        <v>15000</v>
      </c>
      <c r="O36" s="184">
        <f>G36/12</f>
        <v>15000</v>
      </c>
      <c r="P36" s="184">
        <f>G36/12</f>
        <v>15000</v>
      </c>
      <c r="Q36" s="184">
        <f>G36/12</f>
        <v>15000</v>
      </c>
      <c r="R36" s="184">
        <f>G36/12</f>
        <v>15000</v>
      </c>
      <c r="S36" s="185">
        <f>G36/12</f>
        <v>15000</v>
      </c>
      <c r="T36" s="125" t="s">
        <v>3058</v>
      </c>
      <c r="U36" s="114"/>
      <c r="V36" s="114"/>
      <c r="W36" s="114"/>
      <c r="X36" s="114"/>
      <c r="Y36" s="114"/>
      <c r="Z36" s="114"/>
      <c r="AA36" s="114"/>
      <c r="AB36" s="114"/>
      <c r="AC36" s="114"/>
      <c r="AD36" s="114"/>
      <c r="AE36" s="114"/>
      <c r="AF36" s="114"/>
      <c r="AG36" s="114"/>
      <c r="AH36" s="114"/>
      <c r="AI36" s="114"/>
      <c r="AJ36" s="114"/>
      <c r="AK36" s="114"/>
      <c r="AL36" s="114"/>
      <c r="AM36" s="114"/>
      <c r="AN36" s="114"/>
      <c r="AO36" s="114"/>
      <c r="AP36" s="114"/>
      <c r="AQ36" s="114"/>
      <c r="AR36" s="114"/>
      <c r="AS36" s="114"/>
      <c r="AT36" s="114"/>
      <c r="AU36" s="114"/>
      <c r="AV36" s="114"/>
      <c r="AW36" s="114"/>
      <c r="AX36" s="114"/>
      <c r="AY36" s="114"/>
      <c r="AZ36" s="114"/>
      <c r="BA36" s="114"/>
      <c r="BB36" s="114"/>
      <c r="BC36" s="114"/>
      <c r="BD36" s="114"/>
      <c r="BE36" s="114"/>
      <c r="BF36" s="114"/>
      <c r="BG36" s="114"/>
      <c r="BH36" s="114"/>
      <c r="BI36" s="114"/>
      <c r="BJ36" s="114"/>
      <c r="BK36" s="114"/>
      <c r="BL36" s="114"/>
      <c r="BM36" s="114"/>
      <c r="BN36" s="114"/>
      <c r="BO36" s="114"/>
      <c r="BP36" s="114"/>
      <c r="BQ36" s="114"/>
      <c r="BR36" s="114"/>
      <c r="BS36" s="114"/>
      <c r="BT36" s="114"/>
      <c r="BU36" s="114"/>
      <c r="BV36" s="114"/>
      <c r="BW36" s="114"/>
      <c r="BX36" s="114"/>
      <c r="BY36" s="114"/>
      <c r="BZ36" s="114"/>
      <c r="CA36" s="114"/>
      <c r="CB36" s="114"/>
      <c r="CC36" s="114"/>
      <c r="CD36" s="114"/>
      <c r="CE36" s="114"/>
      <c r="CF36" s="114"/>
      <c r="CG36" s="114"/>
      <c r="CH36" s="114"/>
      <c r="CI36" s="114"/>
      <c r="CJ36" s="114"/>
      <c r="CK36" s="114"/>
      <c r="CL36" s="114"/>
      <c r="CM36" s="114"/>
      <c r="CN36" s="114"/>
      <c r="CO36" s="114"/>
      <c r="CP36" s="114"/>
      <c r="CQ36" s="114"/>
      <c r="CR36" s="114"/>
      <c r="CS36" s="114"/>
      <c r="CT36" s="114"/>
      <c r="CU36" s="114"/>
      <c r="CV36" s="114"/>
      <c r="CW36" s="114"/>
      <c r="CX36" s="114"/>
      <c r="CY36" s="114"/>
      <c r="CZ36" s="114"/>
      <c r="DA36" s="114"/>
      <c r="DB36" s="114"/>
      <c r="DC36" s="114"/>
      <c r="DD36" s="114"/>
      <c r="DE36" s="114"/>
      <c r="DF36" s="114"/>
      <c r="DG36" s="114"/>
      <c r="DH36" s="114"/>
      <c r="DI36" s="114"/>
      <c r="DJ36" s="114"/>
      <c r="DK36" s="114"/>
      <c r="DL36" s="114"/>
      <c r="DM36" s="114"/>
      <c r="DN36" s="114"/>
      <c r="DO36" s="114"/>
      <c r="DP36" s="114"/>
      <c r="DQ36" s="114"/>
      <c r="DR36" s="114"/>
      <c r="DS36" s="114"/>
      <c r="DT36" s="114"/>
      <c r="DU36" s="114"/>
      <c r="DV36" s="114"/>
      <c r="DW36" s="114"/>
      <c r="DX36" s="114"/>
      <c r="DY36" s="114"/>
      <c r="DZ36" s="114"/>
      <c r="EA36" s="114"/>
      <c r="EB36" s="114"/>
      <c r="EC36" s="114"/>
      <c r="ED36" s="114"/>
      <c r="EE36" s="114"/>
      <c r="EF36" s="114"/>
      <c r="EG36" s="114"/>
      <c r="EH36" s="114"/>
      <c r="EI36" s="114"/>
      <c r="EJ36" s="114"/>
      <c r="EK36" s="114"/>
      <c r="EL36" s="114"/>
      <c r="EM36" s="114"/>
      <c r="EN36" s="114"/>
      <c r="EO36" s="114"/>
      <c r="EP36" s="114"/>
      <c r="EQ36" s="114"/>
      <c r="ER36" s="114"/>
      <c r="ES36" s="114"/>
      <c r="ET36" s="114"/>
      <c r="EU36" s="114"/>
      <c r="EV36" s="114"/>
      <c r="EW36" s="114"/>
      <c r="EX36" s="114"/>
      <c r="EY36" s="114"/>
      <c r="EZ36" s="114"/>
      <c r="FA36" s="114"/>
      <c r="FB36" s="114"/>
      <c r="FC36" s="114"/>
      <c r="FD36" s="114"/>
      <c r="FE36" s="114"/>
      <c r="FF36" s="114"/>
      <c r="FG36" s="114"/>
      <c r="FH36" s="114"/>
      <c r="FI36" s="114"/>
      <c r="FJ36" s="114"/>
      <c r="FK36" s="114"/>
      <c r="FL36" s="114"/>
      <c r="FM36" s="114"/>
      <c r="FN36" s="114"/>
      <c r="FO36" s="114"/>
      <c r="FP36" s="114"/>
      <c r="FQ36" s="114"/>
      <c r="FR36" s="114"/>
      <c r="FS36" s="114"/>
      <c r="FT36" s="114"/>
      <c r="FU36" s="114"/>
      <c r="FV36" s="114"/>
      <c r="FW36" s="114"/>
      <c r="FX36" s="114"/>
      <c r="FY36" s="114"/>
      <c r="FZ36" s="114"/>
      <c r="GA36" s="114"/>
      <c r="GB36" s="114"/>
      <c r="GC36" s="114"/>
      <c r="GD36" s="114"/>
      <c r="GE36" s="114"/>
      <c r="GF36" s="114"/>
      <c r="GG36" s="114"/>
      <c r="GH36" s="114"/>
      <c r="GI36" s="114"/>
      <c r="GJ36" s="114"/>
      <c r="GK36" s="114"/>
      <c r="GL36" s="114"/>
      <c r="GM36" s="114"/>
      <c r="GN36" s="114"/>
      <c r="GO36" s="114"/>
      <c r="GP36" s="114"/>
      <c r="GQ36" s="114"/>
      <c r="GR36" s="114"/>
      <c r="GS36" s="114"/>
      <c r="GT36" s="114"/>
      <c r="GU36" s="114"/>
      <c r="GV36" s="114"/>
      <c r="GW36" s="114"/>
      <c r="GX36" s="114"/>
      <c r="GY36" s="114"/>
      <c r="GZ36" s="114"/>
      <c r="HA36" s="114"/>
      <c r="HB36" s="114"/>
      <c r="HC36" s="114"/>
      <c r="HD36" s="114"/>
      <c r="HE36" s="114"/>
      <c r="HF36" s="114"/>
      <c r="HG36" s="114"/>
      <c r="HH36" s="114"/>
      <c r="HI36" s="114"/>
      <c r="HJ36" s="114"/>
      <c r="HK36" s="114"/>
      <c r="HL36" s="114"/>
      <c r="HM36" s="114"/>
      <c r="HN36" s="114"/>
      <c r="HO36" s="114"/>
      <c r="HP36" s="114"/>
      <c r="HQ36" s="114"/>
      <c r="HR36" s="114"/>
      <c r="HS36" s="114"/>
      <c r="HT36" s="114"/>
      <c r="HU36" s="114"/>
      <c r="HV36" s="114"/>
      <c r="HW36" s="114"/>
      <c r="HX36" s="114"/>
      <c r="HY36" s="114"/>
      <c r="HZ36" s="114"/>
      <c r="IA36" s="114"/>
      <c r="IB36" s="114"/>
      <c r="IC36" s="114"/>
      <c r="ID36" s="114"/>
      <c r="IE36" s="114"/>
      <c r="IF36" s="114"/>
      <c r="IG36" s="114"/>
      <c r="IH36" s="114"/>
      <c r="II36" s="114"/>
      <c r="IJ36" s="114"/>
      <c r="IK36" s="114"/>
      <c r="IL36" s="114"/>
      <c r="IM36" s="114"/>
      <c r="IN36" s="114"/>
      <c r="IO36" s="114"/>
      <c r="IP36" s="114"/>
      <c r="IQ36" s="114"/>
      <c r="IR36" s="114"/>
      <c r="IS36" s="114"/>
      <c r="IT36" s="114"/>
      <c r="IU36" s="114"/>
      <c r="IV36" s="114"/>
      <c r="IW36" s="114"/>
      <c r="IX36" s="114"/>
      <c r="IY36" s="114"/>
      <c r="IZ36" s="114"/>
      <c r="JA36" s="114"/>
      <c r="JB36" s="114"/>
      <c r="JC36" s="114"/>
      <c r="JD36" s="114"/>
      <c r="JE36" s="114"/>
      <c r="JF36" s="114"/>
      <c r="JG36" s="114"/>
      <c r="JH36" s="114"/>
      <c r="JI36" s="114"/>
      <c r="JJ36" s="114"/>
      <c r="JK36" s="114"/>
      <c r="JL36" s="114"/>
      <c r="JM36" s="114"/>
      <c r="JN36" s="114"/>
      <c r="JO36" s="114"/>
      <c r="JP36" s="114"/>
      <c r="JQ36" s="114"/>
      <c r="JR36" s="114"/>
      <c r="JS36" s="114"/>
      <c r="JT36" s="114"/>
      <c r="JU36" s="114"/>
      <c r="JV36" s="114"/>
      <c r="JW36" s="114"/>
      <c r="JX36" s="114"/>
      <c r="JY36" s="114"/>
      <c r="JZ36" s="114"/>
      <c r="KA36" s="114"/>
      <c r="KB36" s="114"/>
      <c r="KC36" s="114"/>
      <c r="KD36" s="114"/>
      <c r="KE36" s="114"/>
      <c r="KF36" s="114"/>
      <c r="KG36" s="114"/>
      <c r="KH36" s="114"/>
      <c r="KI36" s="114"/>
      <c r="KJ36" s="114"/>
      <c r="KK36" s="114"/>
      <c r="KL36" s="114"/>
      <c r="KM36" s="114"/>
      <c r="KN36" s="114"/>
      <c r="KO36" s="114"/>
      <c r="KP36" s="114"/>
      <c r="KQ36" s="114"/>
      <c r="KR36" s="114"/>
      <c r="KS36" s="114"/>
      <c r="KT36" s="114"/>
      <c r="KU36" s="114"/>
      <c r="KV36" s="114"/>
      <c r="KW36" s="114"/>
      <c r="KX36" s="114"/>
      <c r="KY36" s="114"/>
      <c r="KZ36" s="114"/>
      <c r="LA36" s="114"/>
      <c r="LB36" s="114"/>
      <c r="LC36" s="114"/>
      <c r="LD36" s="114"/>
      <c r="LE36" s="114"/>
      <c r="LF36" s="114"/>
      <c r="LG36" s="114"/>
      <c r="LH36" s="114"/>
      <c r="LI36" s="114"/>
      <c r="LJ36" s="114"/>
      <c r="LK36" s="114"/>
      <c r="LL36" s="114"/>
      <c r="LM36" s="114"/>
      <c r="LN36" s="114"/>
      <c r="LO36" s="114"/>
      <c r="LP36" s="114"/>
      <c r="LQ36" s="114"/>
      <c r="LR36" s="114"/>
      <c r="LS36" s="114"/>
      <c r="LT36" s="114"/>
      <c r="LU36" s="114"/>
      <c r="LV36" s="114"/>
      <c r="LW36" s="114"/>
      <c r="LX36" s="114"/>
      <c r="LY36" s="114"/>
      <c r="LZ36" s="114"/>
      <c r="MA36" s="114"/>
      <c r="MB36" s="114"/>
      <c r="MC36" s="114"/>
      <c r="MD36" s="114"/>
      <c r="ME36" s="114"/>
      <c r="MF36" s="114"/>
      <c r="MG36" s="114"/>
      <c r="MH36" s="114"/>
      <c r="MI36" s="114"/>
      <c r="MJ36" s="114"/>
      <c r="MK36" s="114"/>
      <c r="ML36" s="114"/>
      <c r="MM36" s="114"/>
      <c r="MN36" s="114"/>
      <c r="MO36" s="114"/>
      <c r="MP36" s="114"/>
      <c r="MQ36" s="114"/>
      <c r="MR36" s="114"/>
      <c r="MS36" s="114"/>
      <c r="MT36" s="114"/>
      <c r="MU36" s="114"/>
      <c r="MV36" s="114"/>
      <c r="MW36" s="114"/>
      <c r="MX36" s="114"/>
      <c r="MY36" s="114"/>
      <c r="MZ36" s="114"/>
      <c r="NA36" s="114"/>
      <c r="NB36" s="114"/>
      <c r="NC36" s="114"/>
      <c r="ND36" s="114"/>
      <c r="NE36" s="114"/>
      <c r="NF36" s="114"/>
      <c r="NG36" s="114"/>
      <c r="NH36" s="114"/>
      <c r="NI36" s="114"/>
      <c r="NJ36" s="114"/>
      <c r="NK36" s="114"/>
      <c r="NL36" s="114"/>
      <c r="NM36" s="114"/>
      <c r="NN36" s="114"/>
      <c r="NO36" s="114"/>
      <c r="NP36" s="114"/>
      <c r="NQ36" s="114"/>
      <c r="NR36" s="114"/>
      <c r="NS36" s="114"/>
      <c r="NT36" s="114"/>
      <c r="NU36" s="114"/>
      <c r="NV36" s="114"/>
      <c r="NW36" s="114"/>
      <c r="NX36" s="114"/>
      <c r="NY36" s="114"/>
      <c r="NZ36" s="114"/>
      <c r="OA36" s="114"/>
      <c r="OB36" s="114"/>
      <c r="OC36" s="114"/>
      <c r="OD36" s="114"/>
      <c r="OE36" s="114"/>
      <c r="OF36" s="114"/>
      <c r="OG36" s="114"/>
      <c r="OH36" s="114"/>
      <c r="OI36" s="114"/>
      <c r="OJ36" s="114"/>
      <c r="OK36" s="114"/>
      <c r="OL36" s="114"/>
      <c r="OM36" s="114"/>
      <c r="ON36" s="114"/>
      <c r="OO36" s="114"/>
      <c r="OP36" s="114"/>
      <c r="OQ36" s="114"/>
      <c r="OR36" s="114"/>
      <c r="OS36" s="114"/>
      <c r="OT36" s="114"/>
      <c r="OU36" s="114"/>
      <c r="OV36" s="114"/>
      <c r="OW36" s="114"/>
      <c r="OX36" s="114"/>
      <c r="OY36" s="114"/>
      <c r="OZ36" s="114"/>
      <c r="PA36" s="114"/>
      <c r="PB36" s="114"/>
      <c r="PC36" s="114"/>
      <c r="PD36" s="114"/>
      <c r="PE36" s="114"/>
      <c r="PF36" s="114"/>
      <c r="PG36" s="114"/>
      <c r="PH36" s="114"/>
      <c r="PI36" s="114"/>
      <c r="PJ36" s="114"/>
      <c r="PK36" s="114"/>
      <c r="PL36" s="114"/>
      <c r="PM36" s="114"/>
      <c r="PN36" s="114"/>
      <c r="PO36" s="114"/>
      <c r="PP36" s="114"/>
      <c r="PQ36" s="114"/>
      <c r="PR36" s="114"/>
      <c r="PS36" s="114"/>
      <c r="PT36" s="114"/>
      <c r="PU36" s="114"/>
      <c r="PV36" s="114"/>
      <c r="PW36" s="114"/>
      <c r="PX36" s="114"/>
      <c r="PY36" s="114"/>
      <c r="PZ36" s="114"/>
      <c r="QA36" s="114"/>
      <c r="QB36" s="114"/>
      <c r="QC36" s="114"/>
      <c r="QD36" s="114"/>
      <c r="QE36" s="114"/>
      <c r="QF36" s="114"/>
      <c r="QG36" s="114"/>
      <c r="QH36" s="114"/>
      <c r="QI36" s="114"/>
      <c r="QJ36" s="114"/>
      <c r="QK36" s="114"/>
      <c r="QL36" s="114"/>
      <c r="QM36" s="114"/>
      <c r="QN36" s="114"/>
      <c r="QO36" s="114"/>
      <c r="QP36" s="114"/>
      <c r="QQ36" s="114"/>
      <c r="QR36" s="114"/>
      <c r="QS36" s="114"/>
      <c r="QT36" s="114"/>
      <c r="QU36" s="114"/>
      <c r="QV36" s="114"/>
      <c r="QW36" s="114"/>
      <c r="QX36" s="114"/>
      <c r="QY36" s="114"/>
      <c r="QZ36" s="114"/>
      <c r="RA36" s="114"/>
      <c r="RB36" s="114"/>
      <c r="RC36" s="114"/>
      <c r="RD36" s="114"/>
      <c r="RE36" s="114"/>
      <c r="RF36" s="114"/>
      <c r="RG36" s="114"/>
      <c r="RH36" s="114"/>
      <c r="RI36" s="114"/>
      <c r="RJ36" s="114"/>
      <c r="RK36" s="114"/>
      <c r="RL36" s="114"/>
      <c r="RM36" s="114"/>
      <c r="RN36" s="114"/>
      <c r="RO36" s="114"/>
      <c r="RP36" s="114"/>
      <c r="RQ36" s="114"/>
      <c r="RR36" s="114"/>
      <c r="RS36" s="114"/>
      <c r="RT36" s="114"/>
      <c r="RU36" s="114"/>
      <c r="RV36" s="114"/>
      <c r="RW36" s="114"/>
      <c r="RX36" s="114"/>
      <c r="RY36" s="114"/>
      <c r="RZ36" s="114"/>
      <c r="SA36" s="114"/>
      <c r="SB36" s="114"/>
      <c r="SC36" s="114"/>
      <c r="SD36" s="114"/>
      <c r="SE36" s="114"/>
      <c r="SF36" s="114"/>
      <c r="SG36" s="114"/>
      <c r="SH36" s="114"/>
      <c r="SI36" s="114"/>
      <c r="SJ36" s="114"/>
      <c r="SK36" s="114"/>
      <c r="SL36" s="114"/>
      <c r="SM36" s="114"/>
      <c r="SN36" s="114"/>
      <c r="SO36" s="114"/>
      <c r="SP36" s="114"/>
      <c r="SQ36" s="114"/>
      <c r="SR36" s="114"/>
      <c r="SS36" s="114"/>
      <c r="ST36" s="114"/>
      <c r="SU36" s="114"/>
      <c r="SV36" s="114"/>
      <c r="SW36" s="114"/>
      <c r="SX36" s="114"/>
      <c r="SY36" s="114"/>
      <c r="SZ36" s="114"/>
      <c r="TA36" s="114"/>
      <c r="TB36" s="114"/>
      <c r="TC36" s="114"/>
      <c r="TD36" s="114"/>
      <c r="TE36" s="114"/>
      <c r="TF36" s="114"/>
      <c r="TG36" s="114"/>
      <c r="TH36" s="114"/>
      <c r="TI36" s="114"/>
      <c r="TJ36" s="114"/>
      <c r="TK36" s="114"/>
      <c r="TL36" s="114"/>
      <c r="TM36" s="114"/>
      <c r="TN36" s="114"/>
      <c r="TO36" s="114"/>
      <c r="TP36" s="114"/>
      <c r="TQ36" s="114"/>
      <c r="TR36" s="114"/>
      <c r="TS36" s="114"/>
      <c r="TT36" s="114"/>
      <c r="TU36" s="114"/>
      <c r="TV36" s="114"/>
      <c r="TW36" s="114"/>
      <c r="TX36" s="114"/>
      <c r="TY36" s="114"/>
      <c r="TZ36" s="114"/>
      <c r="UA36" s="114"/>
      <c r="UB36" s="114"/>
      <c r="UC36" s="114"/>
      <c r="UD36" s="114"/>
      <c r="UE36" s="114"/>
      <c r="UF36" s="114"/>
      <c r="UG36" s="114"/>
      <c r="UH36" s="114"/>
      <c r="UI36" s="114"/>
      <c r="UJ36" s="114"/>
      <c r="UK36" s="114"/>
      <c r="UL36" s="114"/>
      <c r="UM36" s="114"/>
      <c r="UN36" s="114"/>
      <c r="UO36" s="114"/>
      <c r="UP36" s="114"/>
      <c r="UQ36" s="114"/>
      <c r="UR36" s="114"/>
      <c r="US36" s="114"/>
      <c r="UT36" s="114"/>
      <c r="UU36" s="114"/>
      <c r="UV36" s="114"/>
      <c r="UW36" s="114"/>
      <c r="UX36" s="114"/>
      <c r="UY36" s="114"/>
      <c r="UZ36" s="114"/>
      <c r="VA36" s="114"/>
      <c r="VB36" s="114"/>
      <c r="VC36" s="114"/>
      <c r="VD36" s="114"/>
      <c r="VE36" s="114"/>
      <c r="VF36" s="114"/>
      <c r="VG36" s="114"/>
      <c r="VH36" s="114"/>
      <c r="VI36" s="114"/>
      <c r="VJ36" s="114"/>
      <c r="VK36" s="114"/>
      <c r="VL36" s="114"/>
      <c r="VM36" s="114"/>
      <c r="VN36" s="114"/>
      <c r="VO36" s="114"/>
      <c r="VP36" s="114"/>
      <c r="VQ36" s="114"/>
      <c r="VR36" s="114"/>
      <c r="VS36" s="114"/>
      <c r="VT36" s="114"/>
      <c r="VU36" s="114"/>
      <c r="VV36" s="114"/>
      <c r="VW36" s="114"/>
      <c r="VX36" s="114"/>
      <c r="VY36" s="114"/>
      <c r="VZ36" s="114"/>
      <c r="WA36" s="114"/>
      <c r="WB36" s="114"/>
      <c r="WC36" s="114"/>
      <c r="WD36" s="114"/>
      <c r="WE36" s="114"/>
      <c r="WF36" s="114"/>
      <c r="WG36" s="114"/>
      <c r="WH36" s="114"/>
      <c r="WI36" s="114"/>
      <c r="WJ36" s="114"/>
      <c r="WK36" s="114"/>
      <c r="WL36" s="114"/>
      <c r="WM36" s="114"/>
      <c r="WN36" s="114"/>
      <c r="WO36" s="114"/>
      <c r="WP36" s="114"/>
      <c r="WQ36" s="114"/>
      <c r="WR36" s="114"/>
      <c r="WS36" s="114"/>
      <c r="WT36" s="114"/>
      <c r="WU36" s="114"/>
      <c r="WV36" s="114"/>
      <c r="WW36" s="114"/>
      <c r="WX36" s="114"/>
      <c r="WY36" s="114"/>
      <c r="WZ36" s="114"/>
      <c r="XA36" s="114"/>
      <c r="XB36" s="114"/>
      <c r="XC36" s="114"/>
      <c r="XD36" s="114"/>
      <c r="XE36" s="114"/>
      <c r="XF36" s="114"/>
      <c r="XG36" s="114"/>
      <c r="XH36" s="114"/>
      <c r="XI36" s="114"/>
      <c r="XJ36" s="114"/>
      <c r="XK36" s="114"/>
      <c r="XL36" s="114"/>
      <c r="XM36" s="114"/>
      <c r="XN36" s="114"/>
      <c r="XO36" s="114"/>
      <c r="XP36" s="114"/>
      <c r="XQ36" s="114"/>
      <c r="XR36" s="114"/>
      <c r="XS36" s="114"/>
      <c r="XT36" s="114"/>
      <c r="XU36" s="114"/>
      <c r="XV36" s="114"/>
      <c r="XW36" s="114"/>
      <c r="XX36" s="114"/>
      <c r="XY36" s="114"/>
      <c r="XZ36" s="114"/>
      <c r="YA36" s="114"/>
      <c r="YB36" s="114"/>
      <c r="YC36" s="114"/>
      <c r="YD36" s="114"/>
      <c r="YE36" s="114"/>
      <c r="YF36" s="114"/>
      <c r="YG36" s="114"/>
      <c r="YH36" s="114"/>
      <c r="YI36" s="114"/>
      <c r="YJ36" s="114"/>
      <c r="YK36" s="114"/>
      <c r="YL36" s="114"/>
      <c r="YM36" s="114"/>
      <c r="YN36" s="114"/>
      <c r="YO36" s="114"/>
      <c r="YP36" s="114"/>
      <c r="YQ36" s="114"/>
      <c r="YR36" s="114"/>
      <c r="YS36" s="114"/>
      <c r="YT36" s="114"/>
      <c r="YU36" s="114"/>
      <c r="YV36" s="114"/>
      <c r="YW36" s="114"/>
      <c r="YX36" s="114"/>
      <c r="YY36" s="114"/>
      <c r="YZ36" s="114"/>
      <c r="ZA36" s="114"/>
      <c r="ZB36" s="114"/>
      <c r="ZC36" s="114"/>
      <c r="ZD36" s="114"/>
      <c r="ZE36" s="114"/>
      <c r="ZF36" s="114"/>
      <c r="ZG36" s="114"/>
      <c r="ZH36" s="114"/>
      <c r="ZI36" s="114"/>
      <c r="ZJ36" s="114"/>
      <c r="ZK36" s="114"/>
      <c r="ZL36" s="114"/>
      <c r="ZM36" s="114"/>
      <c r="ZN36" s="114"/>
      <c r="ZO36" s="114"/>
      <c r="ZP36" s="114"/>
      <c r="ZQ36" s="114"/>
      <c r="ZR36" s="114"/>
      <c r="ZS36" s="114"/>
      <c r="ZT36" s="114"/>
      <c r="ZU36" s="114"/>
      <c r="ZV36" s="114"/>
      <c r="ZW36" s="114"/>
      <c r="ZX36" s="114"/>
      <c r="ZY36" s="114"/>
      <c r="ZZ36" s="114"/>
      <c r="AAA36" s="114"/>
      <c r="AAB36" s="114"/>
      <c r="AAC36" s="114"/>
      <c r="AAD36" s="114"/>
      <c r="AAE36" s="114"/>
      <c r="AAF36" s="114"/>
      <c r="AAG36" s="114"/>
      <c r="AAH36" s="114"/>
      <c r="AAI36" s="114"/>
      <c r="AAJ36" s="114"/>
      <c r="AAK36" s="114"/>
      <c r="AAL36" s="114"/>
      <c r="AAM36" s="114"/>
      <c r="AAN36" s="114"/>
      <c r="AAO36" s="114"/>
      <c r="AAP36" s="114"/>
      <c r="AAQ36" s="114"/>
      <c r="AAR36" s="114"/>
      <c r="AAS36" s="114"/>
      <c r="AAT36" s="114"/>
      <c r="AAU36" s="114"/>
      <c r="AAV36" s="114"/>
      <c r="AAW36" s="114"/>
      <c r="AAX36" s="114"/>
      <c r="AAY36" s="114"/>
      <c r="AAZ36" s="114"/>
      <c r="ABA36" s="114"/>
      <c r="ABB36" s="114"/>
      <c r="ABC36" s="114"/>
      <c r="ABD36" s="114"/>
      <c r="ABE36" s="114"/>
      <c r="ABF36" s="114"/>
      <c r="ABG36" s="114"/>
      <c r="ABH36" s="114"/>
      <c r="ABI36" s="114"/>
      <c r="ABJ36" s="114"/>
      <c r="ABK36" s="114"/>
      <c r="ABL36" s="114"/>
      <c r="ABM36" s="114"/>
      <c r="ABN36" s="114"/>
      <c r="ABO36" s="114"/>
      <c r="ABP36" s="114"/>
      <c r="ABQ36" s="114"/>
      <c r="ABR36" s="114"/>
      <c r="ABS36" s="114"/>
      <c r="ABT36" s="114"/>
      <c r="ABU36" s="114"/>
      <c r="ABV36" s="114"/>
      <c r="ABW36" s="114"/>
      <c r="ABX36" s="114"/>
      <c r="ABY36" s="114"/>
      <c r="ABZ36" s="114"/>
      <c r="ACA36" s="114"/>
      <c r="ACB36" s="114"/>
      <c r="ACC36" s="114"/>
      <c r="ACD36" s="114"/>
      <c r="ACE36" s="114"/>
      <c r="ACF36" s="114"/>
      <c r="ACG36" s="114"/>
      <c r="ACH36" s="114"/>
      <c r="ACI36" s="114"/>
      <c r="ACJ36" s="114"/>
      <c r="ACK36" s="114"/>
      <c r="ACL36" s="114"/>
      <c r="ACM36" s="114"/>
      <c r="ACN36" s="114"/>
      <c r="ACO36" s="114"/>
      <c r="ACP36" s="114"/>
      <c r="ACQ36" s="114"/>
      <c r="ACR36" s="114"/>
      <c r="ACS36" s="114"/>
      <c r="ACT36" s="114"/>
      <c r="ACU36" s="114"/>
      <c r="ACV36" s="114"/>
      <c r="ACW36" s="114"/>
      <c r="ACX36" s="114"/>
      <c r="ACY36" s="114"/>
      <c r="ACZ36" s="114"/>
      <c r="ADA36" s="114"/>
      <c r="ADB36" s="114"/>
      <c r="ADC36" s="114"/>
      <c r="ADD36" s="114"/>
      <c r="ADE36" s="114"/>
      <c r="ADF36" s="114"/>
      <c r="ADG36" s="114"/>
      <c r="ADH36" s="114"/>
      <c r="ADI36" s="114"/>
      <c r="ADJ36" s="114"/>
      <c r="ADK36" s="114"/>
      <c r="ADL36" s="114"/>
      <c r="ADM36" s="114"/>
      <c r="ADN36" s="114"/>
      <c r="ADO36" s="114"/>
      <c r="ADP36" s="114"/>
      <c r="ADQ36" s="114"/>
      <c r="ADR36" s="114"/>
      <c r="ADS36" s="114"/>
      <c r="ADT36" s="114"/>
      <c r="ADU36" s="114"/>
      <c r="ADV36" s="114"/>
      <c r="ADW36" s="114"/>
      <c r="ADX36" s="114"/>
      <c r="ADY36" s="114"/>
      <c r="ADZ36" s="114"/>
      <c r="AEA36" s="114"/>
      <c r="AEB36" s="114"/>
      <c r="AEC36" s="114"/>
      <c r="AED36" s="114"/>
      <c r="AEE36" s="114"/>
      <c r="AEF36" s="114"/>
      <c r="AEG36" s="114"/>
      <c r="AEH36" s="114"/>
      <c r="AEI36" s="114"/>
      <c r="AEJ36" s="114"/>
      <c r="AEK36" s="114"/>
      <c r="AEL36" s="114"/>
      <c r="AEM36" s="114"/>
      <c r="AEN36" s="114"/>
      <c r="AEO36" s="114"/>
      <c r="AEP36" s="114"/>
      <c r="AEQ36" s="114"/>
      <c r="AER36" s="114"/>
      <c r="AES36" s="114"/>
      <c r="AET36" s="114"/>
      <c r="AEU36" s="114"/>
      <c r="AEV36" s="114"/>
      <c r="AEW36" s="114"/>
      <c r="AEX36" s="114"/>
      <c r="AEY36" s="114"/>
      <c r="AEZ36" s="114"/>
      <c r="AFA36" s="114"/>
      <c r="AFB36" s="114"/>
      <c r="AFC36" s="114"/>
      <c r="AFD36" s="114"/>
      <c r="AFE36" s="114"/>
      <c r="AFF36" s="114"/>
      <c r="AFG36" s="114"/>
      <c r="AFH36" s="114"/>
      <c r="AFI36" s="114"/>
      <c r="AFJ36" s="114"/>
      <c r="AFK36" s="114"/>
      <c r="AFL36" s="114"/>
      <c r="AFM36" s="114"/>
      <c r="AFN36" s="114"/>
      <c r="AFO36" s="114"/>
      <c r="AFP36" s="114"/>
      <c r="AFQ36" s="114"/>
      <c r="AFR36" s="114"/>
      <c r="AFS36" s="114"/>
      <c r="AFT36" s="114"/>
      <c r="AFU36" s="114"/>
      <c r="AFV36" s="114"/>
      <c r="AFW36" s="114"/>
      <c r="AFX36" s="114"/>
      <c r="AFY36" s="114"/>
      <c r="AFZ36" s="114"/>
      <c r="AGA36" s="114"/>
      <c r="AGB36" s="114"/>
      <c r="AGC36" s="114"/>
      <c r="AGD36" s="114"/>
      <c r="AGE36" s="114"/>
      <c r="AGF36" s="114"/>
      <c r="AGG36" s="114"/>
      <c r="AGH36" s="114"/>
      <c r="AGI36" s="114"/>
      <c r="AGJ36" s="114"/>
      <c r="AGK36" s="114"/>
      <c r="AGL36" s="114"/>
      <c r="AGM36" s="114"/>
      <c r="AGN36" s="114"/>
      <c r="AGO36" s="114"/>
      <c r="AGP36" s="114"/>
      <c r="AGQ36" s="114"/>
      <c r="AGR36" s="114"/>
      <c r="AGS36" s="114"/>
      <c r="AGT36" s="114"/>
      <c r="AGU36" s="114"/>
      <c r="AGV36" s="114"/>
      <c r="AGW36" s="114"/>
      <c r="AGX36" s="114"/>
      <c r="AGY36" s="114"/>
      <c r="AGZ36" s="114"/>
      <c r="AHA36" s="114"/>
      <c r="AHB36" s="114"/>
      <c r="AHC36" s="114"/>
      <c r="AHD36" s="114"/>
      <c r="AHE36" s="114"/>
      <c r="AHF36" s="114"/>
      <c r="AHG36" s="114"/>
      <c r="AHH36" s="114"/>
      <c r="AHI36" s="114"/>
      <c r="AHJ36" s="114"/>
      <c r="AHK36" s="114"/>
      <c r="AHL36" s="114"/>
      <c r="AHM36" s="114"/>
      <c r="AHN36" s="114"/>
      <c r="AHO36" s="114"/>
      <c r="AHP36" s="114"/>
      <c r="AHQ36" s="114"/>
      <c r="AHR36" s="114"/>
      <c r="AHS36" s="114"/>
      <c r="AHT36" s="114"/>
      <c r="AHU36" s="114"/>
      <c r="AHV36" s="114"/>
      <c r="AHW36" s="114"/>
      <c r="AHX36" s="114"/>
      <c r="AHY36" s="114"/>
      <c r="AHZ36" s="114"/>
      <c r="AIA36" s="114"/>
      <c r="AIB36" s="114"/>
      <c r="AIC36" s="114"/>
      <c r="AID36" s="114"/>
      <c r="AIE36" s="114"/>
      <c r="AIF36" s="114"/>
      <c r="AIG36" s="114"/>
      <c r="AIH36" s="114"/>
      <c r="AII36" s="114"/>
      <c r="AIJ36" s="114"/>
      <c r="AIK36" s="114"/>
      <c r="AIL36" s="114"/>
      <c r="AIM36" s="114"/>
      <c r="AIN36" s="114"/>
      <c r="AIO36" s="114"/>
      <c r="AIP36" s="114"/>
      <c r="AIQ36" s="114"/>
      <c r="AIR36" s="114"/>
      <c r="AIS36" s="114"/>
      <c r="AIT36" s="114"/>
      <c r="AIU36" s="114"/>
      <c r="AIV36" s="114"/>
      <c r="AIW36" s="114"/>
      <c r="AIX36" s="114"/>
      <c r="AIY36" s="114"/>
      <c r="AIZ36" s="114"/>
      <c r="AJA36" s="114"/>
      <c r="AJB36" s="114"/>
      <c r="AJC36" s="114"/>
      <c r="AJD36" s="114"/>
      <c r="AJE36" s="114"/>
      <c r="AJF36" s="114"/>
      <c r="AJG36" s="114"/>
      <c r="AJH36" s="114"/>
      <c r="AJI36" s="114"/>
      <c r="AJJ36" s="114"/>
      <c r="AJK36" s="114"/>
      <c r="AJL36" s="114"/>
      <c r="AJM36" s="114"/>
      <c r="AJN36" s="114"/>
      <c r="AJO36" s="114"/>
      <c r="AJP36" s="114"/>
      <c r="AJQ36" s="114"/>
      <c r="AJR36" s="114"/>
      <c r="AJS36" s="114"/>
      <c r="AJT36" s="114"/>
      <c r="AJU36" s="114"/>
      <c r="AJV36" s="114"/>
      <c r="AJW36" s="114"/>
      <c r="AJX36" s="114"/>
      <c r="AJY36" s="114"/>
      <c r="AJZ36" s="114"/>
      <c r="AKA36" s="114"/>
      <c r="AKB36" s="114"/>
      <c r="AKC36" s="114"/>
      <c r="AKD36" s="114"/>
      <c r="AKE36" s="114"/>
      <c r="AKF36" s="114"/>
      <c r="AKG36" s="114"/>
      <c r="AKH36" s="114"/>
      <c r="AKI36" s="114"/>
      <c r="AKJ36" s="114"/>
      <c r="AKK36" s="114"/>
      <c r="AKL36" s="114"/>
      <c r="AKM36" s="114"/>
      <c r="AKN36" s="114"/>
      <c r="AKO36" s="114"/>
      <c r="AKP36" s="114"/>
      <c r="AKQ36" s="114"/>
      <c r="AKR36" s="114"/>
      <c r="AKS36" s="114"/>
      <c r="AKT36" s="114"/>
      <c r="AKU36" s="114"/>
      <c r="AKV36" s="114"/>
      <c r="AKW36" s="114"/>
      <c r="AKX36" s="114"/>
      <c r="AKY36" s="114"/>
    </row>
    <row r="37" spans="1:987" s="115" customFormat="1" ht="15" customHeight="1" x14ac:dyDescent="0.3">
      <c r="A37" s="158"/>
      <c r="B37" s="159"/>
      <c r="C37" s="463"/>
      <c r="D37" s="464" t="s">
        <v>2836</v>
      </c>
      <c r="E37" s="465"/>
      <c r="F37" s="466"/>
      <c r="G37" s="127">
        <f>SUM(G36)</f>
        <v>180000</v>
      </c>
      <c r="H37" s="177"/>
      <c r="I37" s="128"/>
      <c r="J37" s="128"/>
      <c r="K37" s="128"/>
      <c r="L37" s="128"/>
      <c r="M37" s="128"/>
      <c r="N37" s="128"/>
      <c r="O37" s="128"/>
      <c r="P37" s="128"/>
      <c r="Q37" s="128"/>
      <c r="R37" s="128"/>
      <c r="S37" s="129"/>
      <c r="T37" s="125"/>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4"/>
      <c r="AX37" s="114"/>
      <c r="AY37" s="114"/>
      <c r="AZ37" s="114"/>
      <c r="BA37" s="114"/>
      <c r="BB37" s="114"/>
      <c r="BC37" s="114"/>
      <c r="BD37" s="114"/>
      <c r="BE37" s="114"/>
      <c r="BF37" s="114"/>
      <c r="BG37" s="114"/>
      <c r="BH37" s="114"/>
      <c r="BI37" s="114"/>
      <c r="BJ37" s="114"/>
      <c r="BK37" s="114"/>
      <c r="BL37" s="114"/>
      <c r="BM37" s="114"/>
      <c r="BN37" s="114"/>
      <c r="BO37" s="114"/>
      <c r="BP37" s="114"/>
      <c r="BQ37" s="114"/>
      <c r="BR37" s="114"/>
      <c r="BS37" s="114"/>
      <c r="BT37" s="114"/>
      <c r="BU37" s="114"/>
      <c r="BV37" s="114"/>
      <c r="BW37" s="114"/>
      <c r="BX37" s="114"/>
      <c r="BY37" s="114"/>
      <c r="BZ37" s="114"/>
      <c r="CA37" s="114"/>
      <c r="CB37" s="114"/>
      <c r="CC37" s="114"/>
      <c r="CD37" s="114"/>
      <c r="CE37" s="114"/>
      <c r="CF37" s="114"/>
      <c r="CG37" s="114"/>
      <c r="CH37" s="114"/>
      <c r="CI37" s="114"/>
      <c r="CJ37" s="114"/>
      <c r="CK37" s="114"/>
      <c r="CL37" s="114"/>
      <c r="CM37" s="114"/>
      <c r="CN37" s="114"/>
      <c r="CO37" s="114"/>
      <c r="CP37" s="114"/>
      <c r="CQ37" s="114"/>
      <c r="CR37" s="114"/>
      <c r="CS37" s="114"/>
      <c r="CT37" s="114"/>
      <c r="CU37" s="114"/>
      <c r="CV37" s="114"/>
      <c r="CW37" s="114"/>
      <c r="CX37" s="114"/>
      <c r="CY37" s="114"/>
      <c r="CZ37" s="114"/>
      <c r="DA37" s="114"/>
      <c r="DB37" s="114"/>
      <c r="DC37" s="114"/>
      <c r="DD37" s="114"/>
      <c r="DE37" s="114"/>
      <c r="DF37" s="114"/>
      <c r="DG37" s="114"/>
      <c r="DH37" s="114"/>
      <c r="DI37" s="114"/>
      <c r="DJ37" s="114"/>
      <c r="DK37" s="114"/>
      <c r="DL37" s="114"/>
      <c r="DM37" s="114"/>
      <c r="DN37" s="114"/>
      <c r="DO37" s="114"/>
      <c r="DP37" s="114"/>
      <c r="DQ37" s="114"/>
      <c r="DR37" s="114"/>
      <c r="DS37" s="114"/>
      <c r="DT37" s="114"/>
      <c r="DU37" s="114"/>
      <c r="DV37" s="114"/>
      <c r="DW37" s="114"/>
      <c r="DX37" s="114"/>
      <c r="DY37" s="114"/>
      <c r="DZ37" s="114"/>
      <c r="EA37" s="114"/>
      <c r="EB37" s="114"/>
      <c r="EC37" s="114"/>
      <c r="ED37" s="114"/>
      <c r="EE37" s="114"/>
      <c r="EF37" s="114"/>
      <c r="EG37" s="114"/>
      <c r="EH37" s="114"/>
      <c r="EI37" s="114"/>
      <c r="EJ37" s="114"/>
      <c r="EK37" s="114"/>
      <c r="EL37" s="114"/>
      <c r="EM37" s="114"/>
      <c r="EN37" s="114"/>
      <c r="EO37" s="114"/>
      <c r="EP37" s="114"/>
      <c r="EQ37" s="114"/>
      <c r="ER37" s="114"/>
      <c r="ES37" s="114"/>
      <c r="ET37" s="114"/>
      <c r="EU37" s="114"/>
      <c r="EV37" s="114"/>
      <c r="EW37" s="114"/>
      <c r="EX37" s="114"/>
      <c r="EY37" s="114"/>
      <c r="EZ37" s="114"/>
      <c r="FA37" s="114"/>
      <c r="FB37" s="114"/>
      <c r="FC37" s="114"/>
      <c r="FD37" s="114"/>
      <c r="FE37" s="114"/>
      <c r="FF37" s="114"/>
      <c r="FG37" s="114"/>
      <c r="FH37" s="114"/>
      <c r="FI37" s="114"/>
      <c r="FJ37" s="114"/>
      <c r="FK37" s="114"/>
      <c r="FL37" s="114"/>
      <c r="FM37" s="114"/>
      <c r="FN37" s="114"/>
      <c r="FO37" s="114"/>
      <c r="FP37" s="114"/>
      <c r="FQ37" s="114"/>
      <c r="FR37" s="114"/>
      <c r="FS37" s="114"/>
      <c r="FT37" s="114"/>
      <c r="FU37" s="114"/>
      <c r="FV37" s="114"/>
      <c r="FW37" s="114"/>
      <c r="FX37" s="114"/>
      <c r="FY37" s="114"/>
      <c r="FZ37" s="114"/>
      <c r="GA37" s="114"/>
      <c r="GB37" s="114"/>
      <c r="GC37" s="114"/>
      <c r="GD37" s="114"/>
      <c r="GE37" s="114"/>
      <c r="GF37" s="114"/>
      <c r="GG37" s="114"/>
      <c r="GH37" s="114"/>
      <c r="GI37" s="114"/>
      <c r="GJ37" s="114"/>
      <c r="GK37" s="114"/>
      <c r="GL37" s="114"/>
      <c r="GM37" s="114"/>
      <c r="GN37" s="114"/>
      <c r="GO37" s="114"/>
      <c r="GP37" s="114"/>
      <c r="GQ37" s="114"/>
      <c r="GR37" s="114"/>
      <c r="GS37" s="114"/>
      <c r="GT37" s="114"/>
      <c r="GU37" s="114"/>
      <c r="GV37" s="114"/>
      <c r="GW37" s="114"/>
      <c r="GX37" s="114"/>
      <c r="GY37" s="114"/>
      <c r="GZ37" s="114"/>
      <c r="HA37" s="114"/>
      <c r="HB37" s="114"/>
      <c r="HC37" s="114"/>
      <c r="HD37" s="114"/>
      <c r="HE37" s="114"/>
      <c r="HF37" s="114"/>
      <c r="HG37" s="114"/>
      <c r="HH37" s="114"/>
      <c r="HI37" s="114"/>
      <c r="HJ37" s="114"/>
      <c r="HK37" s="114"/>
      <c r="HL37" s="114"/>
      <c r="HM37" s="114"/>
      <c r="HN37" s="114"/>
      <c r="HO37" s="114"/>
      <c r="HP37" s="114"/>
      <c r="HQ37" s="114"/>
      <c r="HR37" s="114"/>
      <c r="HS37" s="114"/>
      <c r="HT37" s="114"/>
      <c r="HU37" s="114"/>
      <c r="HV37" s="114"/>
      <c r="HW37" s="114"/>
      <c r="HX37" s="114"/>
      <c r="HY37" s="114"/>
      <c r="HZ37" s="114"/>
      <c r="IA37" s="114"/>
      <c r="IB37" s="114"/>
      <c r="IC37" s="114"/>
      <c r="ID37" s="114"/>
      <c r="IE37" s="114"/>
      <c r="IF37" s="114"/>
      <c r="IG37" s="114"/>
      <c r="IH37" s="114"/>
      <c r="II37" s="114"/>
      <c r="IJ37" s="114"/>
      <c r="IK37" s="114"/>
      <c r="IL37" s="114"/>
      <c r="IM37" s="114"/>
      <c r="IN37" s="114"/>
      <c r="IO37" s="114"/>
      <c r="IP37" s="114"/>
      <c r="IQ37" s="114"/>
      <c r="IR37" s="114"/>
      <c r="IS37" s="114"/>
      <c r="IT37" s="114"/>
      <c r="IU37" s="114"/>
      <c r="IV37" s="114"/>
      <c r="IW37" s="114"/>
      <c r="IX37" s="114"/>
      <c r="IY37" s="114"/>
      <c r="IZ37" s="114"/>
      <c r="JA37" s="114"/>
      <c r="JB37" s="114"/>
      <c r="JC37" s="114"/>
      <c r="JD37" s="114"/>
      <c r="JE37" s="114"/>
      <c r="JF37" s="114"/>
      <c r="JG37" s="114"/>
      <c r="JH37" s="114"/>
      <c r="JI37" s="114"/>
      <c r="JJ37" s="114"/>
      <c r="JK37" s="114"/>
      <c r="JL37" s="114"/>
      <c r="JM37" s="114"/>
      <c r="JN37" s="114"/>
      <c r="JO37" s="114"/>
      <c r="JP37" s="114"/>
      <c r="JQ37" s="114"/>
      <c r="JR37" s="114"/>
      <c r="JS37" s="114"/>
      <c r="JT37" s="114"/>
      <c r="JU37" s="114"/>
      <c r="JV37" s="114"/>
      <c r="JW37" s="114"/>
      <c r="JX37" s="114"/>
      <c r="JY37" s="114"/>
      <c r="JZ37" s="114"/>
      <c r="KA37" s="114"/>
      <c r="KB37" s="114"/>
      <c r="KC37" s="114"/>
      <c r="KD37" s="114"/>
      <c r="KE37" s="114"/>
      <c r="KF37" s="114"/>
      <c r="KG37" s="114"/>
      <c r="KH37" s="114"/>
      <c r="KI37" s="114"/>
      <c r="KJ37" s="114"/>
      <c r="KK37" s="114"/>
      <c r="KL37" s="114"/>
      <c r="KM37" s="114"/>
      <c r="KN37" s="114"/>
      <c r="KO37" s="114"/>
      <c r="KP37" s="114"/>
      <c r="KQ37" s="114"/>
      <c r="KR37" s="114"/>
      <c r="KS37" s="114"/>
      <c r="KT37" s="114"/>
      <c r="KU37" s="114"/>
      <c r="KV37" s="114"/>
      <c r="KW37" s="114"/>
      <c r="KX37" s="114"/>
      <c r="KY37" s="114"/>
      <c r="KZ37" s="114"/>
      <c r="LA37" s="114"/>
      <c r="LB37" s="114"/>
      <c r="LC37" s="114"/>
      <c r="LD37" s="114"/>
      <c r="LE37" s="114"/>
      <c r="LF37" s="114"/>
      <c r="LG37" s="114"/>
      <c r="LH37" s="114"/>
      <c r="LI37" s="114"/>
      <c r="LJ37" s="114"/>
      <c r="LK37" s="114"/>
      <c r="LL37" s="114"/>
      <c r="LM37" s="114"/>
      <c r="LN37" s="114"/>
      <c r="LO37" s="114"/>
      <c r="LP37" s="114"/>
      <c r="LQ37" s="114"/>
      <c r="LR37" s="114"/>
      <c r="LS37" s="114"/>
      <c r="LT37" s="114"/>
      <c r="LU37" s="114"/>
      <c r="LV37" s="114"/>
      <c r="LW37" s="114"/>
      <c r="LX37" s="114"/>
      <c r="LY37" s="114"/>
      <c r="LZ37" s="114"/>
      <c r="MA37" s="114"/>
      <c r="MB37" s="114"/>
      <c r="MC37" s="114"/>
      <c r="MD37" s="114"/>
      <c r="ME37" s="114"/>
      <c r="MF37" s="114"/>
      <c r="MG37" s="114"/>
      <c r="MH37" s="114"/>
      <c r="MI37" s="114"/>
      <c r="MJ37" s="114"/>
      <c r="MK37" s="114"/>
      <c r="ML37" s="114"/>
      <c r="MM37" s="114"/>
      <c r="MN37" s="114"/>
      <c r="MO37" s="114"/>
      <c r="MP37" s="114"/>
      <c r="MQ37" s="114"/>
      <c r="MR37" s="114"/>
      <c r="MS37" s="114"/>
      <c r="MT37" s="114"/>
      <c r="MU37" s="114"/>
      <c r="MV37" s="114"/>
      <c r="MW37" s="114"/>
      <c r="MX37" s="114"/>
      <c r="MY37" s="114"/>
      <c r="MZ37" s="114"/>
      <c r="NA37" s="114"/>
      <c r="NB37" s="114"/>
      <c r="NC37" s="114"/>
      <c r="ND37" s="114"/>
      <c r="NE37" s="114"/>
      <c r="NF37" s="114"/>
      <c r="NG37" s="114"/>
      <c r="NH37" s="114"/>
      <c r="NI37" s="114"/>
      <c r="NJ37" s="114"/>
      <c r="NK37" s="114"/>
      <c r="NL37" s="114"/>
      <c r="NM37" s="114"/>
      <c r="NN37" s="114"/>
      <c r="NO37" s="114"/>
      <c r="NP37" s="114"/>
      <c r="NQ37" s="114"/>
      <c r="NR37" s="114"/>
      <c r="NS37" s="114"/>
      <c r="NT37" s="114"/>
      <c r="NU37" s="114"/>
      <c r="NV37" s="114"/>
      <c r="NW37" s="114"/>
      <c r="NX37" s="114"/>
      <c r="NY37" s="114"/>
      <c r="NZ37" s="114"/>
      <c r="OA37" s="114"/>
      <c r="OB37" s="114"/>
      <c r="OC37" s="114"/>
      <c r="OD37" s="114"/>
      <c r="OE37" s="114"/>
      <c r="OF37" s="114"/>
      <c r="OG37" s="114"/>
      <c r="OH37" s="114"/>
      <c r="OI37" s="114"/>
      <c r="OJ37" s="114"/>
      <c r="OK37" s="114"/>
      <c r="OL37" s="114"/>
      <c r="OM37" s="114"/>
      <c r="ON37" s="114"/>
      <c r="OO37" s="114"/>
      <c r="OP37" s="114"/>
      <c r="OQ37" s="114"/>
      <c r="OR37" s="114"/>
      <c r="OS37" s="114"/>
      <c r="OT37" s="114"/>
      <c r="OU37" s="114"/>
      <c r="OV37" s="114"/>
      <c r="OW37" s="114"/>
      <c r="OX37" s="114"/>
      <c r="OY37" s="114"/>
      <c r="OZ37" s="114"/>
      <c r="PA37" s="114"/>
      <c r="PB37" s="114"/>
      <c r="PC37" s="114"/>
      <c r="PD37" s="114"/>
      <c r="PE37" s="114"/>
      <c r="PF37" s="114"/>
      <c r="PG37" s="114"/>
      <c r="PH37" s="114"/>
      <c r="PI37" s="114"/>
      <c r="PJ37" s="114"/>
      <c r="PK37" s="114"/>
      <c r="PL37" s="114"/>
      <c r="PM37" s="114"/>
      <c r="PN37" s="114"/>
      <c r="PO37" s="114"/>
      <c r="PP37" s="114"/>
      <c r="PQ37" s="114"/>
      <c r="PR37" s="114"/>
      <c r="PS37" s="114"/>
      <c r="PT37" s="114"/>
      <c r="PU37" s="114"/>
      <c r="PV37" s="114"/>
      <c r="PW37" s="114"/>
      <c r="PX37" s="114"/>
      <c r="PY37" s="114"/>
      <c r="PZ37" s="114"/>
      <c r="QA37" s="114"/>
      <c r="QB37" s="114"/>
      <c r="QC37" s="114"/>
      <c r="QD37" s="114"/>
      <c r="QE37" s="114"/>
      <c r="QF37" s="114"/>
      <c r="QG37" s="114"/>
      <c r="QH37" s="114"/>
      <c r="QI37" s="114"/>
      <c r="QJ37" s="114"/>
      <c r="QK37" s="114"/>
      <c r="QL37" s="114"/>
      <c r="QM37" s="114"/>
      <c r="QN37" s="114"/>
      <c r="QO37" s="114"/>
      <c r="QP37" s="114"/>
      <c r="QQ37" s="114"/>
      <c r="QR37" s="114"/>
      <c r="QS37" s="114"/>
      <c r="QT37" s="114"/>
      <c r="QU37" s="114"/>
      <c r="QV37" s="114"/>
      <c r="QW37" s="114"/>
      <c r="QX37" s="114"/>
      <c r="QY37" s="114"/>
      <c r="QZ37" s="114"/>
      <c r="RA37" s="114"/>
      <c r="RB37" s="114"/>
      <c r="RC37" s="114"/>
      <c r="RD37" s="114"/>
      <c r="RE37" s="114"/>
      <c r="RF37" s="114"/>
      <c r="RG37" s="114"/>
      <c r="RH37" s="114"/>
      <c r="RI37" s="114"/>
      <c r="RJ37" s="114"/>
      <c r="RK37" s="114"/>
      <c r="RL37" s="114"/>
      <c r="RM37" s="114"/>
      <c r="RN37" s="114"/>
      <c r="RO37" s="114"/>
      <c r="RP37" s="114"/>
      <c r="RQ37" s="114"/>
      <c r="RR37" s="114"/>
      <c r="RS37" s="114"/>
      <c r="RT37" s="114"/>
      <c r="RU37" s="114"/>
      <c r="RV37" s="114"/>
      <c r="RW37" s="114"/>
      <c r="RX37" s="114"/>
      <c r="RY37" s="114"/>
      <c r="RZ37" s="114"/>
      <c r="SA37" s="114"/>
      <c r="SB37" s="114"/>
      <c r="SC37" s="114"/>
      <c r="SD37" s="114"/>
      <c r="SE37" s="114"/>
      <c r="SF37" s="114"/>
      <c r="SG37" s="114"/>
      <c r="SH37" s="114"/>
      <c r="SI37" s="114"/>
      <c r="SJ37" s="114"/>
      <c r="SK37" s="114"/>
      <c r="SL37" s="114"/>
      <c r="SM37" s="114"/>
      <c r="SN37" s="114"/>
      <c r="SO37" s="114"/>
      <c r="SP37" s="114"/>
      <c r="SQ37" s="114"/>
      <c r="SR37" s="114"/>
      <c r="SS37" s="114"/>
      <c r="ST37" s="114"/>
      <c r="SU37" s="114"/>
      <c r="SV37" s="114"/>
      <c r="SW37" s="114"/>
      <c r="SX37" s="114"/>
      <c r="SY37" s="114"/>
      <c r="SZ37" s="114"/>
      <c r="TA37" s="114"/>
      <c r="TB37" s="114"/>
      <c r="TC37" s="114"/>
      <c r="TD37" s="114"/>
      <c r="TE37" s="114"/>
      <c r="TF37" s="114"/>
      <c r="TG37" s="114"/>
      <c r="TH37" s="114"/>
      <c r="TI37" s="114"/>
      <c r="TJ37" s="114"/>
      <c r="TK37" s="114"/>
      <c r="TL37" s="114"/>
      <c r="TM37" s="114"/>
      <c r="TN37" s="114"/>
      <c r="TO37" s="114"/>
      <c r="TP37" s="114"/>
      <c r="TQ37" s="114"/>
      <c r="TR37" s="114"/>
      <c r="TS37" s="114"/>
      <c r="TT37" s="114"/>
      <c r="TU37" s="114"/>
      <c r="TV37" s="114"/>
      <c r="TW37" s="114"/>
      <c r="TX37" s="114"/>
      <c r="TY37" s="114"/>
      <c r="TZ37" s="114"/>
      <c r="UA37" s="114"/>
      <c r="UB37" s="114"/>
      <c r="UC37" s="114"/>
      <c r="UD37" s="114"/>
      <c r="UE37" s="114"/>
      <c r="UF37" s="114"/>
      <c r="UG37" s="114"/>
      <c r="UH37" s="114"/>
      <c r="UI37" s="114"/>
      <c r="UJ37" s="114"/>
      <c r="UK37" s="114"/>
      <c r="UL37" s="114"/>
      <c r="UM37" s="114"/>
      <c r="UN37" s="114"/>
      <c r="UO37" s="114"/>
      <c r="UP37" s="114"/>
      <c r="UQ37" s="114"/>
      <c r="UR37" s="114"/>
      <c r="US37" s="114"/>
      <c r="UT37" s="114"/>
      <c r="UU37" s="114"/>
      <c r="UV37" s="114"/>
      <c r="UW37" s="114"/>
      <c r="UX37" s="114"/>
      <c r="UY37" s="114"/>
      <c r="UZ37" s="114"/>
      <c r="VA37" s="114"/>
      <c r="VB37" s="114"/>
      <c r="VC37" s="114"/>
      <c r="VD37" s="114"/>
      <c r="VE37" s="114"/>
      <c r="VF37" s="114"/>
      <c r="VG37" s="114"/>
      <c r="VH37" s="114"/>
      <c r="VI37" s="114"/>
      <c r="VJ37" s="114"/>
      <c r="VK37" s="114"/>
      <c r="VL37" s="114"/>
      <c r="VM37" s="114"/>
      <c r="VN37" s="114"/>
      <c r="VO37" s="114"/>
      <c r="VP37" s="114"/>
      <c r="VQ37" s="114"/>
      <c r="VR37" s="114"/>
      <c r="VS37" s="114"/>
      <c r="VT37" s="114"/>
      <c r="VU37" s="114"/>
      <c r="VV37" s="114"/>
      <c r="VW37" s="114"/>
      <c r="VX37" s="114"/>
      <c r="VY37" s="114"/>
      <c r="VZ37" s="114"/>
      <c r="WA37" s="114"/>
      <c r="WB37" s="114"/>
      <c r="WC37" s="114"/>
      <c r="WD37" s="114"/>
      <c r="WE37" s="114"/>
      <c r="WF37" s="114"/>
      <c r="WG37" s="114"/>
      <c r="WH37" s="114"/>
      <c r="WI37" s="114"/>
      <c r="WJ37" s="114"/>
      <c r="WK37" s="114"/>
      <c r="WL37" s="114"/>
      <c r="WM37" s="114"/>
      <c r="WN37" s="114"/>
      <c r="WO37" s="114"/>
      <c r="WP37" s="114"/>
      <c r="WQ37" s="114"/>
      <c r="WR37" s="114"/>
      <c r="WS37" s="114"/>
      <c r="WT37" s="114"/>
      <c r="WU37" s="114"/>
      <c r="WV37" s="114"/>
      <c r="WW37" s="114"/>
      <c r="WX37" s="114"/>
      <c r="WY37" s="114"/>
      <c r="WZ37" s="114"/>
      <c r="XA37" s="114"/>
      <c r="XB37" s="114"/>
      <c r="XC37" s="114"/>
      <c r="XD37" s="114"/>
      <c r="XE37" s="114"/>
      <c r="XF37" s="114"/>
      <c r="XG37" s="114"/>
      <c r="XH37" s="114"/>
      <c r="XI37" s="114"/>
      <c r="XJ37" s="114"/>
      <c r="XK37" s="114"/>
      <c r="XL37" s="114"/>
      <c r="XM37" s="114"/>
      <c r="XN37" s="114"/>
      <c r="XO37" s="114"/>
      <c r="XP37" s="114"/>
      <c r="XQ37" s="114"/>
      <c r="XR37" s="114"/>
      <c r="XS37" s="114"/>
      <c r="XT37" s="114"/>
      <c r="XU37" s="114"/>
      <c r="XV37" s="114"/>
      <c r="XW37" s="114"/>
      <c r="XX37" s="114"/>
      <c r="XY37" s="114"/>
      <c r="XZ37" s="114"/>
      <c r="YA37" s="114"/>
      <c r="YB37" s="114"/>
      <c r="YC37" s="114"/>
      <c r="YD37" s="114"/>
      <c r="YE37" s="114"/>
      <c r="YF37" s="114"/>
      <c r="YG37" s="114"/>
      <c r="YH37" s="114"/>
      <c r="YI37" s="114"/>
      <c r="YJ37" s="114"/>
      <c r="YK37" s="114"/>
      <c r="YL37" s="114"/>
      <c r="YM37" s="114"/>
      <c r="YN37" s="114"/>
      <c r="YO37" s="114"/>
      <c r="YP37" s="114"/>
      <c r="YQ37" s="114"/>
      <c r="YR37" s="114"/>
      <c r="YS37" s="114"/>
      <c r="YT37" s="114"/>
      <c r="YU37" s="114"/>
      <c r="YV37" s="114"/>
      <c r="YW37" s="114"/>
      <c r="YX37" s="114"/>
      <c r="YY37" s="114"/>
      <c r="YZ37" s="114"/>
      <c r="ZA37" s="114"/>
      <c r="ZB37" s="114"/>
      <c r="ZC37" s="114"/>
      <c r="ZD37" s="114"/>
      <c r="ZE37" s="114"/>
      <c r="ZF37" s="114"/>
      <c r="ZG37" s="114"/>
      <c r="ZH37" s="114"/>
      <c r="ZI37" s="114"/>
      <c r="ZJ37" s="114"/>
      <c r="ZK37" s="114"/>
      <c r="ZL37" s="114"/>
      <c r="ZM37" s="114"/>
      <c r="ZN37" s="114"/>
      <c r="ZO37" s="114"/>
      <c r="ZP37" s="114"/>
      <c r="ZQ37" s="114"/>
      <c r="ZR37" s="114"/>
      <c r="ZS37" s="114"/>
      <c r="ZT37" s="114"/>
      <c r="ZU37" s="114"/>
      <c r="ZV37" s="114"/>
      <c r="ZW37" s="114"/>
      <c r="ZX37" s="114"/>
      <c r="ZY37" s="114"/>
      <c r="ZZ37" s="114"/>
      <c r="AAA37" s="114"/>
      <c r="AAB37" s="114"/>
      <c r="AAC37" s="114"/>
      <c r="AAD37" s="114"/>
      <c r="AAE37" s="114"/>
      <c r="AAF37" s="114"/>
      <c r="AAG37" s="114"/>
      <c r="AAH37" s="114"/>
      <c r="AAI37" s="114"/>
      <c r="AAJ37" s="114"/>
      <c r="AAK37" s="114"/>
      <c r="AAL37" s="114"/>
      <c r="AAM37" s="114"/>
      <c r="AAN37" s="114"/>
      <c r="AAO37" s="114"/>
      <c r="AAP37" s="114"/>
      <c r="AAQ37" s="114"/>
      <c r="AAR37" s="114"/>
      <c r="AAS37" s="114"/>
      <c r="AAT37" s="114"/>
      <c r="AAU37" s="114"/>
      <c r="AAV37" s="114"/>
      <c r="AAW37" s="114"/>
      <c r="AAX37" s="114"/>
      <c r="AAY37" s="114"/>
      <c r="AAZ37" s="114"/>
      <c r="ABA37" s="114"/>
      <c r="ABB37" s="114"/>
      <c r="ABC37" s="114"/>
      <c r="ABD37" s="114"/>
      <c r="ABE37" s="114"/>
      <c r="ABF37" s="114"/>
      <c r="ABG37" s="114"/>
      <c r="ABH37" s="114"/>
      <c r="ABI37" s="114"/>
      <c r="ABJ37" s="114"/>
      <c r="ABK37" s="114"/>
      <c r="ABL37" s="114"/>
      <c r="ABM37" s="114"/>
      <c r="ABN37" s="114"/>
      <c r="ABO37" s="114"/>
      <c r="ABP37" s="114"/>
      <c r="ABQ37" s="114"/>
      <c r="ABR37" s="114"/>
      <c r="ABS37" s="114"/>
      <c r="ABT37" s="114"/>
      <c r="ABU37" s="114"/>
      <c r="ABV37" s="114"/>
      <c r="ABW37" s="114"/>
      <c r="ABX37" s="114"/>
      <c r="ABY37" s="114"/>
      <c r="ABZ37" s="114"/>
      <c r="ACA37" s="114"/>
      <c r="ACB37" s="114"/>
      <c r="ACC37" s="114"/>
      <c r="ACD37" s="114"/>
      <c r="ACE37" s="114"/>
      <c r="ACF37" s="114"/>
      <c r="ACG37" s="114"/>
      <c r="ACH37" s="114"/>
      <c r="ACI37" s="114"/>
      <c r="ACJ37" s="114"/>
      <c r="ACK37" s="114"/>
      <c r="ACL37" s="114"/>
      <c r="ACM37" s="114"/>
      <c r="ACN37" s="114"/>
      <c r="ACO37" s="114"/>
      <c r="ACP37" s="114"/>
      <c r="ACQ37" s="114"/>
      <c r="ACR37" s="114"/>
      <c r="ACS37" s="114"/>
      <c r="ACT37" s="114"/>
      <c r="ACU37" s="114"/>
      <c r="ACV37" s="114"/>
      <c r="ACW37" s="114"/>
      <c r="ACX37" s="114"/>
      <c r="ACY37" s="114"/>
      <c r="ACZ37" s="114"/>
      <c r="ADA37" s="114"/>
      <c r="ADB37" s="114"/>
      <c r="ADC37" s="114"/>
      <c r="ADD37" s="114"/>
      <c r="ADE37" s="114"/>
      <c r="ADF37" s="114"/>
      <c r="ADG37" s="114"/>
      <c r="ADH37" s="114"/>
      <c r="ADI37" s="114"/>
      <c r="ADJ37" s="114"/>
      <c r="ADK37" s="114"/>
      <c r="ADL37" s="114"/>
      <c r="ADM37" s="114"/>
      <c r="ADN37" s="114"/>
      <c r="ADO37" s="114"/>
      <c r="ADP37" s="114"/>
      <c r="ADQ37" s="114"/>
      <c r="ADR37" s="114"/>
      <c r="ADS37" s="114"/>
      <c r="ADT37" s="114"/>
      <c r="ADU37" s="114"/>
      <c r="ADV37" s="114"/>
      <c r="ADW37" s="114"/>
      <c r="ADX37" s="114"/>
      <c r="ADY37" s="114"/>
      <c r="ADZ37" s="114"/>
      <c r="AEA37" s="114"/>
      <c r="AEB37" s="114"/>
      <c r="AEC37" s="114"/>
      <c r="AED37" s="114"/>
      <c r="AEE37" s="114"/>
      <c r="AEF37" s="114"/>
      <c r="AEG37" s="114"/>
      <c r="AEH37" s="114"/>
      <c r="AEI37" s="114"/>
      <c r="AEJ37" s="114"/>
      <c r="AEK37" s="114"/>
      <c r="AEL37" s="114"/>
      <c r="AEM37" s="114"/>
      <c r="AEN37" s="114"/>
      <c r="AEO37" s="114"/>
      <c r="AEP37" s="114"/>
      <c r="AEQ37" s="114"/>
      <c r="AER37" s="114"/>
      <c r="AES37" s="114"/>
      <c r="AET37" s="114"/>
      <c r="AEU37" s="114"/>
      <c r="AEV37" s="114"/>
      <c r="AEW37" s="114"/>
      <c r="AEX37" s="114"/>
      <c r="AEY37" s="114"/>
      <c r="AEZ37" s="114"/>
      <c r="AFA37" s="114"/>
      <c r="AFB37" s="114"/>
      <c r="AFC37" s="114"/>
      <c r="AFD37" s="114"/>
      <c r="AFE37" s="114"/>
      <c r="AFF37" s="114"/>
      <c r="AFG37" s="114"/>
      <c r="AFH37" s="114"/>
      <c r="AFI37" s="114"/>
      <c r="AFJ37" s="114"/>
      <c r="AFK37" s="114"/>
      <c r="AFL37" s="114"/>
      <c r="AFM37" s="114"/>
      <c r="AFN37" s="114"/>
      <c r="AFO37" s="114"/>
      <c r="AFP37" s="114"/>
      <c r="AFQ37" s="114"/>
      <c r="AFR37" s="114"/>
      <c r="AFS37" s="114"/>
      <c r="AFT37" s="114"/>
      <c r="AFU37" s="114"/>
      <c r="AFV37" s="114"/>
      <c r="AFW37" s="114"/>
      <c r="AFX37" s="114"/>
      <c r="AFY37" s="114"/>
      <c r="AFZ37" s="114"/>
      <c r="AGA37" s="114"/>
      <c r="AGB37" s="114"/>
      <c r="AGC37" s="114"/>
      <c r="AGD37" s="114"/>
      <c r="AGE37" s="114"/>
      <c r="AGF37" s="114"/>
      <c r="AGG37" s="114"/>
      <c r="AGH37" s="114"/>
      <c r="AGI37" s="114"/>
      <c r="AGJ37" s="114"/>
      <c r="AGK37" s="114"/>
      <c r="AGL37" s="114"/>
      <c r="AGM37" s="114"/>
      <c r="AGN37" s="114"/>
      <c r="AGO37" s="114"/>
      <c r="AGP37" s="114"/>
      <c r="AGQ37" s="114"/>
      <c r="AGR37" s="114"/>
      <c r="AGS37" s="114"/>
      <c r="AGT37" s="114"/>
      <c r="AGU37" s="114"/>
      <c r="AGV37" s="114"/>
      <c r="AGW37" s="114"/>
      <c r="AGX37" s="114"/>
      <c r="AGY37" s="114"/>
      <c r="AGZ37" s="114"/>
      <c r="AHA37" s="114"/>
      <c r="AHB37" s="114"/>
      <c r="AHC37" s="114"/>
      <c r="AHD37" s="114"/>
      <c r="AHE37" s="114"/>
      <c r="AHF37" s="114"/>
      <c r="AHG37" s="114"/>
      <c r="AHH37" s="114"/>
      <c r="AHI37" s="114"/>
      <c r="AHJ37" s="114"/>
      <c r="AHK37" s="114"/>
      <c r="AHL37" s="114"/>
      <c r="AHM37" s="114"/>
      <c r="AHN37" s="114"/>
      <c r="AHO37" s="114"/>
      <c r="AHP37" s="114"/>
      <c r="AHQ37" s="114"/>
      <c r="AHR37" s="114"/>
      <c r="AHS37" s="114"/>
      <c r="AHT37" s="114"/>
      <c r="AHU37" s="114"/>
      <c r="AHV37" s="114"/>
      <c r="AHW37" s="114"/>
      <c r="AHX37" s="114"/>
      <c r="AHY37" s="114"/>
      <c r="AHZ37" s="114"/>
      <c r="AIA37" s="114"/>
      <c r="AIB37" s="114"/>
      <c r="AIC37" s="114"/>
      <c r="AID37" s="114"/>
      <c r="AIE37" s="114"/>
      <c r="AIF37" s="114"/>
      <c r="AIG37" s="114"/>
      <c r="AIH37" s="114"/>
      <c r="AII37" s="114"/>
      <c r="AIJ37" s="114"/>
      <c r="AIK37" s="114"/>
      <c r="AIL37" s="114"/>
      <c r="AIM37" s="114"/>
      <c r="AIN37" s="114"/>
      <c r="AIO37" s="114"/>
      <c r="AIP37" s="114"/>
      <c r="AIQ37" s="114"/>
      <c r="AIR37" s="114"/>
      <c r="AIS37" s="114"/>
      <c r="AIT37" s="114"/>
      <c r="AIU37" s="114"/>
      <c r="AIV37" s="114"/>
      <c r="AIW37" s="114"/>
      <c r="AIX37" s="114"/>
      <c r="AIY37" s="114"/>
      <c r="AIZ37" s="114"/>
      <c r="AJA37" s="114"/>
      <c r="AJB37" s="114"/>
      <c r="AJC37" s="114"/>
      <c r="AJD37" s="114"/>
      <c r="AJE37" s="114"/>
      <c r="AJF37" s="114"/>
      <c r="AJG37" s="114"/>
      <c r="AJH37" s="114"/>
      <c r="AJI37" s="114"/>
      <c r="AJJ37" s="114"/>
      <c r="AJK37" s="114"/>
      <c r="AJL37" s="114"/>
      <c r="AJM37" s="114"/>
      <c r="AJN37" s="114"/>
      <c r="AJO37" s="114"/>
      <c r="AJP37" s="114"/>
      <c r="AJQ37" s="114"/>
      <c r="AJR37" s="114"/>
      <c r="AJS37" s="114"/>
      <c r="AJT37" s="114"/>
      <c r="AJU37" s="114"/>
      <c r="AJV37" s="114"/>
      <c r="AJW37" s="114"/>
      <c r="AJX37" s="114"/>
      <c r="AJY37" s="114"/>
      <c r="AJZ37" s="114"/>
      <c r="AKA37" s="114"/>
      <c r="AKB37" s="114"/>
      <c r="AKC37" s="114"/>
      <c r="AKD37" s="114"/>
      <c r="AKE37" s="114"/>
      <c r="AKF37" s="114"/>
      <c r="AKG37" s="114"/>
      <c r="AKH37" s="114"/>
      <c r="AKI37" s="114"/>
      <c r="AKJ37" s="114"/>
      <c r="AKK37" s="114"/>
      <c r="AKL37" s="114"/>
      <c r="AKM37" s="114"/>
      <c r="AKN37" s="114"/>
      <c r="AKO37" s="114"/>
      <c r="AKP37" s="114"/>
      <c r="AKQ37" s="114"/>
      <c r="AKR37" s="114"/>
      <c r="AKS37" s="114"/>
      <c r="AKT37" s="114"/>
      <c r="AKU37" s="114"/>
      <c r="AKV37" s="114"/>
      <c r="AKW37" s="114"/>
      <c r="AKX37" s="114"/>
      <c r="AKY37" s="114"/>
    </row>
    <row r="38" spans="1:987" s="115" customFormat="1" ht="15" customHeight="1" x14ac:dyDescent="0.3">
      <c r="A38" s="103">
        <v>8470230</v>
      </c>
      <c r="B38" s="104">
        <v>425749</v>
      </c>
      <c r="C38" s="467" t="s">
        <v>3092</v>
      </c>
      <c r="D38" s="186" t="s">
        <v>3093</v>
      </c>
      <c r="E38" s="187"/>
      <c r="F38" s="188"/>
      <c r="G38" s="189"/>
      <c r="H38" s="190"/>
      <c r="I38" s="190"/>
      <c r="J38" s="190"/>
      <c r="K38" s="190"/>
      <c r="L38" s="190"/>
      <c r="M38" s="190"/>
      <c r="N38" s="190"/>
      <c r="O38" s="190"/>
      <c r="P38" s="190"/>
      <c r="Q38" s="190"/>
      <c r="R38" s="190"/>
      <c r="S38" s="191"/>
      <c r="T38" s="125"/>
      <c r="U38" s="114"/>
      <c r="V38" s="114"/>
      <c r="W38" s="114"/>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4"/>
      <c r="AY38" s="114"/>
      <c r="AZ38" s="114"/>
      <c r="BA38" s="114"/>
      <c r="BB38" s="114"/>
      <c r="BC38" s="114"/>
      <c r="BD38" s="114"/>
      <c r="BE38" s="114"/>
      <c r="BF38" s="114"/>
      <c r="BG38" s="114"/>
      <c r="BH38" s="114"/>
      <c r="BI38" s="114"/>
      <c r="BJ38" s="114"/>
      <c r="BK38" s="114"/>
      <c r="BL38" s="114"/>
      <c r="BM38" s="114"/>
      <c r="BN38" s="114"/>
      <c r="BO38" s="114"/>
      <c r="BP38" s="114"/>
      <c r="BQ38" s="114"/>
      <c r="BR38" s="114"/>
      <c r="BS38" s="114"/>
      <c r="BT38" s="114"/>
      <c r="BU38" s="114"/>
      <c r="BV38" s="114"/>
      <c r="BW38" s="114"/>
      <c r="BX38" s="114"/>
      <c r="BY38" s="114"/>
      <c r="BZ38" s="114"/>
      <c r="CA38" s="114"/>
      <c r="CB38" s="114"/>
      <c r="CC38" s="114"/>
      <c r="CD38" s="114"/>
      <c r="CE38" s="114"/>
      <c r="CF38" s="114"/>
      <c r="CG38" s="114"/>
      <c r="CH38" s="114"/>
      <c r="CI38" s="114"/>
      <c r="CJ38" s="114"/>
      <c r="CK38" s="114"/>
      <c r="CL38" s="114"/>
      <c r="CM38" s="114"/>
      <c r="CN38" s="114"/>
      <c r="CO38" s="114"/>
      <c r="CP38" s="114"/>
      <c r="CQ38" s="114"/>
      <c r="CR38" s="114"/>
      <c r="CS38" s="114"/>
      <c r="CT38" s="114"/>
      <c r="CU38" s="114"/>
      <c r="CV38" s="114"/>
      <c r="CW38" s="114"/>
      <c r="CX38" s="114"/>
      <c r="CY38" s="114"/>
      <c r="CZ38" s="114"/>
      <c r="DA38" s="114"/>
      <c r="DB38" s="114"/>
      <c r="DC38" s="114"/>
      <c r="DD38" s="114"/>
      <c r="DE38" s="114"/>
      <c r="DF38" s="114"/>
      <c r="DG38" s="114"/>
      <c r="DH38" s="114"/>
      <c r="DI38" s="114"/>
      <c r="DJ38" s="114"/>
      <c r="DK38" s="114"/>
      <c r="DL38" s="114"/>
      <c r="DM38" s="114"/>
      <c r="DN38" s="114"/>
      <c r="DO38" s="114"/>
      <c r="DP38" s="114"/>
      <c r="DQ38" s="114"/>
      <c r="DR38" s="114"/>
      <c r="DS38" s="114"/>
      <c r="DT38" s="114"/>
      <c r="DU38" s="114"/>
      <c r="DV38" s="114"/>
      <c r="DW38" s="114"/>
      <c r="DX38" s="114"/>
      <c r="DY38" s="114"/>
      <c r="DZ38" s="114"/>
      <c r="EA38" s="114"/>
      <c r="EB38" s="114"/>
      <c r="EC38" s="114"/>
      <c r="ED38" s="114"/>
      <c r="EE38" s="114"/>
      <c r="EF38" s="114"/>
      <c r="EG38" s="114"/>
      <c r="EH38" s="114"/>
      <c r="EI38" s="114"/>
      <c r="EJ38" s="114"/>
      <c r="EK38" s="114"/>
      <c r="EL38" s="114"/>
      <c r="EM38" s="114"/>
      <c r="EN38" s="114"/>
      <c r="EO38" s="114"/>
      <c r="EP38" s="114"/>
      <c r="EQ38" s="114"/>
      <c r="ER38" s="114"/>
      <c r="ES38" s="114"/>
      <c r="ET38" s="114"/>
      <c r="EU38" s="114"/>
      <c r="EV38" s="114"/>
      <c r="EW38" s="114"/>
      <c r="EX38" s="114"/>
      <c r="EY38" s="114"/>
      <c r="EZ38" s="114"/>
      <c r="FA38" s="114"/>
      <c r="FB38" s="114"/>
      <c r="FC38" s="114"/>
      <c r="FD38" s="114"/>
      <c r="FE38" s="114"/>
      <c r="FF38" s="114"/>
      <c r="FG38" s="114"/>
      <c r="FH38" s="114"/>
      <c r="FI38" s="114"/>
      <c r="FJ38" s="114"/>
      <c r="FK38" s="114"/>
      <c r="FL38" s="114"/>
      <c r="FM38" s="114"/>
      <c r="FN38" s="114"/>
      <c r="FO38" s="114"/>
      <c r="FP38" s="114"/>
      <c r="FQ38" s="114"/>
      <c r="FR38" s="114"/>
      <c r="FS38" s="114"/>
      <c r="FT38" s="114"/>
      <c r="FU38" s="114"/>
      <c r="FV38" s="114"/>
      <c r="FW38" s="114"/>
      <c r="FX38" s="114"/>
      <c r="FY38" s="114"/>
      <c r="FZ38" s="114"/>
      <c r="GA38" s="114"/>
      <c r="GB38" s="114"/>
      <c r="GC38" s="114"/>
      <c r="GD38" s="114"/>
      <c r="GE38" s="114"/>
      <c r="GF38" s="114"/>
      <c r="GG38" s="114"/>
      <c r="GH38" s="114"/>
      <c r="GI38" s="114"/>
      <c r="GJ38" s="114"/>
      <c r="GK38" s="114"/>
      <c r="GL38" s="114"/>
      <c r="GM38" s="114"/>
      <c r="GN38" s="114"/>
      <c r="GO38" s="114"/>
      <c r="GP38" s="114"/>
      <c r="GQ38" s="114"/>
      <c r="GR38" s="114"/>
      <c r="GS38" s="114"/>
      <c r="GT38" s="114"/>
      <c r="GU38" s="114"/>
      <c r="GV38" s="114"/>
      <c r="GW38" s="114"/>
      <c r="GX38" s="114"/>
      <c r="GY38" s="114"/>
      <c r="GZ38" s="114"/>
      <c r="HA38" s="114"/>
      <c r="HB38" s="114"/>
      <c r="HC38" s="114"/>
      <c r="HD38" s="114"/>
      <c r="HE38" s="114"/>
      <c r="HF38" s="114"/>
      <c r="HG38" s="114"/>
      <c r="HH38" s="114"/>
      <c r="HI38" s="114"/>
      <c r="HJ38" s="114"/>
      <c r="HK38" s="114"/>
      <c r="HL38" s="114"/>
      <c r="HM38" s="114"/>
      <c r="HN38" s="114"/>
      <c r="HO38" s="114"/>
      <c r="HP38" s="114"/>
      <c r="HQ38" s="114"/>
      <c r="HR38" s="114"/>
      <c r="HS38" s="114"/>
      <c r="HT38" s="114"/>
      <c r="HU38" s="114"/>
      <c r="HV38" s="114"/>
      <c r="HW38" s="114"/>
      <c r="HX38" s="114"/>
      <c r="HY38" s="114"/>
      <c r="HZ38" s="114"/>
      <c r="IA38" s="114"/>
      <c r="IB38" s="114"/>
      <c r="IC38" s="114"/>
      <c r="ID38" s="114"/>
      <c r="IE38" s="114"/>
      <c r="IF38" s="114"/>
      <c r="IG38" s="114"/>
      <c r="IH38" s="114"/>
      <c r="II38" s="114"/>
      <c r="IJ38" s="114"/>
      <c r="IK38" s="114"/>
      <c r="IL38" s="114"/>
      <c r="IM38" s="114"/>
      <c r="IN38" s="114"/>
      <c r="IO38" s="114"/>
      <c r="IP38" s="114"/>
      <c r="IQ38" s="114"/>
      <c r="IR38" s="114"/>
      <c r="IS38" s="114"/>
      <c r="IT38" s="114"/>
      <c r="IU38" s="114"/>
      <c r="IV38" s="114"/>
      <c r="IW38" s="114"/>
      <c r="IX38" s="114"/>
      <c r="IY38" s="114"/>
      <c r="IZ38" s="114"/>
      <c r="JA38" s="114"/>
      <c r="JB38" s="114"/>
      <c r="JC38" s="114"/>
      <c r="JD38" s="114"/>
      <c r="JE38" s="114"/>
      <c r="JF38" s="114"/>
      <c r="JG38" s="114"/>
      <c r="JH38" s="114"/>
      <c r="JI38" s="114"/>
      <c r="JJ38" s="114"/>
      <c r="JK38" s="114"/>
      <c r="JL38" s="114"/>
      <c r="JM38" s="114"/>
      <c r="JN38" s="114"/>
      <c r="JO38" s="114"/>
      <c r="JP38" s="114"/>
      <c r="JQ38" s="114"/>
      <c r="JR38" s="114"/>
      <c r="JS38" s="114"/>
      <c r="JT38" s="114"/>
      <c r="JU38" s="114"/>
      <c r="JV38" s="114"/>
      <c r="JW38" s="114"/>
      <c r="JX38" s="114"/>
      <c r="JY38" s="114"/>
      <c r="JZ38" s="114"/>
      <c r="KA38" s="114"/>
      <c r="KB38" s="114"/>
      <c r="KC38" s="114"/>
      <c r="KD38" s="114"/>
      <c r="KE38" s="114"/>
      <c r="KF38" s="114"/>
      <c r="KG38" s="114"/>
      <c r="KH38" s="114"/>
      <c r="KI38" s="114"/>
      <c r="KJ38" s="114"/>
      <c r="KK38" s="114"/>
      <c r="KL38" s="114"/>
      <c r="KM38" s="114"/>
      <c r="KN38" s="114"/>
      <c r="KO38" s="114"/>
      <c r="KP38" s="114"/>
      <c r="KQ38" s="114"/>
      <c r="KR38" s="114"/>
      <c r="KS38" s="114"/>
      <c r="KT38" s="114"/>
      <c r="KU38" s="114"/>
      <c r="KV38" s="114"/>
      <c r="KW38" s="114"/>
      <c r="KX38" s="114"/>
      <c r="KY38" s="114"/>
      <c r="KZ38" s="114"/>
      <c r="LA38" s="114"/>
      <c r="LB38" s="114"/>
      <c r="LC38" s="114"/>
      <c r="LD38" s="114"/>
      <c r="LE38" s="114"/>
      <c r="LF38" s="114"/>
      <c r="LG38" s="114"/>
      <c r="LH38" s="114"/>
      <c r="LI38" s="114"/>
      <c r="LJ38" s="114"/>
      <c r="LK38" s="114"/>
      <c r="LL38" s="114"/>
      <c r="LM38" s="114"/>
      <c r="LN38" s="114"/>
      <c r="LO38" s="114"/>
      <c r="LP38" s="114"/>
      <c r="LQ38" s="114"/>
      <c r="LR38" s="114"/>
      <c r="LS38" s="114"/>
      <c r="LT38" s="114"/>
      <c r="LU38" s="114"/>
      <c r="LV38" s="114"/>
      <c r="LW38" s="114"/>
      <c r="LX38" s="114"/>
      <c r="LY38" s="114"/>
      <c r="LZ38" s="114"/>
      <c r="MA38" s="114"/>
      <c r="MB38" s="114"/>
      <c r="MC38" s="114"/>
      <c r="MD38" s="114"/>
      <c r="ME38" s="114"/>
      <c r="MF38" s="114"/>
      <c r="MG38" s="114"/>
      <c r="MH38" s="114"/>
      <c r="MI38" s="114"/>
      <c r="MJ38" s="114"/>
      <c r="MK38" s="114"/>
      <c r="ML38" s="114"/>
      <c r="MM38" s="114"/>
      <c r="MN38" s="114"/>
      <c r="MO38" s="114"/>
      <c r="MP38" s="114"/>
      <c r="MQ38" s="114"/>
      <c r="MR38" s="114"/>
      <c r="MS38" s="114"/>
      <c r="MT38" s="114"/>
      <c r="MU38" s="114"/>
      <c r="MV38" s="114"/>
      <c r="MW38" s="114"/>
      <c r="MX38" s="114"/>
      <c r="MY38" s="114"/>
      <c r="MZ38" s="114"/>
      <c r="NA38" s="114"/>
      <c r="NB38" s="114"/>
      <c r="NC38" s="114"/>
      <c r="ND38" s="114"/>
      <c r="NE38" s="114"/>
      <c r="NF38" s="114"/>
      <c r="NG38" s="114"/>
      <c r="NH38" s="114"/>
      <c r="NI38" s="114"/>
      <c r="NJ38" s="114"/>
      <c r="NK38" s="114"/>
      <c r="NL38" s="114"/>
      <c r="NM38" s="114"/>
      <c r="NN38" s="114"/>
      <c r="NO38" s="114"/>
      <c r="NP38" s="114"/>
      <c r="NQ38" s="114"/>
      <c r="NR38" s="114"/>
      <c r="NS38" s="114"/>
      <c r="NT38" s="114"/>
      <c r="NU38" s="114"/>
      <c r="NV38" s="114"/>
      <c r="NW38" s="114"/>
      <c r="NX38" s="114"/>
      <c r="NY38" s="114"/>
      <c r="NZ38" s="114"/>
      <c r="OA38" s="114"/>
      <c r="OB38" s="114"/>
      <c r="OC38" s="114"/>
      <c r="OD38" s="114"/>
      <c r="OE38" s="114"/>
      <c r="OF38" s="114"/>
      <c r="OG38" s="114"/>
      <c r="OH38" s="114"/>
      <c r="OI38" s="114"/>
      <c r="OJ38" s="114"/>
      <c r="OK38" s="114"/>
      <c r="OL38" s="114"/>
      <c r="OM38" s="114"/>
      <c r="ON38" s="114"/>
      <c r="OO38" s="114"/>
      <c r="OP38" s="114"/>
      <c r="OQ38" s="114"/>
      <c r="OR38" s="114"/>
      <c r="OS38" s="114"/>
      <c r="OT38" s="114"/>
      <c r="OU38" s="114"/>
      <c r="OV38" s="114"/>
      <c r="OW38" s="114"/>
      <c r="OX38" s="114"/>
      <c r="OY38" s="114"/>
      <c r="OZ38" s="114"/>
      <c r="PA38" s="114"/>
      <c r="PB38" s="114"/>
      <c r="PC38" s="114"/>
      <c r="PD38" s="114"/>
      <c r="PE38" s="114"/>
      <c r="PF38" s="114"/>
      <c r="PG38" s="114"/>
      <c r="PH38" s="114"/>
      <c r="PI38" s="114"/>
      <c r="PJ38" s="114"/>
      <c r="PK38" s="114"/>
      <c r="PL38" s="114"/>
      <c r="PM38" s="114"/>
      <c r="PN38" s="114"/>
      <c r="PO38" s="114"/>
      <c r="PP38" s="114"/>
      <c r="PQ38" s="114"/>
      <c r="PR38" s="114"/>
      <c r="PS38" s="114"/>
      <c r="PT38" s="114"/>
      <c r="PU38" s="114"/>
      <c r="PV38" s="114"/>
      <c r="PW38" s="114"/>
      <c r="PX38" s="114"/>
      <c r="PY38" s="114"/>
      <c r="PZ38" s="114"/>
      <c r="QA38" s="114"/>
      <c r="QB38" s="114"/>
      <c r="QC38" s="114"/>
      <c r="QD38" s="114"/>
      <c r="QE38" s="114"/>
      <c r="QF38" s="114"/>
      <c r="QG38" s="114"/>
      <c r="QH38" s="114"/>
      <c r="QI38" s="114"/>
      <c r="QJ38" s="114"/>
      <c r="QK38" s="114"/>
      <c r="QL38" s="114"/>
      <c r="QM38" s="114"/>
      <c r="QN38" s="114"/>
      <c r="QO38" s="114"/>
      <c r="QP38" s="114"/>
      <c r="QQ38" s="114"/>
      <c r="QR38" s="114"/>
      <c r="QS38" s="114"/>
      <c r="QT38" s="114"/>
      <c r="QU38" s="114"/>
      <c r="QV38" s="114"/>
      <c r="QW38" s="114"/>
      <c r="QX38" s="114"/>
      <c r="QY38" s="114"/>
      <c r="QZ38" s="114"/>
      <c r="RA38" s="114"/>
      <c r="RB38" s="114"/>
      <c r="RC38" s="114"/>
      <c r="RD38" s="114"/>
      <c r="RE38" s="114"/>
      <c r="RF38" s="114"/>
      <c r="RG38" s="114"/>
      <c r="RH38" s="114"/>
      <c r="RI38" s="114"/>
      <c r="RJ38" s="114"/>
      <c r="RK38" s="114"/>
      <c r="RL38" s="114"/>
      <c r="RM38" s="114"/>
      <c r="RN38" s="114"/>
      <c r="RO38" s="114"/>
      <c r="RP38" s="114"/>
      <c r="RQ38" s="114"/>
      <c r="RR38" s="114"/>
      <c r="RS38" s="114"/>
      <c r="RT38" s="114"/>
      <c r="RU38" s="114"/>
      <c r="RV38" s="114"/>
      <c r="RW38" s="114"/>
      <c r="RX38" s="114"/>
      <c r="RY38" s="114"/>
      <c r="RZ38" s="114"/>
      <c r="SA38" s="114"/>
      <c r="SB38" s="114"/>
      <c r="SC38" s="114"/>
      <c r="SD38" s="114"/>
      <c r="SE38" s="114"/>
      <c r="SF38" s="114"/>
      <c r="SG38" s="114"/>
      <c r="SH38" s="114"/>
      <c r="SI38" s="114"/>
      <c r="SJ38" s="114"/>
      <c r="SK38" s="114"/>
      <c r="SL38" s="114"/>
      <c r="SM38" s="114"/>
      <c r="SN38" s="114"/>
      <c r="SO38" s="114"/>
      <c r="SP38" s="114"/>
      <c r="SQ38" s="114"/>
      <c r="SR38" s="114"/>
      <c r="SS38" s="114"/>
      <c r="ST38" s="114"/>
      <c r="SU38" s="114"/>
      <c r="SV38" s="114"/>
      <c r="SW38" s="114"/>
      <c r="SX38" s="114"/>
      <c r="SY38" s="114"/>
      <c r="SZ38" s="114"/>
      <c r="TA38" s="114"/>
      <c r="TB38" s="114"/>
      <c r="TC38" s="114"/>
      <c r="TD38" s="114"/>
      <c r="TE38" s="114"/>
      <c r="TF38" s="114"/>
      <c r="TG38" s="114"/>
      <c r="TH38" s="114"/>
      <c r="TI38" s="114"/>
      <c r="TJ38" s="114"/>
      <c r="TK38" s="114"/>
      <c r="TL38" s="114"/>
      <c r="TM38" s="114"/>
      <c r="TN38" s="114"/>
      <c r="TO38" s="114"/>
      <c r="TP38" s="114"/>
      <c r="TQ38" s="114"/>
      <c r="TR38" s="114"/>
      <c r="TS38" s="114"/>
      <c r="TT38" s="114"/>
      <c r="TU38" s="114"/>
      <c r="TV38" s="114"/>
      <c r="TW38" s="114"/>
      <c r="TX38" s="114"/>
      <c r="TY38" s="114"/>
      <c r="TZ38" s="114"/>
      <c r="UA38" s="114"/>
      <c r="UB38" s="114"/>
      <c r="UC38" s="114"/>
      <c r="UD38" s="114"/>
      <c r="UE38" s="114"/>
      <c r="UF38" s="114"/>
      <c r="UG38" s="114"/>
      <c r="UH38" s="114"/>
      <c r="UI38" s="114"/>
      <c r="UJ38" s="114"/>
      <c r="UK38" s="114"/>
      <c r="UL38" s="114"/>
      <c r="UM38" s="114"/>
      <c r="UN38" s="114"/>
      <c r="UO38" s="114"/>
      <c r="UP38" s="114"/>
      <c r="UQ38" s="114"/>
      <c r="UR38" s="114"/>
      <c r="US38" s="114"/>
      <c r="UT38" s="114"/>
      <c r="UU38" s="114"/>
      <c r="UV38" s="114"/>
      <c r="UW38" s="114"/>
      <c r="UX38" s="114"/>
      <c r="UY38" s="114"/>
      <c r="UZ38" s="114"/>
      <c r="VA38" s="114"/>
      <c r="VB38" s="114"/>
      <c r="VC38" s="114"/>
      <c r="VD38" s="114"/>
      <c r="VE38" s="114"/>
      <c r="VF38" s="114"/>
      <c r="VG38" s="114"/>
      <c r="VH38" s="114"/>
      <c r="VI38" s="114"/>
      <c r="VJ38" s="114"/>
      <c r="VK38" s="114"/>
      <c r="VL38" s="114"/>
      <c r="VM38" s="114"/>
      <c r="VN38" s="114"/>
      <c r="VO38" s="114"/>
      <c r="VP38" s="114"/>
      <c r="VQ38" s="114"/>
      <c r="VR38" s="114"/>
      <c r="VS38" s="114"/>
      <c r="VT38" s="114"/>
      <c r="VU38" s="114"/>
      <c r="VV38" s="114"/>
      <c r="VW38" s="114"/>
      <c r="VX38" s="114"/>
      <c r="VY38" s="114"/>
      <c r="VZ38" s="114"/>
      <c r="WA38" s="114"/>
      <c r="WB38" s="114"/>
      <c r="WC38" s="114"/>
      <c r="WD38" s="114"/>
      <c r="WE38" s="114"/>
      <c r="WF38" s="114"/>
      <c r="WG38" s="114"/>
      <c r="WH38" s="114"/>
      <c r="WI38" s="114"/>
      <c r="WJ38" s="114"/>
      <c r="WK38" s="114"/>
      <c r="WL38" s="114"/>
      <c r="WM38" s="114"/>
      <c r="WN38" s="114"/>
      <c r="WO38" s="114"/>
      <c r="WP38" s="114"/>
      <c r="WQ38" s="114"/>
      <c r="WR38" s="114"/>
      <c r="WS38" s="114"/>
      <c r="WT38" s="114"/>
      <c r="WU38" s="114"/>
      <c r="WV38" s="114"/>
      <c r="WW38" s="114"/>
      <c r="WX38" s="114"/>
      <c r="WY38" s="114"/>
      <c r="WZ38" s="114"/>
      <c r="XA38" s="114"/>
      <c r="XB38" s="114"/>
      <c r="XC38" s="114"/>
      <c r="XD38" s="114"/>
      <c r="XE38" s="114"/>
      <c r="XF38" s="114"/>
      <c r="XG38" s="114"/>
      <c r="XH38" s="114"/>
      <c r="XI38" s="114"/>
      <c r="XJ38" s="114"/>
      <c r="XK38" s="114"/>
      <c r="XL38" s="114"/>
      <c r="XM38" s="114"/>
      <c r="XN38" s="114"/>
      <c r="XO38" s="114"/>
      <c r="XP38" s="114"/>
      <c r="XQ38" s="114"/>
      <c r="XR38" s="114"/>
      <c r="XS38" s="114"/>
      <c r="XT38" s="114"/>
      <c r="XU38" s="114"/>
      <c r="XV38" s="114"/>
      <c r="XW38" s="114"/>
      <c r="XX38" s="114"/>
      <c r="XY38" s="114"/>
      <c r="XZ38" s="114"/>
      <c r="YA38" s="114"/>
      <c r="YB38" s="114"/>
      <c r="YC38" s="114"/>
      <c r="YD38" s="114"/>
      <c r="YE38" s="114"/>
      <c r="YF38" s="114"/>
      <c r="YG38" s="114"/>
      <c r="YH38" s="114"/>
      <c r="YI38" s="114"/>
      <c r="YJ38" s="114"/>
      <c r="YK38" s="114"/>
      <c r="YL38" s="114"/>
      <c r="YM38" s="114"/>
      <c r="YN38" s="114"/>
      <c r="YO38" s="114"/>
      <c r="YP38" s="114"/>
      <c r="YQ38" s="114"/>
      <c r="YR38" s="114"/>
      <c r="YS38" s="114"/>
      <c r="YT38" s="114"/>
      <c r="YU38" s="114"/>
      <c r="YV38" s="114"/>
      <c r="YW38" s="114"/>
      <c r="YX38" s="114"/>
      <c r="YY38" s="114"/>
      <c r="YZ38" s="114"/>
      <c r="ZA38" s="114"/>
      <c r="ZB38" s="114"/>
      <c r="ZC38" s="114"/>
      <c r="ZD38" s="114"/>
      <c r="ZE38" s="114"/>
      <c r="ZF38" s="114"/>
      <c r="ZG38" s="114"/>
      <c r="ZH38" s="114"/>
      <c r="ZI38" s="114"/>
      <c r="ZJ38" s="114"/>
      <c r="ZK38" s="114"/>
      <c r="ZL38" s="114"/>
      <c r="ZM38" s="114"/>
      <c r="ZN38" s="114"/>
      <c r="ZO38" s="114"/>
      <c r="ZP38" s="114"/>
      <c r="ZQ38" s="114"/>
      <c r="ZR38" s="114"/>
      <c r="ZS38" s="114"/>
      <c r="ZT38" s="114"/>
      <c r="ZU38" s="114"/>
      <c r="ZV38" s="114"/>
      <c r="ZW38" s="114"/>
      <c r="ZX38" s="114"/>
      <c r="ZY38" s="114"/>
      <c r="ZZ38" s="114"/>
      <c r="AAA38" s="114"/>
      <c r="AAB38" s="114"/>
      <c r="AAC38" s="114"/>
      <c r="AAD38" s="114"/>
      <c r="AAE38" s="114"/>
      <c r="AAF38" s="114"/>
      <c r="AAG38" s="114"/>
      <c r="AAH38" s="114"/>
      <c r="AAI38" s="114"/>
      <c r="AAJ38" s="114"/>
      <c r="AAK38" s="114"/>
      <c r="AAL38" s="114"/>
      <c r="AAM38" s="114"/>
      <c r="AAN38" s="114"/>
      <c r="AAO38" s="114"/>
      <c r="AAP38" s="114"/>
      <c r="AAQ38" s="114"/>
      <c r="AAR38" s="114"/>
      <c r="AAS38" s="114"/>
      <c r="AAT38" s="114"/>
      <c r="AAU38" s="114"/>
      <c r="AAV38" s="114"/>
      <c r="AAW38" s="114"/>
      <c r="AAX38" s="114"/>
      <c r="AAY38" s="114"/>
      <c r="AAZ38" s="114"/>
      <c r="ABA38" s="114"/>
      <c r="ABB38" s="114"/>
      <c r="ABC38" s="114"/>
      <c r="ABD38" s="114"/>
      <c r="ABE38" s="114"/>
      <c r="ABF38" s="114"/>
      <c r="ABG38" s="114"/>
      <c r="ABH38" s="114"/>
      <c r="ABI38" s="114"/>
      <c r="ABJ38" s="114"/>
      <c r="ABK38" s="114"/>
      <c r="ABL38" s="114"/>
      <c r="ABM38" s="114"/>
      <c r="ABN38" s="114"/>
      <c r="ABO38" s="114"/>
      <c r="ABP38" s="114"/>
      <c r="ABQ38" s="114"/>
      <c r="ABR38" s="114"/>
      <c r="ABS38" s="114"/>
      <c r="ABT38" s="114"/>
      <c r="ABU38" s="114"/>
      <c r="ABV38" s="114"/>
      <c r="ABW38" s="114"/>
      <c r="ABX38" s="114"/>
      <c r="ABY38" s="114"/>
      <c r="ABZ38" s="114"/>
      <c r="ACA38" s="114"/>
      <c r="ACB38" s="114"/>
      <c r="ACC38" s="114"/>
      <c r="ACD38" s="114"/>
      <c r="ACE38" s="114"/>
      <c r="ACF38" s="114"/>
      <c r="ACG38" s="114"/>
      <c r="ACH38" s="114"/>
      <c r="ACI38" s="114"/>
      <c r="ACJ38" s="114"/>
      <c r="ACK38" s="114"/>
      <c r="ACL38" s="114"/>
      <c r="ACM38" s="114"/>
      <c r="ACN38" s="114"/>
      <c r="ACO38" s="114"/>
      <c r="ACP38" s="114"/>
      <c r="ACQ38" s="114"/>
      <c r="ACR38" s="114"/>
      <c r="ACS38" s="114"/>
      <c r="ACT38" s="114"/>
      <c r="ACU38" s="114"/>
      <c r="ACV38" s="114"/>
      <c r="ACW38" s="114"/>
      <c r="ACX38" s="114"/>
      <c r="ACY38" s="114"/>
      <c r="ACZ38" s="114"/>
      <c r="ADA38" s="114"/>
      <c r="ADB38" s="114"/>
      <c r="ADC38" s="114"/>
      <c r="ADD38" s="114"/>
      <c r="ADE38" s="114"/>
      <c r="ADF38" s="114"/>
      <c r="ADG38" s="114"/>
      <c r="ADH38" s="114"/>
      <c r="ADI38" s="114"/>
      <c r="ADJ38" s="114"/>
      <c r="ADK38" s="114"/>
      <c r="ADL38" s="114"/>
      <c r="ADM38" s="114"/>
      <c r="ADN38" s="114"/>
      <c r="ADO38" s="114"/>
      <c r="ADP38" s="114"/>
      <c r="ADQ38" s="114"/>
      <c r="ADR38" s="114"/>
      <c r="ADS38" s="114"/>
      <c r="ADT38" s="114"/>
      <c r="ADU38" s="114"/>
      <c r="ADV38" s="114"/>
      <c r="ADW38" s="114"/>
      <c r="ADX38" s="114"/>
      <c r="ADY38" s="114"/>
      <c r="ADZ38" s="114"/>
      <c r="AEA38" s="114"/>
      <c r="AEB38" s="114"/>
      <c r="AEC38" s="114"/>
      <c r="AED38" s="114"/>
      <c r="AEE38" s="114"/>
      <c r="AEF38" s="114"/>
      <c r="AEG38" s="114"/>
      <c r="AEH38" s="114"/>
      <c r="AEI38" s="114"/>
      <c r="AEJ38" s="114"/>
      <c r="AEK38" s="114"/>
      <c r="AEL38" s="114"/>
      <c r="AEM38" s="114"/>
      <c r="AEN38" s="114"/>
      <c r="AEO38" s="114"/>
      <c r="AEP38" s="114"/>
      <c r="AEQ38" s="114"/>
      <c r="AER38" s="114"/>
      <c r="AES38" s="114"/>
      <c r="AET38" s="114"/>
      <c r="AEU38" s="114"/>
      <c r="AEV38" s="114"/>
      <c r="AEW38" s="114"/>
      <c r="AEX38" s="114"/>
      <c r="AEY38" s="114"/>
      <c r="AEZ38" s="114"/>
      <c r="AFA38" s="114"/>
      <c r="AFB38" s="114"/>
      <c r="AFC38" s="114"/>
      <c r="AFD38" s="114"/>
      <c r="AFE38" s="114"/>
      <c r="AFF38" s="114"/>
      <c r="AFG38" s="114"/>
      <c r="AFH38" s="114"/>
      <c r="AFI38" s="114"/>
      <c r="AFJ38" s="114"/>
      <c r="AFK38" s="114"/>
      <c r="AFL38" s="114"/>
      <c r="AFM38" s="114"/>
      <c r="AFN38" s="114"/>
      <c r="AFO38" s="114"/>
      <c r="AFP38" s="114"/>
      <c r="AFQ38" s="114"/>
      <c r="AFR38" s="114"/>
      <c r="AFS38" s="114"/>
      <c r="AFT38" s="114"/>
      <c r="AFU38" s="114"/>
      <c r="AFV38" s="114"/>
      <c r="AFW38" s="114"/>
      <c r="AFX38" s="114"/>
      <c r="AFY38" s="114"/>
      <c r="AFZ38" s="114"/>
      <c r="AGA38" s="114"/>
      <c r="AGB38" s="114"/>
      <c r="AGC38" s="114"/>
      <c r="AGD38" s="114"/>
      <c r="AGE38" s="114"/>
      <c r="AGF38" s="114"/>
      <c r="AGG38" s="114"/>
      <c r="AGH38" s="114"/>
      <c r="AGI38" s="114"/>
      <c r="AGJ38" s="114"/>
      <c r="AGK38" s="114"/>
      <c r="AGL38" s="114"/>
      <c r="AGM38" s="114"/>
      <c r="AGN38" s="114"/>
      <c r="AGO38" s="114"/>
      <c r="AGP38" s="114"/>
      <c r="AGQ38" s="114"/>
      <c r="AGR38" s="114"/>
      <c r="AGS38" s="114"/>
      <c r="AGT38" s="114"/>
      <c r="AGU38" s="114"/>
      <c r="AGV38" s="114"/>
      <c r="AGW38" s="114"/>
      <c r="AGX38" s="114"/>
      <c r="AGY38" s="114"/>
      <c r="AGZ38" s="114"/>
      <c r="AHA38" s="114"/>
      <c r="AHB38" s="114"/>
      <c r="AHC38" s="114"/>
      <c r="AHD38" s="114"/>
      <c r="AHE38" s="114"/>
      <c r="AHF38" s="114"/>
      <c r="AHG38" s="114"/>
      <c r="AHH38" s="114"/>
      <c r="AHI38" s="114"/>
      <c r="AHJ38" s="114"/>
      <c r="AHK38" s="114"/>
      <c r="AHL38" s="114"/>
      <c r="AHM38" s="114"/>
      <c r="AHN38" s="114"/>
      <c r="AHO38" s="114"/>
      <c r="AHP38" s="114"/>
      <c r="AHQ38" s="114"/>
      <c r="AHR38" s="114"/>
      <c r="AHS38" s="114"/>
      <c r="AHT38" s="114"/>
      <c r="AHU38" s="114"/>
      <c r="AHV38" s="114"/>
      <c r="AHW38" s="114"/>
      <c r="AHX38" s="114"/>
      <c r="AHY38" s="114"/>
      <c r="AHZ38" s="114"/>
      <c r="AIA38" s="114"/>
      <c r="AIB38" s="114"/>
      <c r="AIC38" s="114"/>
      <c r="AID38" s="114"/>
      <c r="AIE38" s="114"/>
      <c r="AIF38" s="114"/>
      <c r="AIG38" s="114"/>
      <c r="AIH38" s="114"/>
      <c r="AII38" s="114"/>
      <c r="AIJ38" s="114"/>
      <c r="AIK38" s="114"/>
      <c r="AIL38" s="114"/>
      <c r="AIM38" s="114"/>
      <c r="AIN38" s="114"/>
      <c r="AIO38" s="114"/>
      <c r="AIP38" s="114"/>
      <c r="AIQ38" s="114"/>
      <c r="AIR38" s="114"/>
      <c r="AIS38" s="114"/>
      <c r="AIT38" s="114"/>
      <c r="AIU38" s="114"/>
      <c r="AIV38" s="114"/>
      <c r="AIW38" s="114"/>
      <c r="AIX38" s="114"/>
      <c r="AIY38" s="114"/>
      <c r="AIZ38" s="114"/>
      <c r="AJA38" s="114"/>
      <c r="AJB38" s="114"/>
      <c r="AJC38" s="114"/>
      <c r="AJD38" s="114"/>
      <c r="AJE38" s="114"/>
      <c r="AJF38" s="114"/>
      <c r="AJG38" s="114"/>
      <c r="AJH38" s="114"/>
      <c r="AJI38" s="114"/>
      <c r="AJJ38" s="114"/>
      <c r="AJK38" s="114"/>
      <c r="AJL38" s="114"/>
      <c r="AJM38" s="114"/>
      <c r="AJN38" s="114"/>
      <c r="AJO38" s="114"/>
      <c r="AJP38" s="114"/>
      <c r="AJQ38" s="114"/>
      <c r="AJR38" s="114"/>
      <c r="AJS38" s="114"/>
      <c r="AJT38" s="114"/>
      <c r="AJU38" s="114"/>
      <c r="AJV38" s="114"/>
      <c r="AJW38" s="114"/>
      <c r="AJX38" s="114"/>
      <c r="AJY38" s="114"/>
      <c r="AJZ38" s="114"/>
      <c r="AKA38" s="114"/>
      <c r="AKB38" s="114"/>
      <c r="AKC38" s="114"/>
      <c r="AKD38" s="114"/>
      <c r="AKE38" s="114"/>
      <c r="AKF38" s="114"/>
      <c r="AKG38" s="114"/>
      <c r="AKH38" s="114"/>
      <c r="AKI38" s="114"/>
      <c r="AKJ38" s="114"/>
      <c r="AKK38" s="114"/>
      <c r="AKL38" s="114"/>
      <c r="AKM38" s="114"/>
      <c r="AKN38" s="114"/>
      <c r="AKO38" s="114"/>
      <c r="AKP38" s="114"/>
      <c r="AKQ38" s="114"/>
      <c r="AKR38" s="114"/>
      <c r="AKS38" s="114"/>
      <c r="AKT38" s="114"/>
      <c r="AKU38" s="114"/>
      <c r="AKV38" s="114"/>
      <c r="AKW38" s="114"/>
      <c r="AKX38" s="114"/>
      <c r="AKY38" s="114"/>
    </row>
    <row r="39" spans="1:987" ht="15" customHeight="1" x14ac:dyDescent="0.3">
      <c r="A39" s="116"/>
      <c r="B39" s="117"/>
      <c r="C39" s="468"/>
      <c r="D39" s="138" t="s">
        <v>3094</v>
      </c>
      <c r="E39" s="139">
        <v>1</v>
      </c>
      <c r="F39" s="170">
        <f>26800*12</f>
        <v>321600</v>
      </c>
      <c r="G39" s="141">
        <f t="shared" ref="G39:G101" si="1">E39*F39</f>
        <v>321600</v>
      </c>
      <c r="H39" s="173">
        <f>E39*26800</f>
        <v>26800</v>
      </c>
      <c r="I39" s="173">
        <f>E39*26800</f>
        <v>26800</v>
      </c>
      <c r="J39" s="173">
        <f>E39*26800</f>
        <v>26800</v>
      </c>
      <c r="K39" s="173">
        <f>E39*26800</f>
        <v>26800</v>
      </c>
      <c r="L39" s="173">
        <f>E39*26800</f>
        <v>26800</v>
      </c>
      <c r="M39" s="173">
        <f>E39*26800</f>
        <v>26800</v>
      </c>
      <c r="N39" s="173">
        <f>E39*26800</f>
        <v>26800</v>
      </c>
      <c r="O39" s="173">
        <f>E39*26800</f>
        <v>26800</v>
      </c>
      <c r="P39" s="173">
        <f>E39*26800</f>
        <v>26800</v>
      </c>
      <c r="Q39" s="173">
        <f>E39*26800</f>
        <v>26800</v>
      </c>
      <c r="R39" s="173">
        <f>E39*26800</f>
        <v>26800</v>
      </c>
      <c r="S39" s="192">
        <f>E39*26800</f>
        <v>26800</v>
      </c>
      <c r="T39" s="125"/>
    </row>
    <row r="40" spans="1:987" ht="15" customHeight="1" x14ac:dyDescent="0.3">
      <c r="A40" s="116"/>
      <c r="B40" s="117"/>
      <c r="C40" s="468"/>
      <c r="D40" s="138" t="s">
        <v>3095</v>
      </c>
      <c r="E40" s="139">
        <v>1</v>
      </c>
      <c r="F40" s="170">
        <f>44372*12</f>
        <v>532464</v>
      </c>
      <c r="G40" s="141">
        <f t="shared" si="1"/>
        <v>532464</v>
      </c>
      <c r="H40" s="173">
        <f>E40*44372</f>
        <v>44372</v>
      </c>
      <c r="I40" s="173">
        <f>E40*44372</f>
        <v>44372</v>
      </c>
      <c r="J40" s="173">
        <f>E40*44372</f>
        <v>44372</v>
      </c>
      <c r="K40" s="173">
        <f>E40*44372</f>
        <v>44372</v>
      </c>
      <c r="L40" s="173">
        <f>E40*44372</f>
        <v>44372</v>
      </c>
      <c r="M40" s="173">
        <f>E40*44372</f>
        <v>44372</v>
      </c>
      <c r="N40" s="173">
        <f>E40*44372</f>
        <v>44372</v>
      </c>
      <c r="O40" s="173">
        <f>E40*44372</f>
        <v>44372</v>
      </c>
      <c r="P40" s="173">
        <f>E40*44372</f>
        <v>44372</v>
      </c>
      <c r="Q40" s="173">
        <f>E40*44372</f>
        <v>44372</v>
      </c>
      <c r="R40" s="173">
        <f>E40*44372</f>
        <v>44372</v>
      </c>
      <c r="S40" s="192">
        <f>E40*44372</f>
        <v>44372</v>
      </c>
      <c r="T40" s="125" t="s">
        <v>3096</v>
      </c>
    </row>
    <row r="41" spans="1:987" ht="15" customHeight="1" x14ac:dyDescent="0.3">
      <c r="A41" s="116"/>
      <c r="B41" s="117"/>
      <c r="C41" s="468"/>
      <c r="D41" s="138" t="s">
        <v>3097</v>
      </c>
      <c r="E41" s="139">
        <v>1</v>
      </c>
      <c r="F41" s="170">
        <f>41000*12</f>
        <v>492000</v>
      </c>
      <c r="G41" s="141">
        <f t="shared" si="1"/>
        <v>492000</v>
      </c>
      <c r="H41" s="173">
        <f>E41*41000</f>
        <v>41000</v>
      </c>
      <c r="I41" s="173">
        <f>E41*41000</f>
        <v>41000</v>
      </c>
      <c r="J41" s="173">
        <f>E41*41000</f>
        <v>41000</v>
      </c>
      <c r="K41" s="173">
        <f>E41*41000</f>
        <v>41000</v>
      </c>
      <c r="L41" s="173">
        <f>E41*41000</f>
        <v>41000</v>
      </c>
      <c r="M41" s="173">
        <f>E41*41000</f>
        <v>41000</v>
      </c>
      <c r="N41" s="173">
        <f>E41*41000</f>
        <v>41000</v>
      </c>
      <c r="O41" s="173">
        <f>E41*41000</f>
        <v>41000</v>
      </c>
      <c r="P41" s="173">
        <f>E41*41000</f>
        <v>41000</v>
      </c>
      <c r="Q41" s="173">
        <f>E41*41000</f>
        <v>41000</v>
      </c>
      <c r="R41" s="173">
        <f>E41*41000</f>
        <v>41000</v>
      </c>
      <c r="S41" s="192">
        <f>E41*41000</f>
        <v>41000</v>
      </c>
      <c r="T41" s="125"/>
    </row>
    <row r="42" spans="1:987" ht="15" customHeight="1" x14ac:dyDescent="0.3">
      <c r="A42" s="116"/>
      <c r="B42" s="117"/>
      <c r="C42" s="468"/>
      <c r="D42" s="138" t="s">
        <v>3098</v>
      </c>
      <c r="E42" s="139">
        <v>4</v>
      </c>
      <c r="F42" s="170">
        <f>39000*6</f>
        <v>234000</v>
      </c>
      <c r="G42" s="141">
        <f t="shared" si="1"/>
        <v>936000</v>
      </c>
      <c r="H42" s="173">
        <f>E42*39000</f>
        <v>156000</v>
      </c>
      <c r="I42" s="173">
        <f>E42*39000</f>
        <v>156000</v>
      </c>
      <c r="J42" s="173">
        <f>E42*39000</f>
        <v>156000</v>
      </c>
      <c r="K42" s="173">
        <f>E42*39000</f>
        <v>156000</v>
      </c>
      <c r="L42" s="173">
        <f>E42*39000</f>
        <v>156000</v>
      </c>
      <c r="M42" s="144">
        <f>E42*39000</f>
        <v>156000</v>
      </c>
      <c r="N42" s="144"/>
      <c r="O42" s="144"/>
      <c r="P42" s="144"/>
      <c r="Q42" s="144"/>
      <c r="R42" s="144"/>
      <c r="S42" s="192"/>
      <c r="T42" s="125"/>
    </row>
    <row r="43" spans="1:987" ht="15" customHeight="1" x14ac:dyDescent="0.3">
      <c r="A43" s="116"/>
      <c r="B43" s="117"/>
      <c r="C43" s="468"/>
      <c r="D43" s="138" t="s">
        <v>3099</v>
      </c>
      <c r="E43" s="139">
        <v>1</v>
      </c>
      <c r="F43" s="170">
        <f>36000*6</f>
        <v>216000</v>
      </c>
      <c r="G43" s="141">
        <f t="shared" si="1"/>
        <v>216000</v>
      </c>
      <c r="H43" s="173">
        <f>E43*36000</f>
        <v>36000</v>
      </c>
      <c r="I43" s="173">
        <f>E43*36000</f>
        <v>36000</v>
      </c>
      <c r="J43" s="173">
        <f>E43*36000</f>
        <v>36000</v>
      </c>
      <c r="K43" s="173">
        <f>E43*36000</f>
        <v>36000</v>
      </c>
      <c r="L43" s="173">
        <f>E43*36000</f>
        <v>36000</v>
      </c>
      <c r="M43" s="144">
        <f>E43*36000</f>
        <v>36000</v>
      </c>
      <c r="N43" s="144"/>
      <c r="O43" s="144"/>
      <c r="P43" s="144"/>
      <c r="Q43" s="144"/>
      <c r="R43" s="144"/>
      <c r="S43" s="192"/>
      <c r="T43" s="125"/>
    </row>
    <row r="44" spans="1:987" ht="15" customHeight="1" x14ac:dyDescent="0.3">
      <c r="A44" s="116"/>
      <c r="B44" s="117"/>
      <c r="C44" s="468"/>
      <c r="D44" s="138" t="s">
        <v>3100</v>
      </c>
      <c r="E44" s="139">
        <v>5</v>
      </c>
      <c r="F44" s="170">
        <f>33000*6</f>
        <v>198000</v>
      </c>
      <c r="G44" s="141">
        <f t="shared" si="1"/>
        <v>990000</v>
      </c>
      <c r="H44" s="173">
        <f>E44*33000</f>
        <v>165000</v>
      </c>
      <c r="I44" s="173">
        <f>E44*33000</f>
        <v>165000</v>
      </c>
      <c r="J44" s="173">
        <f>E44*33000</f>
        <v>165000</v>
      </c>
      <c r="K44" s="173">
        <f>E44*33000</f>
        <v>165000</v>
      </c>
      <c r="L44" s="173">
        <f>E44*33000</f>
        <v>165000</v>
      </c>
      <c r="M44" s="144">
        <f>E44*33000</f>
        <v>165000</v>
      </c>
      <c r="N44" s="144"/>
      <c r="O44" s="144"/>
      <c r="P44" s="144"/>
      <c r="Q44" s="144"/>
      <c r="R44" s="144"/>
      <c r="S44" s="192"/>
      <c r="T44" s="125"/>
    </row>
    <row r="45" spans="1:987" ht="15" customHeight="1" x14ac:dyDescent="0.3">
      <c r="A45" s="116"/>
      <c r="B45" s="117"/>
      <c r="C45" s="468"/>
      <c r="D45" s="138" t="s">
        <v>3101</v>
      </c>
      <c r="E45" s="139">
        <v>27</v>
      </c>
      <c r="F45" s="170">
        <f>30000*6</f>
        <v>180000</v>
      </c>
      <c r="G45" s="141">
        <f t="shared" si="1"/>
        <v>4860000</v>
      </c>
      <c r="H45" s="173">
        <f>E45*30000</f>
        <v>810000</v>
      </c>
      <c r="I45" s="173">
        <f>E45*30000</f>
        <v>810000</v>
      </c>
      <c r="J45" s="173">
        <f>E45*30000</f>
        <v>810000</v>
      </c>
      <c r="K45" s="173">
        <f>E45*30000</f>
        <v>810000</v>
      </c>
      <c r="L45" s="173">
        <f>E45*30000</f>
        <v>810000</v>
      </c>
      <c r="M45" s="144">
        <f>E45*30000</f>
        <v>810000</v>
      </c>
      <c r="N45" s="144"/>
      <c r="O45" s="144"/>
      <c r="P45" s="144"/>
      <c r="Q45" s="144"/>
      <c r="R45" s="144"/>
      <c r="S45" s="192"/>
      <c r="T45" s="125"/>
    </row>
    <row r="46" spans="1:987" ht="15" customHeight="1" x14ac:dyDescent="0.3">
      <c r="A46" s="116"/>
      <c r="B46" s="117"/>
      <c r="C46" s="468"/>
      <c r="D46" s="138" t="s">
        <v>3102</v>
      </c>
      <c r="E46" s="139">
        <v>0</v>
      </c>
      <c r="F46" s="170">
        <f>12000*6</f>
        <v>72000</v>
      </c>
      <c r="G46" s="141">
        <f t="shared" si="1"/>
        <v>0</v>
      </c>
      <c r="H46" s="173"/>
      <c r="I46" s="144"/>
      <c r="J46" s="144"/>
      <c r="K46" s="144"/>
      <c r="L46" s="144"/>
      <c r="M46" s="144"/>
      <c r="N46" s="144"/>
      <c r="O46" s="144"/>
      <c r="P46" s="144"/>
      <c r="Q46" s="144"/>
      <c r="R46" s="144"/>
      <c r="S46" s="192"/>
      <c r="T46" s="125"/>
    </row>
    <row r="47" spans="1:987" ht="15" customHeight="1" x14ac:dyDescent="0.3">
      <c r="A47" s="116"/>
      <c r="B47" s="117"/>
      <c r="C47" s="468"/>
      <c r="D47" s="138" t="s">
        <v>3103</v>
      </c>
      <c r="E47" s="139">
        <v>27</v>
      </c>
      <c r="F47" s="170">
        <f>10000*6</f>
        <v>60000</v>
      </c>
      <c r="G47" s="141">
        <f t="shared" si="1"/>
        <v>1620000</v>
      </c>
      <c r="H47" s="173">
        <f>E47*10000</f>
        <v>270000</v>
      </c>
      <c r="I47" s="173">
        <f>E47*10000</f>
        <v>270000</v>
      </c>
      <c r="J47" s="173">
        <f>E47*10000</f>
        <v>270000</v>
      </c>
      <c r="K47" s="173">
        <f>E47*10000</f>
        <v>270000</v>
      </c>
      <c r="L47" s="173">
        <f>E47*10000</f>
        <v>270000</v>
      </c>
      <c r="M47" s="144">
        <f>E47*10000</f>
        <v>270000</v>
      </c>
      <c r="N47" s="144"/>
      <c r="O47" s="144"/>
      <c r="P47" s="144"/>
      <c r="Q47" s="144"/>
      <c r="R47" s="144"/>
      <c r="S47" s="192"/>
      <c r="T47" s="125"/>
    </row>
    <row r="48" spans="1:987" ht="15" customHeight="1" x14ac:dyDescent="0.3">
      <c r="A48" s="116"/>
      <c r="B48" s="117"/>
      <c r="C48" s="468"/>
      <c r="D48" s="138" t="s">
        <v>3104</v>
      </c>
      <c r="E48" s="139">
        <v>37</v>
      </c>
      <c r="F48" s="170">
        <f>8000*6</f>
        <v>48000</v>
      </c>
      <c r="G48" s="141">
        <f t="shared" si="1"/>
        <v>1776000</v>
      </c>
      <c r="H48" s="173">
        <f>E48*8000</f>
        <v>296000</v>
      </c>
      <c r="I48" s="173">
        <f>E48*8000</f>
        <v>296000</v>
      </c>
      <c r="J48" s="173">
        <f>E48*8000</f>
        <v>296000</v>
      </c>
      <c r="K48" s="173">
        <f>E48*8000</f>
        <v>296000</v>
      </c>
      <c r="L48" s="173">
        <f>E48*8000</f>
        <v>296000</v>
      </c>
      <c r="M48" s="144">
        <f>E48*8000</f>
        <v>296000</v>
      </c>
      <c r="N48" s="144"/>
      <c r="O48" s="144"/>
      <c r="P48" s="144"/>
      <c r="Q48" s="144"/>
      <c r="R48" s="144"/>
      <c r="S48" s="192"/>
      <c r="T48" s="125"/>
    </row>
    <row r="49" spans="1:20" ht="15" customHeight="1" x14ac:dyDescent="0.3">
      <c r="A49" s="116"/>
      <c r="B49" s="117"/>
      <c r="C49" s="468"/>
      <c r="D49" s="138" t="s">
        <v>3105</v>
      </c>
      <c r="E49" s="139">
        <v>2</v>
      </c>
      <c r="F49" s="170">
        <f>8000*6</f>
        <v>48000</v>
      </c>
      <c r="G49" s="141">
        <f t="shared" si="1"/>
        <v>96000</v>
      </c>
      <c r="H49" s="173">
        <f>E49*8000</f>
        <v>16000</v>
      </c>
      <c r="I49" s="173">
        <f>E49*8000</f>
        <v>16000</v>
      </c>
      <c r="J49" s="173">
        <f>E49*8000</f>
        <v>16000</v>
      </c>
      <c r="K49" s="173">
        <f>E49*8000</f>
        <v>16000</v>
      </c>
      <c r="L49" s="173">
        <f>E49*8000</f>
        <v>16000</v>
      </c>
      <c r="M49" s="144">
        <f>E49*8000</f>
        <v>16000</v>
      </c>
      <c r="N49" s="144"/>
      <c r="O49" s="144"/>
      <c r="P49" s="144"/>
      <c r="Q49" s="144"/>
      <c r="R49" s="144"/>
      <c r="S49" s="192"/>
      <c r="T49" s="125"/>
    </row>
    <row r="50" spans="1:20" ht="15" customHeight="1" x14ac:dyDescent="0.3">
      <c r="A50" s="116"/>
      <c r="B50" s="117"/>
      <c r="C50" s="468"/>
      <c r="D50" s="138" t="s">
        <v>3106</v>
      </c>
      <c r="E50" s="139">
        <v>2</v>
      </c>
      <c r="F50" s="170">
        <f>5500*6</f>
        <v>33000</v>
      </c>
      <c r="G50" s="141">
        <f t="shared" si="1"/>
        <v>66000</v>
      </c>
      <c r="H50" s="173">
        <f>E50*5500</f>
        <v>11000</v>
      </c>
      <c r="I50" s="173">
        <f>E50*5500</f>
        <v>11000</v>
      </c>
      <c r="J50" s="173">
        <f>E50*5500</f>
        <v>11000</v>
      </c>
      <c r="K50" s="173">
        <f>E50*5500</f>
        <v>11000</v>
      </c>
      <c r="L50" s="173">
        <f>E50*5500</f>
        <v>11000</v>
      </c>
      <c r="M50" s="144">
        <f>E50*5500</f>
        <v>11000</v>
      </c>
      <c r="N50" s="144"/>
      <c r="O50" s="144"/>
      <c r="P50" s="144"/>
      <c r="Q50" s="144"/>
      <c r="R50" s="144"/>
      <c r="S50" s="192"/>
      <c r="T50" s="125"/>
    </row>
    <row r="51" spans="1:20" ht="15" customHeight="1" x14ac:dyDescent="0.3">
      <c r="A51" s="116"/>
      <c r="B51" s="117"/>
      <c r="C51" s="468"/>
      <c r="D51" s="138" t="s">
        <v>3107</v>
      </c>
      <c r="E51" s="139">
        <v>21</v>
      </c>
      <c r="F51" s="170">
        <f>4000*6</f>
        <v>24000</v>
      </c>
      <c r="G51" s="141">
        <f t="shared" si="1"/>
        <v>504000</v>
      </c>
      <c r="H51" s="173">
        <f>E51*4000</f>
        <v>84000</v>
      </c>
      <c r="I51" s="173">
        <f>E51*4000</f>
        <v>84000</v>
      </c>
      <c r="J51" s="173">
        <f>E51*4000</f>
        <v>84000</v>
      </c>
      <c r="K51" s="173">
        <f>E51*4000</f>
        <v>84000</v>
      </c>
      <c r="L51" s="173">
        <f>E51*4000</f>
        <v>84000</v>
      </c>
      <c r="M51" s="144">
        <f>E51*4000</f>
        <v>84000</v>
      </c>
      <c r="N51" s="144"/>
      <c r="O51" s="144"/>
      <c r="P51" s="144"/>
      <c r="Q51" s="144"/>
      <c r="R51" s="144"/>
      <c r="S51" s="192"/>
      <c r="T51" s="125"/>
    </row>
    <row r="52" spans="1:20" ht="15" customHeight="1" x14ac:dyDescent="0.3">
      <c r="A52" s="116"/>
      <c r="B52" s="117"/>
      <c r="C52" s="468"/>
      <c r="D52" s="138" t="s">
        <v>3108</v>
      </c>
      <c r="E52" s="139">
        <v>0</v>
      </c>
      <c r="F52" s="170">
        <f>39000*12</f>
        <v>468000</v>
      </c>
      <c r="G52" s="141">
        <f t="shared" si="1"/>
        <v>0</v>
      </c>
      <c r="H52" s="173"/>
      <c r="I52" s="173"/>
      <c r="J52" s="173"/>
      <c r="K52" s="173"/>
      <c r="L52" s="173"/>
      <c r="M52" s="173"/>
      <c r="N52" s="173"/>
      <c r="O52" s="173"/>
      <c r="P52" s="173"/>
      <c r="Q52" s="173"/>
      <c r="R52" s="173"/>
      <c r="S52" s="192"/>
      <c r="T52" s="125"/>
    </row>
    <row r="53" spans="1:20" ht="15" customHeight="1" x14ac:dyDescent="0.3">
      <c r="A53" s="116"/>
      <c r="B53" s="117"/>
      <c r="C53" s="468"/>
      <c r="D53" s="138" t="s">
        <v>3109</v>
      </c>
      <c r="E53" s="139">
        <v>0</v>
      </c>
      <c r="F53" s="170">
        <f>36000*12</f>
        <v>432000</v>
      </c>
      <c r="G53" s="141">
        <f t="shared" si="1"/>
        <v>0</v>
      </c>
      <c r="H53" s="173"/>
      <c r="I53" s="173"/>
      <c r="J53" s="173"/>
      <c r="K53" s="173"/>
      <c r="L53" s="173"/>
      <c r="M53" s="173"/>
      <c r="N53" s="173"/>
      <c r="O53" s="173"/>
      <c r="P53" s="173"/>
      <c r="Q53" s="173"/>
      <c r="R53" s="173"/>
      <c r="S53" s="192"/>
      <c r="T53" s="125"/>
    </row>
    <row r="54" spans="1:20" ht="15" customHeight="1" x14ac:dyDescent="0.3">
      <c r="A54" s="116"/>
      <c r="B54" s="117"/>
      <c r="C54" s="468"/>
      <c r="D54" s="138" t="s">
        <v>3110</v>
      </c>
      <c r="E54" s="139">
        <v>1</v>
      </c>
      <c r="F54" s="170">
        <f>33000*12</f>
        <v>396000</v>
      </c>
      <c r="G54" s="141">
        <f t="shared" si="1"/>
        <v>396000</v>
      </c>
      <c r="H54" s="173">
        <f>E54*33000</f>
        <v>33000</v>
      </c>
      <c r="I54" s="173">
        <f>E54*33000</f>
        <v>33000</v>
      </c>
      <c r="J54" s="173">
        <f>E54*33000</f>
        <v>33000</v>
      </c>
      <c r="K54" s="173">
        <f>E54*33000</f>
        <v>33000</v>
      </c>
      <c r="L54" s="173">
        <f>E54*33000</f>
        <v>33000</v>
      </c>
      <c r="M54" s="173">
        <f>E54*33000</f>
        <v>33000</v>
      </c>
      <c r="N54" s="173">
        <f>E54*33000</f>
        <v>33000</v>
      </c>
      <c r="O54" s="173">
        <f>E54*33000</f>
        <v>33000</v>
      </c>
      <c r="P54" s="173">
        <f>E54*33000</f>
        <v>33000</v>
      </c>
      <c r="Q54" s="173">
        <f>E54*33000</f>
        <v>33000</v>
      </c>
      <c r="R54" s="173">
        <f>E54*33000</f>
        <v>33000</v>
      </c>
      <c r="S54" s="192">
        <f>E54*33000</f>
        <v>33000</v>
      </c>
      <c r="T54" s="125"/>
    </row>
    <row r="55" spans="1:20" ht="15" customHeight="1" x14ac:dyDescent="0.3">
      <c r="A55" s="116"/>
      <c r="B55" s="117"/>
      <c r="C55" s="468"/>
      <c r="D55" s="138" t="s">
        <v>3111</v>
      </c>
      <c r="E55" s="139">
        <v>37</v>
      </c>
      <c r="F55" s="170">
        <f>30000*12</f>
        <v>360000</v>
      </c>
      <c r="G55" s="141">
        <f t="shared" si="1"/>
        <v>13320000</v>
      </c>
      <c r="H55" s="173">
        <f>E55*30000</f>
        <v>1110000</v>
      </c>
      <c r="I55" s="173">
        <f>E55*30000</f>
        <v>1110000</v>
      </c>
      <c r="J55" s="173">
        <f>E55*30000</f>
        <v>1110000</v>
      </c>
      <c r="K55" s="173">
        <f>E55*30000</f>
        <v>1110000</v>
      </c>
      <c r="L55" s="173">
        <f>E55*30000</f>
        <v>1110000</v>
      </c>
      <c r="M55" s="173">
        <f>E55*30000</f>
        <v>1110000</v>
      </c>
      <c r="N55" s="173">
        <f>E55*30000</f>
        <v>1110000</v>
      </c>
      <c r="O55" s="173">
        <f>E55*30000</f>
        <v>1110000</v>
      </c>
      <c r="P55" s="173">
        <f>E55*30000</f>
        <v>1110000</v>
      </c>
      <c r="Q55" s="173">
        <f>E55*30000</f>
        <v>1110000</v>
      </c>
      <c r="R55" s="173">
        <f>E55*30000</f>
        <v>1110000</v>
      </c>
      <c r="S55" s="192">
        <f>E55*30000</f>
        <v>1110000</v>
      </c>
      <c r="T55" s="125"/>
    </row>
    <row r="56" spans="1:20" ht="15" customHeight="1" x14ac:dyDescent="0.3">
      <c r="A56" s="116"/>
      <c r="B56" s="117"/>
      <c r="C56" s="468"/>
      <c r="D56" s="138" t="s">
        <v>3112</v>
      </c>
      <c r="E56" s="139">
        <v>0</v>
      </c>
      <c r="F56" s="170">
        <f>12000*12</f>
        <v>144000</v>
      </c>
      <c r="G56" s="141">
        <f t="shared" si="1"/>
        <v>0</v>
      </c>
      <c r="H56" s="173"/>
      <c r="I56" s="144"/>
      <c r="J56" s="144"/>
      <c r="K56" s="144"/>
      <c r="L56" s="144"/>
      <c r="M56" s="144"/>
      <c r="N56" s="144"/>
      <c r="O56" s="144"/>
      <c r="P56" s="144"/>
      <c r="Q56" s="144"/>
      <c r="R56" s="144"/>
      <c r="S56" s="192"/>
      <c r="T56" s="125"/>
    </row>
    <row r="57" spans="1:20" ht="15" customHeight="1" x14ac:dyDescent="0.3">
      <c r="A57" s="116"/>
      <c r="B57" s="117"/>
      <c r="C57" s="468"/>
      <c r="D57" s="138" t="s">
        <v>3113</v>
      </c>
      <c r="E57" s="139">
        <v>26</v>
      </c>
      <c r="F57" s="170">
        <f>10000*12</f>
        <v>120000</v>
      </c>
      <c r="G57" s="141">
        <f t="shared" si="1"/>
        <v>3120000</v>
      </c>
      <c r="H57" s="173">
        <f>E57*10000</f>
        <v>260000</v>
      </c>
      <c r="I57" s="144">
        <f>E57*10000</f>
        <v>260000</v>
      </c>
      <c r="J57" s="144">
        <f>E57*10000</f>
        <v>260000</v>
      </c>
      <c r="K57" s="144">
        <f>E57*10000</f>
        <v>260000</v>
      </c>
      <c r="L57" s="144">
        <f>E57*10000</f>
        <v>260000</v>
      </c>
      <c r="M57" s="144">
        <f>E57*10000</f>
        <v>260000</v>
      </c>
      <c r="N57" s="144">
        <f>E57*10000</f>
        <v>260000</v>
      </c>
      <c r="O57" s="144">
        <f>E57*10000</f>
        <v>260000</v>
      </c>
      <c r="P57" s="144">
        <f>E57*10000</f>
        <v>260000</v>
      </c>
      <c r="Q57" s="144">
        <f>E57*10000</f>
        <v>260000</v>
      </c>
      <c r="R57" s="144">
        <f>E57*10000</f>
        <v>260000</v>
      </c>
      <c r="S57" s="192">
        <f>E57*10000</f>
        <v>260000</v>
      </c>
      <c r="T57" s="125"/>
    </row>
    <row r="58" spans="1:20" ht="15" customHeight="1" x14ac:dyDescent="0.3">
      <c r="A58" s="116"/>
      <c r="B58" s="117"/>
      <c r="C58" s="468"/>
      <c r="D58" s="138" t="s">
        <v>3114</v>
      </c>
      <c r="E58" s="139">
        <v>23</v>
      </c>
      <c r="F58" s="170">
        <f>8000*12</f>
        <v>96000</v>
      </c>
      <c r="G58" s="141">
        <f t="shared" si="1"/>
        <v>2208000</v>
      </c>
      <c r="H58" s="173">
        <f>E58*8000</f>
        <v>184000</v>
      </c>
      <c r="I58" s="144">
        <f>E58*8000</f>
        <v>184000</v>
      </c>
      <c r="J58" s="144">
        <f>E58*8000</f>
        <v>184000</v>
      </c>
      <c r="K58" s="144">
        <f>E58*8000</f>
        <v>184000</v>
      </c>
      <c r="L58" s="144">
        <f>E58*8000</f>
        <v>184000</v>
      </c>
      <c r="M58" s="144">
        <f>E58*8000</f>
        <v>184000</v>
      </c>
      <c r="N58" s="144">
        <f>E58*8000</f>
        <v>184000</v>
      </c>
      <c r="O58" s="144">
        <f>E58*8000</f>
        <v>184000</v>
      </c>
      <c r="P58" s="144">
        <f>E58*8000</f>
        <v>184000</v>
      </c>
      <c r="Q58" s="144">
        <f>E58*8000</f>
        <v>184000</v>
      </c>
      <c r="R58" s="144">
        <f>E58*8000</f>
        <v>184000</v>
      </c>
      <c r="S58" s="192">
        <f>E58*8000</f>
        <v>184000</v>
      </c>
      <c r="T58" s="125"/>
    </row>
    <row r="59" spans="1:20" ht="15" customHeight="1" x14ac:dyDescent="0.3">
      <c r="A59" s="116"/>
      <c r="B59" s="117"/>
      <c r="C59" s="468"/>
      <c r="D59" s="138" t="s">
        <v>3115</v>
      </c>
      <c r="E59" s="139">
        <v>0</v>
      </c>
      <c r="F59" s="170">
        <f>8000*12</f>
        <v>96000</v>
      </c>
      <c r="G59" s="141">
        <f t="shared" si="1"/>
        <v>0</v>
      </c>
      <c r="H59" s="173"/>
      <c r="I59" s="144"/>
      <c r="J59" s="144"/>
      <c r="K59" s="144"/>
      <c r="L59" s="144"/>
      <c r="M59" s="144"/>
      <c r="N59" s="144"/>
      <c r="O59" s="144"/>
      <c r="P59" s="144"/>
      <c r="Q59" s="144"/>
      <c r="R59" s="144"/>
      <c r="S59" s="192"/>
      <c r="T59" s="125"/>
    </row>
    <row r="60" spans="1:20" ht="15" customHeight="1" x14ac:dyDescent="0.3">
      <c r="A60" s="116"/>
      <c r="B60" s="117"/>
      <c r="C60" s="468"/>
      <c r="D60" s="138" t="s">
        <v>3116</v>
      </c>
      <c r="E60" s="139">
        <v>0</v>
      </c>
      <c r="F60" s="170">
        <f>5500*12</f>
        <v>66000</v>
      </c>
      <c r="G60" s="141">
        <f t="shared" si="1"/>
        <v>0</v>
      </c>
      <c r="H60" s="173"/>
      <c r="I60" s="144"/>
      <c r="J60" s="144"/>
      <c r="K60" s="144"/>
      <c r="L60" s="144"/>
      <c r="M60" s="144"/>
      <c r="N60" s="144"/>
      <c r="O60" s="144"/>
      <c r="P60" s="144"/>
      <c r="Q60" s="144"/>
      <c r="R60" s="144"/>
      <c r="S60" s="192"/>
      <c r="T60" s="125"/>
    </row>
    <row r="61" spans="1:20" ht="15" customHeight="1" x14ac:dyDescent="0.3">
      <c r="A61" s="116"/>
      <c r="B61" s="117"/>
      <c r="C61" s="468"/>
      <c r="D61" s="138" t="s">
        <v>3117</v>
      </c>
      <c r="E61" s="139">
        <v>14</v>
      </c>
      <c r="F61" s="170">
        <f>4000*12</f>
        <v>48000</v>
      </c>
      <c r="G61" s="141">
        <f t="shared" si="1"/>
        <v>672000</v>
      </c>
      <c r="H61" s="173">
        <f>E61*4000</f>
        <v>56000</v>
      </c>
      <c r="I61" s="144">
        <f>E61*4000</f>
        <v>56000</v>
      </c>
      <c r="J61" s="144">
        <f>E61*4000</f>
        <v>56000</v>
      </c>
      <c r="K61" s="144">
        <f>E61*4000</f>
        <v>56000</v>
      </c>
      <c r="L61" s="144">
        <f>E61*4000</f>
        <v>56000</v>
      </c>
      <c r="M61" s="144">
        <f>E61*4000</f>
        <v>56000</v>
      </c>
      <c r="N61" s="144">
        <f>E61*4000</f>
        <v>56000</v>
      </c>
      <c r="O61" s="144">
        <f>E61*4000</f>
        <v>56000</v>
      </c>
      <c r="P61" s="144">
        <f>E61*4000</f>
        <v>56000</v>
      </c>
      <c r="Q61" s="144">
        <f>E61*4000</f>
        <v>56000</v>
      </c>
      <c r="R61" s="144">
        <f>E61*4000</f>
        <v>56000</v>
      </c>
      <c r="S61" s="192">
        <f>E61*4000</f>
        <v>56000</v>
      </c>
      <c r="T61" s="125"/>
    </row>
    <row r="62" spans="1:20" ht="15" customHeight="1" x14ac:dyDescent="0.3">
      <c r="A62" s="116"/>
      <c r="B62" s="117"/>
      <c r="C62" s="468"/>
      <c r="D62" s="138" t="s">
        <v>3118</v>
      </c>
      <c r="E62" s="139">
        <v>11</v>
      </c>
      <c r="F62" s="170">
        <f>39000*12</f>
        <v>468000</v>
      </c>
      <c r="G62" s="141">
        <f t="shared" si="1"/>
        <v>5148000</v>
      </c>
      <c r="H62" s="173">
        <f>E62*39000</f>
        <v>429000</v>
      </c>
      <c r="I62" s="173">
        <f>E62*39000</f>
        <v>429000</v>
      </c>
      <c r="J62" s="173">
        <f>E62*39000</f>
        <v>429000</v>
      </c>
      <c r="K62" s="173">
        <f>E62*39000</f>
        <v>429000</v>
      </c>
      <c r="L62" s="173">
        <f>E62*39000</f>
        <v>429000</v>
      </c>
      <c r="M62" s="173">
        <f>E62*39000</f>
        <v>429000</v>
      </c>
      <c r="N62" s="173">
        <f>E62*39000</f>
        <v>429000</v>
      </c>
      <c r="O62" s="173">
        <f>E62*39000</f>
        <v>429000</v>
      </c>
      <c r="P62" s="173">
        <f>E62*39000</f>
        <v>429000</v>
      </c>
      <c r="Q62" s="173">
        <f>E62*39000</f>
        <v>429000</v>
      </c>
      <c r="R62" s="173">
        <f>E62*39000</f>
        <v>429000</v>
      </c>
      <c r="S62" s="192">
        <f>E62*39000</f>
        <v>429000</v>
      </c>
      <c r="T62" s="125"/>
    </row>
    <row r="63" spans="1:20" ht="15" customHeight="1" x14ac:dyDescent="0.3">
      <c r="A63" s="116"/>
      <c r="B63" s="117"/>
      <c r="C63" s="468"/>
      <c r="D63" s="138" t="s">
        <v>3119</v>
      </c>
      <c r="E63" s="139">
        <v>15</v>
      </c>
      <c r="F63" s="170">
        <f>36000*12</f>
        <v>432000</v>
      </c>
      <c r="G63" s="141">
        <f t="shared" si="1"/>
        <v>6480000</v>
      </c>
      <c r="H63" s="173">
        <f>E63*36000</f>
        <v>540000</v>
      </c>
      <c r="I63" s="173">
        <f>E63*36000</f>
        <v>540000</v>
      </c>
      <c r="J63" s="173">
        <f>E63*36000</f>
        <v>540000</v>
      </c>
      <c r="K63" s="173">
        <f>E63*36000</f>
        <v>540000</v>
      </c>
      <c r="L63" s="173">
        <f>E63*36000</f>
        <v>540000</v>
      </c>
      <c r="M63" s="173">
        <f>E63*36000</f>
        <v>540000</v>
      </c>
      <c r="N63" s="173">
        <f>E63*36000</f>
        <v>540000</v>
      </c>
      <c r="O63" s="173">
        <f>E63*36000</f>
        <v>540000</v>
      </c>
      <c r="P63" s="173">
        <f>E63*36000</f>
        <v>540000</v>
      </c>
      <c r="Q63" s="173">
        <f>E63*36000</f>
        <v>540000</v>
      </c>
      <c r="R63" s="173">
        <f>E63*36000</f>
        <v>540000</v>
      </c>
      <c r="S63" s="192">
        <f>E63*36000</f>
        <v>540000</v>
      </c>
      <c r="T63" s="125"/>
    </row>
    <row r="64" spans="1:20" ht="15" customHeight="1" x14ac:dyDescent="0.3">
      <c r="A64" s="116"/>
      <c r="B64" s="117"/>
      <c r="C64" s="468"/>
      <c r="D64" s="138" t="s">
        <v>3120</v>
      </c>
      <c r="E64" s="139">
        <v>0</v>
      </c>
      <c r="F64" s="170">
        <f>33000*12</f>
        <v>396000</v>
      </c>
      <c r="G64" s="141">
        <f t="shared" si="1"/>
        <v>0</v>
      </c>
      <c r="H64" s="173"/>
      <c r="I64" s="173"/>
      <c r="J64" s="173"/>
      <c r="K64" s="173"/>
      <c r="L64" s="173"/>
      <c r="M64" s="173"/>
      <c r="N64" s="173"/>
      <c r="O64" s="173"/>
      <c r="P64" s="173"/>
      <c r="Q64" s="173"/>
      <c r="R64" s="173"/>
      <c r="S64" s="192"/>
      <c r="T64" s="125"/>
    </row>
    <row r="65" spans="1:20" ht="15" customHeight="1" x14ac:dyDescent="0.3">
      <c r="A65" s="116"/>
      <c r="B65" s="117"/>
      <c r="C65" s="468"/>
      <c r="D65" s="138" t="s">
        <v>3121</v>
      </c>
      <c r="E65" s="139">
        <v>0</v>
      </c>
      <c r="F65" s="170">
        <f>30000*12</f>
        <v>360000</v>
      </c>
      <c r="G65" s="141">
        <f t="shared" si="1"/>
        <v>0</v>
      </c>
      <c r="H65" s="173"/>
      <c r="I65" s="173"/>
      <c r="J65" s="173"/>
      <c r="K65" s="173"/>
      <c r="L65" s="173"/>
      <c r="M65" s="173"/>
      <c r="N65" s="173"/>
      <c r="O65" s="173"/>
      <c r="P65" s="173"/>
      <c r="Q65" s="173"/>
      <c r="R65" s="173"/>
      <c r="S65" s="192"/>
      <c r="T65" s="125"/>
    </row>
    <row r="66" spans="1:20" ht="15" customHeight="1" x14ac:dyDescent="0.3">
      <c r="A66" s="116"/>
      <c r="B66" s="117"/>
      <c r="C66" s="468"/>
      <c r="D66" s="138" t="s">
        <v>3122</v>
      </c>
      <c r="E66" s="139">
        <v>198</v>
      </c>
      <c r="F66" s="170">
        <f>12000*12</f>
        <v>144000</v>
      </c>
      <c r="G66" s="141">
        <f t="shared" si="1"/>
        <v>28512000</v>
      </c>
      <c r="H66" s="173">
        <f>E66*12000</f>
        <v>2376000</v>
      </c>
      <c r="I66" s="144">
        <f>E66*12000</f>
        <v>2376000</v>
      </c>
      <c r="J66" s="144">
        <f>E66*12000</f>
        <v>2376000</v>
      </c>
      <c r="K66" s="144">
        <f>E66*12000</f>
        <v>2376000</v>
      </c>
      <c r="L66" s="144">
        <f>E66*12000</f>
        <v>2376000</v>
      </c>
      <c r="M66" s="144">
        <f>E66*12000</f>
        <v>2376000</v>
      </c>
      <c r="N66" s="144">
        <f>E66*12000</f>
        <v>2376000</v>
      </c>
      <c r="O66" s="144">
        <f>E66*12000</f>
        <v>2376000</v>
      </c>
      <c r="P66" s="144">
        <f>E66*12000</f>
        <v>2376000</v>
      </c>
      <c r="Q66" s="144">
        <f>E66*12000</f>
        <v>2376000</v>
      </c>
      <c r="R66" s="144">
        <f>E66*12000</f>
        <v>2376000</v>
      </c>
      <c r="S66" s="192">
        <f>E66*12000</f>
        <v>2376000</v>
      </c>
      <c r="T66" s="125"/>
    </row>
    <row r="67" spans="1:20" ht="15" customHeight="1" x14ac:dyDescent="0.3">
      <c r="A67" s="116"/>
      <c r="B67" s="117"/>
      <c r="C67" s="468"/>
      <c r="D67" s="138" t="s">
        <v>3123</v>
      </c>
      <c r="E67" s="139">
        <v>34</v>
      </c>
      <c r="F67" s="170">
        <f>10000*12</f>
        <v>120000</v>
      </c>
      <c r="G67" s="141">
        <f t="shared" si="1"/>
        <v>4080000</v>
      </c>
      <c r="H67" s="173">
        <f>E67*10000</f>
        <v>340000</v>
      </c>
      <c r="I67" s="144">
        <f>E67*10000</f>
        <v>340000</v>
      </c>
      <c r="J67" s="144">
        <f>E67*10000</f>
        <v>340000</v>
      </c>
      <c r="K67" s="144">
        <f>E67*10000</f>
        <v>340000</v>
      </c>
      <c r="L67" s="144">
        <f>E67*10000</f>
        <v>340000</v>
      </c>
      <c r="M67" s="144">
        <f>E67*10000</f>
        <v>340000</v>
      </c>
      <c r="N67" s="144">
        <f>E67*10000</f>
        <v>340000</v>
      </c>
      <c r="O67" s="144">
        <f>E67*10000</f>
        <v>340000</v>
      </c>
      <c r="P67" s="144">
        <f>E67*10000</f>
        <v>340000</v>
      </c>
      <c r="Q67" s="144">
        <f>E67*10000</f>
        <v>340000</v>
      </c>
      <c r="R67" s="144">
        <f>E67*10000</f>
        <v>340000</v>
      </c>
      <c r="S67" s="192">
        <f>E67*10000</f>
        <v>340000</v>
      </c>
      <c r="T67" s="125"/>
    </row>
    <row r="68" spans="1:20" ht="15" customHeight="1" x14ac:dyDescent="0.3">
      <c r="A68" s="116"/>
      <c r="B68" s="117"/>
      <c r="C68" s="468"/>
      <c r="D68" s="138" t="s">
        <v>3124</v>
      </c>
      <c r="E68" s="139">
        <v>1</v>
      </c>
      <c r="F68" s="170">
        <f>8000*12</f>
        <v>96000</v>
      </c>
      <c r="G68" s="141">
        <f t="shared" si="1"/>
        <v>96000</v>
      </c>
      <c r="H68" s="173">
        <f>E68*8000</f>
        <v>8000</v>
      </c>
      <c r="I68" s="144">
        <f>E68*8000</f>
        <v>8000</v>
      </c>
      <c r="J68" s="144">
        <f>E68*8000</f>
        <v>8000</v>
      </c>
      <c r="K68" s="144">
        <f>E68*8000</f>
        <v>8000</v>
      </c>
      <c r="L68" s="144">
        <f>E68*8000</f>
        <v>8000</v>
      </c>
      <c r="M68" s="144">
        <f>E68*8000</f>
        <v>8000</v>
      </c>
      <c r="N68" s="144">
        <f>E68*8000</f>
        <v>8000</v>
      </c>
      <c r="O68" s="144">
        <f>E68*8000</f>
        <v>8000</v>
      </c>
      <c r="P68" s="144">
        <f>E68*8000</f>
        <v>8000</v>
      </c>
      <c r="Q68" s="144">
        <f>E68*8000</f>
        <v>8000</v>
      </c>
      <c r="R68" s="144">
        <f>E68*8000</f>
        <v>8000</v>
      </c>
      <c r="S68" s="192">
        <f>E68*8000</f>
        <v>8000</v>
      </c>
      <c r="T68" s="125"/>
    </row>
    <row r="69" spans="1:20" ht="15" customHeight="1" x14ac:dyDescent="0.3">
      <c r="A69" s="116"/>
      <c r="B69" s="117"/>
      <c r="C69" s="468"/>
      <c r="D69" s="138" t="s">
        <v>3125</v>
      </c>
      <c r="E69" s="139">
        <v>0</v>
      </c>
      <c r="F69" s="170">
        <f>8000*12</f>
        <v>96000</v>
      </c>
      <c r="G69" s="141">
        <f t="shared" si="1"/>
        <v>0</v>
      </c>
      <c r="H69" s="173"/>
      <c r="I69" s="144"/>
      <c r="J69" s="144"/>
      <c r="K69" s="144"/>
      <c r="L69" s="144"/>
      <c r="M69" s="144"/>
      <c r="N69" s="144"/>
      <c r="O69" s="144"/>
      <c r="P69" s="144"/>
      <c r="Q69" s="144"/>
      <c r="R69" s="144"/>
      <c r="S69" s="192"/>
      <c r="T69" s="125"/>
    </row>
    <row r="70" spans="1:20" ht="15" customHeight="1" x14ac:dyDescent="0.3">
      <c r="A70" s="116"/>
      <c r="B70" s="117"/>
      <c r="C70" s="468"/>
      <c r="D70" s="138" t="s">
        <v>3126</v>
      </c>
      <c r="E70" s="139">
        <v>3</v>
      </c>
      <c r="F70" s="170">
        <f>5500*12</f>
        <v>66000</v>
      </c>
      <c r="G70" s="141">
        <f t="shared" si="1"/>
        <v>198000</v>
      </c>
      <c r="H70" s="173">
        <f>E70*5500</f>
        <v>16500</v>
      </c>
      <c r="I70" s="144">
        <f>E70*5500</f>
        <v>16500</v>
      </c>
      <c r="J70" s="144">
        <f>E70*5500</f>
        <v>16500</v>
      </c>
      <c r="K70" s="144">
        <f>E70*5500</f>
        <v>16500</v>
      </c>
      <c r="L70" s="144">
        <f>E70*5500</f>
        <v>16500</v>
      </c>
      <c r="M70" s="144">
        <f>E70*5500</f>
        <v>16500</v>
      </c>
      <c r="N70" s="144">
        <f>E70*5500</f>
        <v>16500</v>
      </c>
      <c r="O70" s="144">
        <f>E70*5500</f>
        <v>16500</v>
      </c>
      <c r="P70" s="144">
        <f>E70*5500</f>
        <v>16500</v>
      </c>
      <c r="Q70" s="144">
        <f>E70*5500</f>
        <v>16500</v>
      </c>
      <c r="R70" s="144">
        <f>E70*5500</f>
        <v>16500</v>
      </c>
      <c r="S70" s="192">
        <f>E70*5500</f>
        <v>16500</v>
      </c>
      <c r="T70" s="125"/>
    </row>
    <row r="71" spans="1:20" ht="15" customHeight="1" x14ac:dyDescent="0.3">
      <c r="A71" s="116"/>
      <c r="B71" s="117"/>
      <c r="C71" s="468"/>
      <c r="D71" s="138" t="s">
        <v>3127</v>
      </c>
      <c r="E71" s="139">
        <v>0</v>
      </c>
      <c r="F71" s="170">
        <f>4000*12</f>
        <v>48000</v>
      </c>
      <c r="G71" s="141">
        <f t="shared" si="1"/>
        <v>0</v>
      </c>
      <c r="H71" s="173"/>
      <c r="I71" s="144"/>
      <c r="J71" s="144"/>
      <c r="K71" s="144"/>
      <c r="L71" s="144"/>
      <c r="M71" s="144"/>
      <c r="N71" s="144"/>
      <c r="O71" s="144"/>
      <c r="P71" s="144"/>
      <c r="Q71" s="144"/>
      <c r="R71" s="144"/>
      <c r="S71" s="192"/>
      <c r="T71" s="125"/>
    </row>
    <row r="72" spans="1:20" ht="15" customHeight="1" x14ac:dyDescent="0.3">
      <c r="A72" s="116"/>
      <c r="B72" s="117"/>
      <c r="C72" s="468"/>
      <c r="D72" s="138" t="s">
        <v>3128</v>
      </c>
      <c r="E72" s="193">
        <f>(E46+E48+E50+E56+E58+E60+E66+E68+E70)/2</f>
        <v>132</v>
      </c>
      <c r="F72" s="170">
        <f>2000*12</f>
        <v>24000</v>
      </c>
      <c r="G72" s="141">
        <f t="shared" si="1"/>
        <v>3168000</v>
      </c>
      <c r="H72" s="173">
        <f>E72*2000</f>
        <v>264000</v>
      </c>
      <c r="I72" s="173">
        <f>E72*2000</f>
        <v>264000</v>
      </c>
      <c r="J72" s="173">
        <f>E72*2000</f>
        <v>264000</v>
      </c>
      <c r="K72" s="173">
        <f>E72*2000</f>
        <v>264000</v>
      </c>
      <c r="L72" s="173">
        <f>E72*2000</f>
        <v>264000</v>
      </c>
      <c r="M72" s="144">
        <f>E72*2000</f>
        <v>264000</v>
      </c>
      <c r="N72" s="144">
        <f>E72*2000</f>
        <v>264000</v>
      </c>
      <c r="O72" s="144">
        <f>E72*2000</f>
        <v>264000</v>
      </c>
      <c r="P72" s="144">
        <f>E72*2000</f>
        <v>264000</v>
      </c>
      <c r="Q72" s="144">
        <f>E72*2000</f>
        <v>264000</v>
      </c>
      <c r="R72" s="144">
        <f>E72*2000</f>
        <v>264000</v>
      </c>
      <c r="S72" s="192">
        <f>E72*2000</f>
        <v>264000</v>
      </c>
      <c r="T72" s="125" t="s">
        <v>3129</v>
      </c>
    </row>
    <row r="73" spans="1:20" ht="15" customHeight="1" x14ac:dyDescent="0.3">
      <c r="A73" s="116"/>
      <c r="B73" s="117"/>
      <c r="C73" s="468"/>
      <c r="D73" s="138" t="s">
        <v>3130</v>
      </c>
      <c r="E73" s="139">
        <v>20</v>
      </c>
      <c r="F73" s="170">
        <f>39000*5</f>
        <v>195000</v>
      </c>
      <c r="G73" s="141">
        <f t="shared" si="1"/>
        <v>3900000</v>
      </c>
      <c r="H73" s="144"/>
      <c r="I73" s="144"/>
      <c r="J73" s="144"/>
      <c r="K73" s="144"/>
      <c r="L73" s="144"/>
      <c r="M73" s="144"/>
      <c r="N73" s="144"/>
      <c r="O73" s="173">
        <f>E73*39000</f>
        <v>780000</v>
      </c>
      <c r="P73" s="173">
        <f>E73*39000</f>
        <v>780000</v>
      </c>
      <c r="Q73" s="173">
        <f>E73*39000</f>
        <v>780000</v>
      </c>
      <c r="R73" s="173">
        <f>E73*39000</f>
        <v>780000</v>
      </c>
      <c r="S73" s="173">
        <f>E73*39000</f>
        <v>780000</v>
      </c>
      <c r="T73" s="125"/>
    </row>
    <row r="74" spans="1:20" ht="15" customHeight="1" x14ac:dyDescent="0.3">
      <c r="A74" s="116"/>
      <c r="B74" s="117"/>
      <c r="C74" s="468"/>
      <c r="D74" s="194" t="s">
        <v>3131</v>
      </c>
      <c r="E74" s="195"/>
      <c r="F74" s="196"/>
      <c r="G74" s="197"/>
      <c r="H74" s="198"/>
      <c r="I74" s="198"/>
      <c r="J74" s="198"/>
      <c r="K74" s="198"/>
      <c r="L74" s="198"/>
      <c r="M74" s="198"/>
      <c r="N74" s="198"/>
      <c r="O74" s="198"/>
      <c r="P74" s="198"/>
      <c r="Q74" s="198"/>
      <c r="R74" s="198"/>
      <c r="S74" s="199"/>
      <c r="T74" s="125"/>
    </row>
    <row r="75" spans="1:20" ht="15" customHeight="1" x14ac:dyDescent="0.3">
      <c r="A75" s="116"/>
      <c r="B75" s="117"/>
      <c r="C75" s="468"/>
      <c r="D75" s="138" t="s">
        <v>3132</v>
      </c>
      <c r="E75" s="139">
        <v>15</v>
      </c>
      <c r="F75" s="170">
        <f>37500*12</f>
        <v>450000</v>
      </c>
      <c r="G75" s="141">
        <f t="shared" si="1"/>
        <v>6750000</v>
      </c>
      <c r="H75" s="173">
        <f>E75*37500</f>
        <v>562500</v>
      </c>
      <c r="I75" s="144">
        <f>E75*37500</f>
        <v>562500</v>
      </c>
      <c r="J75" s="144">
        <f>E75*37500</f>
        <v>562500</v>
      </c>
      <c r="K75" s="144">
        <f>E75*37500</f>
        <v>562500</v>
      </c>
      <c r="L75" s="144">
        <f>E75*37500</f>
        <v>562500</v>
      </c>
      <c r="M75" s="144">
        <f>E75*37500</f>
        <v>562500</v>
      </c>
      <c r="N75" s="144">
        <f>E75*37500</f>
        <v>562500</v>
      </c>
      <c r="O75" s="144">
        <f>E75*37500</f>
        <v>562500</v>
      </c>
      <c r="P75" s="144">
        <f>E75*37500</f>
        <v>562500</v>
      </c>
      <c r="Q75" s="144">
        <f>E75*37500</f>
        <v>562500</v>
      </c>
      <c r="R75" s="144">
        <f>E75*37500</f>
        <v>562500</v>
      </c>
      <c r="S75" s="192">
        <f>E75*37500</f>
        <v>562500</v>
      </c>
      <c r="T75" s="125"/>
    </row>
    <row r="76" spans="1:20" ht="15" customHeight="1" x14ac:dyDescent="0.3">
      <c r="A76" s="116"/>
      <c r="B76" s="117"/>
      <c r="C76" s="468"/>
      <c r="D76" s="138" t="s">
        <v>3133</v>
      </c>
      <c r="E76" s="139">
        <v>70</v>
      </c>
      <c r="F76" s="170">
        <f>31500*12</f>
        <v>378000</v>
      </c>
      <c r="G76" s="141">
        <f t="shared" si="1"/>
        <v>26460000</v>
      </c>
      <c r="H76" s="173">
        <f>E76*31500</f>
        <v>2205000</v>
      </c>
      <c r="I76" s="144">
        <f>E76*31500</f>
        <v>2205000</v>
      </c>
      <c r="J76" s="144">
        <f>E76*31500</f>
        <v>2205000</v>
      </c>
      <c r="K76" s="144">
        <f>E76*31500</f>
        <v>2205000</v>
      </c>
      <c r="L76" s="144">
        <f>E76*31500</f>
        <v>2205000</v>
      </c>
      <c r="M76" s="144">
        <f>E76*31500</f>
        <v>2205000</v>
      </c>
      <c r="N76" s="144">
        <f>E76*31500</f>
        <v>2205000</v>
      </c>
      <c r="O76" s="144">
        <f>E76*31500</f>
        <v>2205000</v>
      </c>
      <c r="P76" s="144">
        <f>E76*31500</f>
        <v>2205000</v>
      </c>
      <c r="Q76" s="144">
        <f>E76*31500</f>
        <v>2205000</v>
      </c>
      <c r="R76" s="144">
        <f>E76*31500</f>
        <v>2205000</v>
      </c>
      <c r="S76" s="192">
        <f>E76*31500</f>
        <v>2205000</v>
      </c>
      <c r="T76" s="125"/>
    </row>
    <row r="77" spans="1:20" ht="15" customHeight="1" x14ac:dyDescent="0.3">
      <c r="A77" s="116"/>
      <c r="B77" s="117"/>
      <c r="C77" s="468"/>
      <c r="D77" s="138" t="s">
        <v>3134</v>
      </c>
      <c r="E77" s="139">
        <v>120</v>
      </c>
      <c r="F77" s="170">
        <f>12000*12</f>
        <v>144000</v>
      </c>
      <c r="G77" s="141">
        <f t="shared" si="1"/>
        <v>17280000</v>
      </c>
      <c r="H77" s="173">
        <f>E77*12000</f>
        <v>1440000</v>
      </c>
      <c r="I77" s="144">
        <f>E77*12000</f>
        <v>1440000</v>
      </c>
      <c r="J77" s="144">
        <f>E77*12000</f>
        <v>1440000</v>
      </c>
      <c r="K77" s="144">
        <f>E77*12000</f>
        <v>1440000</v>
      </c>
      <c r="L77" s="144">
        <f>E77*12000</f>
        <v>1440000</v>
      </c>
      <c r="M77" s="144">
        <f>E77*12000</f>
        <v>1440000</v>
      </c>
      <c r="N77" s="144">
        <f>E77*12000</f>
        <v>1440000</v>
      </c>
      <c r="O77" s="144">
        <f>E77*12000</f>
        <v>1440000</v>
      </c>
      <c r="P77" s="144">
        <f>E77*12000</f>
        <v>1440000</v>
      </c>
      <c r="Q77" s="144">
        <f>E77*12000</f>
        <v>1440000</v>
      </c>
      <c r="R77" s="144">
        <f>E77*12000</f>
        <v>1440000</v>
      </c>
      <c r="S77" s="192">
        <f>E77*12000</f>
        <v>1440000</v>
      </c>
      <c r="T77" s="125"/>
    </row>
    <row r="78" spans="1:20" ht="15" customHeight="1" x14ac:dyDescent="0.3">
      <c r="A78" s="116"/>
      <c r="B78" s="117"/>
      <c r="C78" s="468"/>
      <c r="D78" s="138" t="s">
        <v>3135</v>
      </c>
      <c r="E78" s="139">
        <v>5</v>
      </c>
      <c r="F78" s="170">
        <f>9200*12</f>
        <v>110400</v>
      </c>
      <c r="G78" s="141">
        <f t="shared" si="1"/>
        <v>552000</v>
      </c>
      <c r="H78" s="173">
        <f>E78*9200</f>
        <v>46000</v>
      </c>
      <c r="I78" s="144">
        <f>E78*9200</f>
        <v>46000</v>
      </c>
      <c r="J78" s="144">
        <f>E78*9200</f>
        <v>46000</v>
      </c>
      <c r="K78" s="144">
        <f>E78*9200</f>
        <v>46000</v>
      </c>
      <c r="L78" s="144">
        <f>E78*9200</f>
        <v>46000</v>
      </c>
      <c r="M78" s="144">
        <f>E78*9200</f>
        <v>46000</v>
      </c>
      <c r="N78" s="144">
        <f>E78*9200</f>
        <v>46000</v>
      </c>
      <c r="O78" s="144">
        <f>E78*9200</f>
        <v>46000</v>
      </c>
      <c r="P78" s="144">
        <f>E78*9200</f>
        <v>46000</v>
      </c>
      <c r="Q78" s="144">
        <f>E78*9200</f>
        <v>46000</v>
      </c>
      <c r="R78" s="144">
        <f>E78*9200</f>
        <v>46000</v>
      </c>
      <c r="S78" s="192">
        <f>E78*9200</f>
        <v>46000</v>
      </c>
      <c r="T78" s="125"/>
    </row>
    <row r="79" spans="1:20" ht="15" customHeight="1" x14ac:dyDescent="0.3">
      <c r="A79" s="116"/>
      <c r="B79" s="117"/>
      <c r="C79" s="468"/>
      <c r="D79" s="138" t="s">
        <v>3136</v>
      </c>
      <c r="E79" s="139">
        <v>60</v>
      </c>
      <c r="F79" s="170">
        <f>8000*12</f>
        <v>96000</v>
      </c>
      <c r="G79" s="141">
        <f t="shared" si="1"/>
        <v>5760000</v>
      </c>
      <c r="H79" s="173">
        <f>E79*8000</f>
        <v>480000</v>
      </c>
      <c r="I79" s="144">
        <f>E79*8000</f>
        <v>480000</v>
      </c>
      <c r="J79" s="144">
        <f>E79*8000</f>
        <v>480000</v>
      </c>
      <c r="K79" s="144">
        <f>E79*8000</f>
        <v>480000</v>
      </c>
      <c r="L79" s="144">
        <f>E79*8000</f>
        <v>480000</v>
      </c>
      <c r="M79" s="144">
        <f>E79*8000</f>
        <v>480000</v>
      </c>
      <c r="N79" s="144">
        <f>E79*8000</f>
        <v>480000</v>
      </c>
      <c r="O79" s="144">
        <f>E79*8000</f>
        <v>480000</v>
      </c>
      <c r="P79" s="144">
        <f>E79*8000</f>
        <v>480000</v>
      </c>
      <c r="Q79" s="144">
        <f>E79*8000</f>
        <v>480000</v>
      </c>
      <c r="R79" s="144">
        <f>E79*8000</f>
        <v>480000</v>
      </c>
      <c r="S79" s="192">
        <f>E79*8000</f>
        <v>480000</v>
      </c>
      <c r="T79" s="125"/>
    </row>
    <row r="80" spans="1:20" ht="15" customHeight="1" x14ac:dyDescent="0.3">
      <c r="A80" s="116"/>
      <c r="B80" s="117"/>
      <c r="C80" s="468"/>
      <c r="D80" s="138" t="s">
        <v>3137</v>
      </c>
      <c r="E80" s="139">
        <v>30</v>
      </c>
      <c r="F80" s="170">
        <f>4000*12</f>
        <v>48000</v>
      </c>
      <c r="G80" s="141">
        <f t="shared" si="1"/>
        <v>1440000</v>
      </c>
      <c r="H80" s="173">
        <f>E80*4000</f>
        <v>120000</v>
      </c>
      <c r="I80" s="144">
        <f>E80*4000</f>
        <v>120000</v>
      </c>
      <c r="J80" s="144">
        <f>E80*4000</f>
        <v>120000</v>
      </c>
      <c r="K80" s="144">
        <f>E80*4000</f>
        <v>120000</v>
      </c>
      <c r="L80" s="144">
        <f>E80*4000</f>
        <v>120000</v>
      </c>
      <c r="M80" s="144">
        <f>E80*4000</f>
        <v>120000</v>
      </c>
      <c r="N80" s="144">
        <f>E80*4000</f>
        <v>120000</v>
      </c>
      <c r="O80" s="144">
        <f>E80*4000</f>
        <v>120000</v>
      </c>
      <c r="P80" s="144">
        <f>E80*4000</f>
        <v>120000</v>
      </c>
      <c r="Q80" s="144">
        <f>E80*4000</f>
        <v>120000</v>
      </c>
      <c r="R80" s="144">
        <f>E80*4000</f>
        <v>120000</v>
      </c>
      <c r="S80" s="192">
        <f>E80*4000</f>
        <v>120000</v>
      </c>
      <c r="T80" s="125"/>
    </row>
    <row r="81" spans="1:20" ht="15" customHeight="1" x14ac:dyDescent="0.3">
      <c r="A81" s="116"/>
      <c r="B81" s="117"/>
      <c r="C81" s="468"/>
      <c r="D81" s="138" t="s">
        <v>3138</v>
      </c>
      <c r="E81" s="139">
        <v>3</v>
      </c>
      <c r="F81" s="200">
        <f>42500*12</f>
        <v>510000</v>
      </c>
      <c r="G81" s="141">
        <f t="shared" si="1"/>
        <v>1530000</v>
      </c>
      <c r="H81" s="173">
        <f>E81*42500</f>
        <v>127500</v>
      </c>
      <c r="I81" s="173">
        <f>E81*42500</f>
        <v>127500</v>
      </c>
      <c r="J81" s="173">
        <f>E81*42500</f>
        <v>127500</v>
      </c>
      <c r="K81" s="148">
        <f>E81*42500</f>
        <v>127500</v>
      </c>
      <c r="L81" s="148">
        <f>E81*42500</f>
        <v>127500</v>
      </c>
      <c r="M81" s="148">
        <f>E81*42500</f>
        <v>127500</v>
      </c>
      <c r="N81" s="148">
        <f>E81*42500</f>
        <v>127500</v>
      </c>
      <c r="O81" s="148">
        <f>E81*42500</f>
        <v>127500</v>
      </c>
      <c r="P81" s="148">
        <f>E81*42500</f>
        <v>127500</v>
      </c>
      <c r="Q81" s="148">
        <f>E81*42500</f>
        <v>127500</v>
      </c>
      <c r="R81" s="148">
        <f>E81*42500</f>
        <v>127500</v>
      </c>
      <c r="S81" s="201">
        <f>E81*42500</f>
        <v>127500</v>
      </c>
      <c r="T81" s="125"/>
    </row>
    <row r="82" spans="1:20" ht="15" customHeight="1" x14ac:dyDescent="0.3">
      <c r="A82" s="116"/>
      <c r="B82" s="117"/>
      <c r="C82" s="468"/>
      <c r="D82" s="138" t="s">
        <v>3139</v>
      </c>
      <c r="E82" s="193">
        <f>(E77+E78+E79)/2</f>
        <v>92.5</v>
      </c>
      <c r="F82" s="200">
        <f>2000*12</f>
        <v>24000</v>
      </c>
      <c r="G82" s="121">
        <f t="shared" si="1"/>
        <v>2220000</v>
      </c>
      <c r="H82" s="173">
        <f>E82*2000</f>
        <v>185000</v>
      </c>
      <c r="I82" s="173">
        <f>E82*2000</f>
        <v>185000</v>
      </c>
      <c r="J82" s="173">
        <f>E82*2000</f>
        <v>185000</v>
      </c>
      <c r="K82" s="148">
        <f>E82*2000</f>
        <v>185000</v>
      </c>
      <c r="L82" s="148">
        <f>E82*2000</f>
        <v>185000</v>
      </c>
      <c r="M82" s="148">
        <f>E82*2000</f>
        <v>185000</v>
      </c>
      <c r="N82" s="148">
        <f>E82*2000</f>
        <v>185000</v>
      </c>
      <c r="O82" s="148">
        <f>E82*2000</f>
        <v>185000</v>
      </c>
      <c r="P82" s="148">
        <f>E82*2000</f>
        <v>185000</v>
      </c>
      <c r="Q82" s="148">
        <f>E82*2000</f>
        <v>185000</v>
      </c>
      <c r="R82" s="148">
        <f>E82*2000</f>
        <v>185000</v>
      </c>
      <c r="S82" s="201">
        <f>E82*2000</f>
        <v>185000</v>
      </c>
      <c r="T82" s="125" t="s">
        <v>3129</v>
      </c>
    </row>
    <row r="83" spans="1:20" ht="15" customHeight="1" x14ac:dyDescent="0.3">
      <c r="A83" s="116"/>
      <c r="B83" s="117"/>
      <c r="C83" s="468"/>
      <c r="D83" s="194" t="s">
        <v>3375</v>
      </c>
      <c r="E83" s="195"/>
      <c r="F83" s="202"/>
      <c r="G83" s="203"/>
      <c r="H83" s="204"/>
      <c r="I83" s="204"/>
      <c r="J83" s="204"/>
      <c r="K83" s="204"/>
      <c r="L83" s="204"/>
      <c r="M83" s="204"/>
      <c r="N83" s="204"/>
      <c r="O83" s="204"/>
      <c r="P83" s="204"/>
      <c r="Q83" s="204"/>
      <c r="R83" s="204"/>
      <c r="S83" s="205"/>
      <c r="T83" s="125"/>
    </row>
    <row r="84" spans="1:20" ht="15" customHeight="1" x14ac:dyDescent="0.3">
      <c r="A84" s="116"/>
      <c r="B84" s="117"/>
      <c r="C84" s="468"/>
      <c r="D84" s="130" t="s">
        <v>3132</v>
      </c>
      <c r="E84" s="131">
        <v>7</v>
      </c>
      <c r="F84" s="170">
        <f>37500*12</f>
        <v>450000</v>
      </c>
      <c r="G84" s="133">
        <f t="shared" si="1"/>
        <v>3150000</v>
      </c>
      <c r="H84" s="173">
        <f>E84*37500</f>
        <v>262500</v>
      </c>
      <c r="I84" s="162">
        <f>E84*37500</f>
        <v>262500</v>
      </c>
      <c r="J84" s="162">
        <f>E84*37500</f>
        <v>262500</v>
      </c>
      <c r="K84" s="162">
        <f>E84*37500</f>
        <v>262500</v>
      </c>
      <c r="L84" s="162">
        <f>E84*37500</f>
        <v>262500</v>
      </c>
      <c r="M84" s="162">
        <f>E84*37500</f>
        <v>262500</v>
      </c>
      <c r="N84" s="162">
        <f>E84*37500</f>
        <v>262500</v>
      </c>
      <c r="O84" s="162">
        <f>E84*37500</f>
        <v>262500</v>
      </c>
      <c r="P84" s="162">
        <f>E84*37500</f>
        <v>262500</v>
      </c>
      <c r="Q84" s="162">
        <f>E84*37500</f>
        <v>262500</v>
      </c>
      <c r="R84" s="162">
        <f>E84*37500</f>
        <v>262500</v>
      </c>
      <c r="S84" s="206">
        <f>E84*37500</f>
        <v>262500</v>
      </c>
      <c r="T84" s="125"/>
    </row>
    <row r="85" spans="1:20" ht="15" customHeight="1" x14ac:dyDescent="0.3">
      <c r="A85" s="116"/>
      <c r="B85" s="117"/>
      <c r="C85" s="468"/>
      <c r="D85" s="138" t="s">
        <v>3133</v>
      </c>
      <c r="E85" s="139">
        <v>36</v>
      </c>
      <c r="F85" s="170">
        <f>31500*12</f>
        <v>378000</v>
      </c>
      <c r="G85" s="141">
        <f t="shared" si="1"/>
        <v>13608000</v>
      </c>
      <c r="H85" s="173">
        <f>E85*31500</f>
        <v>1134000</v>
      </c>
      <c r="I85" s="144">
        <f>E85*31500</f>
        <v>1134000</v>
      </c>
      <c r="J85" s="144">
        <f>E85*31500</f>
        <v>1134000</v>
      </c>
      <c r="K85" s="144">
        <f>E85*31500</f>
        <v>1134000</v>
      </c>
      <c r="L85" s="144">
        <f>E85*31500</f>
        <v>1134000</v>
      </c>
      <c r="M85" s="144">
        <f>E85*31500</f>
        <v>1134000</v>
      </c>
      <c r="N85" s="144">
        <f>E85*31500</f>
        <v>1134000</v>
      </c>
      <c r="O85" s="144">
        <f>E85*31500</f>
        <v>1134000</v>
      </c>
      <c r="P85" s="144">
        <f>E85*31500</f>
        <v>1134000</v>
      </c>
      <c r="Q85" s="144">
        <f>E85*31500</f>
        <v>1134000</v>
      </c>
      <c r="R85" s="144">
        <f>E85*31500</f>
        <v>1134000</v>
      </c>
      <c r="S85" s="192">
        <f>E85*31500</f>
        <v>1134000</v>
      </c>
      <c r="T85" s="125"/>
    </row>
    <row r="86" spans="1:20" ht="15" customHeight="1" x14ac:dyDescent="0.3">
      <c r="A86" s="116"/>
      <c r="B86" s="117"/>
      <c r="C86" s="468"/>
      <c r="D86" s="138" t="s">
        <v>3140</v>
      </c>
      <c r="E86" s="139">
        <v>10</v>
      </c>
      <c r="F86" s="170">
        <f>18000*12</f>
        <v>216000</v>
      </c>
      <c r="G86" s="141">
        <f t="shared" si="1"/>
        <v>2160000</v>
      </c>
      <c r="H86" s="173">
        <f>E86*18000</f>
        <v>180000</v>
      </c>
      <c r="I86" s="144">
        <f>E86*18000</f>
        <v>180000</v>
      </c>
      <c r="J86" s="144">
        <f>E86*18000</f>
        <v>180000</v>
      </c>
      <c r="K86" s="144">
        <f>E86*18000</f>
        <v>180000</v>
      </c>
      <c r="L86" s="144">
        <f>E86*18000</f>
        <v>180000</v>
      </c>
      <c r="M86" s="144">
        <f>E86*18000</f>
        <v>180000</v>
      </c>
      <c r="N86" s="144">
        <f>E86*18000</f>
        <v>180000</v>
      </c>
      <c r="O86" s="144">
        <f>E86*18000</f>
        <v>180000</v>
      </c>
      <c r="P86" s="144">
        <f>E86*18000</f>
        <v>180000</v>
      </c>
      <c r="Q86" s="144">
        <f>E86*18000</f>
        <v>180000</v>
      </c>
      <c r="R86" s="144">
        <f>E86*18000</f>
        <v>180000</v>
      </c>
      <c r="S86" s="192">
        <f>E86*18000</f>
        <v>180000</v>
      </c>
      <c r="T86" s="125"/>
    </row>
    <row r="87" spans="1:20" ht="15" customHeight="1" x14ac:dyDescent="0.3">
      <c r="A87" s="116"/>
      <c r="B87" s="117"/>
      <c r="C87" s="468"/>
      <c r="D87" s="138" t="s">
        <v>3134</v>
      </c>
      <c r="E87" s="139">
        <v>50</v>
      </c>
      <c r="F87" s="170">
        <f>12000*12</f>
        <v>144000</v>
      </c>
      <c r="G87" s="141">
        <f t="shared" si="1"/>
        <v>7200000</v>
      </c>
      <c r="H87" s="173">
        <f>E87*12000</f>
        <v>600000</v>
      </c>
      <c r="I87" s="144">
        <f>E87*12000</f>
        <v>600000</v>
      </c>
      <c r="J87" s="144">
        <f>E87*12000</f>
        <v>600000</v>
      </c>
      <c r="K87" s="144">
        <f>E87*12000</f>
        <v>600000</v>
      </c>
      <c r="L87" s="144">
        <f>E87*12000</f>
        <v>600000</v>
      </c>
      <c r="M87" s="144">
        <f>E87*12000</f>
        <v>600000</v>
      </c>
      <c r="N87" s="144">
        <f>E87*12000</f>
        <v>600000</v>
      </c>
      <c r="O87" s="144">
        <f>E87*12000</f>
        <v>600000</v>
      </c>
      <c r="P87" s="144">
        <f>E87*12000</f>
        <v>600000</v>
      </c>
      <c r="Q87" s="144">
        <f>E87*12000</f>
        <v>600000</v>
      </c>
      <c r="R87" s="144">
        <f>E87*12000</f>
        <v>600000</v>
      </c>
      <c r="S87" s="192">
        <f>E87*12000</f>
        <v>600000</v>
      </c>
      <c r="T87" s="125"/>
    </row>
    <row r="88" spans="1:20" ht="15" customHeight="1" x14ac:dyDescent="0.3">
      <c r="A88" s="116"/>
      <c r="B88" s="117"/>
      <c r="C88" s="468"/>
      <c r="D88" s="138" t="s">
        <v>3136</v>
      </c>
      <c r="E88" s="139">
        <v>30</v>
      </c>
      <c r="F88" s="170">
        <f>8000*12</f>
        <v>96000</v>
      </c>
      <c r="G88" s="141">
        <f t="shared" si="1"/>
        <v>2880000</v>
      </c>
      <c r="H88" s="173">
        <f>E88*8000</f>
        <v>240000</v>
      </c>
      <c r="I88" s="144">
        <f>E88*8000</f>
        <v>240000</v>
      </c>
      <c r="J88" s="144">
        <f>E88*8000</f>
        <v>240000</v>
      </c>
      <c r="K88" s="144">
        <f>E88*8000</f>
        <v>240000</v>
      </c>
      <c r="L88" s="144">
        <f>E88*8000</f>
        <v>240000</v>
      </c>
      <c r="M88" s="144">
        <f>E88*8000</f>
        <v>240000</v>
      </c>
      <c r="N88" s="144">
        <f>E88*8000</f>
        <v>240000</v>
      </c>
      <c r="O88" s="144">
        <f>E88*8000</f>
        <v>240000</v>
      </c>
      <c r="P88" s="144">
        <f>E88*8000</f>
        <v>240000</v>
      </c>
      <c r="Q88" s="144">
        <f>E88*8000</f>
        <v>240000</v>
      </c>
      <c r="R88" s="144">
        <f>E88*8000</f>
        <v>240000</v>
      </c>
      <c r="S88" s="192">
        <f>E88*8000</f>
        <v>240000</v>
      </c>
      <c r="T88" s="125"/>
    </row>
    <row r="89" spans="1:20" ht="15" customHeight="1" x14ac:dyDescent="0.3">
      <c r="A89" s="116"/>
      <c r="B89" s="117"/>
      <c r="C89" s="468"/>
      <c r="D89" s="138" t="s">
        <v>3137</v>
      </c>
      <c r="E89" s="139">
        <v>17</v>
      </c>
      <c r="F89" s="170">
        <f>4000*12</f>
        <v>48000</v>
      </c>
      <c r="G89" s="141">
        <f t="shared" si="1"/>
        <v>816000</v>
      </c>
      <c r="H89" s="173">
        <f>E89*4000</f>
        <v>68000</v>
      </c>
      <c r="I89" s="144">
        <f>E89*4000</f>
        <v>68000</v>
      </c>
      <c r="J89" s="144">
        <f>E89*4000</f>
        <v>68000</v>
      </c>
      <c r="K89" s="144">
        <f>E89*4000</f>
        <v>68000</v>
      </c>
      <c r="L89" s="144">
        <f>E89*4000</f>
        <v>68000</v>
      </c>
      <c r="M89" s="144">
        <f>E89*4000</f>
        <v>68000</v>
      </c>
      <c r="N89" s="144">
        <f>E89*4000</f>
        <v>68000</v>
      </c>
      <c r="O89" s="144">
        <f>E89*4000</f>
        <v>68000</v>
      </c>
      <c r="P89" s="144">
        <f>E89*4000</f>
        <v>68000</v>
      </c>
      <c r="Q89" s="144">
        <f>E89*4000</f>
        <v>68000</v>
      </c>
      <c r="R89" s="144">
        <f>E89*4000</f>
        <v>68000</v>
      </c>
      <c r="S89" s="192">
        <f>E89*4000</f>
        <v>68000</v>
      </c>
      <c r="T89" s="125"/>
    </row>
    <row r="90" spans="1:20" ht="15" customHeight="1" x14ac:dyDescent="0.3">
      <c r="A90" s="116"/>
      <c r="B90" s="117"/>
      <c r="C90" s="468"/>
      <c r="D90" s="138" t="s">
        <v>3138</v>
      </c>
      <c r="E90" s="139">
        <v>2</v>
      </c>
      <c r="F90" s="200">
        <f>42500*12</f>
        <v>510000</v>
      </c>
      <c r="G90" s="141">
        <f t="shared" si="1"/>
        <v>1020000</v>
      </c>
      <c r="H90" s="173">
        <f>E90*42500</f>
        <v>85000</v>
      </c>
      <c r="I90" s="144">
        <f>E90*42500</f>
        <v>85000</v>
      </c>
      <c r="J90" s="144">
        <f>E90*42500</f>
        <v>85000</v>
      </c>
      <c r="K90" s="144">
        <f>E90*42500</f>
        <v>85000</v>
      </c>
      <c r="L90" s="144">
        <f>E90*42500</f>
        <v>85000</v>
      </c>
      <c r="M90" s="144">
        <f>E90*42500</f>
        <v>85000</v>
      </c>
      <c r="N90" s="144">
        <f>E90*42500</f>
        <v>85000</v>
      </c>
      <c r="O90" s="144">
        <f>E90*42500</f>
        <v>85000</v>
      </c>
      <c r="P90" s="144">
        <f>E90*42500</f>
        <v>85000</v>
      </c>
      <c r="Q90" s="144">
        <f>E90*42500</f>
        <v>85000</v>
      </c>
      <c r="R90" s="144">
        <f>E90*42500</f>
        <v>85000</v>
      </c>
      <c r="S90" s="192">
        <f>E90*42500</f>
        <v>85000</v>
      </c>
      <c r="T90" s="125"/>
    </row>
    <row r="91" spans="1:20" ht="15" customHeight="1" x14ac:dyDescent="0.3">
      <c r="A91" s="116"/>
      <c r="B91" s="117"/>
      <c r="C91" s="468"/>
      <c r="D91" s="138" t="s">
        <v>3141</v>
      </c>
      <c r="E91" s="193">
        <f>(E86+E87+E88)/2</f>
        <v>45</v>
      </c>
      <c r="F91" s="200">
        <f>2000*12</f>
        <v>24000</v>
      </c>
      <c r="G91" s="141">
        <f t="shared" si="1"/>
        <v>1080000</v>
      </c>
      <c r="H91" s="173">
        <f>E91*2000</f>
        <v>90000</v>
      </c>
      <c r="I91" s="144">
        <f>E91*2000</f>
        <v>90000</v>
      </c>
      <c r="J91" s="144">
        <f>E91*2000</f>
        <v>90000</v>
      </c>
      <c r="K91" s="144">
        <f>E91*2000</f>
        <v>90000</v>
      </c>
      <c r="L91" s="144">
        <f>E91*2000</f>
        <v>90000</v>
      </c>
      <c r="M91" s="144">
        <f>E91*2000</f>
        <v>90000</v>
      </c>
      <c r="N91" s="144">
        <f>E91*2000</f>
        <v>90000</v>
      </c>
      <c r="O91" s="144">
        <f>E91*2000</f>
        <v>90000</v>
      </c>
      <c r="P91" s="144">
        <f>E91*2000</f>
        <v>90000</v>
      </c>
      <c r="Q91" s="144">
        <f>E91*2000</f>
        <v>90000</v>
      </c>
      <c r="R91" s="144">
        <f>E91*2000</f>
        <v>90000</v>
      </c>
      <c r="S91" s="192">
        <f>E91*2000</f>
        <v>90000</v>
      </c>
      <c r="T91" s="125" t="s">
        <v>3129</v>
      </c>
    </row>
    <row r="92" spans="1:20" ht="15" customHeight="1" x14ac:dyDescent="0.3">
      <c r="A92" s="116"/>
      <c r="B92" s="117"/>
      <c r="C92" s="468"/>
      <c r="D92" s="194" t="s">
        <v>3142</v>
      </c>
      <c r="E92" s="195"/>
      <c r="F92" s="207"/>
      <c r="G92" s="197"/>
      <c r="H92" s="198"/>
      <c r="I92" s="198"/>
      <c r="J92" s="198"/>
      <c r="K92" s="198"/>
      <c r="L92" s="198"/>
      <c r="M92" s="198"/>
      <c r="N92" s="198"/>
      <c r="O92" s="198"/>
      <c r="P92" s="198"/>
      <c r="Q92" s="198"/>
      <c r="R92" s="198"/>
      <c r="S92" s="199"/>
      <c r="T92" s="125"/>
    </row>
    <row r="93" spans="1:20" ht="15" customHeight="1" x14ac:dyDescent="0.3">
      <c r="A93" s="116"/>
      <c r="B93" s="117"/>
      <c r="C93" s="468"/>
      <c r="D93" s="138" t="s">
        <v>3143</v>
      </c>
      <c r="E93" s="139">
        <v>15</v>
      </c>
      <c r="F93" s="170">
        <f>37500*5</f>
        <v>187500</v>
      </c>
      <c r="G93" s="141">
        <f t="shared" si="1"/>
        <v>2812500</v>
      </c>
      <c r="H93" s="146"/>
      <c r="I93" s="147"/>
      <c r="J93" s="147"/>
      <c r="K93" s="147"/>
      <c r="L93" s="147"/>
      <c r="M93" s="147"/>
      <c r="N93" s="147"/>
      <c r="O93" s="144">
        <f>E93*37500</f>
        <v>562500</v>
      </c>
      <c r="P93" s="144">
        <f>E93*37500</f>
        <v>562500</v>
      </c>
      <c r="Q93" s="144">
        <f>E93*37500</f>
        <v>562500</v>
      </c>
      <c r="R93" s="144">
        <f>E93*37500</f>
        <v>562500</v>
      </c>
      <c r="S93" s="192">
        <f>E93*37500</f>
        <v>562500</v>
      </c>
      <c r="T93" s="125"/>
    </row>
    <row r="94" spans="1:20" ht="15" customHeight="1" x14ac:dyDescent="0.3">
      <c r="A94" s="116"/>
      <c r="B94" s="117"/>
      <c r="C94" s="468"/>
      <c r="D94" s="138" t="s">
        <v>3144</v>
      </c>
      <c r="E94" s="139">
        <v>70</v>
      </c>
      <c r="F94" s="170">
        <f>31500*5</f>
        <v>157500</v>
      </c>
      <c r="G94" s="141">
        <f t="shared" si="1"/>
        <v>11025000</v>
      </c>
      <c r="H94" s="146"/>
      <c r="I94" s="147"/>
      <c r="J94" s="147"/>
      <c r="K94" s="147"/>
      <c r="L94" s="147"/>
      <c r="M94" s="147"/>
      <c r="N94" s="147"/>
      <c r="O94" s="173">
        <f>E94*31500</f>
        <v>2205000</v>
      </c>
      <c r="P94" s="144">
        <f>E94*31500</f>
        <v>2205000</v>
      </c>
      <c r="Q94" s="144">
        <f>E94*31500</f>
        <v>2205000</v>
      </c>
      <c r="R94" s="144">
        <f>E94*31500</f>
        <v>2205000</v>
      </c>
      <c r="S94" s="192">
        <f>E94*31500</f>
        <v>2205000</v>
      </c>
      <c r="T94" s="125"/>
    </row>
    <row r="95" spans="1:20" ht="15" customHeight="1" x14ac:dyDescent="0.3">
      <c r="A95" s="116"/>
      <c r="B95" s="117"/>
      <c r="C95" s="468"/>
      <c r="D95" s="138" t="s">
        <v>3145</v>
      </c>
      <c r="E95" s="139">
        <v>20</v>
      </c>
      <c r="F95" s="170">
        <f>18000*5</f>
        <v>90000</v>
      </c>
      <c r="G95" s="141">
        <f t="shared" si="1"/>
        <v>1800000</v>
      </c>
      <c r="H95" s="146"/>
      <c r="I95" s="147"/>
      <c r="J95" s="147"/>
      <c r="K95" s="147"/>
      <c r="L95" s="147"/>
      <c r="M95" s="147"/>
      <c r="N95" s="147"/>
      <c r="O95" s="173">
        <f>E95*18000</f>
        <v>360000</v>
      </c>
      <c r="P95" s="144">
        <f>E95*18000</f>
        <v>360000</v>
      </c>
      <c r="Q95" s="144">
        <f>E95*18000</f>
        <v>360000</v>
      </c>
      <c r="R95" s="144">
        <f>E95*18000</f>
        <v>360000</v>
      </c>
      <c r="S95" s="192">
        <f>E95*18000</f>
        <v>360000</v>
      </c>
      <c r="T95" s="125"/>
    </row>
    <row r="96" spans="1:20" ht="15" customHeight="1" x14ac:dyDescent="0.3">
      <c r="A96" s="116"/>
      <c r="B96" s="117"/>
      <c r="C96" s="468"/>
      <c r="D96" s="138" t="s">
        <v>3146</v>
      </c>
      <c r="E96" s="139">
        <v>100</v>
      </c>
      <c r="F96" s="170">
        <f>12000*5</f>
        <v>60000</v>
      </c>
      <c r="G96" s="141">
        <f t="shared" si="1"/>
        <v>6000000</v>
      </c>
      <c r="H96" s="146"/>
      <c r="I96" s="147"/>
      <c r="J96" s="147"/>
      <c r="K96" s="147"/>
      <c r="L96" s="147"/>
      <c r="M96" s="147"/>
      <c r="N96" s="147"/>
      <c r="O96" s="173">
        <f>E96*12000</f>
        <v>1200000</v>
      </c>
      <c r="P96" s="144">
        <f>E96*12000</f>
        <v>1200000</v>
      </c>
      <c r="Q96" s="144">
        <f>E96*12000</f>
        <v>1200000</v>
      </c>
      <c r="R96" s="144">
        <f>E96*12000</f>
        <v>1200000</v>
      </c>
      <c r="S96" s="192">
        <f>E96*12000</f>
        <v>1200000</v>
      </c>
      <c r="T96" s="125"/>
    </row>
    <row r="97" spans="1:987" ht="15" customHeight="1" x14ac:dyDescent="0.3">
      <c r="A97" s="116"/>
      <c r="B97" s="117"/>
      <c r="C97" s="468"/>
      <c r="D97" s="138" t="s">
        <v>3147</v>
      </c>
      <c r="E97" s="139">
        <v>5</v>
      </c>
      <c r="F97" s="170">
        <f>9200*5</f>
        <v>46000</v>
      </c>
      <c r="G97" s="141">
        <f t="shared" si="1"/>
        <v>230000</v>
      </c>
      <c r="H97" s="146"/>
      <c r="I97" s="147"/>
      <c r="J97" s="147"/>
      <c r="K97" s="147"/>
      <c r="L97" s="147"/>
      <c r="M97" s="147"/>
      <c r="N97" s="147"/>
      <c r="O97" s="173">
        <f>E97*9200</f>
        <v>46000</v>
      </c>
      <c r="P97" s="144">
        <f>E97*9200</f>
        <v>46000</v>
      </c>
      <c r="Q97" s="144">
        <f>E97*9200</f>
        <v>46000</v>
      </c>
      <c r="R97" s="144">
        <f>E97*9200</f>
        <v>46000</v>
      </c>
      <c r="S97" s="192">
        <f>E97*9200</f>
        <v>46000</v>
      </c>
      <c r="T97" s="125"/>
    </row>
    <row r="98" spans="1:987" ht="15" customHeight="1" x14ac:dyDescent="0.3">
      <c r="A98" s="116"/>
      <c r="B98" s="117"/>
      <c r="C98" s="468"/>
      <c r="D98" s="138" t="s">
        <v>3148</v>
      </c>
      <c r="E98" s="139">
        <v>60</v>
      </c>
      <c r="F98" s="170">
        <f>8000*5</f>
        <v>40000</v>
      </c>
      <c r="G98" s="141">
        <f t="shared" si="1"/>
        <v>2400000</v>
      </c>
      <c r="H98" s="146"/>
      <c r="I98" s="147"/>
      <c r="J98" s="147"/>
      <c r="K98" s="147"/>
      <c r="L98" s="147"/>
      <c r="M98" s="147"/>
      <c r="N98" s="147"/>
      <c r="O98" s="173">
        <f>E98*8000</f>
        <v>480000</v>
      </c>
      <c r="P98" s="144">
        <f>E98*8000</f>
        <v>480000</v>
      </c>
      <c r="Q98" s="144">
        <f>E98*8000</f>
        <v>480000</v>
      </c>
      <c r="R98" s="144">
        <f>E98*8000</f>
        <v>480000</v>
      </c>
      <c r="S98" s="192">
        <f>E98*8000</f>
        <v>480000</v>
      </c>
      <c r="T98" s="125"/>
    </row>
    <row r="99" spans="1:987" ht="15" customHeight="1" x14ac:dyDescent="0.3">
      <c r="A99" s="116"/>
      <c r="B99" s="117"/>
      <c r="C99" s="468"/>
      <c r="D99" s="138" t="s">
        <v>3149</v>
      </c>
      <c r="E99" s="139">
        <v>30</v>
      </c>
      <c r="F99" s="170">
        <f>4000*5</f>
        <v>20000</v>
      </c>
      <c r="G99" s="141">
        <f t="shared" si="1"/>
        <v>600000</v>
      </c>
      <c r="H99" s="146"/>
      <c r="I99" s="147"/>
      <c r="J99" s="147"/>
      <c r="K99" s="147"/>
      <c r="L99" s="147"/>
      <c r="M99" s="147"/>
      <c r="N99" s="147"/>
      <c r="O99" s="173">
        <f>E99*4000</f>
        <v>120000</v>
      </c>
      <c r="P99" s="144">
        <f>E99*4000</f>
        <v>120000</v>
      </c>
      <c r="Q99" s="144">
        <f>E99*4000</f>
        <v>120000</v>
      </c>
      <c r="R99" s="144">
        <f>E99*4000</f>
        <v>120000</v>
      </c>
      <c r="S99" s="192">
        <f>E99*4000</f>
        <v>120000</v>
      </c>
      <c r="T99" s="125"/>
    </row>
    <row r="100" spans="1:987" ht="15" customHeight="1" x14ac:dyDescent="0.3">
      <c r="A100" s="116"/>
      <c r="B100" s="117"/>
      <c r="C100" s="468"/>
      <c r="D100" s="118" t="s">
        <v>3150</v>
      </c>
      <c r="E100" s="119">
        <v>3</v>
      </c>
      <c r="F100" s="170">
        <f>42500*5</f>
        <v>212500</v>
      </c>
      <c r="G100" s="121">
        <f t="shared" si="1"/>
        <v>637500</v>
      </c>
      <c r="H100" s="122"/>
      <c r="I100" s="123"/>
      <c r="J100" s="123"/>
      <c r="K100" s="123"/>
      <c r="L100" s="123"/>
      <c r="M100" s="123"/>
      <c r="N100" s="123"/>
      <c r="O100" s="173">
        <f>E100*42500</f>
        <v>127500</v>
      </c>
      <c r="P100" s="148">
        <f>E100*42500</f>
        <v>127500</v>
      </c>
      <c r="Q100" s="148">
        <f>E100*42500</f>
        <v>127500</v>
      </c>
      <c r="R100" s="148">
        <f>E100*42500</f>
        <v>127500</v>
      </c>
      <c r="S100" s="201">
        <f>E100*42500</f>
        <v>127500</v>
      </c>
      <c r="T100" s="125"/>
    </row>
    <row r="101" spans="1:987" ht="15" customHeight="1" x14ac:dyDescent="0.3">
      <c r="A101" s="116"/>
      <c r="B101" s="117"/>
      <c r="C101" s="468"/>
      <c r="D101" s="138" t="s">
        <v>3151</v>
      </c>
      <c r="E101" s="193">
        <f>(E95+E96+E97+E98)/2</f>
        <v>92.5</v>
      </c>
      <c r="F101" s="200">
        <f>2000*5</f>
        <v>10000</v>
      </c>
      <c r="G101" s="141">
        <f t="shared" si="1"/>
        <v>925000</v>
      </c>
      <c r="H101" s="146"/>
      <c r="I101" s="147"/>
      <c r="J101" s="147"/>
      <c r="K101" s="147"/>
      <c r="L101" s="147"/>
      <c r="M101" s="147"/>
      <c r="N101" s="147"/>
      <c r="O101" s="173">
        <f>E101*2000</f>
        <v>185000</v>
      </c>
      <c r="P101" s="144">
        <f>E101*2000</f>
        <v>185000</v>
      </c>
      <c r="Q101" s="144">
        <f>E101*2000</f>
        <v>185000</v>
      </c>
      <c r="R101" s="144">
        <f>E101*2000</f>
        <v>185000</v>
      </c>
      <c r="S101" s="192">
        <f>E101*2000</f>
        <v>185000</v>
      </c>
      <c r="T101" s="125" t="s">
        <v>3129</v>
      </c>
    </row>
    <row r="102" spans="1:987" ht="15" customHeight="1" x14ac:dyDescent="0.3">
      <c r="A102" s="158"/>
      <c r="B102" s="159"/>
      <c r="C102" s="469"/>
      <c r="D102" s="464" t="s">
        <v>2834</v>
      </c>
      <c r="E102" s="465"/>
      <c r="F102" s="466"/>
      <c r="G102" s="127">
        <f>SUM(G39:G101)</f>
        <v>204044064</v>
      </c>
      <c r="H102" s="128"/>
      <c r="I102" s="128"/>
      <c r="J102" s="128"/>
      <c r="K102" s="128"/>
      <c r="L102" s="128"/>
      <c r="M102" s="128"/>
      <c r="N102" s="128"/>
      <c r="O102" s="128"/>
      <c r="P102" s="128"/>
      <c r="Q102" s="128"/>
      <c r="R102" s="128"/>
      <c r="S102" s="129"/>
      <c r="T102" s="125"/>
    </row>
    <row r="103" spans="1:987" s="115" customFormat="1" ht="15" customHeight="1" x14ac:dyDescent="0.3">
      <c r="A103" s="103">
        <v>8470230</v>
      </c>
      <c r="B103" s="104">
        <v>425745</v>
      </c>
      <c r="C103" s="461" t="s">
        <v>3152</v>
      </c>
      <c r="D103" s="130" t="s">
        <v>3153</v>
      </c>
      <c r="E103" s="208">
        <f>E46+E47+E48+E49+E51</f>
        <v>87</v>
      </c>
      <c r="F103" s="132">
        <v>2500</v>
      </c>
      <c r="G103" s="133">
        <f>E103*F103</f>
        <v>217500</v>
      </c>
      <c r="H103" s="134"/>
      <c r="I103" s="135"/>
      <c r="J103" s="135"/>
      <c r="K103" s="135"/>
      <c r="L103" s="162">
        <f>G103</f>
        <v>217500</v>
      </c>
      <c r="M103" s="135"/>
      <c r="N103" s="135"/>
      <c r="O103" s="135"/>
      <c r="P103" s="135"/>
      <c r="Q103" s="135"/>
      <c r="R103" s="135"/>
      <c r="S103" s="164"/>
      <c r="T103" s="125" t="s">
        <v>3154</v>
      </c>
      <c r="U103" s="114"/>
      <c r="V103" s="114"/>
      <c r="W103" s="114"/>
      <c r="X103" s="114"/>
      <c r="Y103" s="114"/>
      <c r="Z103" s="114"/>
      <c r="AA103" s="114"/>
      <c r="AB103" s="114"/>
      <c r="AC103" s="114"/>
      <c r="AD103" s="114"/>
      <c r="AE103" s="114"/>
      <c r="AF103" s="114"/>
      <c r="AG103" s="114"/>
      <c r="AH103" s="114"/>
      <c r="AI103" s="114"/>
      <c r="AJ103" s="114"/>
      <c r="AK103" s="114"/>
      <c r="AL103" s="114"/>
      <c r="AM103" s="114"/>
      <c r="AN103" s="114"/>
      <c r="AO103" s="114"/>
      <c r="AP103" s="114"/>
      <c r="AQ103" s="114"/>
      <c r="AR103" s="114"/>
      <c r="AS103" s="114"/>
      <c r="AT103" s="114"/>
      <c r="AU103" s="114"/>
      <c r="AV103" s="114"/>
      <c r="AW103" s="114"/>
      <c r="AX103" s="114"/>
      <c r="AY103" s="114"/>
      <c r="AZ103" s="114"/>
      <c r="BA103" s="114"/>
      <c r="BB103" s="114"/>
      <c r="BC103" s="114"/>
      <c r="BD103" s="114"/>
      <c r="BE103" s="114"/>
      <c r="BF103" s="114"/>
      <c r="BG103" s="114"/>
      <c r="BH103" s="114"/>
      <c r="BI103" s="114"/>
      <c r="BJ103" s="114"/>
      <c r="BK103" s="114"/>
      <c r="BL103" s="114"/>
      <c r="BM103" s="114"/>
      <c r="BN103" s="114"/>
      <c r="BO103" s="114"/>
      <c r="BP103" s="114"/>
      <c r="BQ103" s="114"/>
      <c r="BR103" s="114"/>
      <c r="BS103" s="114"/>
      <c r="BT103" s="114"/>
      <c r="BU103" s="114"/>
      <c r="BV103" s="114"/>
      <c r="BW103" s="114"/>
      <c r="BX103" s="114"/>
      <c r="BY103" s="114"/>
      <c r="BZ103" s="114"/>
      <c r="CA103" s="114"/>
      <c r="CB103" s="114"/>
      <c r="CC103" s="114"/>
      <c r="CD103" s="114"/>
      <c r="CE103" s="114"/>
      <c r="CF103" s="114"/>
      <c r="CG103" s="114"/>
      <c r="CH103" s="114"/>
      <c r="CI103" s="114"/>
      <c r="CJ103" s="114"/>
      <c r="CK103" s="114"/>
      <c r="CL103" s="114"/>
      <c r="CM103" s="114"/>
      <c r="CN103" s="114"/>
      <c r="CO103" s="114"/>
      <c r="CP103" s="114"/>
      <c r="CQ103" s="114"/>
      <c r="CR103" s="114"/>
      <c r="CS103" s="114"/>
      <c r="CT103" s="114"/>
      <c r="CU103" s="114"/>
      <c r="CV103" s="114"/>
      <c r="CW103" s="114"/>
      <c r="CX103" s="114"/>
      <c r="CY103" s="114"/>
      <c r="CZ103" s="114"/>
      <c r="DA103" s="114"/>
      <c r="DB103" s="114"/>
      <c r="DC103" s="114"/>
      <c r="DD103" s="114"/>
      <c r="DE103" s="114"/>
      <c r="DF103" s="114"/>
      <c r="DG103" s="114"/>
      <c r="DH103" s="114"/>
      <c r="DI103" s="114"/>
      <c r="DJ103" s="114"/>
      <c r="DK103" s="114"/>
      <c r="DL103" s="114"/>
      <c r="DM103" s="114"/>
      <c r="DN103" s="114"/>
      <c r="DO103" s="114"/>
      <c r="DP103" s="114"/>
      <c r="DQ103" s="114"/>
      <c r="DR103" s="114"/>
      <c r="DS103" s="114"/>
      <c r="DT103" s="114"/>
      <c r="DU103" s="114"/>
      <c r="DV103" s="114"/>
      <c r="DW103" s="114"/>
      <c r="DX103" s="114"/>
      <c r="DY103" s="114"/>
      <c r="DZ103" s="114"/>
      <c r="EA103" s="114"/>
      <c r="EB103" s="114"/>
      <c r="EC103" s="114"/>
      <c r="ED103" s="114"/>
      <c r="EE103" s="114"/>
      <c r="EF103" s="114"/>
      <c r="EG103" s="114"/>
      <c r="EH103" s="114"/>
      <c r="EI103" s="114"/>
      <c r="EJ103" s="114"/>
      <c r="EK103" s="114"/>
      <c r="EL103" s="114"/>
      <c r="EM103" s="114"/>
      <c r="EN103" s="114"/>
      <c r="EO103" s="114"/>
      <c r="EP103" s="114"/>
      <c r="EQ103" s="114"/>
      <c r="ER103" s="114"/>
      <c r="ES103" s="114"/>
      <c r="ET103" s="114"/>
      <c r="EU103" s="114"/>
      <c r="EV103" s="114"/>
      <c r="EW103" s="114"/>
      <c r="EX103" s="114"/>
      <c r="EY103" s="114"/>
      <c r="EZ103" s="114"/>
      <c r="FA103" s="114"/>
      <c r="FB103" s="114"/>
      <c r="FC103" s="114"/>
      <c r="FD103" s="114"/>
      <c r="FE103" s="114"/>
      <c r="FF103" s="114"/>
      <c r="FG103" s="114"/>
      <c r="FH103" s="114"/>
      <c r="FI103" s="114"/>
      <c r="FJ103" s="114"/>
      <c r="FK103" s="114"/>
      <c r="FL103" s="114"/>
      <c r="FM103" s="114"/>
      <c r="FN103" s="114"/>
      <c r="FO103" s="114"/>
      <c r="FP103" s="114"/>
      <c r="FQ103" s="114"/>
      <c r="FR103" s="114"/>
      <c r="FS103" s="114"/>
      <c r="FT103" s="114"/>
      <c r="FU103" s="114"/>
      <c r="FV103" s="114"/>
      <c r="FW103" s="114"/>
      <c r="FX103" s="114"/>
      <c r="FY103" s="114"/>
      <c r="FZ103" s="114"/>
      <c r="GA103" s="114"/>
      <c r="GB103" s="114"/>
      <c r="GC103" s="114"/>
      <c r="GD103" s="114"/>
      <c r="GE103" s="114"/>
      <c r="GF103" s="114"/>
      <c r="GG103" s="114"/>
      <c r="GH103" s="114"/>
      <c r="GI103" s="114"/>
      <c r="GJ103" s="114"/>
      <c r="GK103" s="114"/>
      <c r="GL103" s="114"/>
      <c r="GM103" s="114"/>
      <c r="GN103" s="114"/>
      <c r="GO103" s="114"/>
      <c r="GP103" s="114"/>
      <c r="GQ103" s="114"/>
      <c r="GR103" s="114"/>
      <c r="GS103" s="114"/>
      <c r="GT103" s="114"/>
      <c r="GU103" s="114"/>
      <c r="GV103" s="114"/>
      <c r="GW103" s="114"/>
      <c r="GX103" s="114"/>
      <c r="GY103" s="114"/>
      <c r="GZ103" s="114"/>
      <c r="HA103" s="114"/>
      <c r="HB103" s="114"/>
      <c r="HC103" s="114"/>
      <c r="HD103" s="114"/>
      <c r="HE103" s="114"/>
      <c r="HF103" s="114"/>
      <c r="HG103" s="114"/>
      <c r="HH103" s="114"/>
      <c r="HI103" s="114"/>
      <c r="HJ103" s="114"/>
      <c r="HK103" s="114"/>
      <c r="HL103" s="114"/>
      <c r="HM103" s="114"/>
      <c r="HN103" s="114"/>
      <c r="HO103" s="114"/>
      <c r="HP103" s="114"/>
      <c r="HQ103" s="114"/>
      <c r="HR103" s="114"/>
      <c r="HS103" s="114"/>
      <c r="HT103" s="114"/>
      <c r="HU103" s="114"/>
      <c r="HV103" s="114"/>
      <c r="HW103" s="114"/>
      <c r="HX103" s="114"/>
      <c r="HY103" s="114"/>
      <c r="HZ103" s="114"/>
      <c r="IA103" s="114"/>
      <c r="IB103" s="114"/>
      <c r="IC103" s="114"/>
      <c r="ID103" s="114"/>
      <c r="IE103" s="114"/>
      <c r="IF103" s="114"/>
      <c r="IG103" s="114"/>
      <c r="IH103" s="114"/>
      <c r="II103" s="114"/>
      <c r="IJ103" s="114"/>
      <c r="IK103" s="114"/>
      <c r="IL103" s="114"/>
      <c r="IM103" s="114"/>
      <c r="IN103" s="114"/>
      <c r="IO103" s="114"/>
      <c r="IP103" s="114"/>
      <c r="IQ103" s="114"/>
      <c r="IR103" s="114"/>
      <c r="IS103" s="114"/>
      <c r="IT103" s="114"/>
      <c r="IU103" s="114"/>
      <c r="IV103" s="114"/>
      <c r="IW103" s="114"/>
      <c r="IX103" s="114"/>
      <c r="IY103" s="114"/>
      <c r="IZ103" s="114"/>
      <c r="JA103" s="114"/>
      <c r="JB103" s="114"/>
      <c r="JC103" s="114"/>
      <c r="JD103" s="114"/>
      <c r="JE103" s="114"/>
      <c r="JF103" s="114"/>
      <c r="JG103" s="114"/>
      <c r="JH103" s="114"/>
      <c r="JI103" s="114"/>
      <c r="JJ103" s="114"/>
      <c r="JK103" s="114"/>
      <c r="JL103" s="114"/>
      <c r="JM103" s="114"/>
      <c r="JN103" s="114"/>
      <c r="JO103" s="114"/>
      <c r="JP103" s="114"/>
      <c r="JQ103" s="114"/>
      <c r="JR103" s="114"/>
      <c r="JS103" s="114"/>
      <c r="JT103" s="114"/>
      <c r="JU103" s="114"/>
      <c r="JV103" s="114"/>
      <c r="JW103" s="114"/>
      <c r="JX103" s="114"/>
      <c r="JY103" s="114"/>
      <c r="JZ103" s="114"/>
      <c r="KA103" s="114"/>
      <c r="KB103" s="114"/>
      <c r="KC103" s="114"/>
      <c r="KD103" s="114"/>
      <c r="KE103" s="114"/>
      <c r="KF103" s="114"/>
      <c r="KG103" s="114"/>
      <c r="KH103" s="114"/>
      <c r="KI103" s="114"/>
      <c r="KJ103" s="114"/>
      <c r="KK103" s="114"/>
      <c r="KL103" s="114"/>
      <c r="KM103" s="114"/>
      <c r="KN103" s="114"/>
      <c r="KO103" s="114"/>
      <c r="KP103" s="114"/>
      <c r="KQ103" s="114"/>
      <c r="KR103" s="114"/>
      <c r="KS103" s="114"/>
      <c r="KT103" s="114"/>
      <c r="KU103" s="114"/>
      <c r="KV103" s="114"/>
      <c r="KW103" s="114"/>
      <c r="KX103" s="114"/>
      <c r="KY103" s="114"/>
      <c r="KZ103" s="114"/>
      <c r="LA103" s="114"/>
      <c r="LB103" s="114"/>
      <c r="LC103" s="114"/>
      <c r="LD103" s="114"/>
      <c r="LE103" s="114"/>
      <c r="LF103" s="114"/>
      <c r="LG103" s="114"/>
      <c r="LH103" s="114"/>
      <c r="LI103" s="114"/>
      <c r="LJ103" s="114"/>
      <c r="LK103" s="114"/>
      <c r="LL103" s="114"/>
      <c r="LM103" s="114"/>
      <c r="LN103" s="114"/>
      <c r="LO103" s="114"/>
      <c r="LP103" s="114"/>
      <c r="LQ103" s="114"/>
      <c r="LR103" s="114"/>
      <c r="LS103" s="114"/>
      <c r="LT103" s="114"/>
      <c r="LU103" s="114"/>
      <c r="LV103" s="114"/>
      <c r="LW103" s="114"/>
      <c r="LX103" s="114"/>
      <c r="LY103" s="114"/>
      <c r="LZ103" s="114"/>
      <c r="MA103" s="114"/>
      <c r="MB103" s="114"/>
      <c r="MC103" s="114"/>
      <c r="MD103" s="114"/>
      <c r="ME103" s="114"/>
      <c r="MF103" s="114"/>
      <c r="MG103" s="114"/>
      <c r="MH103" s="114"/>
      <c r="MI103" s="114"/>
      <c r="MJ103" s="114"/>
      <c r="MK103" s="114"/>
      <c r="ML103" s="114"/>
      <c r="MM103" s="114"/>
      <c r="MN103" s="114"/>
      <c r="MO103" s="114"/>
      <c r="MP103" s="114"/>
      <c r="MQ103" s="114"/>
      <c r="MR103" s="114"/>
      <c r="MS103" s="114"/>
      <c r="MT103" s="114"/>
      <c r="MU103" s="114"/>
      <c r="MV103" s="114"/>
      <c r="MW103" s="114"/>
      <c r="MX103" s="114"/>
      <c r="MY103" s="114"/>
      <c r="MZ103" s="114"/>
      <c r="NA103" s="114"/>
      <c r="NB103" s="114"/>
      <c r="NC103" s="114"/>
      <c r="ND103" s="114"/>
      <c r="NE103" s="114"/>
      <c r="NF103" s="114"/>
      <c r="NG103" s="114"/>
      <c r="NH103" s="114"/>
      <c r="NI103" s="114"/>
      <c r="NJ103" s="114"/>
      <c r="NK103" s="114"/>
      <c r="NL103" s="114"/>
      <c r="NM103" s="114"/>
      <c r="NN103" s="114"/>
      <c r="NO103" s="114"/>
      <c r="NP103" s="114"/>
      <c r="NQ103" s="114"/>
      <c r="NR103" s="114"/>
      <c r="NS103" s="114"/>
      <c r="NT103" s="114"/>
      <c r="NU103" s="114"/>
      <c r="NV103" s="114"/>
      <c r="NW103" s="114"/>
      <c r="NX103" s="114"/>
      <c r="NY103" s="114"/>
      <c r="NZ103" s="114"/>
      <c r="OA103" s="114"/>
      <c r="OB103" s="114"/>
      <c r="OC103" s="114"/>
      <c r="OD103" s="114"/>
      <c r="OE103" s="114"/>
      <c r="OF103" s="114"/>
      <c r="OG103" s="114"/>
      <c r="OH103" s="114"/>
      <c r="OI103" s="114"/>
      <c r="OJ103" s="114"/>
      <c r="OK103" s="114"/>
      <c r="OL103" s="114"/>
      <c r="OM103" s="114"/>
      <c r="ON103" s="114"/>
      <c r="OO103" s="114"/>
      <c r="OP103" s="114"/>
      <c r="OQ103" s="114"/>
      <c r="OR103" s="114"/>
      <c r="OS103" s="114"/>
      <c r="OT103" s="114"/>
      <c r="OU103" s="114"/>
      <c r="OV103" s="114"/>
      <c r="OW103" s="114"/>
      <c r="OX103" s="114"/>
      <c r="OY103" s="114"/>
      <c r="OZ103" s="114"/>
      <c r="PA103" s="114"/>
      <c r="PB103" s="114"/>
      <c r="PC103" s="114"/>
      <c r="PD103" s="114"/>
      <c r="PE103" s="114"/>
      <c r="PF103" s="114"/>
      <c r="PG103" s="114"/>
      <c r="PH103" s="114"/>
      <c r="PI103" s="114"/>
      <c r="PJ103" s="114"/>
      <c r="PK103" s="114"/>
      <c r="PL103" s="114"/>
      <c r="PM103" s="114"/>
      <c r="PN103" s="114"/>
      <c r="PO103" s="114"/>
      <c r="PP103" s="114"/>
      <c r="PQ103" s="114"/>
      <c r="PR103" s="114"/>
      <c r="PS103" s="114"/>
      <c r="PT103" s="114"/>
      <c r="PU103" s="114"/>
      <c r="PV103" s="114"/>
      <c r="PW103" s="114"/>
      <c r="PX103" s="114"/>
      <c r="PY103" s="114"/>
      <c r="PZ103" s="114"/>
      <c r="QA103" s="114"/>
      <c r="QB103" s="114"/>
      <c r="QC103" s="114"/>
      <c r="QD103" s="114"/>
      <c r="QE103" s="114"/>
      <c r="QF103" s="114"/>
      <c r="QG103" s="114"/>
      <c r="QH103" s="114"/>
      <c r="QI103" s="114"/>
      <c r="QJ103" s="114"/>
      <c r="QK103" s="114"/>
      <c r="QL103" s="114"/>
      <c r="QM103" s="114"/>
      <c r="QN103" s="114"/>
      <c r="QO103" s="114"/>
      <c r="QP103" s="114"/>
      <c r="QQ103" s="114"/>
      <c r="QR103" s="114"/>
      <c r="QS103" s="114"/>
      <c r="QT103" s="114"/>
      <c r="QU103" s="114"/>
      <c r="QV103" s="114"/>
      <c r="QW103" s="114"/>
      <c r="QX103" s="114"/>
      <c r="QY103" s="114"/>
      <c r="QZ103" s="114"/>
      <c r="RA103" s="114"/>
      <c r="RB103" s="114"/>
      <c r="RC103" s="114"/>
      <c r="RD103" s="114"/>
      <c r="RE103" s="114"/>
      <c r="RF103" s="114"/>
      <c r="RG103" s="114"/>
      <c r="RH103" s="114"/>
      <c r="RI103" s="114"/>
      <c r="RJ103" s="114"/>
      <c r="RK103" s="114"/>
      <c r="RL103" s="114"/>
      <c r="RM103" s="114"/>
      <c r="RN103" s="114"/>
      <c r="RO103" s="114"/>
      <c r="RP103" s="114"/>
      <c r="RQ103" s="114"/>
      <c r="RR103" s="114"/>
      <c r="RS103" s="114"/>
      <c r="RT103" s="114"/>
      <c r="RU103" s="114"/>
      <c r="RV103" s="114"/>
      <c r="RW103" s="114"/>
      <c r="RX103" s="114"/>
      <c r="RY103" s="114"/>
      <c r="RZ103" s="114"/>
      <c r="SA103" s="114"/>
      <c r="SB103" s="114"/>
      <c r="SC103" s="114"/>
      <c r="SD103" s="114"/>
      <c r="SE103" s="114"/>
      <c r="SF103" s="114"/>
      <c r="SG103" s="114"/>
      <c r="SH103" s="114"/>
      <c r="SI103" s="114"/>
      <c r="SJ103" s="114"/>
      <c r="SK103" s="114"/>
      <c r="SL103" s="114"/>
      <c r="SM103" s="114"/>
      <c r="SN103" s="114"/>
      <c r="SO103" s="114"/>
      <c r="SP103" s="114"/>
      <c r="SQ103" s="114"/>
      <c r="SR103" s="114"/>
      <c r="SS103" s="114"/>
      <c r="ST103" s="114"/>
      <c r="SU103" s="114"/>
      <c r="SV103" s="114"/>
      <c r="SW103" s="114"/>
      <c r="SX103" s="114"/>
      <c r="SY103" s="114"/>
      <c r="SZ103" s="114"/>
      <c r="TA103" s="114"/>
      <c r="TB103" s="114"/>
      <c r="TC103" s="114"/>
      <c r="TD103" s="114"/>
      <c r="TE103" s="114"/>
      <c r="TF103" s="114"/>
      <c r="TG103" s="114"/>
      <c r="TH103" s="114"/>
      <c r="TI103" s="114"/>
      <c r="TJ103" s="114"/>
      <c r="TK103" s="114"/>
      <c r="TL103" s="114"/>
      <c r="TM103" s="114"/>
      <c r="TN103" s="114"/>
      <c r="TO103" s="114"/>
      <c r="TP103" s="114"/>
      <c r="TQ103" s="114"/>
      <c r="TR103" s="114"/>
      <c r="TS103" s="114"/>
      <c r="TT103" s="114"/>
      <c r="TU103" s="114"/>
      <c r="TV103" s="114"/>
      <c r="TW103" s="114"/>
      <c r="TX103" s="114"/>
      <c r="TY103" s="114"/>
      <c r="TZ103" s="114"/>
      <c r="UA103" s="114"/>
      <c r="UB103" s="114"/>
      <c r="UC103" s="114"/>
      <c r="UD103" s="114"/>
      <c r="UE103" s="114"/>
      <c r="UF103" s="114"/>
      <c r="UG103" s="114"/>
      <c r="UH103" s="114"/>
      <c r="UI103" s="114"/>
      <c r="UJ103" s="114"/>
      <c r="UK103" s="114"/>
      <c r="UL103" s="114"/>
      <c r="UM103" s="114"/>
      <c r="UN103" s="114"/>
      <c r="UO103" s="114"/>
      <c r="UP103" s="114"/>
      <c r="UQ103" s="114"/>
      <c r="UR103" s="114"/>
      <c r="US103" s="114"/>
      <c r="UT103" s="114"/>
      <c r="UU103" s="114"/>
      <c r="UV103" s="114"/>
      <c r="UW103" s="114"/>
      <c r="UX103" s="114"/>
      <c r="UY103" s="114"/>
      <c r="UZ103" s="114"/>
      <c r="VA103" s="114"/>
      <c r="VB103" s="114"/>
      <c r="VC103" s="114"/>
      <c r="VD103" s="114"/>
      <c r="VE103" s="114"/>
      <c r="VF103" s="114"/>
      <c r="VG103" s="114"/>
      <c r="VH103" s="114"/>
      <c r="VI103" s="114"/>
      <c r="VJ103" s="114"/>
      <c r="VK103" s="114"/>
      <c r="VL103" s="114"/>
      <c r="VM103" s="114"/>
      <c r="VN103" s="114"/>
      <c r="VO103" s="114"/>
      <c r="VP103" s="114"/>
      <c r="VQ103" s="114"/>
      <c r="VR103" s="114"/>
      <c r="VS103" s="114"/>
      <c r="VT103" s="114"/>
      <c r="VU103" s="114"/>
      <c r="VV103" s="114"/>
      <c r="VW103" s="114"/>
      <c r="VX103" s="114"/>
      <c r="VY103" s="114"/>
      <c r="VZ103" s="114"/>
      <c r="WA103" s="114"/>
      <c r="WB103" s="114"/>
      <c r="WC103" s="114"/>
      <c r="WD103" s="114"/>
      <c r="WE103" s="114"/>
      <c r="WF103" s="114"/>
      <c r="WG103" s="114"/>
      <c r="WH103" s="114"/>
      <c r="WI103" s="114"/>
      <c r="WJ103" s="114"/>
      <c r="WK103" s="114"/>
      <c r="WL103" s="114"/>
      <c r="WM103" s="114"/>
      <c r="WN103" s="114"/>
      <c r="WO103" s="114"/>
      <c r="WP103" s="114"/>
      <c r="WQ103" s="114"/>
      <c r="WR103" s="114"/>
      <c r="WS103" s="114"/>
      <c r="WT103" s="114"/>
      <c r="WU103" s="114"/>
      <c r="WV103" s="114"/>
      <c r="WW103" s="114"/>
      <c r="WX103" s="114"/>
      <c r="WY103" s="114"/>
      <c r="WZ103" s="114"/>
      <c r="XA103" s="114"/>
      <c r="XB103" s="114"/>
      <c r="XC103" s="114"/>
      <c r="XD103" s="114"/>
      <c r="XE103" s="114"/>
      <c r="XF103" s="114"/>
      <c r="XG103" s="114"/>
      <c r="XH103" s="114"/>
      <c r="XI103" s="114"/>
      <c r="XJ103" s="114"/>
      <c r="XK103" s="114"/>
      <c r="XL103" s="114"/>
      <c r="XM103" s="114"/>
      <c r="XN103" s="114"/>
      <c r="XO103" s="114"/>
      <c r="XP103" s="114"/>
      <c r="XQ103" s="114"/>
      <c r="XR103" s="114"/>
      <c r="XS103" s="114"/>
      <c r="XT103" s="114"/>
      <c r="XU103" s="114"/>
      <c r="XV103" s="114"/>
      <c r="XW103" s="114"/>
      <c r="XX103" s="114"/>
      <c r="XY103" s="114"/>
      <c r="XZ103" s="114"/>
      <c r="YA103" s="114"/>
      <c r="YB103" s="114"/>
      <c r="YC103" s="114"/>
      <c r="YD103" s="114"/>
      <c r="YE103" s="114"/>
      <c r="YF103" s="114"/>
      <c r="YG103" s="114"/>
      <c r="YH103" s="114"/>
      <c r="YI103" s="114"/>
      <c r="YJ103" s="114"/>
      <c r="YK103" s="114"/>
      <c r="YL103" s="114"/>
      <c r="YM103" s="114"/>
      <c r="YN103" s="114"/>
      <c r="YO103" s="114"/>
      <c r="YP103" s="114"/>
      <c r="YQ103" s="114"/>
      <c r="YR103" s="114"/>
      <c r="YS103" s="114"/>
      <c r="YT103" s="114"/>
      <c r="YU103" s="114"/>
      <c r="YV103" s="114"/>
      <c r="YW103" s="114"/>
      <c r="YX103" s="114"/>
      <c r="YY103" s="114"/>
      <c r="YZ103" s="114"/>
      <c r="ZA103" s="114"/>
      <c r="ZB103" s="114"/>
      <c r="ZC103" s="114"/>
      <c r="ZD103" s="114"/>
      <c r="ZE103" s="114"/>
      <c r="ZF103" s="114"/>
      <c r="ZG103" s="114"/>
      <c r="ZH103" s="114"/>
      <c r="ZI103" s="114"/>
      <c r="ZJ103" s="114"/>
      <c r="ZK103" s="114"/>
      <c r="ZL103" s="114"/>
      <c r="ZM103" s="114"/>
      <c r="ZN103" s="114"/>
      <c r="ZO103" s="114"/>
      <c r="ZP103" s="114"/>
      <c r="ZQ103" s="114"/>
      <c r="ZR103" s="114"/>
      <c r="ZS103" s="114"/>
      <c r="ZT103" s="114"/>
      <c r="ZU103" s="114"/>
      <c r="ZV103" s="114"/>
      <c r="ZW103" s="114"/>
      <c r="ZX103" s="114"/>
      <c r="ZY103" s="114"/>
      <c r="ZZ103" s="114"/>
      <c r="AAA103" s="114"/>
      <c r="AAB103" s="114"/>
      <c r="AAC103" s="114"/>
      <c r="AAD103" s="114"/>
      <c r="AAE103" s="114"/>
      <c r="AAF103" s="114"/>
      <c r="AAG103" s="114"/>
      <c r="AAH103" s="114"/>
      <c r="AAI103" s="114"/>
      <c r="AAJ103" s="114"/>
      <c r="AAK103" s="114"/>
      <c r="AAL103" s="114"/>
      <c r="AAM103" s="114"/>
      <c r="AAN103" s="114"/>
      <c r="AAO103" s="114"/>
      <c r="AAP103" s="114"/>
      <c r="AAQ103" s="114"/>
      <c r="AAR103" s="114"/>
      <c r="AAS103" s="114"/>
      <c r="AAT103" s="114"/>
      <c r="AAU103" s="114"/>
      <c r="AAV103" s="114"/>
      <c r="AAW103" s="114"/>
      <c r="AAX103" s="114"/>
      <c r="AAY103" s="114"/>
      <c r="AAZ103" s="114"/>
      <c r="ABA103" s="114"/>
      <c r="ABB103" s="114"/>
      <c r="ABC103" s="114"/>
      <c r="ABD103" s="114"/>
      <c r="ABE103" s="114"/>
      <c r="ABF103" s="114"/>
      <c r="ABG103" s="114"/>
      <c r="ABH103" s="114"/>
      <c r="ABI103" s="114"/>
      <c r="ABJ103" s="114"/>
      <c r="ABK103" s="114"/>
      <c r="ABL103" s="114"/>
      <c r="ABM103" s="114"/>
      <c r="ABN103" s="114"/>
      <c r="ABO103" s="114"/>
      <c r="ABP103" s="114"/>
      <c r="ABQ103" s="114"/>
      <c r="ABR103" s="114"/>
      <c r="ABS103" s="114"/>
      <c r="ABT103" s="114"/>
      <c r="ABU103" s="114"/>
      <c r="ABV103" s="114"/>
      <c r="ABW103" s="114"/>
      <c r="ABX103" s="114"/>
      <c r="ABY103" s="114"/>
      <c r="ABZ103" s="114"/>
      <c r="ACA103" s="114"/>
      <c r="ACB103" s="114"/>
      <c r="ACC103" s="114"/>
      <c r="ACD103" s="114"/>
      <c r="ACE103" s="114"/>
      <c r="ACF103" s="114"/>
      <c r="ACG103" s="114"/>
      <c r="ACH103" s="114"/>
      <c r="ACI103" s="114"/>
      <c r="ACJ103" s="114"/>
      <c r="ACK103" s="114"/>
      <c r="ACL103" s="114"/>
      <c r="ACM103" s="114"/>
      <c r="ACN103" s="114"/>
      <c r="ACO103" s="114"/>
      <c r="ACP103" s="114"/>
      <c r="ACQ103" s="114"/>
      <c r="ACR103" s="114"/>
      <c r="ACS103" s="114"/>
      <c r="ACT103" s="114"/>
      <c r="ACU103" s="114"/>
      <c r="ACV103" s="114"/>
      <c r="ACW103" s="114"/>
      <c r="ACX103" s="114"/>
      <c r="ACY103" s="114"/>
      <c r="ACZ103" s="114"/>
      <c r="ADA103" s="114"/>
      <c r="ADB103" s="114"/>
      <c r="ADC103" s="114"/>
      <c r="ADD103" s="114"/>
      <c r="ADE103" s="114"/>
      <c r="ADF103" s="114"/>
      <c r="ADG103" s="114"/>
      <c r="ADH103" s="114"/>
      <c r="ADI103" s="114"/>
      <c r="ADJ103" s="114"/>
      <c r="ADK103" s="114"/>
      <c r="ADL103" s="114"/>
      <c r="ADM103" s="114"/>
      <c r="ADN103" s="114"/>
      <c r="ADO103" s="114"/>
      <c r="ADP103" s="114"/>
      <c r="ADQ103" s="114"/>
      <c r="ADR103" s="114"/>
      <c r="ADS103" s="114"/>
      <c r="ADT103" s="114"/>
      <c r="ADU103" s="114"/>
      <c r="ADV103" s="114"/>
      <c r="ADW103" s="114"/>
      <c r="ADX103" s="114"/>
      <c r="ADY103" s="114"/>
      <c r="ADZ103" s="114"/>
      <c r="AEA103" s="114"/>
      <c r="AEB103" s="114"/>
      <c r="AEC103" s="114"/>
      <c r="AED103" s="114"/>
      <c r="AEE103" s="114"/>
      <c r="AEF103" s="114"/>
      <c r="AEG103" s="114"/>
      <c r="AEH103" s="114"/>
      <c r="AEI103" s="114"/>
      <c r="AEJ103" s="114"/>
      <c r="AEK103" s="114"/>
      <c r="AEL103" s="114"/>
      <c r="AEM103" s="114"/>
      <c r="AEN103" s="114"/>
      <c r="AEO103" s="114"/>
      <c r="AEP103" s="114"/>
      <c r="AEQ103" s="114"/>
      <c r="AER103" s="114"/>
      <c r="AES103" s="114"/>
      <c r="AET103" s="114"/>
      <c r="AEU103" s="114"/>
      <c r="AEV103" s="114"/>
      <c r="AEW103" s="114"/>
      <c r="AEX103" s="114"/>
      <c r="AEY103" s="114"/>
      <c r="AEZ103" s="114"/>
      <c r="AFA103" s="114"/>
      <c r="AFB103" s="114"/>
      <c r="AFC103" s="114"/>
      <c r="AFD103" s="114"/>
      <c r="AFE103" s="114"/>
      <c r="AFF103" s="114"/>
      <c r="AFG103" s="114"/>
      <c r="AFH103" s="114"/>
      <c r="AFI103" s="114"/>
      <c r="AFJ103" s="114"/>
      <c r="AFK103" s="114"/>
      <c r="AFL103" s="114"/>
      <c r="AFM103" s="114"/>
      <c r="AFN103" s="114"/>
      <c r="AFO103" s="114"/>
      <c r="AFP103" s="114"/>
      <c r="AFQ103" s="114"/>
      <c r="AFR103" s="114"/>
      <c r="AFS103" s="114"/>
      <c r="AFT103" s="114"/>
      <c r="AFU103" s="114"/>
      <c r="AFV103" s="114"/>
      <c r="AFW103" s="114"/>
      <c r="AFX103" s="114"/>
      <c r="AFY103" s="114"/>
      <c r="AFZ103" s="114"/>
      <c r="AGA103" s="114"/>
      <c r="AGB103" s="114"/>
      <c r="AGC103" s="114"/>
      <c r="AGD103" s="114"/>
      <c r="AGE103" s="114"/>
      <c r="AGF103" s="114"/>
      <c r="AGG103" s="114"/>
      <c r="AGH103" s="114"/>
      <c r="AGI103" s="114"/>
      <c r="AGJ103" s="114"/>
      <c r="AGK103" s="114"/>
      <c r="AGL103" s="114"/>
      <c r="AGM103" s="114"/>
      <c r="AGN103" s="114"/>
      <c r="AGO103" s="114"/>
      <c r="AGP103" s="114"/>
      <c r="AGQ103" s="114"/>
      <c r="AGR103" s="114"/>
      <c r="AGS103" s="114"/>
      <c r="AGT103" s="114"/>
      <c r="AGU103" s="114"/>
      <c r="AGV103" s="114"/>
      <c r="AGW103" s="114"/>
      <c r="AGX103" s="114"/>
      <c r="AGY103" s="114"/>
      <c r="AGZ103" s="114"/>
      <c r="AHA103" s="114"/>
      <c r="AHB103" s="114"/>
      <c r="AHC103" s="114"/>
      <c r="AHD103" s="114"/>
      <c r="AHE103" s="114"/>
      <c r="AHF103" s="114"/>
      <c r="AHG103" s="114"/>
      <c r="AHH103" s="114"/>
      <c r="AHI103" s="114"/>
      <c r="AHJ103" s="114"/>
      <c r="AHK103" s="114"/>
      <c r="AHL103" s="114"/>
      <c r="AHM103" s="114"/>
      <c r="AHN103" s="114"/>
      <c r="AHO103" s="114"/>
      <c r="AHP103" s="114"/>
      <c r="AHQ103" s="114"/>
      <c r="AHR103" s="114"/>
      <c r="AHS103" s="114"/>
      <c r="AHT103" s="114"/>
      <c r="AHU103" s="114"/>
      <c r="AHV103" s="114"/>
      <c r="AHW103" s="114"/>
      <c r="AHX103" s="114"/>
      <c r="AHY103" s="114"/>
      <c r="AHZ103" s="114"/>
      <c r="AIA103" s="114"/>
      <c r="AIB103" s="114"/>
      <c r="AIC103" s="114"/>
      <c r="AID103" s="114"/>
      <c r="AIE103" s="114"/>
      <c r="AIF103" s="114"/>
      <c r="AIG103" s="114"/>
      <c r="AIH103" s="114"/>
      <c r="AII103" s="114"/>
      <c r="AIJ103" s="114"/>
      <c r="AIK103" s="114"/>
      <c r="AIL103" s="114"/>
      <c r="AIM103" s="114"/>
      <c r="AIN103" s="114"/>
      <c r="AIO103" s="114"/>
      <c r="AIP103" s="114"/>
      <c r="AIQ103" s="114"/>
      <c r="AIR103" s="114"/>
      <c r="AIS103" s="114"/>
      <c r="AIT103" s="114"/>
      <c r="AIU103" s="114"/>
      <c r="AIV103" s="114"/>
      <c r="AIW103" s="114"/>
      <c r="AIX103" s="114"/>
      <c r="AIY103" s="114"/>
      <c r="AIZ103" s="114"/>
      <c r="AJA103" s="114"/>
      <c r="AJB103" s="114"/>
      <c r="AJC103" s="114"/>
      <c r="AJD103" s="114"/>
      <c r="AJE103" s="114"/>
      <c r="AJF103" s="114"/>
      <c r="AJG103" s="114"/>
      <c r="AJH103" s="114"/>
      <c r="AJI103" s="114"/>
      <c r="AJJ103" s="114"/>
      <c r="AJK103" s="114"/>
      <c r="AJL103" s="114"/>
      <c r="AJM103" s="114"/>
      <c r="AJN103" s="114"/>
      <c r="AJO103" s="114"/>
      <c r="AJP103" s="114"/>
      <c r="AJQ103" s="114"/>
      <c r="AJR103" s="114"/>
      <c r="AJS103" s="114"/>
      <c r="AJT103" s="114"/>
      <c r="AJU103" s="114"/>
      <c r="AJV103" s="114"/>
      <c r="AJW103" s="114"/>
      <c r="AJX103" s="114"/>
      <c r="AJY103" s="114"/>
      <c r="AJZ103" s="114"/>
      <c r="AKA103" s="114"/>
      <c r="AKB103" s="114"/>
      <c r="AKC103" s="114"/>
      <c r="AKD103" s="114"/>
      <c r="AKE103" s="114"/>
      <c r="AKF103" s="114"/>
      <c r="AKG103" s="114"/>
      <c r="AKH103" s="114"/>
      <c r="AKI103" s="114"/>
      <c r="AKJ103" s="114"/>
      <c r="AKK103" s="114"/>
      <c r="AKL103" s="114"/>
      <c r="AKM103" s="114"/>
      <c r="AKN103" s="114"/>
      <c r="AKO103" s="114"/>
      <c r="AKP103" s="114"/>
      <c r="AKQ103" s="114"/>
      <c r="AKR103" s="114"/>
      <c r="AKS103" s="114"/>
      <c r="AKT103" s="114"/>
      <c r="AKU103" s="114"/>
      <c r="AKV103" s="114"/>
      <c r="AKW103" s="114"/>
      <c r="AKX103" s="114"/>
      <c r="AKY103" s="114"/>
    </row>
    <row r="104" spans="1:987" ht="15" customHeight="1" x14ac:dyDescent="0.3">
      <c r="A104" s="116"/>
      <c r="B104" s="117"/>
      <c r="C104" s="462"/>
      <c r="D104" s="138" t="s">
        <v>3155</v>
      </c>
      <c r="E104" s="193">
        <f>E56+E57+E58+E59+E61</f>
        <v>63</v>
      </c>
      <c r="F104" s="140">
        <v>2500</v>
      </c>
      <c r="G104" s="141">
        <f>E104*F104</f>
        <v>157500</v>
      </c>
      <c r="H104" s="146"/>
      <c r="I104" s="147"/>
      <c r="J104" s="147"/>
      <c r="K104" s="147"/>
      <c r="L104" s="147"/>
      <c r="M104" s="147"/>
      <c r="N104" s="147"/>
      <c r="O104" s="147"/>
      <c r="P104" s="147"/>
      <c r="Q104" s="147"/>
      <c r="R104" s="147"/>
      <c r="S104" s="192">
        <f>G104</f>
        <v>157500</v>
      </c>
      <c r="T104" s="125" t="s">
        <v>3154</v>
      </c>
    </row>
    <row r="105" spans="1:987" ht="15" customHeight="1" x14ac:dyDescent="0.3">
      <c r="A105" s="116"/>
      <c r="B105" s="117"/>
      <c r="C105" s="462"/>
      <c r="D105" s="138" t="s">
        <v>3156</v>
      </c>
      <c r="E105" s="193">
        <f>E66+E67+E68+E69+E71</f>
        <v>233</v>
      </c>
      <c r="F105" s="140">
        <v>3500</v>
      </c>
      <c r="G105" s="141">
        <f>E105*F105</f>
        <v>815500</v>
      </c>
      <c r="H105" s="146"/>
      <c r="I105" s="147"/>
      <c r="J105" s="147"/>
      <c r="K105" s="144">
        <f>G105/2</f>
        <v>407750</v>
      </c>
      <c r="L105" s="147"/>
      <c r="M105" s="147"/>
      <c r="N105" s="147"/>
      <c r="O105" s="147"/>
      <c r="P105" s="147"/>
      <c r="Q105" s="147"/>
      <c r="R105" s="144">
        <f>G105/2</f>
        <v>407750</v>
      </c>
      <c r="S105" s="163"/>
      <c r="T105" s="125" t="s">
        <v>3157</v>
      </c>
    </row>
    <row r="106" spans="1:987" ht="15" customHeight="1" x14ac:dyDescent="0.3">
      <c r="A106" s="116"/>
      <c r="B106" s="117"/>
      <c r="C106" s="462"/>
      <c r="D106" s="138" t="s">
        <v>3158</v>
      </c>
      <c r="E106" s="139">
        <v>70</v>
      </c>
      <c r="F106" s="140">
        <v>258</v>
      </c>
      <c r="G106" s="141">
        <f t="shared" ref="G106:G117" si="2">E106*F106</f>
        <v>18060</v>
      </c>
      <c r="H106" s="173">
        <f>G106/12</f>
        <v>1505</v>
      </c>
      <c r="I106" s="173">
        <f>G106/12</f>
        <v>1505</v>
      </c>
      <c r="J106" s="173">
        <f>G106/12</f>
        <v>1505</v>
      </c>
      <c r="K106" s="173">
        <f>G106/12</f>
        <v>1505</v>
      </c>
      <c r="L106" s="173">
        <f>G106/12</f>
        <v>1505</v>
      </c>
      <c r="M106" s="173">
        <f>G106/12</f>
        <v>1505</v>
      </c>
      <c r="N106" s="173">
        <f>G106/12</f>
        <v>1505</v>
      </c>
      <c r="O106" s="173">
        <f>G106/12</f>
        <v>1505</v>
      </c>
      <c r="P106" s="173">
        <f>G106/12</f>
        <v>1505</v>
      </c>
      <c r="Q106" s="173">
        <f>G106/12</f>
        <v>1505</v>
      </c>
      <c r="R106" s="173">
        <f>G106/12</f>
        <v>1505</v>
      </c>
      <c r="S106" s="173">
        <f>G106/12</f>
        <v>1505</v>
      </c>
      <c r="T106" s="125" t="s">
        <v>3159</v>
      </c>
    </row>
    <row r="107" spans="1:987" ht="15" customHeight="1" x14ac:dyDescent="0.3">
      <c r="A107" s="116"/>
      <c r="B107" s="117"/>
      <c r="C107" s="462"/>
      <c r="D107" s="138" t="s">
        <v>3160</v>
      </c>
      <c r="E107" s="139">
        <v>70</v>
      </c>
      <c r="F107" s="140">
        <v>250</v>
      </c>
      <c r="G107" s="141">
        <f t="shared" si="2"/>
        <v>17500</v>
      </c>
      <c r="H107" s="173">
        <f>G107/12</f>
        <v>1458.3333333333333</v>
      </c>
      <c r="I107" s="144">
        <f>G107/12</f>
        <v>1458.3333333333333</v>
      </c>
      <c r="J107" s="144">
        <f>G107/12</f>
        <v>1458.3333333333333</v>
      </c>
      <c r="K107" s="144">
        <f>G107/12</f>
        <v>1458.3333333333333</v>
      </c>
      <c r="L107" s="144">
        <f>G107/12</f>
        <v>1458.3333333333333</v>
      </c>
      <c r="M107" s="144">
        <f>G107/12</f>
        <v>1458.3333333333333</v>
      </c>
      <c r="N107" s="144">
        <f>G107/12</f>
        <v>1458.3333333333333</v>
      </c>
      <c r="O107" s="144">
        <f>G107/12</f>
        <v>1458.3333333333333</v>
      </c>
      <c r="P107" s="144">
        <f>G107/12</f>
        <v>1458.3333333333333</v>
      </c>
      <c r="Q107" s="144">
        <f>G107/12</f>
        <v>1458.3333333333333</v>
      </c>
      <c r="R107" s="144">
        <f>G107/12</f>
        <v>1458.3333333333333</v>
      </c>
      <c r="S107" s="192">
        <f>G107/12</f>
        <v>1458.3333333333333</v>
      </c>
      <c r="T107" s="125" t="s">
        <v>3159</v>
      </c>
    </row>
    <row r="108" spans="1:987" ht="15" customHeight="1" x14ac:dyDescent="0.3">
      <c r="A108" s="116"/>
      <c r="B108" s="117"/>
      <c r="C108" s="462"/>
      <c r="D108" s="138" t="s">
        <v>3161</v>
      </c>
      <c r="E108" s="193">
        <f>E77+E79+E80</f>
        <v>210</v>
      </c>
      <c r="F108" s="140">
        <v>3500</v>
      </c>
      <c r="G108" s="141">
        <f t="shared" si="2"/>
        <v>735000</v>
      </c>
      <c r="H108" s="146"/>
      <c r="I108" s="147"/>
      <c r="J108" s="147"/>
      <c r="K108" s="144">
        <f>G108</f>
        <v>735000</v>
      </c>
      <c r="L108" s="147"/>
      <c r="M108" s="147"/>
      <c r="N108" s="147"/>
      <c r="O108" s="147"/>
      <c r="P108" s="147"/>
      <c r="Q108" s="147"/>
      <c r="R108" s="147"/>
      <c r="S108" s="163"/>
      <c r="T108" s="125" t="s">
        <v>3157</v>
      </c>
    </row>
    <row r="109" spans="1:987" ht="15" customHeight="1" x14ac:dyDescent="0.3">
      <c r="A109" s="116"/>
      <c r="B109" s="117"/>
      <c r="C109" s="462"/>
      <c r="D109" s="138" t="s">
        <v>3162</v>
      </c>
      <c r="E109" s="193">
        <f>E86+E87+E88+E89</f>
        <v>107</v>
      </c>
      <c r="F109" s="140">
        <v>3500</v>
      </c>
      <c r="G109" s="141">
        <f t="shared" si="2"/>
        <v>374500</v>
      </c>
      <c r="H109" s="146"/>
      <c r="I109" s="147"/>
      <c r="J109" s="147"/>
      <c r="K109" s="147"/>
      <c r="L109" s="147"/>
      <c r="M109" s="147"/>
      <c r="N109" s="147"/>
      <c r="O109" s="147"/>
      <c r="P109" s="147"/>
      <c r="Q109" s="147"/>
      <c r="R109" s="144">
        <f>G109</f>
        <v>374500</v>
      </c>
      <c r="S109" s="163"/>
      <c r="T109" s="125" t="s">
        <v>3157</v>
      </c>
    </row>
    <row r="110" spans="1:987" ht="15" customHeight="1" x14ac:dyDescent="0.3">
      <c r="A110" s="116"/>
      <c r="B110" s="117"/>
      <c r="C110" s="462"/>
      <c r="D110" s="138" t="s">
        <v>3163</v>
      </c>
      <c r="E110" s="193">
        <f>(E86+E87+E88+E89)*0.7</f>
        <v>74.899999999999991</v>
      </c>
      <c r="F110" s="140">
        <v>2500</v>
      </c>
      <c r="G110" s="141">
        <f t="shared" si="2"/>
        <v>187249.99999999997</v>
      </c>
      <c r="H110" s="173">
        <f>G110</f>
        <v>187249.99999999997</v>
      </c>
      <c r="I110" s="147"/>
      <c r="J110" s="147"/>
      <c r="K110" s="147"/>
      <c r="L110" s="147"/>
      <c r="M110" s="147"/>
      <c r="N110" s="147"/>
      <c r="O110" s="147"/>
      <c r="P110" s="147"/>
      <c r="Q110" s="147"/>
      <c r="R110" s="147"/>
      <c r="S110" s="163"/>
      <c r="T110" s="125" t="s">
        <v>3164</v>
      </c>
    </row>
    <row r="111" spans="1:987" ht="15" customHeight="1" x14ac:dyDescent="0.3">
      <c r="A111" s="116"/>
      <c r="B111" s="117"/>
      <c r="C111" s="462"/>
      <c r="D111" s="138" t="s">
        <v>3165</v>
      </c>
      <c r="E111" s="193">
        <f>(E86+E87+E88+E89)*0.7</f>
        <v>74.899999999999991</v>
      </c>
      <c r="F111" s="140">
        <v>254</v>
      </c>
      <c r="G111" s="141">
        <f t="shared" si="2"/>
        <v>19024.599999999999</v>
      </c>
      <c r="H111" s="173"/>
      <c r="I111" s="147"/>
      <c r="J111" s="147"/>
      <c r="K111" s="147"/>
      <c r="L111" s="147"/>
      <c r="M111" s="147"/>
      <c r="N111" s="147"/>
      <c r="O111" s="147"/>
      <c r="P111" s="147"/>
      <c r="Q111" s="147"/>
      <c r="R111" s="147"/>
      <c r="S111" s="163"/>
      <c r="T111" s="125" t="s">
        <v>3164</v>
      </c>
    </row>
    <row r="112" spans="1:987" ht="15" customHeight="1" x14ac:dyDescent="0.3">
      <c r="A112" s="116"/>
      <c r="B112" s="117"/>
      <c r="C112" s="462"/>
      <c r="D112" s="138" t="s">
        <v>3166</v>
      </c>
      <c r="E112" s="193">
        <f>(E86+E87+E88+E89)*0.7</f>
        <v>74.899999999999991</v>
      </c>
      <c r="F112" s="140">
        <v>458</v>
      </c>
      <c r="G112" s="141">
        <f t="shared" si="2"/>
        <v>34304.199999999997</v>
      </c>
      <c r="H112" s="173">
        <f>G112</f>
        <v>34304.199999999997</v>
      </c>
      <c r="I112" s="147"/>
      <c r="J112" s="147"/>
      <c r="K112" s="147"/>
      <c r="L112" s="147"/>
      <c r="M112" s="147"/>
      <c r="N112" s="147"/>
      <c r="O112" s="147"/>
      <c r="P112" s="147"/>
      <c r="Q112" s="147"/>
      <c r="R112" s="147"/>
      <c r="S112" s="163"/>
      <c r="T112" s="125" t="s">
        <v>3164</v>
      </c>
    </row>
    <row r="113" spans="1:987" ht="15" customHeight="1" x14ac:dyDescent="0.3">
      <c r="A113" s="116"/>
      <c r="B113" s="117"/>
      <c r="C113" s="462"/>
      <c r="D113" s="138" t="s">
        <v>3167</v>
      </c>
      <c r="E113" s="193">
        <f>(E86+E87+E88+E89)*0.7</f>
        <v>74.899999999999991</v>
      </c>
      <c r="F113" s="140">
        <v>250</v>
      </c>
      <c r="G113" s="141">
        <f t="shared" si="2"/>
        <v>18724.999999999996</v>
      </c>
      <c r="H113" s="173">
        <f>G113</f>
        <v>18724.999999999996</v>
      </c>
      <c r="I113" s="147"/>
      <c r="J113" s="147"/>
      <c r="K113" s="147"/>
      <c r="L113" s="147"/>
      <c r="M113" s="147"/>
      <c r="N113" s="147"/>
      <c r="O113" s="147"/>
      <c r="P113" s="147"/>
      <c r="Q113" s="147"/>
      <c r="R113" s="147"/>
      <c r="S113" s="163"/>
      <c r="T113" s="125" t="s">
        <v>3164</v>
      </c>
    </row>
    <row r="114" spans="1:987" ht="15" customHeight="1" x14ac:dyDescent="0.3">
      <c r="A114" s="116"/>
      <c r="B114" s="117"/>
      <c r="C114" s="462"/>
      <c r="D114" s="138" t="s">
        <v>3168</v>
      </c>
      <c r="E114" s="193">
        <f>(E95+E96+E98+E99)*0.7</f>
        <v>147</v>
      </c>
      <c r="F114" s="140">
        <v>2500</v>
      </c>
      <c r="G114" s="141">
        <f t="shared" si="2"/>
        <v>367500</v>
      </c>
      <c r="H114" s="146"/>
      <c r="I114" s="147"/>
      <c r="J114" s="147"/>
      <c r="K114" s="147"/>
      <c r="L114" s="147"/>
      <c r="M114" s="147"/>
      <c r="N114" s="147"/>
      <c r="O114" s="144">
        <f>G114/2</f>
        <v>183750</v>
      </c>
      <c r="P114" s="144">
        <f>G114/2</f>
        <v>183750</v>
      </c>
      <c r="Q114" s="147"/>
      <c r="R114" s="147"/>
      <c r="S114" s="163"/>
      <c r="T114" s="125" t="s">
        <v>3164</v>
      </c>
    </row>
    <row r="115" spans="1:987" ht="15" customHeight="1" x14ac:dyDescent="0.3">
      <c r="A115" s="116"/>
      <c r="B115" s="117"/>
      <c r="C115" s="462"/>
      <c r="D115" s="138" t="s">
        <v>3169</v>
      </c>
      <c r="E115" s="193">
        <f>(E95+E96+E98+E99)*0.7</f>
        <v>147</v>
      </c>
      <c r="F115" s="140">
        <v>254</v>
      </c>
      <c r="G115" s="141">
        <f t="shared" si="2"/>
        <v>37338</v>
      </c>
      <c r="H115" s="146"/>
      <c r="I115" s="147"/>
      <c r="J115" s="147"/>
      <c r="K115" s="147"/>
      <c r="L115" s="147"/>
      <c r="M115" s="147"/>
      <c r="N115" s="147"/>
      <c r="O115" s="144">
        <f>G115/2</f>
        <v>18669</v>
      </c>
      <c r="P115" s="144">
        <f>G115/2</f>
        <v>18669</v>
      </c>
      <c r="Q115" s="147"/>
      <c r="R115" s="147"/>
      <c r="S115" s="163"/>
      <c r="T115" s="125" t="s">
        <v>3164</v>
      </c>
    </row>
    <row r="116" spans="1:987" ht="15" customHeight="1" x14ac:dyDescent="0.3">
      <c r="A116" s="116"/>
      <c r="B116" s="117"/>
      <c r="C116" s="462"/>
      <c r="D116" s="138" t="s">
        <v>3170</v>
      </c>
      <c r="E116" s="193">
        <f>(E95+E96+E98+E99)*0.7</f>
        <v>147</v>
      </c>
      <c r="F116" s="140">
        <v>458</v>
      </c>
      <c r="G116" s="141">
        <f t="shared" si="2"/>
        <v>67326</v>
      </c>
      <c r="H116" s="146"/>
      <c r="I116" s="147"/>
      <c r="J116" s="147"/>
      <c r="K116" s="147"/>
      <c r="L116" s="147"/>
      <c r="M116" s="147"/>
      <c r="N116" s="147"/>
      <c r="O116" s="144">
        <f>G116/2</f>
        <v>33663</v>
      </c>
      <c r="P116" s="144">
        <f>G116/2</f>
        <v>33663</v>
      </c>
      <c r="Q116" s="147"/>
      <c r="R116" s="147"/>
      <c r="S116" s="163"/>
      <c r="T116" s="125" t="s">
        <v>3164</v>
      </c>
    </row>
    <row r="117" spans="1:987" ht="15" customHeight="1" x14ac:dyDescent="0.3">
      <c r="A117" s="116"/>
      <c r="B117" s="117"/>
      <c r="C117" s="462"/>
      <c r="D117" s="138" t="s">
        <v>3171</v>
      </c>
      <c r="E117" s="193">
        <f>(E95+E96+E98+E99)*0.7</f>
        <v>147</v>
      </c>
      <c r="F117" s="140">
        <v>250</v>
      </c>
      <c r="G117" s="141">
        <f t="shared" si="2"/>
        <v>36750</v>
      </c>
      <c r="H117" s="146"/>
      <c r="I117" s="147"/>
      <c r="J117" s="147"/>
      <c r="K117" s="147"/>
      <c r="L117" s="147"/>
      <c r="M117" s="147"/>
      <c r="N117" s="147"/>
      <c r="O117" s="144">
        <f>G117/2</f>
        <v>18375</v>
      </c>
      <c r="P117" s="144">
        <f>G117/2</f>
        <v>18375</v>
      </c>
      <c r="Q117" s="147"/>
      <c r="R117" s="147"/>
      <c r="S117" s="163"/>
      <c r="T117" s="125" t="s">
        <v>3164</v>
      </c>
    </row>
    <row r="118" spans="1:987" ht="15" customHeight="1" x14ac:dyDescent="0.3">
      <c r="A118" s="158"/>
      <c r="B118" s="159"/>
      <c r="C118" s="463"/>
      <c r="D118" s="464" t="s">
        <v>2833</v>
      </c>
      <c r="E118" s="465"/>
      <c r="F118" s="466"/>
      <c r="G118" s="127">
        <f>SUM(G103:G117)</f>
        <v>3103777.8000000003</v>
      </c>
      <c r="H118" s="128"/>
      <c r="I118" s="128"/>
      <c r="J118" s="128"/>
      <c r="K118" s="128"/>
      <c r="L118" s="128"/>
      <c r="M118" s="128"/>
      <c r="N118" s="128"/>
      <c r="O118" s="128"/>
      <c r="P118" s="128"/>
      <c r="Q118" s="128"/>
      <c r="R118" s="128"/>
      <c r="S118" s="129"/>
      <c r="T118" s="125"/>
    </row>
    <row r="119" spans="1:987" s="115" customFormat="1" ht="15" customHeight="1" x14ac:dyDescent="0.3">
      <c r="A119" s="103">
        <v>8470230</v>
      </c>
      <c r="B119" s="104">
        <v>425744</v>
      </c>
      <c r="C119" s="461" t="s">
        <v>3172</v>
      </c>
      <c r="D119" s="130" t="s">
        <v>3173</v>
      </c>
      <c r="E119" s="208">
        <f>SUM(E46:E51, E56:E61, E66:E71)</f>
        <v>388</v>
      </c>
      <c r="F119" s="140">
        <v>4000</v>
      </c>
      <c r="G119" s="133">
        <f>E119*F119</f>
        <v>1552000</v>
      </c>
      <c r="H119" s="161">
        <f>G119</f>
        <v>1552000</v>
      </c>
      <c r="I119" s="135"/>
      <c r="J119" s="135"/>
      <c r="K119" s="135"/>
      <c r="L119" s="135"/>
      <c r="M119" s="135"/>
      <c r="N119" s="135"/>
      <c r="O119" s="135"/>
      <c r="P119" s="135"/>
      <c r="Q119" s="135"/>
      <c r="R119" s="135"/>
      <c r="S119" s="164"/>
      <c r="T119" s="125" t="s">
        <v>3174</v>
      </c>
      <c r="U119" s="114"/>
      <c r="V119" s="114"/>
      <c r="W119" s="114"/>
      <c r="X119" s="114"/>
      <c r="Y119" s="114"/>
      <c r="Z119" s="114"/>
      <c r="AA119" s="114"/>
      <c r="AB119" s="114"/>
      <c r="AC119" s="114"/>
      <c r="AD119" s="114"/>
      <c r="AE119" s="114"/>
      <c r="AF119" s="114"/>
      <c r="AG119" s="114"/>
      <c r="AH119" s="114"/>
      <c r="AI119" s="114"/>
      <c r="AJ119" s="114"/>
      <c r="AK119" s="114"/>
      <c r="AL119" s="114"/>
      <c r="AM119" s="114"/>
      <c r="AN119" s="114"/>
      <c r="AO119" s="114"/>
      <c r="AP119" s="114"/>
      <c r="AQ119" s="114"/>
      <c r="AR119" s="114"/>
      <c r="AS119" s="114"/>
      <c r="AT119" s="114"/>
      <c r="AU119" s="114"/>
      <c r="AV119" s="114"/>
      <c r="AW119" s="114"/>
      <c r="AX119" s="114"/>
      <c r="AY119" s="114"/>
      <c r="AZ119" s="114"/>
      <c r="BA119" s="114"/>
      <c r="BB119" s="114"/>
      <c r="BC119" s="114"/>
      <c r="BD119" s="114"/>
      <c r="BE119" s="114"/>
      <c r="BF119" s="114"/>
      <c r="BG119" s="114"/>
      <c r="BH119" s="114"/>
      <c r="BI119" s="114"/>
      <c r="BJ119" s="114"/>
      <c r="BK119" s="114"/>
      <c r="BL119" s="114"/>
      <c r="BM119" s="114"/>
      <c r="BN119" s="114"/>
      <c r="BO119" s="114"/>
      <c r="BP119" s="114"/>
      <c r="BQ119" s="114"/>
      <c r="BR119" s="114"/>
      <c r="BS119" s="114"/>
      <c r="BT119" s="114"/>
      <c r="BU119" s="114"/>
      <c r="BV119" s="114"/>
      <c r="BW119" s="114"/>
      <c r="BX119" s="114"/>
      <c r="BY119" s="114"/>
      <c r="BZ119" s="114"/>
      <c r="CA119" s="114"/>
      <c r="CB119" s="114"/>
      <c r="CC119" s="114"/>
      <c r="CD119" s="114"/>
      <c r="CE119" s="114"/>
      <c r="CF119" s="114"/>
      <c r="CG119" s="114"/>
      <c r="CH119" s="114"/>
      <c r="CI119" s="114"/>
      <c r="CJ119" s="114"/>
      <c r="CK119" s="114"/>
      <c r="CL119" s="114"/>
      <c r="CM119" s="114"/>
      <c r="CN119" s="114"/>
      <c r="CO119" s="114"/>
      <c r="CP119" s="114"/>
      <c r="CQ119" s="114"/>
      <c r="CR119" s="114"/>
      <c r="CS119" s="114"/>
      <c r="CT119" s="114"/>
      <c r="CU119" s="114"/>
      <c r="CV119" s="114"/>
      <c r="CW119" s="114"/>
      <c r="CX119" s="114"/>
      <c r="CY119" s="114"/>
      <c r="CZ119" s="114"/>
      <c r="DA119" s="114"/>
      <c r="DB119" s="114"/>
      <c r="DC119" s="114"/>
      <c r="DD119" s="114"/>
      <c r="DE119" s="114"/>
      <c r="DF119" s="114"/>
      <c r="DG119" s="114"/>
      <c r="DH119" s="114"/>
      <c r="DI119" s="114"/>
      <c r="DJ119" s="114"/>
      <c r="DK119" s="114"/>
      <c r="DL119" s="114"/>
      <c r="DM119" s="114"/>
      <c r="DN119" s="114"/>
      <c r="DO119" s="114"/>
      <c r="DP119" s="114"/>
      <c r="DQ119" s="114"/>
      <c r="DR119" s="114"/>
      <c r="DS119" s="114"/>
      <c r="DT119" s="114"/>
      <c r="DU119" s="114"/>
      <c r="DV119" s="114"/>
      <c r="DW119" s="114"/>
      <c r="DX119" s="114"/>
      <c r="DY119" s="114"/>
      <c r="DZ119" s="114"/>
      <c r="EA119" s="114"/>
      <c r="EB119" s="114"/>
      <c r="EC119" s="114"/>
      <c r="ED119" s="114"/>
      <c r="EE119" s="114"/>
      <c r="EF119" s="114"/>
      <c r="EG119" s="114"/>
      <c r="EH119" s="114"/>
      <c r="EI119" s="114"/>
      <c r="EJ119" s="114"/>
      <c r="EK119" s="114"/>
      <c r="EL119" s="114"/>
      <c r="EM119" s="114"/>
      <c r="EN119" s="114"/>
      <c r="EO119" s="114"/>
      <c r="EP119" s="114"/>
      <c r="EQ119" s="114"/>
      <c r="ER119" s="114"/>
      <c r="ES119" s="114"/>
      <c r="ET119" s="114"/>
      <c r="EU119" s="114"/>
      <c r="EV119" s="114"/>
      <c r="EW119" s="114"/>
      <c r="EX119" s="114"/>
      <c r="EY119" s="114"/>
      <c r="EZ119" s="114"/>
      <c r="FA119" s="114"/>
      <c r="FB119" s="114"/>
      <c r="FC119" s="114"/>
      <c r="FD119" s="114"/>
      <c r="FE119" s="114"/>
      <c r="FF119" s="114"/>
      <c r="FG119" s="114"/>
      <c r="FH119" s="114"/>
      <c r="FI119" s="114"/>
      <c r="FJ119" s="114"/>
      <c r="FK119" s="114"/>
      <c r="FL119" s="114"/>
      <c r="FM119" s="114"/>
      <c r="FN119" s="114"/>
      <c r="FO119" s="114"/>
      <c r="FP119" s="114"/>
      <c r="FQ119" s="114"/>
      <c r="FR119" s="114"/>
      <c r="FS119" s="114"/>
      <c r="FT119" s="114"/>
      <c r="FU119" s="114"/>
      <c r="FV119" s="114"/>
      <c r="FW119" s="114"/>
      <c r="FX119" s="114"/>
      <c r="FY119" s="114"/>
      <c r="FZ119" s="114"/>
      <c r="GA119" s="114"/>
      <c r="GB119" s="114"/>
      <c r="GC119" s="114"/>
      <c r="GD119" s="114"/>
      <c r="GE119" s="114"/>
      <c r="GF119" s="114"/>
      <c r="GG119" s="114"/>
      <c r="GH119" s="114"/>
      <c r="GI119" s="114"/>
      <c r="GJ119" s="114"/>
      <c r="GK119" s="114"/>
      <c r="GL119" s="114"/>
      <c r="GM119" s="114"/>
      <c r="GN119" s="114"/>
      <c r="GO119" s="114"/>
      <c r="GP119" s="114"/>
      <c r="GQ119" s="114"/>
      <c r="GR119" s="114"/>
      <c r="GS119" s="114"/>
      <c r="GT119" s="114"/>
      <c r="GU119" s="114"/>
      <c r="GV119" s="114"/>
      <c r="GW119" s="114"/>
      <c r="GX119" s="114"/>
      <c r="GY119" s="114"/>
      <c r="GZ119" s="114"/>
      <c r="HA119" s="114"/>
      <c r="HB119" s="114"/>
      <c r="HC119" s="114"/>
      <c r="HD119" s="114"/>
      <c r="HE119" s="114"/>
      <c r="HF119" s="114"/>
      <c r="HG119" s="114"/>
      <c r="HH119" s="114"/>
      <c r="HI119" s="114"/>
      <c r="HJ119" s="114"/>
      <c r="HK119" s="114"/>
      <c r="HL119" s="114"/>
      <c r="HM119" s="114"/>
      <c r="HN119" s="114"/>
      <c r="HO119" s="114"/>
      <c r="HP119" s="114"/>
      <c r="HQ119" s="114"/>
      <c r="HR119" s="114"/>
      <c r="HS119" s="114"/>
      <c r="HT119" s="114"/>
      <c r="HU119" s="114"/>
      <c r="HV119" s="114"/>
      <c r="HW119" s="114"/>
      <c r="HX119" s="114"/>
      <c r="HY119" s="114"/>
      <c r="HZ119" s="114"/>
      <c r="IA119" s="114"/>
      <c r="IB119" s="114"/>
      <c r="IC119" s="114"/>
      <c r="ID119" s="114"/>
      <c r="IE119" s="114"/>
      <c r="IF119" s="114"/>
      <c r="IG119" s="114"/>
      <c r="IH119" s="114"/>
      <c r="II119" s="114"/>
      <c r="IJ119" s="114"/>
      <c r="IK119" s="114"/>
      <c r="IL119" s="114"/>
      <c r="IM119" s="114"/>
      <c r="IN119" s="114"/>
      <c r="IO119" s="114"/>
      <c r="IP119" s="114"/>
      <c r="IQ119" s="114"/>
      <c r="IR119" s="114"/>
      <c r="IS119" s="114"/>
      <c r="IT119" s="114"/>
      <c r="IU119" s="114"/>
      <c r="IV119" s="114"/>
      <c r="IW119" s="114"/>
      <c r="IX119" s="114"/>
      <c r="IY119" s="114"/>
      <c r="IZ119" s="114"/>
      <c r="JA119" s="114"/>
      <c r="JB119" s="114"/>
      <c r="JC119" s="114"/>
      <c r="JD119" s="114"/>
      <c r="JE119" s="114"/>
      <c r="JF119" s="114"/>
      <c r="JG119" s="114"/>
      <c r="JH119" s="114"/>
      <c r="JI119" s="114"/>
      <c r="JJ119" s="114"/>
      <c r="JK119" s="114"/>
      <c r="JL119" s="114"/>
      <c r="JM119" s="114"/>
      <c r="JN119" s="114"/>
      <c r="JO119" s="114"/>
      <c r="JP119" s="114"/>
      <c r="JQ119" s="114"/>
      <c r="JR119" s="114"/>
      <c r="JS119" s="114"/>
      <c r="JT119" s="114"/>
      <c r="JU119" s="114"/>
      <c r="JV119" s="114"/>
      <c r="JW119" s="114"/>
      <c r="JX119" s="114"/>
      <c r="JY119" s="114"/>
      <c r="JZ119" s="114"/>
      <c r="KA119" s="114"/>
      <c r="KB119" s="114"/>
      <c r="KC119" s="114"/>
      <c r="KD119" s="114"/>
      <c r="KE119" s="114"/>
      <c r="KF119" s="114"/>
      <c r="KG119" s="114"/>
      <c r="KH119" s="114"/>
      <c r="KI119" s="114"/>
      <c r="KJ119" s="114"/>
      <c r="KK119" s="114"/>
      <c r="KL119" s="114"/>
      <c r="KM119" s="114"/>
      <c r="KN119" s="114"/>
      <c r="KO119" s="114"/>
      <c r="KP119" s="114"/>
      <c r="KQ119" s="114"/>
      <c r="KR119" s="114"/>
      <c r="KS119" s="114"/>
      <c r="KT119" s="114"/>
      <c r="KU119" s="114"/>
      <c r="KV119" s="114"/>
      <c r="KW119" s="114"/>
      <c r="KX119" s="114"/>
      <c r="KY119" s="114"/>
      <c r="KZ119" s="114"/>
      <c r="LA119" s="114"/>
      <c r="LB119" s="114"/>
      <c r="LC119" s="114"/>
      <c r="LD119" s="114"/>
      <c r="LE119" s="114"/>
      <c r="LF119" s="114"/>
      <c r="LG119" s="114"/>
      <c r="LH119" s="114"/>
      <c r="LI119" s="114"/>
      <c r="LJ119" s="114"/>
      <c r="LK119" s="114"/>
      <c r="LL119" s="114"/>
      <c r="LM119" s="114"/>
      <c r="LN119" s="114"/>
      <c r="LO119" s="114"/>
      <c r="LP119" s="114"/>
      <c r="LQ119" s="114"/>
      <c r="LR119" s="114"/>
      <c r="LS119" s="114"/>
      <c r="LT119" s="114"/>
      <c r="LU119" s="114"/>
      <c r="LV119" s="114"/>
      <c r="LW119" s="114"/>
      <c r="LX119" s="114"/>
      <c r="LY119" s="114"/>
      <c r="LZ119" s="114"/>
      <c r="MA119" s="114"/>
      <c r="MB119" s="114"/>
      <c r="MC119" s="114"/>
      <c r="MD119" s="114"/>
      <c r="ME119" s="114"/>
      <c r="MF119" s="114"/>
      <c r="MG119" s="114"/>
      <c r="MH119" s="114"/>
      <c r="MI119" s="114"/>
      <c r="MJ119" s="114"/>
      <c r="MK119" s="114"/>
      <c r="ML119" s="114"/>
      <c r="MM119" s="114"/>
      <c r="MN119" s="114"/>
      <c r="MO119" s="114"/>
      <c r="MP119" s="114"/>
      <c r="MQ119" s="114"/>
      <c r="MR119" s="114"/>
      <c r="MS119" s="114"/>
      <c r="MT119" s="114"/>
      <c r="MU119" s="114"/>
      <c r="MV119" s="114"/>
      <c r="MW119" s="114"/>
      <c r="MX119" s="114"/>
      <c r="MY119" s="114"/>
      <c r="MZ119" s="114"/>
      <c r="NA119" s="114"/>
      <c r="NB119" s="114"/>
      <c r="NC119" s="114"/>
      <c r="ND119" s="114"/>
      <c r="NE119" s="114"/>
      <c r="NF119" s="114"/>
      <c r="NG119" s="114"/>
      <c r="NH119" s="114"/>
      <c r="NI119" s="114"/>
      <c r="NJ119" s="114"/>
      <c r="NK119" s="114"/>
      <c r="NL119" s="114"/>
      <c r="NM119" s="114"/>
      <c r="NN119" s="114"/>
      <c r="NO119" s="114"/>
      <c r="NP119" s="114"/>
      <c r="NQ119" s="114"/>
      <c r="NR119" s="114"/>
      <c r="NS119" s="114"/>
      <c r="NT119" s="114"/>
      <c r="NU119" s="114"/>
      <c r="NV119" s="114"/>
      <c r="NW119" s="114"/>
      <c r="NX119" s="114"/>
      <c r="NY119" s="114"/>
      <c r="NZ119" s="114"/>
      <c r="OA119" s="114"/>
      <c r="OB119" s="114"/>
      <c r="OC119" s="114"/>
      <c r="OD119" s="114"/>
      <c r="OE119" s="114"/>
      <c r="OF119" s="114"/>
      <c r="OG119" s="114"/>
      <c r="OH119" s="114"/>
      <c r="OI119" s="114"/>
      <c r="OJ119" s="114"/>
      <c r="OK119" s="114"/>
      <c r="OL119" s="114"/>
      <c r="OM119" s="114"/>
      <c r="ON119" s="114"/>
      <c r="OO119" s="114"/>
      <c r="OP119" s="114"/>
      <c r="OQ119" s="114"/>
      <c r="OR119" s="114"/>
      <c r="OS119" s="114"/>
      <c r="OT119" s="114"/>
      <c r="OU119" s="114"/>
      <c r="OV119" s="114"/>
      <c r="OW119" s="114"/>
      <c r="OX119" s="114"/>
      <c r="OY119" s="114"/>
      <c r="OZ119" s="114"/>
      <c r="PA119" s="114"/>
      <c r="PB119" s="114"/>
      <c r="PC119" s="114"/>
      <c r="PD119" s="114"/>
      <c r="PE119" s="114"/>
      <c r="PF119" s="114"/>
      <c r="PG119" s="114"/>
      <c r="PH119" s="114"/>
      <c r="PI119" s="114"/>
      <c r="PJ119" s="114"/>
      <c r="PK119" s="114"/>
      <c r="PL119" s="114"/>
      <c r="PM119" s="114"/>
      <c r="PN119" s="114"/>
      <c r="PO119" s="114"/>
      <c r="PP119" s="114"/>
      <c r="PQ119" s="114"/>
      <c r="PR119" s="114"/>
      <c r="PS119" s="114"/>
      <c r="PT119" s="114"/>
      <c r="PU119" s="114"/>
      <c r="PV119" s="114"/>
      <c r="PW119" s="114"/>
      <c r="PX119" s="114"/>
      <c r="PY119" s="114"/>
      <c r="PZ119" s="114"/>
      <c r="QA119" s="114"/>
      <c r="QB119" s="114"/>
      <c r="QC119" s="114"/>
      <c r="QD119" s="114"/>
      <c r="QE119" s="114"/>
      <c r="QF119" s="114"/>
      <c r="QG119" s="114"/>
      <c r="QH119" s="114"/>
      <c r="QI119" s="114"/>
      <c r="QJ119" s="114"/>
      <c r="QK119" s="114"/>
      <c r="QL119" s="114"/>
      <c r="QM119" s="114"/>
      <c r="QN119" s="114"/>
      <c r="QO119" s="114"/>
      <c r="QP119" s="114"/>
      <c r="QQ119" s="114"/>
      <c r="QR119" s="114"/>
      <c r="QS119" s="114"/>
      <c r="QT119" s="114"/>
      <c r="QU119" s="114"/>
      <c r="QV119" s="114"/>
      <c r="QW119" s="114"/>
      <c r="QX119" s="114"/>
      <c r="QY119" s="114"/>
      <c r="QZ119" s="114"/>
      <c r="RA119" s="114"/>
      <c r="RB119" s="114"/>
      <c r="RC119" s="114"/>
      <c r="RD119" s="114"/>
      <c r="RE119" s="114"/>
      <c r="RF119" s="114"/>
      <c r="RG119" s="114"/>
      <c r="RH119" s="114"/>
      <c r="RI119" s="114"/>
      <c r="RJ119" s="114"/>
      <c r="RK119" s="114"/>
      <c r="RL119" s="114"/>
      <c r="RM119" s="114"/>
      <c r="RN119" s="114"/>
      <c r="RO119" s="114"/>
      <c r="RP119" s="114"/>
      <c r="RQ119" s="114"/>
      <c r="RR119" s="114"/>
      <c r="RS119" s="114"/>
      <c r="RT119" s="114"/>
      <c r="RU119" s="114"/>
      <c r="RV119" s="114"/>
      <c r="RW119" s="114"/>
      <c r="RX119" s="114"/>
      <c r="RY119" s="114"/>
      <c r="RZ119" s="114"/>
      <c r="SA119" s="114"/>
      <c r="SB119" s="114"/>
      <c r="SC119" s="114"/>
      <c r="SD119" s="114"/>
      <c r="SE119" s="114"/>
      <c r="SF119" s="114"/>
      <c r="SG119" s="114"/>
      <c r="SH119" s="114"/>
      <c r="SI119" s="114"/>
      <c r="SJ119" s="114"/>
      <c r="SK119" s="114"/>
      <c r="SL119" s="114"/>
      <c r="SM119" s="114"/>
      <c r="SN119" s="114"/>
      <c r="SO119" s="114"/>
      <c r="SP119" s="114"/>
      <c r="SQ119" s="114"/>
      <c r="SR119" s="114"/>
      <c r="SS119" s="114"/>
      <c r="ST119" s="114"/>
      <c r="SU119" s="114"/>
      <c r="SV119" s="114"/>
      <c r="SW119" s="114"/>
      <c r="SX119" s="114"/>
      <c r="SY119" s="114"/>
      <c r="SZ119" s="114"/>
      <c r="TA119" s="114"/>
      <c r="TB119" s="114"/>
      <c r="TC119" s="114"/>
      <c r="TD119" s="114"/>
      <c r="TE119" s="114"/>
      <c r="TF119" s="114"/>
      <c r="TG119" s="114"/>
      <c r="TH119" s="114"/>
      <c r="TI119" s="114"/>
      <c r="TJ119" s="114"/>
      <c r="TK119" s="114"/>
      <c r="TL119" s="114"/>
      <c r="TM119" s="114"/>
      <c r="TN119" s="114"/>
      <c r="TO119" s="114"/>
      <c r="TP119" s="114"/>
      <c r="TQ119" s="114"/>
      <c r="TR119" s="114"/>
      <c r="TS119" s="114"/>
      <c r="TT119" s="114"/>
      <c r="TU119" s="114"/>
      <c r="TV119" s="114"/>
      <c r="TW119" s="114"/>
      <c r="TX119" s="114"/>
      <c r="TY119" s="114"/>
      <c r="TZ119" s="114"/>
      <c r="UA119" s="114"/>
      <c r="UB119" s="114"/>
      <c r="UC119" s="114"/>
      <c r="UD119" s="114"/>
      <c r="UE119" s="114"/>
      <c r="UF119" s="114"/>
      <c r="UG119" s="114"/>
      <c r="UH119" s="114"/>
      <c r="UI119" s="114"/>
      <c r="UJ119" s="114"/>
      <c r="UK119" s="114"/>
      <c r="UL119" s="114"/>
      <c r="UM119" s="114"/>
      <c r="UN119" s="114"/>
      <c r="UO119" s="114"/>
      <c r="UP119" s="114"/>
      <c r="UQ119" s="114"/>
      <c r="UR119" s="114"/>
      <c r="US119" s="114"/>
      <c r="UT119" s="114"/>
      <c r="UU119" s="114"/>
      <c r="UV119" s="114"/>
      <c r="UW119" s="114"/>
      <c r="UX119" s="114"/>
      <c r="UY119" s="114"/>
      <c r="UZ119" s="114"/>
      <c r="VA119" s="114"/>
      <c r="VB119" s="114"/>
      <c r="VC119" s="114"/>
      <c r="VD119" s="114"/>
      <c r="VE119" s="114"/>
      <c r="VF119" s="114"/>
      <c r="VG119" s="114"/>
      <c r="VH119" s="114"/>
      <c r="VI119" s="114"/>
      <c r="VJ119" s="114"/>
      <c r="VK119" s="114"/>
      <c r="VL119" s="114"/>
      <c r="VM119" s="114"/>
      <c r="VN119" s="114"/>
      <c r="VO119" s="114"/>
      <c r="VP119" s="114"/>
      <c r="VQ119" s="114"/>
      <c r="VR119" s="114"/>
      <c r="VS119" s="114"/>
      <c r="VT119" s="114"/>
      <c r="VU119" s="114"/>
      <c r="VV119" s="114"/>
      <c r="VW119" s="114"/>
      <c r="VX119" s="114"/>
      <c r="VY119" s="114"/>
      <c r="VZ119" s="114"/>
      <c r="WA119" s="114"/>
      <c r="WB119" s="114"/>
      <c r="WC119" s="114"/>
      <c r="WD119" s="114"/>
      <c r="WE119" s="114"/>
      <c r="WF119" s="114"/>
      <c r="WG119" s="114"/>
      <c r="WH119" s="114"/>
      <c r="WI119" s="114"/>
      <c r="WJ119" s="114"/>
      <c r="WK119" s="114"/>
      <c r="WL119" s="114"/>
      <c r="WM119" s="114"/>
      <c r="WN119" s="114"/>
      <c r="WO119" s="114"/>
      <c r="WP119" s="114"/>
      <c r="WQ119" s="114"/>
      <c r="WR119" s="114"/>
      <c r="WS119" s="114"/>
      <c r="WT119" s="114"/>
      <c r="WU119" s="114"/>
      <c r="WV119" s="114"/>
      <c r="WW119" s="114"/>
      <c r="WX119" s="114"/>
      <c r="WY119" s="114"/>
      <c r="WZ119" s="114"/>
      <c r="XA119" s="114"/>
      <c r="XB119" s="114"/>
      <c r="XC119" s="114"/>
      <c r="XD119" s="114"/>
      <c r="XE119" s="114"/>
      <c r="XF119" s="114"/>
      <c r="XG119" s="114"/>
      <c r="XH119" s="114"/>
      <c r="XI119" s="114"/>
      <c r="XJ119" s="114"/>
      <c r="XK119" s="114"/>
      <c r="XL119" s="114"/>
      <c r="XM119" s="114"/>
      <c r="XN119" s="114"/>
      <c r="XO119" s="114"/>
      <c r="XP119" s="114"/>
      <c r="XQ119" s="114"/>
      <c r="XR119" s="114"/>
      <c r="XS119" s="114"/>
      <c r="XT119" s="114"/>
      <c r="XU119" s="114"/>
      <c r="XV119" s="114"/>
      <c r="XW119" s="114"/>
      <c r="XX119" s="114"/>
      <c r="XY119" s="114"/>
      <c r="XZ119" s="114"/>
      <c r="YA119" s="114"/>
      <c r="YB119" s="114"/>
      <c r="YC119" s="114"/>
      <c r="YD119" s="114"/>
      <c r="YE119" s="114"/>
      <c r="YF119" s="114"/>
      <c r="YG119" s="114"/>
      <c r="YH119" s="114"/>
      <c r="YI119" s="114"/>
      <c r="YJ119" s="114"/>
      <c r="YK119" s="114"/>
      <c r="YL119" s="114"/>
      <c r="YM119" s="114"/>
      <c r="YN119" s="114"/>
      <c r="YO119" s="114"/>
      <c r="YP119" s="114"/>
      <c r="YQ119" s="114"/>
      <c r="YR119" s="114"/>
      <c r="YS119" s="114"/>
      <c r="YT119" s="114"/>
      <c r="YU119" s="114"/>
      <c r="YV119" s="114"/>
      <c r="YW119" s="114"/>
      <c r="YX119" s="114"/>
      <c r="YY119" s="114"/>
      <c r="YZ119" s="114"/>
      <c r="ZA119" s="114"/>
      <c r="ZB119" s="114"/>
      <c r="ZC119" s="114"/>
      <c r="ZD119" s="114"/>
      <c r="ZE119" s="114"/>
      <c r="ZF119" s="114"/>
      <c r="ZG119" s="114"/>
      <c r="ZH119" s="114"/>
      <c r="ZI119" s="114"/>
      <c r="ZJ119" s="114"/>
      <c r="ZK119" s="114"/>
      <c r="ZL119" s="114"/>
      <c r="ZM119" s="114"/>
      <c r="ZN119" s="114"/>
      <c r="ZO119" s="114"/>
      <c r="ZP119" s="114"/>
      <c r="ZQ119" s="114"/>
      <c r="ZR119" s="114"/>
      <c r="ZS119" s="114"/>
      <c r="ZT119" s="114"/>
      <c r="ZU119" s="114"/>
      <c r="ZV119" s="114"/>
      <c r="ZW119" s="114"/>
      <c r="ZX119" s="114"/>
      <c r="ZY119" s="114"/>
      <c r="ZZ119" s="114"/>
      <c r="AAA119" s="114"/>
      <c r="AAB119" s="114"/>
      <c r="AAC119" s="114"/>
      <c r="AAD119" s="114"/>
      <c r="AAE119" s="114"/>
      <c r="AAF119" s="114"/>
      <c r="AAG119" s="114"/>
      <c r="AAH119" s="114"/>
      <c r="AAI119" s="114"/>
      <c r="AAJ119" s="114"/>
      <c r="AAK119" s="114"/>
      <c r="AAL119" s="114"/>
      <c r="AAM119" s="114"/>
      <c r="AAN119" s="114"/>
      <c r="AAO119" s="114"/>
      <c r="AAP119" s="114"/>
      <c r="AAQ119" s="114"/>
      <c r="AAR119" s="114"/>
      <c r="AAS119" s="114"/>
      <c r="AAT119" s="114"/>
      <c r="AAU119" s="114"/>
      <c r="AAV119" s="114"/>
      <c r="AAW119" s="114"/>
      <c r="AAX119" s="114"/>
      <c r="AAY119" s="114"/>
      <c r="AAZ119" s="114"/>
      <c r="ABA119" s="114"/>
      <c r="ABB119" s="114"/>
      <c r="ABC119" s="114"/>
      <c r="ABD119" s="114"/>
      <c r="ABE119" s="114"/>
      <c r="ABF119" s="114"/>
      <c r="ABG119" s="114"/>
      <c r="ABH119" s="114"/>
      <c r="ABI119" s="114"/>
      <c r="ABJ119" s="114"/>
      <c r="ABK119" s="114"/>
      <c r="ABL119" s="114"/>
      <c r="ABM119" s="114"/>
      <c r="ABN119" s="114"/>
      <c r="ABO119" s="114"/>
      <c r="ABP119" s="114"/>
      <c r="ABQ119" s="114"/>
      <c r="ABR119" s="114"/>
      <c r="ABS119" s="114"/>
      <c r="ABT119" s="114"/>
      <c r="ABU119" s="114"/>
      <c r="ABV119" s="114"/>
      <c r="ABW119" s="114"/>
      <c r="ABX119" s="114"/>
      <c r="ABY119" s="114"/>
      <c r="ABZ119" s="114"/>
      <c r="ACA119" s="114"/>
      <c r="ACB119" s="114"/>
      <c r="ACC119" s="114"/>
      <c r="ACD119" s="114"/>
      <c r="ACE119" s="114"/>
      <c r="ACF119" s="114"/>
      <c r="ACG119" s="114"/>
      <c r="ACH119" s="114"/>
      <c r="ACI119" s="114"/>
      <c r="ACJ119" s="114"/>
      <c r="ACK119" s="114"/>
      <c r="ACL119" s="114"/>
      <c r="ACM119" s="114"/>
      <c r="ACN119" s="114"/>
      <c r="ACO119" s="114"/>
      <c r="ACP119" s="114"/>
      <c r="ACQ119" s="114"/>
      <c r="ACR119" s="114"/>
      <c r="ACS119" s="114"/>
      <c r="ACT119" s="114"/>
      <c r="ACU119" s="114"/>
      <c r="ACV119" s="114"/>
      <c r="ACW119" s="114"/>
      <c r="ACX119" s="114"/>
      <c r="ACY119" s="114"/>
      <c r="ACZ119" s="114"/>
      <c r="ADA119" s="114"/>
      <c r="ADB119" s="114"/>
      <c r="ADC119" s="114"/>
      <c r="ADD119" s="114"/>
      <c r="ADE119" s="114"/>
      <c r="ADF119" s="114"/>
      <c r="ADG119" s="114"/>
      <c r="ADH119" s="114"/>
      <c r="ADI119" s="114"/>
      <c r="ADJ119" s="114"/>
      <c r="ADK119" s="114"/>
      <c r="ADL119" s="114"/>
      <c r="ADM119" s="114"/>
      <c r="ADN119" s="114"/>
      <c r="ADO119" s="114"/>
      <c r="ADP119" s="114"/>
      <c r="ADQ119" s="114"/>
      <c r="ADR119" s="114"/>
      <c r="ADS119" s="114"/>
      <c r="ADT119" s="114"/>
      <c r="ADU119" s="114"/>
      <c r="ADV119" s="114"/>
      <c r="ADW119" s="114"/>
      <c r="ADX119" s="114"/>
      <c r="ADY119" s="114"/>
      <c r="ADZ119" s="114"/>
      <c r="AEA119" s="114"/>
      <c r="AEB119" s="114"/>
      <c r="AEC119" s="114"/>
      <c r="AED119" s="114"/>
      <c r="AEE119" s="114"/>
      <c r="AEF119" s="114"/>
      <c r="AEG119" s="114"/>
      <c r="AEH119" s="114"/>
      <c r="AEI119" s="114"/>
      <c r="AEJ119" s="114"/>
      <c r="AEK119" s="114"/>
      <c r="AEL119" s="114"/>
      <c r="AEM119" s="114"/>
      <c r="AEN119" s="114"/>
      <c r="AEO119" s="114"/>
      <c r="AEP119" s="114"/>
      <c r="AEQ119" s="114"/>
      <c r="AER119" s="114"/>
      <c r="AES119" s="114"/>
      <c r="AET119" s="114"/>
      <c r="AEU119" s="114"/>
      <c r="AEV119" s="114"/>
      <c r="AEW119" s="114"/>
      <c r="AEX119" s="114"/>
      <c r="AEY119" s="114"/>
      <c r="AEZ119" s="114"/>
      <c r="AFA119" s="114"/>
      <c r="AFB119" s="114"/>
      <c r="AFC119" s="114"/>
      <c r="AFD119" s="114"/>
      <c r="AFE119" s="114"/>
      <c r="AFF119" s="114"/>
      <c r="AFG119" s="114"/>
      <c r="AFH119" s="114"/>
      <c r="AFI119" s="114"/>
      <c r="AFJ119" s="114"/>
      <c r="AFK119" s="114"/>
      <c r="AFL119" s="114"/>
      <c r="AFM119" s="114"/>
      <c r="AFN119" s="114"/>
      <c r="AFO119" s="114"/>
      <c r="AFP119" s="114"/>
      <c r="AFQ119" s="114"/>
      <c r="AFR119" s="114"/>
      <c r="AFS119" s="114"/>
      <c r="AFT119" s="114"/>
      <c r="AFU119" s="114"/>
      <c r="AFV119" s="114"/>
      <c r="AFW119" s="114"/>
      <c r="AFX119" s="114"/>
      <c r="AFY119" s="114"/>
      <c r="AFZ119" s="114"/>
      <c r="AGA119" s="114"/>
      <c r="AGB119" s="114"/>
      <c r="AGC119" s="114"/>
      <c r="AGD119" s="114"/>
      <c r="AGE119" s="114"/>
      <c r="AGF119" s="114"/>
      <c r="AGG119" s="114"/>
      <c r="AGH119" s="114"/>
      <c r="AGI119" s="114"/>
      <c r="AGJ119" s="114"/>
      <c r="AGK119" s="114"/>
      <c r="AGL119" s="114"/>
      <c r="AGM119" s="114"/>
      <c r="AGN119" s="114"/>
      <c r="AGO119" s="114"/>
      <c r="AGP119" s="114"/>
      <c r="AGQ119" s="114"/>
      <c r="AGR119" s="114"/>
      <c r="AGS119" s="114"/>
      <c r="AGT119" s="114"/>
      <c r="AGU119" s="114"/>
      <c r="AGV119" s="114"/>
      <c r="AGW119" s="114"/>
      <c r="AGX119" s="114"/>
      <c r="AGY119" s="114"/>
      <c r="AGZ119" s="114"/>
      <c r="AHA119" s="114"/>
      <c r="AHB119" s="114"/>
      <c r="AHC119" s="114"/>
      <c r="AHD119" s="114"/>
      <c r="AHE119" s="114"/>
      <c r="AHF119" s="114"/>
      <c r="AHG119" s="114"/>
      <c r="AHH119" s="114"/>
      <c r="AHI119" s="114"/>
      <c r="AHJ119" s="114"/>
      <c r="AHK119" s="114"/>
      <c r="AHL119" s="114"/>
      <c r="AHM119" s="114"/>
      <c r="AHN119" s="114"/>
      <c r="AHO119" s="114"/>
      <c r="AHP119" s="114"/>
      <c r="AHQ119" s="114"/>
      <c r="AHR119" s="114"/>
      <c r="AHS119" s="114"/>
      <c r="AHT119" s="114"/>
      <c r="AHU119" s="114"/>
      <c r="AHV119" s="114"/>
      <c r="AHW119" s="114"/>
      <c r="AHX119" s="114"/>
      <c r="AHY119" s="114"/>
      <c r="AHZ119" s="114"/>
      <c r="AIA119" s="114"/>
      <c r="AIB119" s="114"/>
      <c r="AIC119" s="114"/>
      <c r="AID119" s="114"/>
      <c r="AIE119" s="114"/>
      <c r="AIF119" s="114"/>
      <c r="AIG119" s="114"/>
      <c r="AIH119" s="114"/>
      <c r="AII119" s="114"/>
      <c r="AIJ119" s="114"/>
      <c r="AIK119" s="114"/>
      <c r="AIL119" s="114"/>
      <c r="AIM119" s="114"/>
      <c r="AIN119" s="114"/>
      <c r="AIO119" s="114"/>
      <c r="AIP119" s="114"/>
      <c r="AIQ119" s="114"/>
      <c r="AIR119" s="114"/>
      <c r="AIS119" s="114"/>
      <c r="AIT119" s="114"/>
      <c r="AIU119" s="114"/>
      <c r="AIV119" s="114"/>
      <c r="AIW119" s="114"/>
      <c r="AIX119" s="114"/>
      <c r="AIY119" s="114"/>
      <c r="AIZ119" s="114"/>
      <c r="AJA119" s="114"/>
      <c r="AJB119" s="114"/>
      <c r="AJC119" s="114"/>
      <c r="AJD119" s="114"/>
      <c r="AJE119" s="114"/>
      <c r="AJF119" s="114"/>
      <c r="AJG119" s="114"/>
      <c r="AJH119" s="114"/>
      <c r="AJI119" s="114"/>
      <c r="AJJ119" s="114"/>
      <c r="AJK119" s="114"/>
      <c r="AJL119" s="114"/>
      <c r="AJM119" s="114"/>
      <c r="AJN119" s="114"/>
      <c r="AJO119" s="114"/>
      <c r="AJP119" s="114"/>
      <c r="AJQ119" s="114"/>
      <c r="AJR119" s="114"/>
      <c r="AJS119" s="114"/>
      <c r="AJT119" s="114"/>
      <c r="AJU119" s="114"/>
      <c r="AJV119" s="114"/>
      <c r="AJW119" s="114"/>
      <c r="AJX119" s="114"/>
      <c r="AJY119" s="114"/>
      <c r="AJZ119" s="114"/>
      <c r="AKA119" s="114"/>
      <c r="AKB119" s="114"/>
      <c r="AKC119" s="114"/>
      <c r="AKD119" s="114"/>
      <c r="AKE119" s="114"/>
      <c r="AKF119" s="114"/>
      <c r="AKG119" s="114"/>
      <c r="AKH119" s="114"/>
      <c r="AKI119" s="114"/>
      <c r="AKJ119" s="114"/>
      <c r="AKK119" s="114"/>
      <c r="AKL119" s="114"/>
      <c r="AKM119" s="114"/>
      <c r="AKN119" s="114"/>
      <c r="AKO119" s="114"/>
      <c r="AKP119" s="114"/>
      <c r="AKQ119" s="114"/>
      <c r="AKR119" s="114"/>
      <c r="AKS119" s="114"/>
      <c r="AKT119" s="114"/>
      <c r="AKU119" s="114"/>
      <c r="AKV119" s="114"/>
      <c r="AKW119" s="114"/>
      <c r="AKX119" s="114"/>
      <c r="AKY119" s="114"/>
    </row>
    <row r="120" spans="1:987" ht="15" customHeight="1" x14ac:dyDescent="0.3">
      <c r="A120" s="116"/>
      <c r="B120" s="117"/>
      <c r="C120" s="462"/>
      <c r="D120" s="138" t="s">
        <v>3175</v>
      </c>
      <c r="E120" s="193">
        <f>E77+E78+E79+E80</f>
        <v>215</v>
      </c>
      <c r="F120" s="140">
        <v>4000</v>
      </c>
      <c r="G120" s="141">
        <f>E120*F120</f>
        <v>860000</v>
      </c>
      <c r="H120" s="173">
        <f>G120</f>
        <v>860000</v>
      </c>
      <c r="I120" s="147"/>
      <c r="J120" s="147"/>
      <c r="K120" s="147"/>
      <c r="L120" s="147"/>
      <c r="M120" s="147"/>
      <c r="N120" s="147"/>
      <c r="O120" s="147"/>
      <c r="P120" s="147"/>
      <c r="Q120" s="147"/>
      <c r="R120" s="147"/>
      <c r="S120" s="163"/>
      <c r="T120" s="125" t="s">
        <v>3174</v>
      </c>
    </row>
    <row r="121" spans="1:987" ht="15" customHeight="1" x14ac:dyDescent="0.3">
      <c r="A121" s="116"/>
      <c r="B121" s="117"/>
      <c r="C121" s="462"/>
      <c r="D121" s="138" t="s">
        <v>3176</v>
      </c>
      <c r="E121" s="193">
        <f>E86+E87+E88+E89</f>
        <v>107</v>
      </c>
      <c r="F121" s="140">
        <v>4000</v>
      </c>
      <c r="G121" s="141">
        <f>E121*F121</f>
        <v>428000</v>
      </c>
      <c r="H121" s="146"/>
      <c r="I121" s="144">
        <f>G121</f>
        <v>428000</v>
      </c>
      <c r="J121" s="147"/>
      <c r="K121" s="147"/>
      <c r="L121" s="147"/>
      <c r="M121" s="147"/>
      <c r="N121" s="147"/>
      <c r="O121" s="147"/>
      <c r="P121" s="147"/>
      <c r="Q121" s="147"/>
      <c r="R121" s="147"/>
      <c r="S121" s="163"/>
      <c r="T121" s="125" t="s">
        <v>3174</v>
      </c>
    </row>
    <row r="122" spans="1:987" ht="15" customHeight="1" x14ac:dyDescent="0.3">
      <c r="A122" s="116"/>
      <c r="B122" s="117"/>
      <c r="C122" s="462"/>
      <c r="D122" s="118" t="s">
        <v>3177</v>
      </c>
      <c r="E122" s="209">
        <f>E95+E96+E97+E98+E99</f>
        <v>215</v>
      </c>
      <c r="F122" s="140">
        <v>4000</v>
      </c>
      <c r="G122" s="121">
        <f>E122*F122</f>
        <v>860000</v>
      </c>
      <c r="H122" s="122"/>
      <c r="I122" s="123"/>
      <c r="J122" s="123"/>
      <c r="K122" s="123"/>
      <c r="L122" s="123"/>
      <c r="M122" s="123"/>
      <c r="N122" s="123"/>
      <c r="O122" s="210"/>
      <c r="P122" s="148">
        <f>G122</f>
        <v>860000</v>
      </c>
      <c r="Q122" s="123"/>
      <c r="R122" s="123"/>
      <c r="S122" s="124"/>
      <c r="T122" s="125" t="s">
        <v>3174</v>
      </c>
    </row>
    <row r="123" spans="1:987" ht="15" customHeight="1" x14ac:dyDescent="0.3">
      <c r="A123" s="158"/>
      <c r="B123" s="159"/>
      <c r="C123" s="463"/>
      <c r="D123" s="464" t="s">
        <v>2832</v>
      </c>
      <c r="E123" s="465"/>
      <c r="F123" s="466"/>
      <c r="G123" s="127">
        <f>SUM(G119:G122)</f>
        <v>3700000</v>
      </c>
      <c r="H123" s="128"/>
      <c r="I123" s="128"/>
      <c r="J123" s="128"/>
      <c r="K123" s="128"/>
      <c r="L123" s="128"/>
      <c r="M123" s="128"/>
      <c r="N123" s="128"/>
      <c r="O123" s="128"/>
      <c r="P123" s="128"/>
      <c r="Q123" s="128"/>
      <c r="R123" s="128"/>
      <c r="S123" s="129"/>
      <c r="T123" s="125"/>
    </row>
    <row r="124" spans="1:987" ht="15" customHeight="1" x14ac:dyDescent="0.3">
      <c r="A124" s="103">
        <v>8470230</v>
      </c>
      <c r="B124" s="104">
        <v>492310</v>
      </c>
      <c r="C124" s="461" t="s">
        <v>3178</v>
      </c>
      <c r="D124" s="138" t="s">
        <v>3179</v>
      </c>
      <c r="E124" s="208">
        <f>E75</f>
        <v>15</v>
      </c>
      <c r="F124" s="132">
        <v>4500</v>
      </c>
      <c r="G124" s="133">
        <f t="shared" ref="G124:G129" si="3">E124*F124</f>
        <v>67500</v>
      </c>
      <c r="I124" s="161">
        <f t="shared" ref="I124:I129" si="4">G124</f>
        <v>67500</v>
      </c>
      <c r="J124" s="135"/>
      <c r="K124" s="135"/>
      <c r="L124" s="135"/>
      <c r="M124" s="135"/>
      <c r="N124" s="135"/>
      <c r="O124" s="135"/>
      <c r="P124" s="135"/>
      <c r="Q124" s="135"/>
      <c r="R124" s="135"/>
      <c r="S124" s="164"/>
      <c r="T124" s="125"/>
    </row>
    <row r="125" spans="1:987" ht="15" customHeight="1" x14ac:dyDescent="0.3">
      <c r="A125" s="116"/>
      <c r="B125" s="117"/>
      <c r="C125" s="462"/>
      <c r="D125" s="138" t="s">
        <v>3180</v>
      </c>
      <c r="E125" s="193">
        <f>E77+E78</f>
        <v>125</v>
      </c>
      <c r="F125" s="140">
        <v>4500</v>
      </c>
      <c r="G125" s="141">
        <f t="shared" si="3"/>
        <v>562500</v>
      </c>
      <c r="I125" s="173">
        <f t="shared" si="4"/>
        <v>562500</v>
      </c>
      <c r="J125" s="147"/>
      <c r="K125" s="147"/>
      <c r="L125" s="147"/>
      <c r="M125" s="147"/>
      <c r="N125" s="147"/>
      <c r="O125" s="147"/>
      <c r="P125" s="147"/>
      <c r="Q125" s="147"/>
      <c r="R125" s="147"/>
      <c r="S125" s="163"/>
      <c r="T125" s="125"/>
    </row>
    <row r="126" spans="1:987" ht="15" customHeight="1" x14ac:dyDescent="0.3">
      <c r="A126" s="116"/>
      <c r="B126" s="117"/>
      <c r="C126" s="462"/>
      <c r="D126" s="138" t="s">
        <v>3181</v>
      </c>
      <c r="E126" s="193">
        <f>E84</f>
        <v>7</v>
      </c>
      <c r="F126" s="140">
        <v>4500</v>
      </c>
      <c r="G126" s="141">
        <f t="shared" si="3"/>
        <v>31500</v>
      </c>
      <c r="H126" s="146"/>
      <c r="I126" s="144">
        <f t="shared" si="4"/>
        <v>31500</v>
      </c>
      <c r="J126" s="147"/>
      <c r="K126" s="147"/>
      <c r="L126" s="147"/>
      <c r="M126" s="147"/>
      <c r="N126" s="147"/>
      <c r="O126" s="147"/>
      <c r="P126" s="147"/>
      <c r="Q126" s="147"/>
      <c r="R126" s="147"/>
      <c r="S126" s="163"/>
      <c r="T126" s="125"/>
    </row>
    <row r="127" spans="1:987" ht="15" customHeight="1" x14ac:dyDescent="0.3">
      <c r="A127" s="116"/>
      <c r="B127" s="117"/>
      <c r="C127" s="462"/>
      <c r="D127" s="138" t="s">
        <v>3182</v>
      </c>
      <c r="E127" s="193">
        <f>E86+E87</f>
        <v>60</v>
      </c>
      <c r="F127" s="140">
        <v>4500</v>
      </c>
      <c r="G127" s="141">
        <f t="shared" si="3"/>
        <v>270000</v>
      </c>
      <c r="H127" s="146"/>
      <c r="I127" s="144">
        <f t="shared" si="4"/>
        <v>270000</v>
      </c>
      <c r="J127" s="147"/>
      <c r="K127" s="147"/>
      <c r="L127" s="147"/>
      <c r="M127" s="147"/>
      <c r="N127" s="147"/>
      <c r="O127" s="147"/>
      <c r="P127" s="147"/>
      <c r="Q127" s="147"/>
      <c r="R127" s="147"/>
      <c r="S127" s="163"/>
      <c r="T127" s="125"/>
    </row>
    <row r="128" spans="1:987" ht="15" customHeight="1" x14ac:dyDescent="0.3">
      <c r="A128" s="116"/>
      <c r="B128" s="117"/>
      <c r="C128" s="462"/>
      <c r="D128" s="138" t="s">
        <v>3183</v>
      </c>
      <c r="E128" s="193">
        <f>E93</f>
        <v>15</v>
      </c>
      <c r="F128" s="140">
        <v>4500</v>
      </c>
      <c r="G128" s="141">
        <f t="shared" si="3"/>
        <v>67500</v>
      </c>
      <c r="H128" s="146"/>
      <c r="I128" s="144">
        <f t="shared" si="4"/>
        <v>67500</v>
      </c>
      <c r="J128" s="147"/>
      <c r="K128" s="147"/>
      <c r="L128" s="147"/>
      <c r="M128" s="147"/>
      <c r="N128" s="147"/>
      <c r="O128" s="147"/>
      <c r="Q128" s="147"/>
      <c r="R128" s="147"/>
      <c r="S128" s="163"/>
      <c r="T128" s="125"/>
    </row>
    <row r="129" spans="1:20" ht="15" customHeight="1" x14ac:dyDescent="0.3">
      <c r="A129" s="116"/>
      <c r="B129" s="117"/>
      <c r="C129" s="462"/>
      <c r="D129" s="138" t="s">
        <v>3184</v>
      </c>
      <c r="E129" s="209">
        <f>E95+E96+E97</f>
        <v>125</v>
      </c>
      <c r="F129" s="120">
        <v>4500</v>
      </c>
      <c r="G129" s="121">
        <f t="shared" si="3"/>
        <v>562500</v>
      </c>
      <c r="H129" s="122"/>
      <c r="I129" s="148">
        <f t="shared" si="4"/>
        <v>562500</v>
      </c>
      <c r="J129" s="123"/>
      <c r="K129" s="123"/>
      <c r="L129" s="123"/>
      <c r="M129" s="123"/>
      <c r="N129" s="123"/>
      <c r="O129" s="210"/>
      <c r="Q129" s="123"/>
      <c r="R129" s="123"/>
      <c r="S129" s="124"/>
      <c r="T129" s="125"/>
    </row>
    <row r="130" spans="1:20" ht="15" customHeight="1" x14ac:dyDescent="0.3">
      <c r="A130" s="158"/>
      <c r="B130" s="159"/>
      <c r="C130" s="463"/>
      <c r="D130" s="464" t="s">
        <v>2831</v>
      </c>
      <c r="E130" s="465"/>
      <c r="F130" s="466"/>
      <c r="G130" s="127">
        <f>SUM(G124:G129)</f>
        <v>1561500</v>
      </c>
      <c r="H130" s="128"/>
      <c r="I130" s="128"/>
      <c r="J130" s="128"/>
      <c r="K130" s="128"/>
      <c r="L130" s="128"/>
      <c r="M130" s="128"/>
      <c r="N130" s="128"/>
      <c r="O130" s="128"/>
      <c r="P130" s="128"/>
      <c r="Q130" s="128"/>
      <c r="R130" s="128"/>
      <c r="S130" s="129"/>
      <c r="T130" s="211"/>
    </row>
    <row r="132" spans="1:20" x14ac:dyDescent="0.3">
      <c r="D132" s="458" t="s">
        <v>3185</v>
      </c>
      <c r="E132" s="459"/>
      <c r="F132" s="460"/>
      <c r="G132" s="214">
        <f>G4+G10+G12+G14+G18+G21+G26+G29+G33+G35+G37+G102+G118+G123+G130</f>
        <v>215715211.80000001</v>
      </c>
    </row>
    <row r="141" spans="1:20" x14ac:dyDescent="0.3">
      <c r="D141" s="216"/>
    </row>
  </sheetData>
  <mergeCells count="31">
    <mergeCell ref="C2:C4"/>
    <mergeCell ref="D4:F4"/>
    <mergeCell ref="C5:C10"/>
    <mergeCell ref="D10:F10"/>
    <mergeCell ref="C11:C12"/>
    <mergeCell ref="D12:F12"/>
    <mergeCell ref="C13:C14"/>
    <mergeCell ref="D14:F14"/>
    <mergeCell ref="C15:C18"/>
    <mergeCell ref="D18:F18"/>
    <mergeCell ref="C19:C21"/>
    <mergeCell ref="D21:F21"/>
    <mergeCell ref="C22:C26"/>
    <mergeCell ref="D26:F26"/>
    <mergeCell ref="C27:C29"/>
    <mergeCell ref="D29:F29"/>
    <mergeCell ref="C30:C33"/>
    <mergeCell ref="D33:F33"/>
    <mergeCell ref="C34:C35"/>
    <mergeCell ref="D35:F35"/>
    <mergeCell ref="C36:C37"/>
    <mergeCell ref="D37:F37"/>
    <mergeCell ref="C38:C102"/>
    <mergeCell ref="D102:F102"/>
    <mergeCell ref="D132:F132"/>
    <mergeCell ref="C103:C118"/>
    <mergeCell ref="D118:F118"/>
    <mergeCell ref="C119:C123"/>
    <mergeCell ref="D123:F123"/>
    <mergeCell ref="C124:C130"/>
    <mergeCell ref="D130:F130"/>
  </mergeCells>
  <pageMargins left="0.23622047244094491" right="0.23622047244094491" top="0.35433070866141736" bottom="0.35433070866141736" header="0" footer="0"/>
  <pageSetup paperSize="8" orientation="landscape" horizontalDpi="1200" verticalDpi="1200" r:id="rId1"/>
  <rowBreaks count="1" manualBreakCount="1">
    <brk id="102" max="18" man="1"/>
  </rowBreaks>
  <colBreaks count="1" manualBreakCount="1">
    <brk id="7" max="122"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L112"/>
  <sheetViews>
    <sheetView zoomScale="80" zoomScaleNormal="80" workbookViewId="0">
      <pane ySplit="1" topLeftCell="A74" activePane="bottomLeft" state="frozen"/>
      <selection activeCell="D92" sqref="D92"/>
      <selection pane="bottomLeft" activeCell="D92" sqref="D92"/>
    </sheetView>
  </sheetViews>
  <sheetFormatPr defaultColWidth="9.1796875" defaultRowHeight="13" x14ac:dyDescent="0.3"/>
  <cols>
    <col min="1" max="1" width="9.81640625" style="212" customWidth="1"/>
    <col min="2" max="2" width="9.1796875" style="212" customWidth="1"/>
    <col min="3" max="3" width="33.1796875" style="213" customWidth="1"/>
    <col min="4" max="4" width="69.1796875" style="126" bestFit="1" customWidth="1"/>
    <col min="5" max="5" width="9" style="217" customWidth="1"/>
    <col min="6" max="6" width="9.54296875" style="218" customWidth="1"/>
    <col min="7" max="7" width="13" style="126" bestFit="1" customWidth="1"/>
    <col min="8" max="974" width="8.7265625" style="114" customWidth="1"/>
    <col min="975" max="16384" width="9.1796875" style="126"/>
  </cols>
  <sheetData>
    <row r="1" spans="1:974" s="102" customFormat="1" ht="24" customHeight="1" x14ac:dyDescent="0.35">
      <c r="A1" s="94" t="s">
        <v>4</v>
      </c>
      <c r="B1" s="94" t="s">
        <v>7</v>
      </c>
      <c r="C1" s="95" t="s">
        <v>3051</v>
      </c>
      <c r="D1" s="96" t="s">
        <v>3052</v>
      </c>
      <c r="E1" s="97" t="s">
        <v>3053</v>
      </c>
      <c r="F1" s="97" t="s">
        <v>21</v>
      </c>
      <c r="G1" s="98" t="s">
        <v>44</v>
      </c>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c r="CO1" s="101"/>
      <c r="CP1" s="101"/>
      <c r="CQ1" s="101"/>
      <c r="CR1" s="101"/>
      <c r="CS1" s="101"/>
      <c r="CT1" s="101"/>
      <c r="CU1" s="101"/>
      <c r="CV1" s="101"/>
      <c r="CW1" s="101"/>
      <c r="CX1" s="101"/>
      <c r="CY1" s="101"/>
      <c r="CZ1" s="101"/>
      <c r="DA1" s="101"/>
      <c r="DB1" s="101"/>
      <c r="DC1" s="101"/>
      <c r="DD1" s="101"/>
      <c r="DE1" s="101"/>
      <c r="DF1" s="101"/>
      <c r="DG1" s="101"/>
      <c r="DH1" s="101"/>
      <c r="DI1" s="101"/>
      <c r="DJ1" s="101"/>
      <c r="DK1" s="101"/>
      <c r="DL1" s="101"/>
      <c r="DM1" s="101"/>
      <c r="DN1" s="101"/>
      <c r="DO1" s="101"/>
      <c r="DP1" s="101"/>
      <c r="DQ1" s="101"/>
      <c r="DR1" s="101"/>
      <c r="DS1" s="101"/>
      <c r="DT1" s="101"/>
      <c r="DU1" s="101"/>
      <c r="DV1" s="101"/>
      <c r="DW1" s="101"/>
      <c r="DX1" s="101"/>
      <c r="DY1" s="101"/>
      <c r="DZ1" s="101"/>
      <c r="EA1" s="101"/>
      <c r="EB1" s="101"/>
      <c r="EC1" s="101"/>
      <c r="ED1" s="101"/>
      <c r="EE1" s="101"/>
      <c r="EF1" s="101"/>
      <c r="EG1" s="101"/>
      <c r="EH1" s="101"/>
      <c r="EI1" s="101"/>
      <c r="EJ1" s="101"/>
      <c r="EK1" s="101"/>
      <c r="EL1" s="101"/>
      <c r="EM1" s="101"/>
      <c r="EN1" s="101"/>
      <c r="EO1" s="101"/>
      <c r="EP1" s="101"/>
      <c r="EQ1" s="101"/>
      <c r="ER1" s="101"/>
      <c r="ES1" s="101"/>
      <c r="ET1" s="101"/>
      <c r="EU1" s="101"/>
      <c r="EV1" s="101"/>
      <c r="EW1" s="101"/>
      <c r="EX1" s="101"/>
      <c r="EY1" s="101"/>
      <c r="EZ1" s="101"/>
      <c r="FA1" s="101"/>
      <c r="FB1" s="101"/>
      <c r="FC1" s="101"/>
      <c r="FD1" s="101"/>
      <c r="FE1" s="101"/>
      <c r="FF1" s="101"/>
      <c r="FG1" s="101"/>
      <c r="FH1" s="101"/>
      <c r="FI1" s="101"/>
      <c r="FJ1" s="101"/>
      <c r="FK1" s="101"/>
      <c r="FL1" s="101"/>
      <c r="FM1" s="101"/>
      <c r="FN1" s="101"/>
      <c r="FO1" s="101"/>
      <c r="FP1" s="101"/>
      <c r="FQ1" s="101"/>
      <c r="FR1" s="101"/>
      <c r="FS1" s="101"/>
      <c r="FT1" s="101"/>
      <c r="FU1" s="101"/>
      <c r="FV1" s="101"/>
      <c r="FW1" s="101"/>
      <c r="FX1" s="101"/>
      <c r="FY1" s="101"/>
      <c r="FZ1" s="101"/>
      <c r="GA1" s="101"/>
      <c r="GB1" s="101"/>
      <c r="GC1" s="101"/>
      <c r="GD1" s="101"/>
      <c r="GE1" s="101"/>
      <c r="GF1" s="101"/>
      <c r="GG1" s="101"/>
      <c r="GH1" s="101"/>
      <c r="GI1" s="101"/>
      <c r="GJ1" s="101"/>
      <c r="GK1" s="101"/>
      <c r="GL1" s="101"/>
      <c r="GM1" s="101"/>
      <c r="GN1" s="101"/>
      <c r="GO1" s="101"/>
      <c r="GP1" s="101"/>
      <c r="GQ1" s="101"/>
      <c r="GR1" s="101"/>
      <c r="GS1" s="101"/>
      <c r="GT1" s="101"/>
      <c r="GU1" s="101"/>
      <c r="GV1" s="101"/>
      <c r="GW1" s="101"/>
      <c r="GX1" s="101"/>
      <c r="GY1" s="101"/>
      <c r="GZ1" s="101"/>
      <c r="HA1" s="101"/>
      <c r="HB1" s="101"/>
      <c r="HC1" s="101"/>
      <c r="HD1" s="101"/>
      <c r="HE1" s="101"/>
      <c r="HF1" s="101"/>
      <c r="HG1" s="101"/>
      <c r="HH1" s="101"/>
      <c r="HI1" s="101"/>
      <c r="HJ1" s="101"/>
      <c r="HK1" s="101"/>
      <c r="HL1" s="101"/>
      <c r="HM1" s="101"/>
      <c r="HN1" s="101"/>
      <c r="HO1" s="101"/>
      <c r="HP1" s="101"/>
      <c r="HQ1" s="101"/>
      <c r="HR1" s="101"/>
      <c r="HS1" s="101"/>
      <c r="HT1" s="101"/>
      <c r="HU1" s="101"/>
      <c r="HV1" s="101"/>
      <c r="HW1" s="101"/>
      <c r="HX1" s="101"/>
      <c r="HY1" s="101"/>
      <c r="HZ1" s="101"/>
      <c r="IA1" s="101"/>
      <c r="IB1" s="101"/>
      <c r="IC1" s="101"/>
      <c r="ID1" s="101"/>
      <c r="IE1" s="101"/>
      <c r="IF1" s="101"/>
      <c r="IG1" s="101"/>
      <c r="IH1" s="101"/>
      <c r="II1" s="101"/>
      <c r="IJ1" s="101"/>
      <c r="IK1" s="101"/>
      <c r="IL1" s="101"/>
      <c r="IM1" s="101"/>
      <c r="IN1" s="101"/>
      <c r="IO1" s="101"/>
      <c r="IP1" s="101"/>
      <c r="IQ1" s="101"/>
      <c r="IR1" s="101"/>
      <c r="IS1" s="101"/>
      <c r="IT1" s="101"/>
      <c r="IU1" s="101"/>
      <c r="IV1" s="101"/>
      <c r="IW1" s="101"/>
      <c r="IX1" s="101"/>
      <c r="IY1" s="101"/>
      <c r="IZ1" s="101"/>
      <c r="JA1" s="101"/>
      <c r="JB1" s="101"/>
      <c r="JC1" s="101"/>
      <c r="JD1" s="101"/>
      <c r="JE1" s="101"/>
      <c r="JF1" s="101"/>
      <c r="JG1" s="101"/>
      <c r="JH1" s="101"/>
      <c r="JI1" s="101"/>
      <c r="JJ1" s="101"/>
      <c r="JK1" s="101"/>
      <c r="JL1" s="101"/>
      <c r="JM1" s="101"/>
      <c r="JN1" s="101"/>
      <c r="JO1" s="101"/>
      <c r="JP1" s="101"/>
      <c r="JQ1" s="101"/>
      <c r="JR1" s="101"/>
      <c r="JS1" s="101"/>
      <c r="JT1" s="101"/>
      <c r="JU1" s="101"/>
      <c r="JV1" s="101"/>
      <c r="JW1" s="101"/>
      <c r="JX1" s="101"/>
      <c r="JY1" s="101"/>
      <c r="JZ1" s="101"/>
      <c r="KA1" s="101"/>
      <c r="KB1" s="101"/>
      <c r="KC1" s="101"/>
      <c r="KD1" s="101"/>
      <c r="KE1" s="101"/>
      <c r="KF1" s="101"/>
      <c r="KG1" s="101"/>
      <c r="KH1" s="101"/>
      <c r="KI1" s="101"/>
      <c r="KJ1" s="101"/>
      <c r="KK1" s="101"/>
      <c r="KL1" s="101"/>
      <c r="KM1" s="101"/>
      <c r="KN1" s="101"/>
      <c r="KO1" s="101"/>
      <c r="KP1" s="101"/>
      <c r="KQ1" s="101"/>
      <c r="KR1" s="101"/>
      <c r="KS1" s="101"/>
      <c r="KT1" s="101"/>
      <c r="KU1" s="101"/>
      <c r="KV1" s="101"/>
      <c r="KW1" s="101"/>
      <c r="KX1" s="101"/>
      <c r="KY1" s="101"/>
      <c r="KZ1" s="101"/>
      <c r="LA1" s="101"/>
      <c r="LB1" s="101"/>
      <c r="LC1" s="101"/>
      <c r="LD1" s="101"/>
      <c r="LE1" s="101"/>
      <c r="LF1" s="101"/>
      <c r="LG1" s="101"/>
      <c r="LH1" s="101"/>
      <c r="LI1" s="101"/>
      <c r="LJ1" s="101"/>
      <c r="LK1" s="101"/>
      <c r="LL1" s="101"/>
      <c r="LM1" s="101"/>
      <c r="LN1" s="101"/>
      <c r="LO1" s="101"/>
      <c r="LP1" s="101"/>
      <c r="LQ1" s="101"/>
      <c r="LR1" s="101"/>
      <c r="LS1" s="101"/>
      <c r="LT1" s="101"/>
      <c r="LU1" s="101"/>
      <c r="LV1" s="101"/>
      <c r="LW1" s="101"/>
      <c r="LX1" s="101"/>
      <c r="LY1" s="101"/>
      <c r="LZ1" s="101"/>
      <c r="MA1" s="101"/>
      <c r="MB1" s="101"/>
      <c r="MC1" s="101"/>
      <c r="MD1" s="101"/>
      <c r="ME1" s="101"/>
      <c r="MF1" s="101"/>
      <c r="MG1" s="101"/>
      <c r="MH1" s="101"/>
      <c r="MI1" s="101"/>
      <c r="MJ1" s="101"/>
      <c r="MK1" s="101"/>
      <c r="ML1" s="101"/>
      <c r="MM1" s="101"/>
      <c r="MN1" s="101"/>
      <c r="MO1" s="101"/>
      <c r="MP1" s="101"/>
      <c r="MQ1" s="101"/>
      <c r="MR1" s="101"/>
      <c r="MS1" s="101"/>
      <c r="MT1" s="101"/>
      <c r="MU1" s="101"/>
      <c r="MV1" s="101"/>
      <c r="MW1" s="101"/>
      <c r="MX1" s="101"/>
      <c r="MY1" s="101"/>
      <c r="MZ1" s="101"/>
      <c r="NA1" s="101"/>
      <c r="NB1" s="101"/>
      <c r="NC1" s="101"/>
      <c r="ND1" s="101"/>
      <c r="NE1" s="101"/>
      <c r="NF1" s="101"/>
      <c r="NG1" s="101"/>
      <c r="NH1" s="101"/>
      <c r="NI1" s="101"/>
      <c r="NJ1" s="101"/>
      <c r="NK1" s="101"/>
      <c r="NL1" s="101"/>
      <c r="NM1" s="101"/>
      <c r="NN1" s="101"/>
      <c r="NO1" s="101"/>
      <c r="NP1" s="101"/>
      <c r="NQ1" s="101"/>
      <c r="NR1" s="101"/>
      <c r="NS1" s="101"/>
      <c r="NT1" s="101"/>
      <c r="NU1" s="101"/>
      <c r="NV1" s="101"/>
      <c r="NW1" s="101"/>
      <c r="NX1" s="101"/>
      <c r="NY1" s="101"/>
      <c r="NZ1" s="101"/>
      <c r="OA1" s="101"/>
      <c r="OB1" s="101"/>
      <c r="OC1" s="101"/>
      <c r="OD1" s="101"/>
      <c r="OE1" s="101"/>
      <c r="OF1" s="101"/>
      <c r="OG1" s="101"/>
      <c r="OH1" s="101"/>
      <c r="OI1" s="101"/>
      <c r="OJ1" s="101"/>
      <c r="OK1" s="101"/>
      <c r="OL1" s="101"/>
      <c r="OM1" s="101"/>
      <c r="ON1" s="101"/>
      <c r="OO1" s="101"/>
      <c r="OP1" s="101"/>
      <c r="OQ1" s="101"/>
      <c r="OR1" s="101"/>
      <c r="OS1" s="101"/>
      <c r="OT1" s="101"/>
      <c r="OU1" s="101"/>
      <c r="OV1" s="101"/>
      <c r="OW1" s="101"/>
      <c r="OX1" s="101"/>
      <c r="OY1" s="101"/>
      <c r="OZ1" s="101"/>
      <c r="PA1" s="101"/>
      <c r="PB1" s="101"/>
      <c r="PC1" s="101"/>
      <c r="PD1" s="101"/>
      <c r="PE1" s="101"/>
      <c r="PF1" s="101"/>
      <c r="PG1" s="101"/>
      <c r="PH1" s="101"/>
      <c r="PI1" s="101"/>
      <c r="PJ1" s="101"/>
      <c r="PK1" s="101"/>
      <c r="PL1" s="101"/>
      <c r="PM1" s="101"/>
      <c r="PN1" s="101"/>
      <c r="PO1" s="101"/>
      <c r="PP1" s="101"/>
      <c r="PQ1" s="101"/>
      <c r="PR1" s="101"/>
      <c r="PS1" s="101"/>
      <c r="PT1" s="101"/>
      <c r="PU1" s="101"/>
      <c r="PV1" s="101"/>
      <c r="PW1" s="101"/>
      <c r="PX1" s="101"/>
      <c r="PY1" s="101"/>
      <c r="PZ1" s="101"/>
      <c r="QA1" s="101"/>
      <c r="QB1" s="101"/>
      <c r="QC1" s="101"/>
      <c r="QD1" s="101"/>
      <c r="QE1" s="101"/>
      <c r="QF1" s="101"/>
      <c r="QG1" s="101"/>
      <c r="QH1" s="101"/>
      <c r="QI1" s="101"/>
      <c r="QJ1" s="101"/>
      <c r="QK1" s="101"/>
      <c r="QL1" s="101"/>
      <c r="QM1" s="101"/>
      <c r="QN1" s="101"/>
      <c r="QO1" s="101"/>
      <c r="QP1" s="101"/>
      <c r="QQ1" s="101"/>
      <c r="QR1" s="101"/>
      <c r="QS1" s="101"/>
      <c r="QT1" s="101"/>
      <c r="QU1" s="101"/>
      <c r="QV1" s="101"/>
      <c r="QW1" s="101"/>
      <c r="QX1" s="101"/>
      <c r="QY1" s="101"/>
      <c r="QZ1" s="101"/>
      <c r="RA1" s="101"/>
      <c r="RB1" s="101"/>
      <c r="RC1" s="101"/>
      <c r="RD1" s="101"/>
      <c r="RE1" s="101"/>
      <c r="RF1" s="101"/>
      <c r="RG1" s="101"/>
      <c r="RH1" s="101"/>
      <c r="RI1" s="101"/>
      <c r="RJ1" s="101"/>
      <c r="RK1" s="101"/>
      <c r="RL1" s="101"/>
      <c r="RM1" s="101"/>
      <c r="RN1" s="101"/>
      <c r="RO1" s="101"/>
      <c r="RP1" s="101"/>
      <c r="RQ1" s="101"/>
      <c r="RR1" s="101"/>
      <c r="RS1" s="101"/>
      <c r="RT1" s="101"/>
      <c r="RU1" s="101"/>
      <c r="RV1" s="101"/>
      <c r="RW1" s="101"/>
      <c r="RX1" s="101"/>
      <c r="RY1" s="101"/>
      <c r="RZ1" s="101"/>
      <c r="SA1" s="101"/>
      <c r="SB1" s="101"/>
      <c r="SC1" s="101"/>
      <c r="SD1" s="101"/>
      <c r="SE1" s="101"/>
      <c r="SF1" s="101"/>
      <c r="SG1" s="101"/>
      <c r="SH1" s="101"/>
      <c r="SI1" s="101"/>
      <c r="SJ1" s="101"/>
      <c r="SK1" s="101"/>
      <c r="SL1" s="101"/>
      <c r="SM1" s="101"/>
      <c r="SN1" s="101"/>
      <c r="SO1" s="101"/>
      <c r="SP1" s="101"/>
      <c r="SQ1" s="101"/>
      <c r="SR1" s="101"/>
      <c r="SS1" s="101"/>
      <c r="ST1" s="101"/>
      <c r="SU1" s="101"/>
      <c r="SV1" s="101"/>
      <c r="SW1" s="101"/>
      <c r="SX1" s="101"/>
      <c r="SY1" s="101"/>
      <c r="SZ1" s="101"/>
      <c r="TA1" s="101"/>
      <c r="TB1" s="101"/>
      <c r="TC1" s="101"/>
      <c r="TD1" s="101"/>
      <c r="TE1" s="101"/>
      <c r="TF1" s="101"/>
      <c r="TG1" s="101"/>
      <c r="TH1" s="101"/>
      <c r="TI1" s="101"/>
      <c r="TJ1" s="101"/>
      <c r="TK1" s="101"/>
      <c r="TL1" s="101"/>
      <c r="TM1" s="101"/>
      <c r="TN1" s="101"/>
      <c r="TO1" s="101"/>
      <c r="TP1" s="101"/>
      <c r="TQ1" s="101"/>
      <c r="TR1" s="101"/>
      <c r="TS1" s="101"/>
      <c r="TT1" s="101"/>
      <c r="TU1" s="101"/>
      <c r="TV1" s="101"/>
      <c r="TW1" s="101"/>
      <c r="TX1" s="101"/>
      <c r="TY1" s="101"/>
      <c r="TZ1" s="101"/>
      <c r="UA1" s="101"/>
      <c r="UB1" s="101"/>
      <c r="UC1" s="101"/>
      <c r="UD1" s="101"/>
      <c r="UE1" s="101"/>
      <c r="UF1" s="101"/>
      <c r="UG1" s="101"/>
      <c r="UH1" s="101"/>
      <c r="UI1" s="101"/>
      <c r="UJ1" s="101"/>
      <c r="UK1" s="101"/>
      <c r="UL1" s="101"/>
      <c r="UM1" s="101"/>
      <c r="UN1" s="101"/>
      <c r="UO1" s="101"/>
      <c r="UP1" s="101"/>
      <c r="UQ1" s="101"/>
      <c r="UR1" s="101"/>
      <c r="US1" s="101"/>
      <c r="UT1" s="101"/>
      <c r="UU1" s="101"/>
      <c r="UV1" s="101"/>
      <c r="UW1" s="101"/>
      <c r="UX1" s="101"/>
      <c r="UY1" s="101"/>
      <c r="UZ1" s="101"/>
      <c r="VA1" s="101"/>
      <c r="VB1" s="101"/>
      <c r="VC1" s="101"/>
      <c r="VD1" s="101"/>
      <c r="VE1" s="101"/>
      <c r="VF1" s="101"/>
      <c r="VG1" s="101"/>
      <c r="VH1" s="101"/>
      <c r="VI1" s="101"/>
      <c r="VJ1" s="101"/>
      <c r="VK1" s="101"/>
      <c r="VL1" s="101"/>
      <c r="VM1" s="101"/>
      <c r="VN1" s="101"/>
      <c r="VO1" s="101"/>
      <c r="VP1" s="101"/>
      <c r="VQ1" s="101"/>
      <c r="VR1" s="101"/>
      <c r="VS1" s="101"/>
      <c r="VT1" s="101"/>
      <c r="VU1" s="101"/>
      <c r="VV1" s="101"/>
      <c r="VW1" s="101"/>
      <c r="VX1" s="101"/>
      <c r="VY1" s="101"/>
      <c r="VZ1" s="101"/>
      <c r="WA1" s="101"/>
      <c r="WB1" s="101"/>
      <c r="WC1" s="101"/>
      <c r="WD1" s="101"/>
      <c r="WE1" s="101"/>
      <c r="WF1" s="101"/>
      <c r="WG1" s="101"/>
      <c r="WH1" s="101"/>
      <c r="WI1" s="101"/>
      <c r="WJ1" s="101"/>
      <c r="WK1" s="101"/>
      <c r="WL1" s="101"/>
      <c r="WM1" s="101"/>
      <c r="WN1" s="101"/>
      <c r="WO1" s="101"/>
      <c r="WP1" s="101"/>
      <c r="WQ1" s="101"/>
      <c r="WR1" s="101"/>
      <c r="WS1" s="101"/>
      <c r="WT1" s="101"/>
      <c r="WU1" s="101"/>
      <c r="WV1" s="101"/>
      <c r="WW1" s="101"/>
      <c r="WX1" s="101"/>
      <c r="WY1" s="101"/>
      <c r="WZ1" s="101"/>
      <c r="XA1" s="101"/>
      <c r="XB1" s="101"/>
      <c r="XC1" s="101"/>
      <c r="XD1" s="101"/>
      <c r="XE1" s="101"/>
      <c r="XF1" s="101"/>
      <c r="XG1" s="101"/>
      <c r="XH1" s="101"/>
      <c r="XI1" s="101"/>
      <c r="XJ1" s="101"/>
      <c r="XK1" s="101"/>
      <c r="XL1" s="101"/>
      <c r="XM1" s="101"/>
      <c r="XN1" s="101"/>
      <c r="XO1" s="101"/>
      <c r="XP1" s="101"/>
      <c r="XQ1" s="101"/>
      <c r="XR1" s="101"/>
      <c r="XS1" s="101"/>
      <c r="XT1" s="101"/>
      <c r="XU1" s="101"/>
      <c r="XV1" s="101"/>
      <c r="XW1" s="101"/>
      <c r="XX1" s="101"/>
      <c r="XY1" s="101"/>
      <c r="XZ1" s="101"/>
      <c r="YA1" s="101"/>
      <c r="YB1" s="101"/>
      <c r="YC1" s="101"/>
      <c r="YD1" s="101"/>
      <c r="YE1" s="101"/>
      <c r="YF1" s="101"/>
      <c r="YG1" s="101"/>
      <c r="YH1" s="101"/>
      <c r="YI1" s="101"/>
      <c r="YJ1" s="101"/>
      <c r="YK1" s="101"/>
      <c r="YL1" s="101"/>
      <c r="YM1" s="101"/>
      <c r="YN1" s="101"/>
      <c r="YO1" s="101"/>
      <c r="YP1" s="101"/>
      <c r="YQ1" s="101"/>
      <c r="YR1" s="101"/>
      <c r="YS1" s="101"/>
      <c r="YT1" s="101"/>
      <c r="YU1" s="101"/>
      <c r="YV1" s="101"/>
      <c r="YW1" s="101"/>
      <c r="YX1" s="101"/>
      <c r="YY1" s="101"/>
      <c r="YZ1" s="101"/>
      <c r="ZA1" s="101"/>
      <c r="ZB1" s="101"/>
      <c r="ZC1" s="101"/>
      <c r="ZD1" s="101"/>
      <c r="ZE1" s="101"/>
      <c r="ZF1" s="101"/>
      <c r="ZG1" s="101"/>
      <c r="ZH1" s="101"/>
      <c r="ZI1" s="101"/>
      <c r="ZJ1" s="101"/>
      <c r="ZK1" s="101"/>
      <c r="ZL1" s="101"/>
      <c r="ZM1" s="101"/>
      <c r="ZN1" s="101"/>
      <c r="ZO1" s="101"/>
      <c r="ZP1" s="101"/>
      <c r="ZQ1" s="101"/>
      <c r="ZR1" s="101"/>
      <c r="ZS1" s="101"/>
      <c r="ZT1" s="101"/>
      <c r="ZU1" s="101"/>
      <c r="ZV1" s="101"/>
      <c r="ZW1" s="101"/>
      <c r="ZX1" s="101"/>
      <c r="ZY1" s="101"/>
      <c r="ZZ1" s="101"/>
      <c r="AAA1" s="101"/>
      <c r="AAB1" s="101"/>
      <c r="AAC1" s="101"/>
      <c r="AAD1" s="101"/>
      <c r="AAE1" s="101"/>
      <c r="AAF1" s="101"/>
      <c r="AAG1" s="101"/>
      <c r="AAH1" s="101"/>
      <c r="AAI1" s="101"/>
      <c r="AAJ1" s="101"/>
      <c r="AAK1" s="101"/>
      <c r="AAL1" s="101"/>
      <c r="AAM1" s="101"/>
      <c r="AAN1" s="101"/>
      <c r="AAO1" s="101"/>
      <c r="AAP1" s="101"/>
      <c r="AAQ1" s="101"/>
      <c r="AAR1" s="101"/>
      <c r="AAS1" s="101"/>
      <c r="AAT1" s="101"/>
      <c r="AAU1" s="101"/>
      <c r="AAV1" s="101"/>
      <c r="AAW1" s="101"/>
      <c r="AAX1" s="101"/>
      <c r="AAY1" s="101"/>
      <c r="AAZ1" s="101"/>
      <c r="ABA1" s="101"/>
      <c r="ABB1" s="101"/>
      <c r="ABC1" s="101"/>
      <c r="ABD1" s="101"/>
      <c r="ABE1" s="101"/>
      <c r="ABF1" s="101"/>
      <c r="ABG1" s="101"/>
      <c r="ABH1" s="101"/>
      <c r="ABI1" s="101"/>
      <c r="ABJ1" s="101"/>
      <c r="ABK1" s="101"/>
      <c r="ABL1" s="101"/>
      <c r="ABM1" s="101"/>
      <c r="ABN1" s="101"/>
      <c r="ABO1" s="101"/>
      <c r="ABP1" s="101"/>
      <c r="ABQ1" s="101"/>
      <c r="ABR1" s="101"/>
      <c r="ABS1" s="101"/>
      <c r="ABT1" s="101"/>
      <c r="ABU1" s="101"/>
      <c r="ABV1" s="101"/>
      <c r="ABW1" s="101"/>
      <c r="ABX1" s="101"/>
      <c r="ABY1" s="101"/>
      <c r="ABZ1" s="101"/>
      <c r="ACA1" s="101"/>
      <c r="ACB1" s="101"/>
      <c r="ACC1" s="101"/>
      <c r="ACD1" s="101"/>
      <c r="ACE1" s="101"/>
      <c r="ACF1" s="101"/>
      <c r="ACG1" s="101"/>
      <c r="ACH1" s="101"/>
      <c r="ACI1" s="101"/>
      <c r="ACJ1" s="101"/>
      <c r="ACK1" s="101"/>
      <c r="ACL1" s="101"/>
      <c r="ACM1" s="101"/>
      <c r="ACN1" s="101"/>
      <c r="ACO1" s="101"/>
      <c r="ACP1" s="101"/>
      <c r="ACQ1" s="101"/>
      <c r="ACR1" s="101"/>
      <c r="ACS1" s="101"/>
      <c r="ACT1" s="101"/>
      <c r="ACU1" s="101"/>
      <c r="ACV1" s="101"/>
      <c r="ACW1" s="101"/>
      <c r="ACX1" s="101"/>
      <c r="ACY1" s="101"/>
      <c r="ACZ1" s="101"/>
      <c r="ADA1" s="101"/>
      <c r="ADB1" s="101"/>
      <c r="ADC1" s="101"/>
      <c r="ADD1" s="101"/>
      <c r="ADE1" s="101"/>
      <c r="ADF1" s="101"/>
      <c r="ADG1" s="101"/>
      <c r="ADH1" s="101"/>
      <c r="ADI1" s="101"/>
      <c r="ADJ1" s="101"/>
      <c r="ADK1" s="101"/>
      <c r="ADL1" s="101"/>
      <c r="ADM1" s="101"/>
      <c r="ADN1" s="101"/>
      <c r="ADO1" s="101"/>
      <c r="ADP1" s="101"/>
      <c r="ADQ1" s="101"/>
      <c r="ADR1" s="101"/>
      <c r="ADS1" s="101"/>
      <c r="ADT1" s="101"/>
      <c r="ADU1" s="101"/>
      <c r="ADV1" s="101"/>
      <c r="ADW1" s="101"/>
      <c r="ADX1" s="101"/>
      <c r="ADY1" s="101"/>
      <c r="ADZ1" s="101"/>
      <c r="AEA1" s="101"/>
      <c r="AEB1" s="101"/>
      <c r="AEC1" s="101"/>
      <c r="AED1" s="101"/>
      <c r="AEE1" s="101"/>
      <c r="AEF1" s="101"/>
      <c r="AEG1" s="101"/>
      <c r="AEH1" s="101"/>
      <c r="AEI1" s="101"/>
      <c r="AEJ1" s="101"/>
      <c r="AEK1" s="101"/>
      <c r="AEL1" s="101"/>
      <c r="AEM1" s="101"/>
      <c r="AEN1" s="101"/>
      <c r="AEO1" s="101"/>
      <c r="AEP1" s="101"/>
      <c r="AEQ1" s="101"/>
      <c r="AER1" s="101"/>
      <c r="AES1" s="101"/>
      <c r="AET1" s="101"/>
      <c r="AEU1" s="101"/>
      <c r="AEV1" s="101"/>
      <c r="AEW1" s="101"/>
      <c r="AEX1" s="101"/>
      <c r="AEY1" s="101"/>
      <c r="AEZ1" s="101"/>
      <c r="AFA1" s="101"/>
      <c r="AFB1" s="101"/>
      <c r="AFC1" s="101"/>
      <c r="AFD1" s="101"/>
      <c r="AFE1" s="101"/>
      <c r="AFF1" s="101"/>
      <c r="AFG1" s="101"/>
      <c r="AFH1" s="101"/>
      <c r="AFI1" s="101"/>
      <c r="AFJ1" s="101"/>
      <c r="AFK1" s="101"/>
      <c r="AFL1" s="101"/>
      <c r="AFM1" s="101"/>
      <c r="AFN1" s="101"/>
      <c r="AFO1" s="101"/>
      <c r="AFP1" s="101"/>
      <c r="AFQ1" s="101"/>
      <c r="AFR1" s="101"/>
      <c r="AFS1" s="101"/>
      <c r="AFT1" s="101"/>
      <c r="AFU1" s="101"/>
      <c r="AFV1" s="101"/>
      <c r="AFW1" s="101"/>
      <c r="AFX1" s="101"/>
      <c r="AFY1" s="101"/>
      <c r="AFZ1" s="101"/>
      <c r="AGA1" s="101"/>
      <c r="AGB1" s="101"/>
      <c r="AGC1" s="101"/>
      <c r="AGD1" s="101"/>
      <c r="AGE1" s="101"/>
      <c r="AGF1" s="101"/>
      <c r="AGG1" s="101"/>
      <c r="AGH1" s="101"/>
      <c r="AGI1" s="101"/>
      <c r="AGJ1" s="101"/>
      <c r="AGK1" s="101"/>
      <c r="AGL1" s="101"/>
      <c r="AGM1" s="101"/>
      <c r="AGN1" s="101"/>
      <c r="AGO1" s="101"/>
      <c r="AGP1" s="101"/>
      <c r="AGQ1" s="101"/>
      <c r="AGR1" s="101"/>
      <c r="AGS1" s="101"/>
      <c r="AGT1" s="101"/>
      <c r="AGU1" s="101"/>
      <c r="AGV1" s="101"/>
      <c r="AGW1" s="101"/>
      <c r="AGX1" s="101"/>
      <c r="AGY1" s="101"/>
      <c r="AGZ1" s="101"/>
      <c r="AHA1" s="101"/>
      <c r="AHB1" s="101"/>
      <c r="AHC1" s="101"/>
      <c r="AHD1" s="101"/>
      <c r="AHE1" s="101"/>
      <c r="AHF1" s="101"/>
      <c r="AHG1" s="101"/>
      <c r="AHH1" s="101"/>
      <c r="AHI1" s="101"/>
      <c r="AHJ1" s="101"/>
      <c r="AHK1" s="101"/>
      <c r="AHL1" s="101"/>
      <c r="AHM1" s="101"/>
      <c r="AHN1" s="101"/>
      <c r="AHO1" s="101"/>
      <c r="AHP1" s="101"/>
      <c r="AHQ1" s="101"/>
      <c r="AHR1" s="101"/>
      <c r="AHS1" s="101"/>
      <c r="AHT1" s="101"/>
      <c r="AHU1" s="101"/>
      <c r="AHV1" s="101"/>
      <c r="AHW1" s="101"/>
      <c r="AHX1" s="101"/>
      <c r="AHY1" s="101"/>
      <c r="AHZ1" s="101"/>
      <c r="AIA1" s="101"/>
      <c r="AIB1" s="101"/>
      <c r="AIC1" s="101"/>
      <c r="AID1" s="101"/>
      <c r="AIE1" s="101"/>
      <c r="AIF1" s="101"/>
      <c r="AIG1" s="101"/>
      <c r="AIH1" s="101"/>
      <c r="AII1" s="101"/>
      <c r="AIJ1" s="101"/>
      <c r="AIK1" s="101"/>
      <c r="AIL1" s="101"/>
      <c r="AIM1" s="101"/>
      <c r="AIN1" s="101"/>
      <c r="AIO1" s="101"/>
      <c r="AIP1" s="101"/>
      <c r="AIQ1" s="101"/>
      <c r="AIR1" s="101"/>
      <c r="AIS1" s="101"/>
      <c r="AIT1" s="101"/>
      <c r="AIU1" s="101"/>
      <c r="AIV1" s="101"/>
      <c r="AIW1" s="101"/>
      <c r="AIX1" s="101"/>
      <c r="AIY1" s="101"/>
      <c r="AIZ1" s="101"/>
      <c r="AJA1" s="101"/>
      <c r="AJB1" s="101"/>
      <c r="AJC1" s="101"/>
      <c r="AJD1" s="101"/>
      <c r="AJE1" s="101"/>
      <c r="AJF1" s="101"/>
      <c r="AJG1" s="101"/>
      <c r="AJH1" s="101"/>
      <c r="AJI1" s="101"/>
      <c r="AJJ1" s="101"/>
      <c r="AJK1" s="101"/>
      <c r="AJL1" s="101"/>
      <c r="AJM1" s="101"/>
      <c r="AJN1" s="101"/>
      <c r="AJO1" s="101"/>
      <c r="AJP1" s="101"/>
      <c r="AJQ1" s="101"/>
      <c r="AJR1" s="101"/>
      <c r="AJS1" s="101"/>
      <c r="AJT1" s="101"/>
      <c r="AJU1" s="101"/>
      <c r="AJV1" s="101"/>
      <c r="AJW1" s="101"/>
      <c r="AJX1" s="101"/>
      <c r="AJY1" s="101"/>
      <c r="AJZ1" s="101"/>
      <c r="AKA1" s="101"/>
      <c r="AKB1" s="101"/>
      <c r="AKC1" s="101"/>
      <c r="AKD1" s="101"/>
      <c r="AKE1" s="101"/>
      <c r="AKF1" s="101"/>
      <c r="AKG1" s="101"/>
      <c r="AKH1" s="101"/>
      <c r="AKI1" s="101"/>
      <c r="AKJ1" s="101"/>
      <c r="AKK1" s="101"/>
      <c r="AKL1" s="101"/>
    </row>
    <row r="2" spans="1:974" s="115" customFormat="1" ht="15" customHeight="1" x14ac:dyDescent="0.3">
      <c r="A2" s="103">
        <v>8470230</v>
      </c>
      <c r="B2" s="104">
        <v>420550</v>
      </c>
      <c r="C2" s="461" t="s">
        <v>3055</v>
      </c>
      <c r="D2" s="105" t="s">
        <v>3056</v>
      </c>
      <c r="E2" s="106">
        <v>0</v>
      </c>
      <c r="F2" s="107">
        <v>46600</v>
      </c>
      <c r="G2" s="108">
        <f>E2*F2</f>
        <v>0</v>
      </c>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c r="BI2" s="114"/>
      <c r="BJ2" s="114"/>
      <c r="BK2" s="114"/>
      <c r="BL2" s="114"/>
      <c r="BM2" s="114"/>
      <c r="BN2" s="114"/>
      <c r="BO2" s="114"/>
      <c r="BP2" s="114"/>
      <c r="BQ2" s="114"/>
      <c r="BR2" s="114"/>
      <c r="BS2" s="114"/>
      <c r="BT2" s="114"/>
      <c r="BU2" s="114"/>
      <c r="BV2" s="114"/>
      <c r="BW2" s="114"/>
      <c r="BX2" s="114"/>
      <c r="BY2" s="114"/>
      <c r="BZ2" s="114"/>
      <c r="CA2" s="114"/>
      <c r="CB2" s="114"/>
      <c r="CC2" s="114"/>
      <c r="CD2" s="114"/>
      <c r="CE2" s="114"/>
      <c r="CF2" s="114"/>
      <c r="CG2" s="114"/>
      <c r="CH2" s="114"/>
      <c r="CI2" s="114"/>
      <c r="CJ2" s="114"/>
      <c r="CK2" s="114"/>
      <c r="CL2" s="114"/>
      <c r="CM2" s="114"/>
      <c r="CN2" s="114"/>
      <c r="CO2" s="114"/>
      <c r="CP2" s="114"/>
      <c r="CQ2" s="114"/>
      <c r="CR2" s="114"/>
      <c r="CS2" s="114"/>
      <c r="CT2" s="114"/>
      <c r="CU2" s="114"/>
      <c r="CV2" s="114"/>
      <c r="CW2" s="114"/>
      <c r="CX2" s="114"/>
      <c r="CY2" s="114"/>
      <c r="CZ2" s="114"/>
      <c r="DA2" s="114"/>
      <c r="DB2" s="114"/>
      <c r="DC2" s="114"/>
      <c r="DD2" s="114"/>
      <c r="DE2" s="114"/>
      <c r="DF2" s="114"/>
      <c r="DG2" s="114"/>
      <c r="DH2" s="114"/>
      <c r="DI2" s="114"/>
      <c r="DJ2" s="114"/>
      <c r="DK2" s="114"/>
      <c r="DL2" s="114"/>
      <c r="DM2" s="114"/>
      <c r="DN2" s="114"/>
      <c r="DO2" s="114"/>
      <c r="DP2" s="114"/>
      <c r="DQ2" s="114"/>
      <c r="DR2" s="114"/>
      <c r="DS2" s="114"/>
      <c r="DT2" s="114"/>
      <c r="DU2" s="114"/>
      <c r="DV2" s="114"/>
      <c r="DW2" s="114"/>
      <c r="DX2" s="114"/>
      <c r="DY2" s="114"/>
      <c r="DZ2" s="114"/>
      <c r="EA2" s="114"/>
      <c r="EB2" s="114"/>
      <c r="EC2" s="114"/>
      <c r="ED2" s="114"/>
      <c r="EE2" s="114"/>
      <c r="EF2" s="114"/>
      <c r="EG2" s="114"/>
      <c r="EH2" s="114"/>
      <c r="EI2" s="114"/>
      <c r="EJ2" s="114"/>
      <c r="EK2" s="114"/>
      <c r="EL2" s="114"/>
      <c r="EM2" s="114"/>
      <c r="EN2" s="114"/>
      <c r="EO2" s="114"/>
      <c r="EP2" s="114"/>
      <c r="EQ2" s="114"/>
      <c r="ER2" s="114"/>
      <c r="ES2" s="114"/>
      <c r="ET2" s="114"/>
      <c r="EU2" s="114"/>
      <c r="EV2" s="114"/>
      <c r="EW2" s="114"/>
      <c r="EX2" s="114"/>
      <c r="EY2" s="114"/>
      <c r="EZ2" s="114"/>
      <c r="FA2" s="114"/>
      <c r="FB2" s="114"/>
      <c r="FC2" s="114"/>
      <c r="FD2" s="114"/>
      <c r="FE2" s="114"/>
      <c r="FF2" s="114"/>
      <c r="FG2" s="114"/>
      <c r="FH2" s="114"/>
      <c r="FI2" s="114"/>
      <c r="FJ2" s="114"/>
      <c r="FK2" s="114"/>
      <c r="FL2" s="114"/>
      <c r="FM2" s="114"/>
      <c r="FN2" s="114"/>
      <c r="FO2" s="114"/>
      <c r="FP2" s="114"/>
      <c r="FQ2" s="114"/>
      <c r="FR2" s="114"/>
      <c r="FS2" s="114"/>
      <c r="FT2" s="114"/>
      <c r="FU2" s="114"/>
      <c r="FV2" s="114"/>
      <c r="FW2" s="114"/>
      <c r="FX2" s="114"/>
      <c r="FY2" s="114"/>
      <c r="FZ2" s="114"/>
      <c r="GA2" s="114"/>
      <c r="GB2" s="114"/>
      <c r="GC2" s="114"/>
      <c r="GD2" s="114"/>
      <c r="GE2" s="114"/>
      <c r="GF2" s="114"/>
      <c r="GG2" s="114"/>
      <c r="GH2" s="114"/>
      <c r="GI2" s="114"/>
      <c r="GJ2" s="114"/>
      <c r="GK2" s="114"/>
      <c r="GL2" s="114"/>
      <c r="GM2" s="114"/>
      <c r="GN2" s="114"/>
      <c r="GO2" s="114"/>
      <c r="GP2" s="114"/>
      <c r="GQ2" s="114"/>
      <c r="GR2" s="114"/>
      <c r="GS2" s="114"/>
      <c r="GT2" s="114"/>
      <c r="GU2" s="114"/>
      <c r="GV2" s="114"/>
      <c r="GW2" s="114"/>
      <c r="GX2" s="114"/>
      <c r="GY2" s="114"/>
      <c r="GZ2" s="114"/>
      <c r="HA2" s="114"/>
      <c r="HB2" s="114"/>
      <c r="HC2" s="114"/>
      <c r="HD2" s="114"/>
      <c r="HE2" s="114"/>
      <c r="HF2" s="114"/>
      <c r="HG2" s="114"/>
      <c r="HH2" s="114"/>
      <c r="HI2" s="114"/>
      <c r="HJ2" s="114"/>
      <c r="HK2" s="114"/>
      <c r="HL2" s="114"/>
      <c r="HM2" s="114"/>
      <c r="HN2" s="114"/>
      <c r="HO2" s="114"/>
      <c r="HP2" s="114"/>
      <c r="HQ2" s="114"/>
      <c r="HR2" s="114"/>
      <c r="HS2" s="114"/>
      <c r="HT2" s="114"/>
      <c r="HU2" s="114"/>
      <c r="HV2" s="114"/>
      <c r="HW2" s="114"/>
      <c r="HX2" s="114"/>
      <c r="HY2" s="114"/>
      <c r="HZ2" s="114"/>
      <c r="IA2" s="114"/>
      <c r="IB2" s="114"/>
      <c r="IC2" s="114"/>
      <c r="ID2" s="114"/>
      <c r="IE2" s="114"/>
      <c r="IF2" s="114"/>
      <c r="IG2" s="114"/>
      <c r="IH2" s="114"/>
      <c r="II2" s="114"/>
      <c r="IJ2" s="114"/>
      <c r="IK2" s="114"/>
      <c r="IL2" s="114"/>
      <c r="IM2" s="114"/>
      <c r="IN2" s="114"/>
      <c r="IO2" s="114"/>
      <c r="IP2" s="114"/>
      <c r="IQ2" s="114"/>
      <c r="IR2" s="114"/>
      <c r="IS2" s="114"/>
      <c r="IT2" s="114"/>
      <c r="IU2" s="114"/>
      <c r="IV2" s="114"/>
      <c r="IW2" s="114"/>
      <c r="IX2" s="114"/>
      <c r="IY2" s="114"/>
      <c r="IZ2" s="114"/>
      <c r="JA2" s="114"/>
      <c r="JB2" s="114"/>
      <c r="JC2" s="114"/>
      <c r="JD2" s="114"/>
      <c r="JE2" s="114"/>
      <c r="JF2" s="114"/>
      <c r="JG2" s="114"/>
      <c r="JH2" s="114"/>
      <c r="JI2" s="114"/>
      <c r="JJ2" s="114"/>
      <c r="JK2" s="114"/>
      <c r="JL2" s="114"/>
      <c r="JM2" s="114"/>
      <c r="JN2" s="114"/>
      <c r="JO2" s="114"/>
      <c r="JP2" s="114"/>
      <c r="JQ2" s="114"/>
      <c r="JR2" s="114"/>
      <c r="JS2" s="114"/>
      <c r="JT2" s="114"/>
      <c r="JU2" s="114"/>
      <c r="JV2" s="114"/>
      <c r="JW2" s="114"/>
      <c r="JX2" s="114"/>
      <c r="JY2" s="114"/>
      <c r="JZ2" s="114"/>
      <c r="KA2" s="114"/>
      <c r="KB2" s="114"/>
      <c r="KC2" s="114"/>
      <c r="KD2" s="114"/>
      <c r="KE2" s="114"/>
      <c r="KF2" s="114"/>
      <c r="KG2" s="114"/>
      <c r="KH2" s="114"/>
      <c r="KI2" s="114"/>
      <c r="KJ2" s="114"/>
      <c r="KK2" s="114"/>
      <c r="KL2" s="114"/>
      <c r="KM2" s="114"/>
      <c r="KN2" s="114"/>
      <c r="KO2" s="114"/>
      <c r="KP2" s="114"/>
      <c r="KQ2" s="114"/>
      <c r="KR2" s="114"/>
      <c r="KS2" s="114"/>
      <c r="KT2" s="114"/>
      <c r="KU2" s="114"/>
      <c r="KV2" s="114"/>
      <c r="KW2" s="114"/>
      <c r="KX2" s="114"/>
      <c r="KY2" s="114"/>
      <c r="KZ2" s="114"/>
      <c r="LA2" s="114"/>
      <c r="LB2" s="114"/>
      <c r="LC2" s="114"/>
      <c r="LD2" s="114"/>
      <c r="LE2" s="114"/>
      <c r="LF2" s="114"/>
      <c r="LG2" s="114"/>
      <c r="LH2" s="114"/>
      <c r="LI2" s="114"/>
      <c r="LJ2" s="114"/>
      <c r="LK2" s="114"/>
      <c r="LL2" s="114"/>
      <c r="LM2" s="114"/>
      <c r="LN2" s="114"/>
      <c r="LO2" s="114"/>
      <c r="LP2" s="114"/>
      <c r="LQ2" s="114"/>
      <c r="LR2" s="114"/>
      <c r="LS2" s="114"/>
      <c r="LT2" s="114"/>
      <c r="LU2" s="114"/>
      <c r="LV2" s="114"/>
      <c r="LW2" s="114"/>
      <c r="LX2" s="114"/>
      <c r="LY2" s="114"/>
      <c r="LZ2" s="114"/>
      <c r="MA2" s="114"/>
      <c r="MB2" s="114"/>
      <c r="MC2" s="114"/>
      <c r="MD2" s="114"/>
      <c r="ME2" s="114"/>
      <c r="MF2" s="114"/>
      <c r="MG2" s="114"/>
      <c r="MH2" s="114"/>
      <c r="MI2" s="114"/>
      <c r="MJ2" s="114"/>
      <c r="MK2" s="114"/>
      <c r="ML2" s="114"/>
      <c r="MM2" s="114"/>
      <c r="MN2" s="114"/>
      <c r="MO2" s="114"/>
      <c r="MP2" s="114"/>
      <c r="MQ2" s="114"/>
      <c r="MR2" s="114"/>
      <c r="MS2" s="114"/>
      <c r="MT2" s="114"/>
      <c r="MU2" s="114"/>
      <c r="MV2" s="114"/>
      <c r="MW2" s="114"/>
      <c r="MX2" s="114"/>
      <c r="MY2" s="114"/>
      <c r="MZ2" s="114"/>
      <c r="NA2" s="114"/>
      <c r="NB2" s="114"/>
      <c r="NC2" s="114"/>
      <c r="ND2" s="114"/>
      <c r="NE2" s="114"/>
      <c r="NF2" s="114"/>
      <c r="NG2" s="114"/>
      <c r="NH2" s="114"/>
      <c r="NI2" s="114"/>
      <c r="NJ2" s="114"/>
      <c r="NK2" s="114"/>
      <c r="NL2" s="114"/>
      <c r="NM2" s="114"/>
      <c r="NN2" s="114"/>
      <c r="NO2" s="114"/>
      <c r="NP2" s="114"/>
      <c r="NQ2" s="114"/>
      <c r="NR2" s="114"/>
      <c r="NS2" s="114"/>
      <c r="NT2" s="114"/>
      <c r="NU2" s="114"/>
      <c r="NV2" s="114"/>
      <c r="NW2" s="114"/>
      <c r="NX2" s="114"/>
      <c r="NY2" s="114"/>
      <c r="NZ2" s="114"/>
      <c r="OA2" s="114"/>
      <c r="OB2" s="114"/>
      <c r="OC2" s="114"/>
      <c r="OD2" s="114"/>
      <c r="OE2" s="114"/>
      <c r="OF2" s="114"/>
      <c r="OG2" s="114"/>
      <c r="OH2" s="114"/>
      <c r="OI2" s="114"/>
      <c r="OJ2" s="114"/>
      <c r="OK2" s="114"/>
      <c r="OL2" s="114"/>
      <c r="OM2" s="114"/>
      <c r="ON2" s="114"/>
      <c r="OO2" s="114"/>
      <c r="OP2" s="114"/>
      <c r="OQ2" s="114"/>
      <c r="OR2" s="114"/>
      <c r="OS2" s="114"/>
      <c r="OT2" s="114"/>
      <c r="OU2" s="114"/>
      <c r="OV2" s="114"/>
      <c r="OW2" s="114"/>
      <c r="OX2" s="114"/>
      <c r="OY2" s="114"/>
      <c r="OZ2" s="114"/>
      <c r="PA2" s="114"/>
      <c r="PB2" s="114"/>
      <c r="PC2" s="114"/>
      <c r="PD2" s="114"/>
      <c r="PE2" s="114"/>
      <c r="PF2" s="114"/>
      <c r="PG2" s="114"/>
      <c r="PH2" s="114"/>
      <c r="PI2" s="114"/>
      <c r="PJ2" s="114"/>
      <c r="PK2" s="114"/>
      <c r="PL2" s="114"/>
      <c r="PM2" s="114"/>
      <c r="PN2" s="114"/>
      <c r="PO2" s="114"/>
      <c r="PP2" s="114"/>
      <c r="PQ2" s="114"/>
      <c r="PR2" s="114"/>
      <c r="PS2" s="114"/>
      <c r="PT2" s="114"/>
      <c r="PU2" s="114"/>
      <c r="PV2" s="114"/>
      <c r="PW2" s="114"/>
      <c r="PX2" s="114"/>
      <c r="PY2" s="114"/>
      <c r="PZ2" s="114"/>
      <c r="QA2" s="114"/>
      <c r="QB2" s="114"/>
      <c r="QC2" s="114"/>
      <c r="QD2" s="114"/>
      <c r="QE2" s="114"/>
      <c r="QF2" s="114"/>
      <c r="QG2" s="114"/>
      <c r="QH2" s="114"/>
      <c r="QI2" s="114"/>
      <c r="QJ2" s="114"/>
      <c r="QK2" s="114"/>
      <c r="QL2" s="114"/>
      <c r="QM2" s="114"/>
      <c r="QN2" s="114"/>
      <c r="QO2" s="114"/>
      <c r="QP2" s="114"/>
      <c r="QQ2" s="114"/>
      <c r="QR2" s="114"/>
      <c r="QS2" s="114"/>
      <c r="QT2" s="114"/>
      <c r="QU2" s="114"/>
      <c r="QV2" s="114"/>
      <c r="QW2" s="114"/>
      <c r="QX2" s="114"/>
      <c r="QY2" s="114"/>
      <c r="QZ2" s="114"/>
      <c r="RA2" s="114"/>
      <c r="RB2" s="114"/>
      <c r="RC2" s="114"/>
      <c r="RD2" s="114"/>
      <c r="RE2" s="114"/>
      <c r="RF2" s="114"/>
      <c r="RG2" s="114"/>
      <c r="RH2" s="114"/>
      <c r="RI2" s="114"/>
      <c r="RJ2" s="114"/>
      <c r="RK2" s="114"/>
      <c r="RL2" s="114"/>
      <c r="RM2" s="114"/>
      <c r="RN2" s="114"/>
      <c r="RO2" s="114"/>
      <c r="RP2" s="114"/>
      <c r="RQ2" s="114"/>
      <c r="RR2" s="114"/>
      <c r="RS2" s="114"/>
      <c r="RT2" s="114"/>
      <c r="RU2" s="114"/>
      <c r="RV2" s="114"/>
      <c r="RW2" s="114"/>
      <c r="RX2" s="114"/>
      <c r="RY2" s="114"/>
      <c r="RZ2" s="114"/>
      <c r="SA2" s="114"/>
      <c r="SB2" s="114"/>
      <c r="SC2" s="114"/>
      <c r="SD2" s="114"/>
      <c r="SE2" s="114"/>
      <c r="SF2" s="114"/>
      <c r="SG2" s="114"/>
      <c r="SH2" s="114"/>
      <c r="SI2" s="114"/>
      <c r="SJ2" s="114"/>
      <c r="SK2" s="114"/>
      <c r="SL2" s="114"/>
      <c r="SM2" s="114"/>
      <c r="SN2" s="114"/>
      <c r="SO2" s="114"/>
      <c r="SP2" s="114"/>
      <c r="SQ2" s="114"/>
      <c r="SR2" s="114"/>
      <c r="SS2" s="114"/>
      <c r="ST2" s="114"/>
      <c r="SU2" s="114"/>
      <c r="SV2" s="114"/>
      <c r="SW2" s="114"/>
      <c r="SX2" s="114"/>
      <c r="SY2" s="114"/>
      <c r="SZ2" s="114"/>
      <c r="TA2" s="114"/>
      <c r="TB2" s="114"/>
      <c r="TC2" s="114"/>
      <c r="TD2" s="114"/>
      <c r="TE2" s="114"/>
      <c r="TF2" s="114"/>
      <c r="TG2" s="114"/>
      <c r="TH2" s="114"/>
      <c r="TI2" s="114"/>
      <c r="TJ2" s="114"/>
      <c r="TK2" s="114"/>
      <c r="TL2" s="114"/>
      <c r="TM2" s="114"/>
      <c r="TN2" s="114"/>
      <c r="TO2" s="114"/>
      <c r="TP2" s="114"/>
      <c r="TQ2" s="114"/>
      <c r="TR2" s="114"/>
      <c r="TS2" s="114"/>
      <c r="TT2" s="114"/>
      <c r="TU2" s="114"/>
      <c r="TV2" s="114"/>
      <c r="TW2" s="114"/>
      <c r="TX2" s="114"/>
      <c r="TY2" s="114"/>
      <c r="TZ2" s="114"/>
      <c r="UA2" s="114"/>
      <c r="UB2" s="114"/>
      <c r="UC2" s="114"/>
      <c r="UD2" s="114"/>
      <c r="UE2" s="114"/>
      <c r="UF2" s="114"/>
      <c r="UG2" s="114"/>
      <c r="UH2" s="114"/>
      <c r="UI2" s="114"/>
      <c r="UJ2" s="114"/>
      <c r="UK2" s="114"/>
      <c r="UL2" s="114"/>
      <c r="UM2" s="114"/>
      <c r="UN2" s="114"/>
      <c r="UO2" s="114"/>
      <c r="UP2" s="114"/>
      <c r="UQ2" s="114"/>
      <c r="UR2" s="114"/>
      <c r="US2" s="114"/>
      <c r="UT2" s="114"/>
      <c r="UU2" s="114"/>
      <c r="UV2" s="114"/>
      <c r="UW2" s="114"/>
      <c r="UX2" s="114"/>
      <c r="UY2" s="114"/>
      <c r="UZ2" s="114"/>
      <c r="VA2" s="114"/>
      <c r="VB2" s="114"/>
      <c r="VC2" s="114"/>
      <c r="VD2" s="114"/>
      <c r="VE2" s="114"/>
      <c r="VF2" s="114"/>
      <c r="VG2" s="114"/>
      <c r="VH2" s="114"/>
      <c r="VI2" s="114"/>
      <c r="VJ2" s="114"/>
      <c r="VK2" s="114"/>
      <c r="VL2" s="114"/>
      <c r="VM2" s="114"/>
      <c r="VN2" s="114"/>
      <c r="VO2" s="114"/>
      <c r="VP2" s="114"/>
      <c r="VQ2" s="114"/>
      <c r="VR2" s="114"/>
      <c r="VS2" s="114"/>
      <c r="VT2" s="114"/>
      <c r="VU2" s="114"/>
      <c r="VV2" s="114"/>
      <c r="VW2" s="114"/>
      <c r="VX2" s="114"/>
      <c r="VY2" s="114"/>
      <c r="VZ2" s="114"/>
      <c r="WA2" s="114"/>
      <c r="WB2" s="114"/>
      <c r="WC2" s="114"/>
      <c r="WD2" s="114"/>
      <c r="WE2" s="114"/>
      <c r="WF2" s="114"/>
      <c r="WG2" s="114"/>
      <c r="WH2" s="114"/>
      <c r="WI2" s="114"/>
      <c r="WJ2" s="114"/>
      <c r="WK2" s="114"/>
      <c r="WL2" s="114"/>
      <c r="WM2" s="114"/>
      <c r="WN2" s="114"/>
      <c r="WO2" s="114"/>
      <c r="WP2" s="114"/>
      <c r="WQ2" s="114"/>
      <c r="WR2" s="114"/>
      <c r="WS2" s="114"/>
      <c r="WT2" s="114"/>
      <c r="WU2" s="114"/>
      <c r="WV2" s="114"/>
      <c r="WW2" s="114"/>
      <c r="WX2" s="114"/>
      <c r="WY2" s="114"/>
      <c r="WZ2" s="114"/>
      <c r="XA2" s="114"/>
      <c r="XB2" s="114"/>
      <c r="XC2" s="114"/>
      <c r="XD2" s="114"/>
      <c r="XE2" s="114"/>
      <c r="XF2" s="114"/>
      <c r="XG2" s="114"/>
      <c r="XH2" s="114"/>
      <c r="XI2" s="114"/>
      <c r="XJ2" s="114"/>
      <c r="XK2" s="114"/>
      <c r="XL2" s="114"/>
      <c r="XM2" s="114"/>
      <c r="XN2" s="114"/>
      <c r="XO2" s="114"/>
      <c r="XP2" s="114"/>
      <c r="XQ2" s="114"/>
      <c r="XR2" s="114"/>
      <c r="XS2" s="114"/>
      <c r="XT2" s="114"/>
      <c r="XU2" s="114"/>
      <c r="XV2" s="114"/>
      <c r="XW2" s="114"/>
      <c r="XX2" s="114"/>
      <c r="XY2" s="114"/>
      <c r="XZ2" s="114"/>
      <c r="YA2" s="114"/>
      <c r="YB2" s="114"/>
      <c r="YC2" s="114"/>
      <c r="YD2" s="114"/>
      <c r="YE2" s="114"/>
      <c r="YF2" s="114"/>
      <c r="YG2" s="114"/>
      <c r="YH2" s="114"/>
      <c r="YI2" s="114"/>
      <c r="YJ2" s="114"/>
      <c r="YK2" s="114"/>
      <c r="YL2" s="114"/>
      <c r="YM2" s="114"/>
      <c r="YN2" s="114"/>
      <c r="YO2" s="114"/>
      <c r="YP2" s="114"/>
      <c r="YQ2" s="114"/>
      <c r="YR2" s="114"/>
      <c r="YS2" s="114"/>
      <c r="YT2" s="114"/>
      <c r="YU2" s="114"/>
      <c r="YV2" s="114"/>
      <c r="YW2" s="114"/>
      <c r="YX2" s="114"/>
      <c r="YY2" s="114"/>
      <c r="YZ2" s="114"/>
      <c r="ZA2" s="114"/>
      <c r="ZB2" s="114"/>
      <c r="ZC2" s="114"/>
      <c r="ZD2" s="114"/>
      <c r="ZE2" s="114"/>
      <c r="ZF2" s="114"/>
      <c r="ZG2" s="114"/>
      <c r="ZH2" s="114"/>
      <c r="ZI2" s="114"/>
      <c r="ZJ2" s="114"/>
      <c r="ZK2" s="114"/>
      <c r="ZL2" s="114"/>
      <c r="ZM2" s="114"/>
      <c r="ZN2" s="114"/>
      <c r="ZO2" s="114"/>
      <c r="ZP2" s="114"/>
      <c r="ZQ2" s="114"/>
      <c r="ZR2" s="114"/>
      <c r="ZS2" s="114"/>
      <c r="ZT2" s="114"/>
      <c r="ZU2" s="114"/>
      <c r="ZV2" s="114"/>
      <c r="ZW2" s="114"/>
      <c r="ZX2" s="114"/>
      <c r="ZY2" s="114"/>
      <c r="ZZ2" s="114"/>
      <c r="AAA2" s="114"/>
      <c r="AAB2" s="114"/>
      <c r="AAC2" s="114"/>
      <c r="AAD2" s="114"/>
      <c r="AAE2" s="114"/>
      <c r="AAF2" s="114"/>
      <c r="AAG2" s="114"/>
      <c r="AAH2" s="114"/>
      <c r="AAI2" s="114"/>
      <c r="AAJ2" s="114"/>
      <c r="AAK2" s="114"/>
      <c r="AAL2" s="114"/>
      <c r="AAM2" s="114"/>
      <c r="AAN2" s="114"/>
      <c r="AAO2" s="114"/>
      <c r="AAP2" s="114"/>
      <c r="AAQ2" s="114"/>
      <c r="AAR2" s="114"/>
      <c r="AAS2" s="114"/>
      <c r="AAT2" s="114"/>
      <c r="AAU2" s="114"/>
      <c r="AAV2" s="114"/>
      <c r="AAW2" s="114"/>
      <c r="AAX2" s="114"/>
      <c r="AAY2" s="114"/>
      <c r="AAZ2" s="114"/>
      <c r="ABA2" s="114"/>
      <c r="ABB2" s="114"/>
      <c r="ABC2" s="114"/>
      <c r="ABD2" s="114"/>
      <c r="ABE2" s="114"/>
      <c r="ABF2" s="114"/>
      <c r="ABG2" s="114"/>
      <c r="ABH2" s="114"/>
      <c r="ABI2" s="114"/>
      <c r="ABJ2" s="114"/>
      <c r="ABK2" s="114"/>
      <c r="ABL2" s="114"/>
      <c r="ABM2" s="114"/>
      <c r="ABN2" s="114"/>
      <c r="ABO2" s="114"/>
      <c r="ABP2" s="114"/>
      <c r="ABQ2" s="114"/>
      <c r="ABR2" s="114"/>
      <c r="ABS2" s="114"/>
      <c r="ABT2" s="114"/>
      <c r="ABU2" s="114"/>
      <c r="ABV2" s="114"/>
      <c r="ABW2" s="114"/>
      <c r="ABX2" s="114"/>
      <c r="ABY2" s="114"/>
      <c r="ABZ2" s="114"/>
      <c r="ACA2" s="114"/>
      <c r="ACB2" s="114"/>
      <c r="ACC2" s="114"/>
      <c r="ACD2" s="114"/>
      <c r="ACE2" s="114"/>
      <c r="ACF2" s="114"/>
      <c r="ACG2" s="114"/>
      <c r="ACH2" s="114"/>
      <c r="ACI2" s="114"/>
      <c r="ACJ2" s="114"/>
      <c r="ACK2" s="114"/>
      <c r="ACL2" s="114"/>
      <c r="ACM2" s="114"/>
      <c r="ACN2" s="114"/>
      <c r="ACO2" s="114"/>
      <c r="ACP2" s="114"/>
      <c r="ACQ2" s="114"/>
      <c r="ACR2" s="114"/>
      <c r="ACS2" s="114"/>
      <c r="ACT2" s="114"/>
      <c r="ACU2" s="114"/>
      <c r="ACV2" s="114"/>
      <c r="ACW2" s="114"/>
      <c r="ACX2" s="114"/>
      <c r="ACY2" s="114"/>
      <c r="ACZ2" s="114"/>
      <c r="ADA2" s="114"/>
      <c r="ADB2" s="114"/>
      <c r="ADC2" s="114"/>
      <c r="ADD2" s="114"/>
      <c r="ADE2" s="114"/>
      <c r="ADF2" s="114"/>
      <c r="ADG2" s="114"/>
      <c r="ADH2" s="114"/>
      <c r="ADI2" s="114"/>
      <c r="ADJ2" s="114"/>
      <c r="ADK2" s="114"/>
      <c r="ADL2" s="114"/>
      <c r="ADM2" s="114"/>
      <c r="ADN2" s="114"/>
      <c r="ADO2" s="114"/>
      <c r="ADP2" s="114"/>
      <c r="ADQ2" s="114"/>
      <c r="ADR2" s="114"/>
      <c r="ADS2" s="114"/>
      <c r="ADT2" s="114"/>
      <c r="ADU2" s="114"/>
      <c r="ADV2" s="114"/>
      <c r="ADW2" s="114"/>
      <c r="ADX2" s="114"/>
      <c r="ADY2" s="114"/>
      <c r="ADZ2" s="114"/>
      <c r="AEA2" s="114"/>
      <c r="AEB2" s="114"/>
      <c r="AEC2" s="114"/>
      <c r="AED2" s="114"/>
      <c r="AEE2" s="114"/>
      <c r="AEF2" s="114"/>
      <c r="AEG2" s="114"/>
      <c r="AEH2" s="114"/>
      <c r="AEI2" s="114"/>
      <c r="AEJ2" s="114"/>
      <c r="AEK2" s="114"/>
      <c r="AEL2" s="114"/>
      <c r="AEM2" s="114"/>
      <c r="AEN2" s="114"/>
      <c r="AEO2" s="114"/>
      <c r="AEP2" s="114"/>
      <c r="AEQ2" s="114"/>
      <c r="AER2" s="114"/>
      <c r="AES2" s="114"/>
      <c r="AET2" s="114"/>
      <c r="AEU2" s="114"/>
      <c r="AEV2" s="114"/>
      <c r="AEW2" s="114"/>
      <c r="AEX2" s="114"/>
      <c r="AEY2" s="114"/>
      <c r="AEZ2" s="114"/>
      <c r="AFA2" s="114"/>
      <c r="AFB2" s="114"/>
      <c r="AFC2" s="114"/>
      <c r="AFD2" s="114"/>
      <c r="AFE2" s="114"/>
      <c r="AFF2" s="114"/>
      <c r="AFG2" s="114"/>
      <c r="AFH2" s="114"/>
      <c r="AFI2" s="114"/>
      <c r="AFJ2" s="114"/>
      <c r="AFK2" s="114"/>
      <c r="AFL2" s="114"/>
      <c r="AFM2" s="114"/>
      <c r="AFN2" s="114"/>
      <c r="AFO2" s="114"/>
      <c r="AFP2" s="114"/>
      <c r="AFQ2" s="114"/>
      <c r="AFR2" s="114"/>
      <c r="AFS2" s="114"/>
      <c r="AFT2" s="114"/>
      <c r="AFU2" s="114"/>
      <c r="AFV2" s="114"/>
      <c r="AFW2" s="114"/>
      <c r="AFX2" s="114"/>
      <c r="AFY2" s="114"/>
      <c r="AFZ2" s="114"/>
      <c r="AGA2" s="114"/>
      <c r="AGB2" s="114"/>
      <c r="AGC2" s="114"/>
      <c r="AGD2" s="114"/>
      <c r="AGE2" s="114"/>
      <c r="AGF2" s="114"/>
      <c r="AGG2" s="114"/>
      <c r="AGH2" s="114"/>
      <c r="AGI2" s="114"/>
      <c r="AGJ2" s="114"/>
      <c r="AGK2" s="114"/>
      <c r="AGL2" s="114"/>
      <c r="AGM2" s="114"/>
      <c r="AGN2" s="114"/>
      <c r="AGO2" s="114"/>
      <c r="AGP2" s="114"/>
      <c r="AGQ2" s="114"/>
      <c r="AGR2" s="114"/>
      <c r="AGS2" s="114"/>
      <c r="AGT2" s="114"/>
      <c r="AGU2" s="114"/>
      <c r="AGV2" s="114"/>
      <c r="AGW2" s="114"/>
      <c r="AGX2" s="114"/>
      <c r="AGY2" s="114"/>
      <c r="AGZ2" s="114"/>
      <c r="AHA2" s="114"/>
      <c r="AHB2" s="114"/>
      <c r="AHC2" s="114"/>
      <c r="AHD2" s="114"/>
      <c r="AHE2" s="114"/>
      <c r="AHF2" s="114"/>
      <c r="AHG2" s="114"/>
      <c r="AHH2" s="114"/>
      <c r="AHI2" s="114"/>
      <c r="AHJ2" s="114"/>
      <c r="AHK2" s="114"/>
      <c r="AHL2" s="114"/>
      <c r="AHM2" s="114"/>
      <c r="AHN2" s="114"/>
      <c r="AHO2" s="114"/>
      <c r="AHP2" s="114"/>
      <c r="AHQ2" s="114"/>
      <c r="AHR2" s="114"/>
      <c r="AHS2" s="114"/>
      <c r="AHT2" s="114"/>
      <c r="AHU2" s="114"/>
      <c r="AHV2" s="114"/>
      <c r="AHW2" s="114"/>
      <c r="AHX2" s="114"/>
      <c r="AHY2" s="114"/>
      <c r="AHZ2" s="114"/>
      <c r="AIA2" s="114"/>
      <c r="AIB2" s="114"/>
      <c r="AIC2" s="114"/>
      <c r="AID2" s="114"/>
      <c r="AIE2" s="114"/>
      <c r="AIF2" s="114"/>
      <c r="AIG2" s="114"/>
      <c r="AIH2" s="114"/>
      <c r="AII2" s="114"/>
      <c r="AIJ2" s="114"/>
      <c r="AIK2" s="114"/>
      <c r="AIL2" s="114"/>
      <c r="AIM2" s="114"/>
      <c r="AIN2" s="114"/>
      <c r="AIO2" s="114"/>
      <c r="AIP2" s="114"/>
      <c r="AIQ2" s="114"/>
      <c r="AIR2" s="114"/>
      <c r="AIS2" s="114"/>
      <c r="AIT2" s="114"/>
      <c r="AIU2" s="114"/>
      <c r="AIV2" s="114"/>
      <c r="AIW2" s="114"/>
      <c r="AIX2" s="114"/>
      <c r="AIY2" s="114"/>
      <c r="AIZ2" s="114"/>
      <c r="AJA2" s="114"/>
      <c r="AJB2" s="114"/>
      <c r="AJC2" s="114"/>
      <c r="AJD2" s="114"/>
      <c r="AJE2" s="114"/>
      <c r="AJF2" s="114"/>
      <c r="AJG2" s="114"/>
      <c r="AJH2" s="114"/>
      <c r="AJI2" s="114"/>
      <c r="AJJ2" s="114"/>
      <c r="AJK2" s="114"/>
      <c r="AJL2" s="114"/>
      <c r="AJM2" s="114"/>
      <c r="AJN2" s="114"/>
      <c r="AJO2" s="114"/>
      <c r="AJP2" s="114"/>
      <c r="AJQ2" s="114"/>
      <c r="AJR2" s="114"/>
      <c r="AJS2" s="114"/>
      <c r="AJT2" s="114"/>
      <c r="AJU2" s="114"/>
      <c r="AJV2" s="114"/>
      <c r="AJW2" s="114"/>
      <c r="AJX2" s="114"/>
      <c r="AJY2" s="114"/>
      <c r="AJZ2" s="114"/>
      <c r="AKA2" s="114"/>
      <c r="AKB2" s="114"/>
      <c r="AKC2" s="114"/>
      <c r="AKD2" s="114"/>
      <c r="AKE2" s="114"/>
      <c r="AKF2" s="114"/>
      <c r="AKG2" s="114"/>
      <c r="AKH2" s="114"/>
      <c r="AKI2" s="114"/>
      <c r="AKJ2" s="114"/>
      <c r="AKK2" s="114"/>
      <c r="AKL2" s="114"/>
    </row>
    <row r="3" spans="1:974" ht="15" customHeight="1" x14ac:dyDescent="0.3">
      <c r="A3" s="116"/>
      <c r="B3" s="117"/>
      <c r="C3" s="462"/>
      <c r="D3" s="118" t="s">
        <v>3057</v>
      </c>
      <c r="E3" s="119">
        <v>88</v>
      </c>
      <c r="F3" s="120">
        <v>31420</v>
      </c>
      <c r="G3" s="121">
        <f t="shared" ref="G3:G32" si="0">E3*F3</f>
        <v>2764960</v>
      </c>
    </row>
    <row r="4" spans="1:974" ht="15" customHeight="1" x14ac:dyDescent="0.3">
      <c r="A4" s="116"/>
      <c r="B4" s="117"/>
      <c r="C4" s="463"/>
      <c r="D4" s="464" t="s">
        <v>2823</v>
      </c>
      <c r="E4" s="465"/>
      <c r="F4" s="466"/>
      <c r="G4" s="127">
        <f>SUM(G2:G3)</f>
        <v>2764960</v>
      </c>
    </row>
    <row r="5" spans="1:974" s="115" customFormat="1" ht="15" customHeight="1" x14ac:dyDescent="0.3">
      <c r="A5" s="103">
        <v>8470230</v>
      </c>
      <c r="B5" s="104">
        <v>425100</v>
      </c>
      <c r="C5" s="461" t="s">
        <v>3059</v>
      </c>
      <c r="D5" s="130" t="s">
        <v>3060</v>
      </c>
      <c r="E5" s="131">
        <v>1</v>
      </c>
      <c r="F5" s="132">
        <v>40000</v>
      </c>
      <c r="G5" s="133">
        <f t="shared" si="0"/>
        <v>40000</v>
      </c>
      <c r="H5" s="114"/>
      <c r="I5" s="114"/>
      <c r="J5" s="114"/>
      <c r="K5" s="114"/>
      <c r="L5" s="114"/>
      <c r="M5" s="114"/>
      <c r="N5" s="114"/>
      <c r="O5" s="114"/>
      <c r="P5" s="114"/>
      <c r="Q5" s="114"/>
      <c r="R5" s="114"/>
      <c r="S5" s="114"/>
      <c r="T5" s="114"/>
      <c r="U5" s="114"/>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4"/>
      <c r="BL5" s="114"/>
      <c r="BM5" s="114"/>
      <c r="BN5" s="114"/>
      <c r="BO5" s="114"/>
      <c r="BP5" s="114"/>
      <c r="BQ5" s="114"/>
      <c r="BR5" s="114"/>
      <c r="BS5" s="114"/>
      <c r="BT5" s="114"/>
      <c r="BU5" s="114"/>
      <c r="BV5" s="114"/>
      <c r="BW5" s="114"/>
      <c r="BX5" s="114"/>
      <c r="BY5" s="114"/>
      <c r="BZ5" s="114"/>
      <c r="CA5" s="114"/>
      <c r="CB5" s="114"/>
      <c r="CC5" s="114"/>
      <c r="CD5" s="114"/>
      <c r="CE5" s="114"/>
      <c r="CF5" s="114"/>
      <c r="CG5" s="114"/>
      <c r="CH5" s="114"/>
      <c r="CI5" s="114"/>
      <c r="CJ5" s="114"/>
      <c r="CK5" s="114"/>
      <c r="CL5" s="114"/>
      <c r="CM5" s="114"/>
      <c r="CN5" s="114"/>
      <c r="CO5" s="114"/>
      <c r="CP5" s="114"/>
      <c r="CQ5" s="114"/>
      <c r="CR5" s="114"/>
      <c r="CS5" s="114"/>
      <c r="CT5" s="114"/>
      <c r="CU5" s="114"/>
      <c r="CV5" s="114"/>
      <c r="CW5" s="114"/>
      <c r="CX5" s="114"/>
      <c r="CY5" s="114"/>
      <c r="CZ5" s="114"/>
      <c r="DA5" s="114"/>
      <c r="DB5" s="114"/>
      <c r="DC5" s="114"/>
      <c r="DD5" s="114"/>
      <c r="DE5" s="114"/>
      <c r="DF5" s="114"/>
      <c r="DG5" s="114"/>
      <c r="DH5" s="114"/>
      <c r="DI5" s="114"/>
      <c r="DJ5" s="114"/>
      <c r="DK5" s="114"/>
      <c r="DL5" s="114"/>
      <c r="DM5" s="114"/>
      <c r="DN5" s="114"/>
      <c r="DO5" s="114"/>
      <c r="DP5" s="114"/>
      <c r="DQ5" s="114"/>
      <c r="DR5" s="114"/>
      <c r="DS5" s="114"/>
      <c r="DT5" s="114"/>
      <c r="DU5" s="114"/>
      <c r="DV5" s="114"/>
      <c r="DW5" s="114"/>
      <c r="DX5" s="114"/>
      <c r="DY5" s="114"/>
      <c r="DZ5" s="114"/>
      <c r="EA5" s="114"/>
      <c r="EB5" s="114"/>
      <c r="EC5" s="114"/>
      <c r="ED5" s="114"/>
      <c r="EE5" s="114"/>
      <c r="EF5" s="114"/>
      <c r="EG5" s="114"/>
      <c r="EH5" s="114"/>
      <c r="EI5" s="114"/>
      <c r="EJ5" s="114"/>
      <c r="EK5" s="114"/>
      <c r="EL5" s="114"/>
      <c r="EM5" s="114"/>
      <c r="EN5" s="114"/>
      <c r="EO5" s="114"/>
      <c r="EP5" s="114"/>
      <c r="EQ5" s="114"/>
      <c r="ER5" s="114"/>
      <c r="ES5" s="114"/>
      <c r="ET5" s="114"/>
      <c r="EU5" s="114"/>
      <c r="EV5" s="114"/>
      <c r="EW5" s="114"/>
      <c r="EX5" s="114"/>
      <c r="EY5" s="114"/>
      <c r="EZ5" s="114"/>
      <c r="FA5" s="114"/>
      <c r="FB5" s="114"/>
      <c r="FC5" s="114"/>
      <c r="FD5" s="114"/>
      <c r="FE5" s="114"/>
      <c r="FF5" s="114"/>
      <c r="FG5" s="114"/>
      <c r="FH5" s="114"/>
      <c r="FI5" s="114"/>
      <c r="FJ5" s="114"/>
      <c r="FK5" s="114"/>
      <c r="FL5" s="114"/>
      <c r="FM5" s="114"/>
      <c r="FN5" s="114"/>
      <c r="FO5" s="114"/>
      <c r="FP5" s="114"/>
      <c r="FQ5" s="114"/>
      <c r="FR5" s="114"/>
      <c r="FS5" s="114"/>
      <c r="FT5" s="114"/>
      <c r="FU5" s="114"/>
      <c r="FV5" s="114"/>
      <c r="FW5" s="114"/>
      <c r="FX5" s="114"/>
      <c r="FY5" s="114"/>
      <c r="FZ5" s="114"/>
      <c r="GA5" s="114"/>
      <c r="GB5" s="114"/>
      <c r="GC5" s="114"/>
      <c r="GD5" s="114"/>
      <c r="GE5" s="114"/>
      <c r="GF5" s="114"/>
      <c r="GG5" s="114"/>
      <c r="GH5" s="114"/>
      <c r="GI5" s="114"/>
      <c r="GJ5" s="114"/>
      <c r="GK5" s="114"/>
      <c r="GL5" s="114"/>
      <c r="GM5" s="114"/>
      <c r="GN5" s="114"/>
      <c r="GO5" s="114"/>
      <c r="GP5" s="114"/>
      <c r="GQ5" s="114"/>
      <c r="GR5" s="114"/>
      <c r="GS5" s="114"/>
      <c r="GT5" s="114"/>
      <c r="GU5" s="114"/>
      <c r="GV5" s="114"/>
      <c r="GW5" s="114"/>
      <c r="GX5" s="114"/>
      <c r="GY5" s="114"/>
      <c r="GZ5" s="114"/>
      <c r="HA5" s="114"/>
      <c r="HB5" s="114"/>
      <c r="HC5" s="114"/>
      <c r="HD5" s="114"/>
      <c r="HE5" s="114"/>
      <c r="HF5" s="114"/>
      <c r="HG5" s="114"/>
      <c r="HH5" s="114"/>
      <c r="HI5" s="114"/>
      <c r="HJ5" s="114"/>
      <c r="HK5" s="114"/>
      <c r="HL5" s="114"/>
      <c r="HM5" s="114"/>
      <c r="HN5" s="114"/>
      <c r="HO5" s="114"/>
      <c r="HP5" s="114"/>
      <c r="HQ5" s="114"/>
      <c r="HR5" s="114"/>
      <c r="HS5" s="114"/>
      <c r="HT5" s="114"/>
      <c r="HU5" s="114"/>
      <c r="HV5" s="114"/>
      <c r="HW5" s="114"/>
      <c r="HX5" s="114"/>
      <c r="HY5" s="114"/>
      <c r="HZ5" s="114"/>
      <c r="IA5" s="114"/>
      <c r="IB5" s="114"/>
      <c r="IC5" s="114"/>
      <c r="ID5" s="114"/>
      <c r="IE5" s="114"/>
      <c r="IF5" s="114"/>
      <c r="IG5" s="114"/>
      <c r="IH5" s="114"/>
      <c r="II5" s="114"/>
      <c r="IJ5" s="114"/>
      <c r="IK5" s="114"/>
      <c r="IL5" s="114"/>
      <c r="IM5" s="114"/>
      <c r="IN5" s="114"/>
      <c r="IO5" s="114"/>
      <c r="IP5" s="114"/>
      <c r="IQ5" s="114"/>
      <c r="IR5" s="114"/>
      <c r="IS5" s="114"/>
      <c r="IT5" s="114"/>
      <c r="IU5" s="114"/>
      <c r="IV5" s="114"/>
      <c r="IW5" s="114"/>
      <c r="IX5" s="114"/>
      <c r="IY5" s="114"/>
      <c r="IZ5" s="114"/>
      <c r="JA5" s="114"/>
      <c r="JB5" s="114"/>
      <c r="JC5" s="114"/>
      <c r="JD5" s="114"/>
      <c r="JE5" s="114"/>
      <c r="JF5" s="114"/>
      <c r="JG5" s="114"/>
      <c r="JH5" s="114"/>
      <c r="JI5" s="114"/>
      <c r="JJ5" s="114"/>
      <c r="JK5" s="114"/>
      <c r="JL5" s="114"/>
      <c r="JM5" s="114"/>
      <c r="JN5" s="114"/>
      <c r="JO5" s="114"/>
      <c r="JP5" s="114"/>
      <c r="JQ5" s="114"/>
      <c r="JR5" s="114"/>
      <c r="JS5" s="114"/>
      <c r="JT5" s="114"/>
      <c r="JU5" s="114"/>
      <c r="JV5" s="114"/>
      <c r="JW5" s="114"/>
      <c r="JX5" s="114"/>
      <c r="JY5" s="114"/>
      <c r="JZ5" s="114"/>
      <c r="KA5" s="114"/>
      <c r="KB5" s="114"/>
      <c r="KC5" s="114"/>
      <c r="KD5" s="114"/>
      <c r="KE5" s="114"/>
      <c r="KF5" s="114"/>
      <c r="KG5" s="114"/>
      <c r="KH5" s="114"/>
      <c r="KI5" s="114"/>
      <c r="KJ5" s="114"/>
      <c r="KK5" s="114"/>
      <c r="KL5" s="114"/>
      <c r="KM5" s="114"/>
      <c r="KN5" s="114"/>
      <c r="KO5" s="114"/>
      <c r="KP5" s="114"/>
      <c r="KQ5" s="114"/>
      <c r="KR5" s="114"/>
      <c r="KS5" s="114"/>
      <c r="KT5" s="114"/>
      <c r="KU5" s="114"/>
      <c r="KV5" s="114"/>
      <c r="KW5" s="114"/>
      <c r="KX5" s="114"/>
      <c r="KY5" s="114"/>
      <c r="KZ5" s="114"/>
      <c r="LA5" s="114"/>
      <c r="LB5" s="114"/>
      <c r="LC5" s="114"/>
      <c r="LD5" s="114"/>
      <c r="LE5" s="114"/>
      <c r="LF5" s="114"/>
      <c r="LG5" s="114"/>
      <c r="LH5" s="114"/>
      <c r="LI5" s="114"/>
      <c r="LJ5" s="114"/>
      <c r="LK5" s="114"/>
      <c r="LL5" s="114"/>
      <c r="LM5" s="114"/>
      <c r="LN5" s="114"/>
      <c r="LO5" s="114"/>
      <c r="LP5" s="114"/>
      <c r="LQ5" s="114"/>
      <c r="LR5" s="114"/>
      <c r="LS5" s="114"/>
      <c r="LT5" s="114"/>
      <c r="LU5" s="114"/>
      <c r="LV5" s="114"/>
      <c r="LW5" s="114"/>
      <c r="LX5" s="114"/>
      <c r="LY5" s="114"/>
      <c r="LZ5" s="114"/>
      <c r="MA5" s="114"/>
      <c r="MB5" s="114"/>
      <c r="MC5" s="114"/>
      <c r="MD5" s="114"/>
      <c r="ME5" s="114"/>
      <c r="MF5" s="114"/>
      <c r="MG5" s="114"/>
      <c r="MH5" s="114"/>
      <c r="MI5" s="114"/>
      <c r="MJ5" s="114"/>
      <c r="MK5" s="114"/>
      <c r="ML5" s="114"/>
      <c r="MM5" s="114"/>
      <c r="MN5" s="114"/>
      <c r="MO5" s="114"/>
      <c r="MP5" s="114"/>
      <c r="MQ5" s="114"/>
      <c r="MR5" s="114"/>
      <c r="MS5" s="114"/>
      <c r="MT5" s="114"/>
      <c r="MU5" s="114"/>
      <c r="MV5" s="114"/>
      <c r="MW5" s="114"/>
      <c r="MX5" s="114"/>
      <c r="MY5" s="114"/>
      <c r="MZ5" s="114"/>
      <c r="NA5" s="114"/>
      <c r="NB5" s="114"/>
      <c r="NC5" s="114"/>
      <c r="ND5" s="114"/>
      <c r="NE5" s="114"/>
      <c r="NF5" s="114"/>
      <c r="NG5" s="114"/>
      <c r="NH5" s="114"/>
      <c r="NI5" s="114"/>
      <c r="NJ5" s="114"/>
      <c r="NK5" s="114"/>
      <c r="NL5" s="114"/>
      <c r="NM5" s="114"/>
      <c r="NN5" s="114"/>
      <c r="NO5" s="114"/>
      <c r="NP5" s="114"/>
      <c r="NQ5" s="114"/>
      <c r="NR5" s="114"/>
      <c r="NS5" s="114"/>
      <c r="NT5" s="114"/>
      <c r="NU5" s="114"/>
      <c r="NV5" s="114"/>
      <c r="NW5" s="114"/>
      <c r="NX5" s="114"/>
      <c r="NY5" s="114"/>
      <c r="NZ5" s="114"/>
      <c r="OA5" s="114"/>
      <c r="OB5" s="114"/>
      <c r="OC5" s="114"/>
      <c r="OD5" s="114"/>
      <c r="OE5" s="114"/>
      <c r="OF5" s="114"/>
      <c r="OG5" s="114"/>
      <c r="OH5" s="114"/>
      <c r="OI5" s="114"/>
      <c r="OJ5" s="114"/>
      <c r="OK5" s="114"/>
      <c r="OL5" s="114"/>
      <c r="OM5" s="114"/>
      <c r="ON5" s="114"/>
      <c r="OO5" s="114"/>
      <c r="OP5" s="114"/>
      <c r="OQ5" s="114"/>
      <c r="OR5" s="114"/>
      <c r="OS5" s="114"/>
      <c r="OT5" s="114"/>
      <c r="OU5" s="114"/>
      <c r="OV5" s="114"/>
      <c r="OW5" s="114"/>
      <c r="OX5" s="114"/>
      <c r="OY5" s="114"/>
      <c r="OZ5" s="114"/>
      <c r="PA5" s="114"/>
      <c r="PB5" s="114"/>
      <c r="PC5" s="114"/>
      <c r="PD5" s="114"/>
      <c r="PE5" s="114"/>
      <c r="PF5" s="114"/>
      <c r="PG5" s="114"/>
      <c r="PH5" s="114"/>
      <c r="PI5" s="114"/>
      <c r="PJ5" s="114"/>
      <c r="PK5" s="114"/>
      <c r="PL5" s="114"/>
      <c r="PM5" s="114"/>
      <c r="PN5" s="114"/>
      <c r="PO5" s="114"/>
      <c r="PP5" s="114"/>
      <c r="PQ5" s="114"/>
      <c r="PR5" s="114"/>
      <c r="PS5" s="114"/>
      <c r="PT5" s="114"/>
      <c r="PU5" s="114"/>
      <c r="PV5" s="114"/>
      <c r="PW5" s="114"/>
      <c r="PX5" s="114"/>
      <c r="PY5" s="114"/>
      <c r="PZ5" s="114"/>
      <c r="QA5" s="114"/>
      <c r="QB5" s="114"/>
      <c r="QC5" s="114"/>
      <c r="QD5" s="114"/>
      <c r="QE5" s="114"/>
      <c r="QF5" s="114"/>
      <c r="QG5" s="114"/>
      <c r="QH5" s="114"/>
      <c r="QI5" s="114"/>
      <c r="QJ5" s="114"/>
      <c r="QK5" s="114"/>
      <c r="QL5" s="114"/>
      <c r="QM5" s="114"/>
      <c r="QN5" s="114"/>
      <c r="QO5" s="114"/>
      <c r="QP5" s="114"/>
      <c r="QQ5" s="114"/>
      <c r="QR5" s="114"/>
      <c r="QS5" s="114"/>
      <c r="QT5" s="114"/>
      <c r="QU5" s="114"/>
      <c r="QV5" s="114"/>
      <c r="QW5" s="114"/>
      <c r="QX5" s="114"/>
      <c r="QY5" s="114"/>
      <c r="QZ5" s="114"/>
      <c r="RA5" s="114"/>
      <c r="RB5" s="114"/>
      <c r="RC5" s="114"/>
      <c r="RD5" s="114"/>
      <c r="RE5" s="114"/>
      <c r="RF5" s="114"/>
      <c r="RG5" s="114"/>
      <c r="RH5" s="114"/>
      <c r="RI5" s="114"/>
      <c r="RJ5" s="114"/>
      <c r="RK5" s="114"/>
      <c r="RL5" s="114"/>
      <c r="RM5" s="114"/>
      <c r="RN5" s="114"/>
      <c r="RO5" s="114"/>
      <c r="RP5" s="114"/>
      <c r="RQ5" s="114"/>
      <c r="RR5" s="114"/>
      <c r="RS5" s="114"/>
      <c r="RT5" s="114"/>
      <c r="RU5" s="114"/>
      <c r="RV5" s="114"/>
      <c r="RW5" s="114"/>
      <c r="RX5" s="114"/>
      <c r="RY5" s="114"/>
      <c r="RZ5" s="114"/>
      <c r="SA5" s="114"/>
      <c r="SB5" s="114"/>
      <c r="SC5" s="114"/>
      <c r="SD5" s="114"/>
      <c r="SE5" s="114"/>
      <c r="SF5" s="114"/>
      <c r="SG5" s="114"/>
      <c r="SH5" s="114"/>
      <c r="SI5" s="114"/>
      <c r="SJ5" s="114"/>
      <c r="SK5" s="114"/>
      <c r="SL5" s="114"/>
      <c r="SM5" s="114"/>
      <c r="SN5" s="114"/>
      <c r="SO5" s="114"/>
      <c r="SP5" s="114"/>
      <c r="SQ5" s="114"/>
      <c r="SR5" s="114"/>
      <c r="SS5" s="114"/>
      <c r="ST5" s="114"/>
      <c r="SU5" s="114"/>
      <c r="SV5" s="114"/>
      <c r="SW5" s="114"/>
      <c r="SX5" s="114"/>
      <c r="SY5" s="114"/>
      <c r="SZ5" s="114"/>
      <c r="TA5" s="114"/>
      <c r="TB5" s="114"/>
      <c r="TC5" s="114"/>
      <c r="TD5" s="114"/>
      <c r="TE5" s="114"/>
      <c r="TF5" s="114"/>
      <c r="TG5" s="114"/>
      <c r="TH5" s="114"/>
      <c r="TI5" s="114"/>
      <c r="TJ5" s="114"/>
      <c r="TK5" s="114"/>
      <c r="TL5" s="114"/>
      <c r="TM5" s="114"/>
      <c r="TN5" s="114"/>
      <c r="TO5" s="114"/>
      <c r="TP5" s="114"/>
      <c r="TQ5" s="114"/>
      <c r="TR5" s="114"/>
      <c r="TS5" s="114"/>
      <c r="TT5" s="114"/>
      <c r="TU5" s="114"/>
      <c r="TV5" s="114"/>
      <c r="TW5" s="114"/>
      <c r="TX5" s="114"/>
      <c r="TY5" s="114"/>
      <c r="TZ5" s="114"/>
      <c r="UA5" s="114"/>
      <c r="UB5" s="114"/>
      <c r="UC5" s="114"/>
      <c r="UD5" s="114"/>
      <c r="UE5" s="114"/>
      <c r="UF5" s="114"/>
      <c r="UG5" s="114"/>
      <c r="UH5" s="114"/>
      <c r="UI5" s="114"/>
      <c r="UJ5" s="114"/>
      <c r="UK5" s="114"/>
      <c r="UL5" s="114"/>
      <c r="UM5" s="114"/>
      <c r="UN5" s="114"/>
      <c r="UO5" s="114"/>
      <c r="UP5" s="114"/>
      <c r="UQ5" s="114"/>
      <c r="UR5" s="114"/>
      <c r="US5" s="114"/>
      <c r="UT5" s="114"/>
      <c r="UU5" s="114"/>
      <c r="UV5" s="114"/>
      <c r="UW5" s="114"/>
      <c r="UX5" s="114"/>
      <c r="UY5" s="114"/>
      <c r="UZ5" s="114"/>
      <c r="VA5" s="114"/>
      <c r="VB5" s="114"/>
      <c r="VC5" s="114"/>
      <c r="VD5" s="114"/>
      <c r="VE5" s="114"/>
      <c r="VF5" s="114"/>
      <c r="VG5" s="114"/>
      <c r="VH5" s="114"/>
      <c r="VI5" s="114"/>
      <c r="VJ5" s="114"/>
      <c r="VK5" s="114"/>
      <c r="VL5" s="114"/>
      <c r="VM5" s="114"/>
      <c r="VN5" s="114"/>
      <c r="VO5" s="114"/>
      <c r="VP5" s="114"/>
      <c r="VQ5" s="114"/>
      <c r="VR5" s="114"/>
      <c r="VS5" s="114"/>
      <c r="VT5" s="114"/>
      <c r="VU5" s="114"/>
      <c r="VV5" s="114"/>
      <c r="VW5" s="114"/>
      <c r="VX5" s="114"/>
      <c r="VY5" s="114"/>
      <c r="VZ5" s="114"/>
      <c r="WA5" s="114"/>
      <c r="WB5" s="114"/>
      <c r="WC5" s="114"/>
      <c r="WD5" s="114"/>
      <c r="WE5" s="114"/>
      <c r="WF5" s="114"/>
      <c r="WG5" s="114"/>
      <c r="WH5" s="114"/>
      <c r="WI5" s="114"/>
      <c r="WJ5" s="114"/>
      <c r="WK5" s="114"/>
      <c r="WL5" s="114"/>
      <c r="WM5" s="114"/>
      <c r="WN5" s="114"/>
      <c r="WO5" s="114"/>
      <c r="WP5" s="114"/>
      <c r="WQ5" s="114"/>
      <c r="WR5" s="114"/>
      <c r="WS5" s="114"/>
      <c r="WT5" s="114"/>
      <c r="WU5" s="114"/>
      <c r="WV5" s="114"/>
      <c r="WW5" s="114"/>
      <c r="WX5" s="114"/>
      <c r="WY5" s="114"/>
      <c r="WZ5" s="114"/>
      <c r="XA5" s="114"/>
      <c r="XB5" s="114"/>
      <c r="XC5" s="114"/>
      <c r="XD5" s="114"/>
      <c r="XE5" s="114"/>
      <c r="XF5" s="114"/>
      <c r="XG5" s="114"/>
      <c r="XH5" s="114"/>
      <c r="XI5" s="114"/>
      <c r="XJ5" s="114"/>
      <c r="XK5" s="114"/>
      <c r="XL5" s="114"/>
      <c r="XM5" s="114"/>
      <c r="XN5" s="114"/>
      <c r="XO5" s="114"/>
      <c r="XP5" s="114"/>
      <c r="XQ5" s="114"/>
      <c r="XR5" s="114"/>
      <c r="XS5" s="114"/>
      <c r="XT5" s="114"/>
      <c r="XU5" s="114"/>
      <c r="XV5" s="114"/>
      <c r="XW5" s="114"/>
      <c r="XX5" s="114"/>
      <c r="XY5" s="114"/>
      <c r="XZ5" s="114"/>
      <c r="YA5" s="114"/>
      <c r="YB5" s="114"/>
      <c r="YC5" s="114"/>
      <c r="YD5" s="114"/>
      <c r="YE5" s="114"/>
      <c r="YF5" s="114"/>
      <c r="YG5" s="114"/>
      <c r="YH5" s="114"/>
      <c r="YI5" s="114"/>
      <c r="YJ5" s="114"/>
      <c r="YK5" s="114"/>
      <c r="YL5" s="114"/>
      <c r="YM5" s="114"/>
      <c r="YN5" s="114"/>
      <c r="YO5" s="114"/>
      <c r="YP5" s="114"/>
      <c r="YQ5" s="114"/>
      <c r="YR5" s="114"/>
      <c r="YS5" s="114"/>
      <c r="YT5" s="114"/>
      <c r="YU5" s="114"/>
      <c r="YV5" s="114"/>
      <c r="YW5" s="114"/>
      <c r="YX5" s="114"/>
      <c r="YY5" s="114"/>
      <c r="YZ5" s="114"/>
      <c r="ZA5" s="114"/>
      <c r="ZB5" s="114"/>
      <c r="ZC5" s="114"/>
      <c r="ZD5" s="114"/>
      <c r="ZE5" s="114"/>
      <c r="ZF5" s="114"/>
      <c r="ZG5" s="114"/>
      <c r="ZH5" s="114"/>
      <c r="ZI5" s="114"/>
      <c r="ZJ5" s="114"/>
      <c r="ZK5" s="114"/>
      <c r="ZL5" s="114"/>
      <c r="ZM5" s="114"/>
      <c r="ZN5" s="114"/>
      <c r="ZO5" s="114"/>
      <c r="ZP5" s="114"/>
      <c r="ZQ5" s="114"/>
      <c r="ZR5" s="114"/>
      <c r="ZS5" s="114"/>
      <c r="ZT5" s="114"/>
      <c r="ZU5" s="114"/>
      <c r="ZV5" s="114"/>
      <c r="ZW5" s="114"/>
      <c r="ZX5" s="114"/>
      <c r="ZY5" s="114"/>
      <c r="ZZ5" s="114"/>
      <c r="AAA5" s="114"/>
      <c r="AAB5" s="114"/>
      <c r="AAC5" s="114"/>
      <c r="AAD5" s="114"/>
      <c r="AAE5" s="114"/>
      <c r="AAF5" s="114"/>
      <c r="AAG5" s="114"/>
      <c r="AAH5" s="114"/>
      <c r="AAI5" s="114"/>
      <c r="AAJ5" s="114"/>
      <c r="AAK5" s="114"/>
      <c r="AAL5" s="114"/>
      <c r="AAM5" s="114"/>
      <c r="AAN5" s="114"/>
      <c r="AAO5" s="114"/>
      <c r="AAP5" s="114"/>
      <c r="AAQ5" s="114"/>
      <c r="AAR5" s="114"/>
      <c r="AAS5" s="114"/>
      <c r="AAT5" s="114"/>
      <c r="AAU5" s="114"/>
      <c r="AAV5" s="114"/>
      <c r="AAW5" s="114"/>
      <c r="AAX5" s="114"/>
      <c r="AAY5" s="114"/>
      <c r="AAZ5" s="114"/>
      <c r="ABA5" s="114"/>
      <c r="ABB5" s="114"/>
      <c r="ABC5" s="114"/>
      <c r="ABD5" s="114"/>
      <c r="ABE5" s="114"/>
      <c r="ABF5" s="114"/>
      <c r="ABG5" s="114"/>
      <c r="ABH5" s="114"/>
      <c r="ABI5" s="114"/>
      <c r="ABJ5" s="114"/>
      <c r="ABK5" s="114"/>
      <c r="ABL5" s="114"/>
      <c r="ABM5" s="114"/>
      <c r="ABN5" s="114"/>
      <c r="ABO5" s="114"/>
      <c r="ABP5" s="114"/>
      <c r="ABQ5" s="114"/>
      <c r="ABR5" s="114"/>
      <c r="ABS5" s="114"/>
      <c r="ABT5" s="114"/>
      <c r="ABU5" s="114"/>
      <c r="ABV5" s="114"/>
      <c r="ABW5" s="114"/>
      <c r="ABX5" s="114"/>
      <c r="ABY5" s="114"/>
      <c r="ABZ5" s="114"/>
      <c r="ACA5" s="114"/>
      <c r="ACB5" s="114"/>
      <c r="ACC5" s="114"/>
      <c r="ACD5" s="114"/>
      <c r="ACE5" s="114"/>
      <c r="ACF5" s="114"/>
      <c r="ACG5" s="114"/>
      <c r="ACH5" s="114"/>
      <c r="ACI5" s="114"/>
      <c r="ACJ5" s="114"/>
      <c r="ACK5" s="114"/>
      <c r="ACL5" s="114"/>
      <c r="ACM5" s="114"/>
      <c r="ACN5" s="114"/>
      <c r="ACO5" s="114"/>
      <c r="ACP5" s="114"/>
      <c r="ACQ5" s="114"/>
      <c r="ACR5" s="114"/>
      <c r="ACS5" s="114"/>
      <c r="ACT5" s="114"/>
      <c r="ACU5" s="114"/>
      <c r="ACV5" s="114"/>
      <c r="ACW5" s="114"/>
      <c r="ACX5" s="114"/>
      <c r="ACY5" s="114"/>
      <c r="ACZ5" s="114"/>
      <c r="ADA5" s="114"/>
      <c r="ADB5" s="114"/>
      <c r="ADC5" s="114"/>
      <c r="ADD5" s="114"/>
      <c r="ADE5" s="114"/>
      <c r="ADF5" s="114"/>
      <c r="ADG5" s="114"/>
      <c r="ADH5" s="114"/>
      <c r="ADI5" s="114"/>
      <c r="ADJ5" s="114"/>
      <c r="ADK5" s="114"/>
      <c r="ADL5" s="114"/>
      <c r="ADM5" s="114"/>
      <c r="ADN5" s="114"/>
      <c r="ADO5" s="114"/>
      <c r="ADP5" s="114"/>
      <c r="ADQ5" s="114"/>
      <c r="ADR5" s="114"/>
      <c r="ADS5" s="114"/>
      <c r="ADT5" s="114"/>
      <c r="ADU5" s="114"/>
      <c r="ADV5" s="114"/>
      <c r="ADW5" s="114"/>
      <c r="ADX5" s="114"/>
      <c r="ADY5" s="114"/>
      <c r="ADZ5" s="114"/>
      <c r="AEA5" s="114"/>
      <c r="AEB5" s="114"/>
      <c r="AEC5" s="114"/>
      <c r="AED5" s="114"/>
      <c r="AEE5" s="114"/>
      <c r="AEF5" s="114"/>
      <c r="AEG5" s="114"/>
      <c r="AEH5" s="114"/>
      <c r="AEI5" s="114"/>
      <c r="AEJ5" s="114"/>
      <c r="AEK5" s="114"/>
      <c r="AEL5" s="114"/>
      <c r="AEM5" s="114"/>
      <c r="AEN5" s="114"/>
      <c r="AEO5" s="114"/>
      <c r="AEP5" s="114"/>
      <c r="AEQ5" s="114"/>
      <c r="AER5" s="114"/>
      <c r="AES5" s="114"/>
      <c r="AET5" s="114"/>
      <c r="AEU5" s="114"/>
      <c r="AEV5" s="114"/>
      <c r="AEW5" s="114"/>
      <c r="AEX5" s="114"/>
      <c r="AEY5" s="114"/>
      <c r="AEZ5" s="114"/>
      <c r="AFA5" s="114"/>
      <c r="AFB5" s="114"/>
      <c r="AFC5" s="114"/>
      <c r="AFD5" s="114"/>
      <c r="AFE5" s="114"/>
      <c r="AFF5" s="114"/>
      <c r="AFG5" s="114"/>
      <c r="AFH5" s="114"/>
      <c r="AFI5" s="114"/>
      <c r="AFJ5" s="114"/>
      <c r="AFK5" s="114"/>
      <c r="AFL5" s="114"/>
      <c r="AFM5" s="114"/>
      <c r="AFN5" s="114"/>
      <c r="AFO5" s="114"/>
      <c r="AFP5" s="114"/>
      <c r="AFQ5" s="114"/>
      <c r="AFR5" s="114"/>
      <c r="AFS5" s="114"/>
      <c r="AFT5" s="114"/>
      <c r="AFU5" s="114"/>
      <c r="AFV5" s="114"/>
      <c r="AFW5" s="114"/>
      <c r="AFX5" s="114"/>
      <c r="AFY5" s="114"/>
      <c r="AFZ5" s="114"/>
      <c r="AGA5" s="114"/>
      <c r="AGB5" s="114"/>
      <c r="AGC5" s="114"/>
      <c r="AGD5" s="114"/>
      <c r="AGE5" s="114"/>
      <c r="AGF5" s="114"/>
      <c r="AGG5" s="114"/>
      <c r="AGH5" s="114"/>
      <c r="AGI5" s="114"/>
      <c r="AGJ5" s="114"/>
      <c r="AGK5" s="114"/>
      <c r="AGL5" s="114"/>
      <c r="AGM5" s="114"/>
      <c r="AGN5" s="114"/>
      <c r="AGO5" s="114"/>
      <c r="AGP5" s="114"/>
      <c r="AGQ5" s="114"/>
      <c r="AGR5" s="114"/>
      <c r="AGS5" s="114"/>
      <c r="AGT5" s="114"/>
      <c r="AGU5" s="114"/>
      <c r="AGV5" s="114"/>
      <c r="AGW5" s="114"/>
      <c r="AGX5" s="114"/>
      <c r="AGY5" s="114"/>
      <c r="AGZ5" s="114"/>
      <c r="AHA5" s="114"/>
      <c r="AHB5" s="114"/>
      <c r="AHC5" s="114"/>
      <c r="AHD5" s="114"/>
      <c r="AHE5" s="114"/>
      <c r="AHF5" s="114"/>
      <c r="AHG5" s="114"/>
      <c r="AHH5" s="114"/>
      <c r="AHI5" s="114"/>
      <c r="AHJ5" s="114"/>
      <c r="AHK5" s="114"/>
      <c r="AHL5" s="114"/>
      <c r="AHM5" s="114"/>
      <c r="AHN5" s="114"/>
      <c r="AHO5" s="114"/>
      <c r="AHP5" s="114"/>
      <c r="AHQ5" s="114"/>
      <c r="AHR5" s="114"/>
      <c r="AHS5" s="114"/>
      <c r="AHT5" s="114"/>
      <c r="AHU5" s="114"/>
      <c r="AHV5" s="114"/>
      <c r="AHW5" s="114"/>
      <c r="AHX5" s="114"/>
      <c r="AHY5" s="114"/>
      <c r="AHZ5" s="114"/>
      <c r="AIA5" s="114"/>
      <c r="AIB5" s="114"/>
      <c r="AIC5" s="114"/>
      <c r="AID5" s="114"/>
      <c r="AIE5" s="114"/>
      <c r="AIF5" s="114"/>
      <c r="AIG5" s="114"/>
      <c r="AIH5" s="114"/>
      <c r="AII5" s="114"/>
      <c r="AIJ5" s="114"/>
      <c r="AIK5" s="114"/>
      <c r="AIL5" s="114"/>
      <c r="AIM5" s="114"/>
      <c r="AIN5" s="114"/>
      <c r="AIO5" s="114"/>
      <c r="AIP5" s="114"/>
      <c r="AIQ5" s="114"/>
      <c r="AIR5" s="114"/>
      <c r="AIS5" s="114"/>
      <c r="AIT5" s="114"/>
      <c r="AIU5" s="114"/>
      <c r="AIV5" s="114"/>
      <c r="AIW5" s="114"/>
      <c r="AIX5" s="114"/>
      <c r="AIY5" s="114"/>
      <c r="AIZ5" s="114"/>
      <c r="AJA5" s="114"/>
      <c r="AJB5" s="114"/>
      <c r="AJC5" s="114"/>
      <c r="AJD5" s="114"/>
      <c r="AJE5" s="114"/>
      <c r="AJF5" s="114"/>
      <c r="AJG5" s="114"/>
      <c r="AJH5" s="114"/>
      <c r="AJI5" s="114"/>
      <c r="AJJ5" s="114"/>
      <c r="AJK5" s="114"/>
      <c r="AJL5" s="114"/>
      <c r="AJM5" s="114"/>
      <c r="AJN5" s="114"/>
      <c r="AJO5" s="114"/>
      <c r="AJP5" s="114"/>
      <c r="AJQ5" s="114"/>
      <c r="AJR5" s="114"/>
      <c r="AJS5" s="114"/>
      <c r="AJT5" s="114"/>
      <c r="AJU5" s="114"/>
      <c r="AJV5" s="114"/>
      <c r="AJW5" s="114"/>
      <c r="AJX5" s="114"/>
      <c r="AJY5" s="114"/>
      <c r="AJZ5" s="114"/>
      <c r="AKA5" s="114"/>
      <c r="AKB5" s="114"/>
      <c r="AKC5" s="114"/>
      <c r="AKD5" s="114"/>
      <c r="AKE5" s="114"/>
      <c r="AKF5" s="114"/>
      <c r="AKG5" s="114"/>
      <c r="AKH5" s="114"/>
      <c r="AKI5" s="114"/>
      <c r="AKJ5" s="114"/>
      <c r="AKK5" s="114"/>
      <c r="AKL5" s="114"/>
    </row>
    <row r="6" spans="1:974" s="115" customFormat="1" ht="15" customHeight="1" x14ac:dyDescent="0.3">
      <c r="A6" s="116"/>
      <c r="B6" s="117"/>
      <c r="C6" s="462"/>
      <c r="D6" s="138" t="s">
        <v>3061</v>
      </c>
      <c r="E6" s="139">
        <v>1</v>
      </c>
      <c r="F6" s="140">
        <v>30000</v>
      </c>
      <c r="G6" s="141">
        <f t="shared" si="0"/>
        <v>30000</v>
      </c>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c r="BQ6" s="114"/>
      <c r="BR6" s="114"/>
      <c r="BS6" s="114"/>
      <c r="BT6" s="114"/>
      <c r="BU6" s="114"/>
      <c r="BV6" s="114"/>
      <c r="BW6" s="114"/>
      <c r="BX6" s="114"/>
      <c r="BY6" s="114"/>
      <c r="BZ6" s="114"/>
      <c r="CA6" s="114"/>
      <c r="CB6" s="114"/>
      <c r="CC6" s="114"/>
      <c r="CD6" s="114"/>
      <c r="CE6" s="114"/>
      <c r="CF6" s="114"/>
      <c r="CG6" s="114"/>
      <c r="CH6" s="114"/>
      <c r="CI6" s="114"/>
      <c r="CJ6" s="114"/>
      <c r="CK6" s="114"/>
      <c r="CL6" s="114"/>
      <c r="CM6" s="114"/>
      <c r="CN6" s="114"/>
      <c r="CO6" s="114"/>
      <c r="CP6" s="114"/>
      <c r="CQ6" s="114"/>
      <c r="CR6" s="114"/>
      <c r="CS6" s="114"/>
      <c r="CT6" s="114"/>
      <c r="CU6" s="114"/>
      <c r="CV6" s="114"/>
      <c r="CW6" s="114"/>
      <c r="CX6" s="114"/>
      <c r="CY6" s="114"/>
      <c r="CZ6" s="114"/>
      <c r="DA6" s="114"/>
      <c r="DB6" s="114"/>
      <c r="DC6" s="114"/>
      <c r="DD6" s="114"/>
      <c r="DE6" s="114"/>
      <c r="DF6" s="114"/>
      <c r="DG6" s="114"/>
      <c r="DH6" s="114"/>
      <c r="DI6" s="114"/>
      <c r="DJ6" s="114"/>
      <c r="DK6" s="114"/>
      <c r="DL6" s="114"/>
      <c r="DM6" s="114"/>
      <c r="DN6" s="114"/>
      <c r="DO6" s="114"/>
      <c r="DP6" s="114"/>
      <c r="DQ6" s="114"/>
      <c r="DR6" s="114"/>
      <c r="DS6" s="114"/>
      <c r="DT6" s="114"/>
      <c r="DU6" s="114"/>
      <c r="DV6" s="114"/>
      <c r="DW6" s="114"/>
      <c r="DX6" s="114"/>
      <c r="DY6" s="114"/>
      <c r="DZ6" s="114"/>
      <c r="EA6" s="114"/>
      <c r="EB6" s="114"/>
      <c r="EC6" s="114"/>
      <c r="ED6" s="114"/>
      <c r="EE6" s="114"/>
      <c r="EF6" s="114"/>
      <c r="EG6" s="114"/>
      <c r="EH6" s="114"/>
      <c r="EI6" s="114"/>
      <c r="EJ6" s="114"/>
      <c r="EK6" s="114"/>
      <c r="EL6" s="114"/>
      <c r="EM6" s="114"/>
      <c r="EN6" s="114"/>
      <c r="EO6" s="114"/>
      <c r="EP6" s="114"/>
      <c r="EQ6" s="114"/>
      <c r="ER6" s="114"/>
      <c r="ES6" s="114"/>
      <c r="ET6" s="114"/>
      <c r="EU6" s="114"/>
      <c r="EV6" s="114"/>
      <c r="EW6" s="114"/>
      <c r="EX6" s="114"/>
      <c r="EY6" s="114"/>
      <c r="EZ6" s="114"/>
      <c r="FA6" s="114"/>
      <c r="FB6" s="114"/>
      <c r="FC6" s="114"/>
      <c r="FD6" s="114"/>
      <c r="FE6" s="114"/>
      <c r="FF6" s="114"/>
      <c r="FG6" s="114"/>
      <c r="FH6" s="114"/>
      <c r="FI6" s="114"/>
      <c r="FJ6" s="114"/>
      <c r="FK6" s="114"/>
      <c r="FL6" s="114"/>
      <c r="FM6" s="114"/>
      <c r="FN6" s="114"/>
      <c r="FO6" s="114"/>
      <c r="FP6" s="114"/>
      <c r="FQ6" s="114"/>
      <c r="FR6" s="114"/>
      <c r="FS6" s="114"/>
      <c r="FT6" s="114"/>
      <c r="FU6" s="114"/>
      <c r="FV6" s="114"/>
      <c r="FW6" s="114"/>
      <c r="FX6" s="114"/>
      <c r="FY6" s="114"/>
      <c r="FZ6" s="114"/>
      <c r="GA6" s="114"/>
      <c r="GB6" s="114"/>
      <c r="GC6" s="114"/>
      <c r="GD6" s="114"/>
      <c r="GE6" s="114"/>
      <c r="GF6" s="114"/>
      <c r="GG6" s="114"/>
      <c r="GH6" s="114"/>
      <c r="GI6" s="114"/>
      <c r="GJ6" s="114"/>
      <c r="GK6" s="114"/>
      <c r="GL6" s="114"/>
      <c r="GM6" s="114"/>
      <c r="GN6" s="114"/>
      <c r="GO6" s="114"/>
      <c r="GP6" s="114"/>
      <c r="GQ6" s="114"/>
      <c r="GR6" s="114"/>
      <c r="GS6" s="114"/>
      <c r="GT6" s="114"/>
      <c r="GU6" s="114"/>
      <c r="GV6" s="114"/>
      <c r="GW6" s="114"/>
      <c r="GX6" s="114"/>
      <c r="GY6" s="114"/>
      <c r="GZ6" s="114"/>
      <c r="HA6" s="114"/>
      <c r="HB6" s="114"/>
      <c r="HC6" s="114"/>
      <c r="HD6" s="114"/>
      <c r="HE6" s="114"/>
      <c r="HF6" s="114"/>
      <c r="HG6" s="114"/>
      <c r="HH6" s="114"/>
      <c r="HI6" s="114"/>
      <c r="HJ6" s="114"/>
      <c r="HK6" s="114"/>
      <c r="HL6" s="114"/>
      <c r="HM6" s="114"/>
      <c r="HN6" s="114"/>
      <c r="HO6" s="114"/>
      <c r="HP6" s="114"/>
      <c r="HQ6" s="114"/>
      <c r="HR6" s="114"/>
      <c r="HS6" s="114"/>
      <c r="HT6" s="114"/>
      <c r="HU6" s="114"/>
      <c r="HV6" s="114"/>
      <c r="HW6" s="114"/>
      <c r="HX6" s="114"/>
      <c r="HY6" s="114"/>
      <c r="HZ6" s="114"/>
      <c r="IA6" s="114"/>
      <c r="IB6" s="114"/>
      <c r="IC6" s="114"/>
      <c r="ID6" s="114"/>
      <c r="IE6" s="114"/>
      <c r="IF6" s="114"/>
      <c r="IG6" s="114"/>
      <c r="IH6" s="114"/>
      <c r="II6" s="114"/>
      <c r="IJ6" s="114"/>
      <c r="IK6" s="114"/>
      <c r="IL6" s="114"/>
      <c r="IM6" s="114"/>
      <c r="IN6" s="114"/>
      <c r="IO6" s="114"/>
      <c r="IP6" s="114"/>
      <c r="IQ6" s="114"/>
      <c r="IR6" s="114"/>
      <c r="IS6" s="114"/>
      <c r="IT6" s="114"/>
      <c r="IU6" s="114"/>
      <c r="IV6" s="114"/>
      <c r="IW6" s="114"/>
      <c r="IX6" s="114"/>
      <c r="IY6" s="114"/>
      <c r="IZ6" s="114"/>
      <c r="JA6" s="114"/>
      <c r="JB6" s="114"/>
      <c r="JC6" s="114"/>
      <c r="JD6" s="114"/>
      <c r="JE6" s="114"/>
      <c r="JF6" s="114"/>
      <c r="JG6" s="114"/>
      <c r="JH6" s="114"/>
      <c r="JI6" s="114"/>
      <c r="JJ6" s="114"/>
      <c r="JK6" s="114"/>
      <c r="JL6" s="114"/>
      <c r="JM6" s="114"/>
      <c r="JN6" s="114"/>
      <c r="JO6" s="114"/>
      <c r="JP6" s="114"/>
      <c r="JQ6" s="114"/>
      <c r="JR6" s="114"/>
      <c r="JS6" s="114"/>
      <c r="JT6" s="114"/>
      <c r="JU6" s="114"/>
      <c r="JV6" s="114"/>
      <c r="JW6" s="114"/>
      <c r="JX6" s="114"/>
      <c r="JY6" s="114"/>
      <c r="JZ6" s="114"/>
      <c r="KA6" s="114"/>
      <c r="KB6" s="114"/>
      <c r="KC6" s="114"/>
      <c r="KD6" s="114"/>
      <c r="KE6" s="114"/>
      <c r="KF6" s="114"/>
      <c r="KG6" s="114"/>
      <c r="KH6" s="114"/>
      <c r="KI6" s="114"/>
      <c r="KJ6" s="114"/>
      <c r="KK6" s="114"/>
      <c r="KL6" s="114"/>
      <c r="KM6" s="114"/>
      <c r="KN6" s="114"/>
      <c r="KO6" s="114"/>
      <c r="KP6" s="114"/>
      <c r="KQ6" s="114"/>
      <c r="KR6" s="114"/>
      <c r="KS6" s="114"/>
      <c r="KT6" s="114"/>
      <c r="KU6" s="114"/>
      <c r="KV6" s="114"/>
      <c r="KW6" s="114"/>
      <c r="KX6" s="114"/>
      <c r="KY6" s="114"/>
      <c r="KZ6" s="114"/>
      <c r="LA6" s="114"/>
      <c r="LB6" s="114"/>
      <c r="LC6" s="114"/>
      <c r="LD6" s="114"/>
      <c r="LE6" s="114"/>
      <c r="LF6" s="114"/>
      <c r="LG6" s="114"/>
      <c r="LH6" s="114"/>
      <c r="LI6" s="114"/>
      <c r="LJ6" s="114"/>
      <c r="LK6" s="114"/>
      <c r="LL6" s="114"/>
      <c r="LM6" s="114"/>
      <c r="LN6" s="114"/>
      <c r="LO6" s="114"/>
      <c r="LP6" s="114"/>
      <c r="LQ6" s="114"/>
      <c r="LR6" s="114"/>
      <c r="LS6" s="114"/>
      <c r="LT6" s="114"/>
      <c r="LU6" s="114"/>
      <c r="LV6" s="114"/>
      <c r="LW6" s="114"/>
      <c r="LX6" s="114"/>
      <c r="LY6" s="114"/>
      <c r="LZ6" s="114"/>
      <c r="MA6" s="114"/>
      <c r="MB6" s="114"/>
      <c r="MC6" s="114"/>
      <c r="MD6" s="114"/>
      <c r="ME6" s="114"/>
      <c r="MF6" s="114"/>
      <c r="MG6" s="114"/>
      <c r="MH6" s="114"/>
      <c r="MI6" s="114"/>
      <c r="MJ6" s="114"/>
      <c r="MK6" s="114"/>
      <c r="ML6" s="114"/>
      <c r="MM6" s="114"/>
      <c r="MN6" s="114"/>
      <c r="MO6" s="114"/>
      <c r="MP6" s="114"/>
      <c r="MQ6" s="114"/>
      <c r="MR6" s="114"/>
      <c r="MS6" s="114"/>
      <c r="MT6" s="114"/>
      <c r="MU6" s="114"/>
      <c r="MV6" s="114"/>
      <c r="MW6" s="114"/>
      <c r="MX6" s="114"/>
      <c r="MY6" s="114"/>
      <c r="MZ6" s="114"/>
      <c r="NA6" s="114"/>
      <c r="NB6" s="114"/>
      <c r="NC6" s="114"/>
      <c r="ND6" s="114"/>
      <c r="NE6" s="114"/>
      <c r="NF6" s="114"/>
      <c r="NG6" s="114"/>
      <c r="NH6" s="114"/>
      <c r="NI6" s="114"/>
      <c r="NJ6" s="114"/>
      <c r="NK6" s="114"/>
      <c r="NL6" s="114"/>
      <c r="NM6" s="114"/>
      <c r="NN6" s="114"/>
      <c r="NO6" s="114"/>
      <c r="NP6" s="114"/>
      <c r="NQ6" s="114"/>
      <c r="NR6" s="114"/>
      <c r="NS6" s="114"/>
      <c r="NT6" s="114"/>
      <c r="NU6" s="114"/>
      <c r="NV6" s="114"/>
      <c r="NW6" s="114"/>
      <c r="NX6" s="114"/>
      <c r="NY6" s="114"/>
      <c r="NZ6" s="114"/>
      <c r="OA6" s="114"/>
      <c r="OB6" s="114"/>
      <c r="OC6" s="114"/>
      <c r="OD6" s="114"/>
      <c r="OE6" s="114"/>
      <c r="OF6" s="114"/>
      <c r="OG6" s="114"/>
      <c r="OH6" s="114"/>
      <c r="OI6" s="114"/>
      <c r="OJ6" s="114"/>
      <c r="OK6" s="114"/>
      <c r="OL6" s="114"/>
      <c r="OM6" s="114"/>
      <c r="ON6" s="114"/>
      <c r="OO6" s="114"/>
      <c r="OP6" s="114"/>
      <c r="OQ6" s="114"/>
      <c r="OR6" s="114"/>
      <c r="OS6" s="114"/>
      <c r="OT6" s="114"/>
      <c r="OU6" s="114"/>
      <c r="OV6" s="114"/>
      <c r="OW6" s="114"/>
      <c r="OX6" s="114"/>
      <c r="OY6" s="114"/>
      <c r="OZ6" s="114"/>
      <c r="PA6" s="114"/>
      <c r="PB6" s="114"/>
      <c r="PC6" s="114"/>
      <c r="PD6" s="114"/>
      <c r="PE6" s="114"/>
      <c r="PF6" s="114"/>
      <c r="PG6" s="114"/>
      <c r="PH6" s="114"/>
      <c r="PI6" s="114"/>
      <c r="PJ6" s="114"/>
      <c r="PK6" s="114"/>
      <c r="PL6" s="114"/>
      <c r="PM6" s="114"/>
      <c r="PN6" s="114"/>
      <c r="PO6" s="114"/>
      <c r="PP6" s="114"/>
      <c r="PQ6" s="114"/>
      <c r="PR6" s="114"/>
      <c r="PS6" s="114"/>
      <c r="PT6" s="114"/>
      <c r="PU6" s="114"/>
      <c r="PV6" s="114"/>
      <c r="PW6" s="114"/>
      <c r="PX6" s="114"/>
      <c r="PY6" s="114"/>
      <c r="PZ6" s="114"/>
      <c r="QA6" s="114"/>
      <c r="QB6" s="114"/>
      <c r="QC6" s="114"/>
      <c r="QD6" s="114"/>
      <c r="QE6" s="114"/>
      <c r="QF6" s="114"/>
      <c r="QG6" s="114"/>
      <c r="QH6" s="114"/>
      <c r="QI6" s="114"/>
      <c r="QJ6" s="114"/>
      <c r="QK6" s="114"/>
      <c r="QL6" s="114"/>
      <c r="QM6" s="114"/>
      <c r="QN6" s="114"/>
      <c r="QO6" s="114"/>
      <c r="QP6" s="114"/>
      <c r="QQ6" s="114"/>
      <c r="QR6" s="114"/>
      <c r="QS6" s="114"/>
      <c r="QT6" s="114"/>
      <c r="QU6" s="114"/>
      <c r="QV6" s="114"/>
      <c r="QW6" s="114"/>
      <c r="QX6" s="114"/>
      <c r="QY6" s="114"/>
      <c r="QZ6" s="114"/>
      <c r="RA6" s="114"/>
      <c r="RB6" s="114"/>
      <c r="RC6" s="114"/>
      <c r="RD6" s="114"/>
      <c r="RE6" s="114"/>
      <c r="RF6" s="114"/>
      <c r="RG6" s="114"/>
      <c r="RH6" s="114"/>
      <c r="RI6" s="114"/>
      <c r="RJ6" s="114"/>
      <c r="RK6" s="114"/>
      <c r="RL6" s="114"/>
      <c r="RM6" s="114"/>
      <c r="RN6" s="114"/>
      <c r="RO6" s="114"/>
      <c r="RP6" s="114"/>
      <c r="RQ6" s="114"/>
      <c r="RR6" s="114"/>
      <c r="RS6" s="114"/>
      <c r="RT6" s="114"/>
      <c r="RU6" s="114"/>
      <c r="RV6" s="114"/>
      <c r="RW6" s="114"/>
      <c r="RX6" s="114"/>
      <c r="RY6" s="114"/>
      <c r="RZ6" s="114"/>
      <c r="SA6" s="114"/>
      <c r="SB6" s="114"/>
      <c r="SC6" s="114"/>
      <c r="SD6" s="114"/>
      <c r="SE6" s="114"/>
      <c r="SF6" s="114"/>
      <c r="SG6" s="114"/>
      <c r="SH6" s="114"/>
      <c r="SI6" s="114"/>
      <c r="SJ6" s="114"/>
      <c r="SK6" s="114"/>
      <c r="SL6" s="114"/>
      <c r="SM6" s="114"/>
      <c r="SN6" s="114"/>
      <c r="SO6" s="114"/>
      <c r="SP6" s="114"/>
      <c r="SQ6" s="114"/>
      <c r="SR6" s="114"/>
      <c r="SS6" s="114"/>
      <c r="ST6" s="114"/>
      <c r="SU6" s="114"/>
      <c r="SV6" s="114"/>
      <c r="SW6" s="114"/>
      <c r="SX6" s="114"/>
      <c r="SY6" s="114"/>
      <c r="SZ6" s="114"/>
      <c r="TA6" s="114"/>
      <c r="TB6" s="114"/>
      <c r="TC6" s="114"/>
      <c r="TD6" s="114"/>
      <c r="TE6" s="114"/>
      <c r="TF6" s="114"/>
      <c r="TG6" s="114"/>
      <c r="TH6" s="114"/>
      <c r="TI6" s="114"/>
      <c r="TJ6" s="114"/>
      <c r="TK6" s="114"/>
      <c r="TL6" s="114"/>
      <c r="TM6" s="114"/>
      <c r="TN6" s="114"/>
      <c r="TO6" s="114"/>
      <c r="TP6" s="114"/>
      <c r="TQ6" s="114"/>
      <c r="TR6" s="114"/>
      <c r="TS6" s="114"/>
      <c r="TT6" s="114"/>
      <c r="TU6" s="114"/>
      <c r="TV6" s="114"/>
      <c r="TW6" s="114"/>
      <c r="TX6" s="114"/>
      <c r="TY6" s="114"/>
      <c r="TZ6" s="114"/>
      <c r="UA6" s="114"/>
      <c r="UB6" s="114"/>
      <c r="UC6" s="114"/>
      <c r="UD6" s="114"/>
      <c r="UE6" s="114"/>
      <c r="UF6" s="114"/>
      <c r="UG6" s="114"/>
      <c r="UH6" s="114"/>
      <c r="UI6" s="114"/>
      <c r="UJ6" s="114"/>
      <c r="UK6" s="114"/>
      <c r="UL6" s="114"/>
      <c r="UM6" s="114"/>
      <c r="UN6" s="114"/>
      <c r="UO6" s="114"/>
      <c r="UP6" s="114"/>
      <c r="UQ6" s="114"/>
      <c r="UR6" s="114"/>
      <c r="US6" s="114"/>
      <c r="UT6" s="114"/>
      <c r="UU6" s="114"/>
      <c r="UV6" s="114"/>
      <c r="UW6" s="114"/>
      <c r="UX6" s="114"/>
      <c r="UY6" s="114"/>
      <c r="UZ6" s="114"/>
      <c r="VA6" s="114"/>
      <c r="VB6" s="114"/>
      <c r="VC6" s="114"/>
      <c r="VD6" s="114"/>
      <c r="VE6" s="114"/>
      <c r="VF6" s="114"/>
      <c r="VG6" s="114"/>
      <c r="VH6" s="114"/>
      <c r="VI6" s="114"/>
      <c r="VJ6" s="114"/>
      <c r="VK6" s="114"/>
      <c r="VL6" s="114"/>
      <c r="VM6" s="114"/>
      <c r="VN6" s="114"/>
      <c r="VO6" s="114"/>
      <c r="VP6" s="114"/>
      <c r="VQ6" s="114"/>
      <c r="VR6" s="114"/>
      <c r="VS6" s="114"/>
      <c r="VT6" s="114"/>
      <c r="VU6" s="114"/>
      <c r="VV6" s="114"/>
      <c r="VW6" s="114"/>
      <c r="VX6" s="114"/>
      <c r="VY6" s="114"/>
      <c r="VZ6" s="114"/>
      <c r="WA6" s="114"/>
      <c r="WB6" s="114"/>
      <c r="WC6" s="114"/>
      <c r="WD6" s="114"/>
      <c r="WE6" s="114"/>
      <c r="WF6" s="114"/>
      <c r="WG6" s="114"/>
      <c r="WH6" s="114"/>
      <c r="WI6" s="114"/>
      <c r="WJ6" s="114"/>
      <c r="WK6" s="114"/>
      <c r="WL6" s="114"/>
      <c r="WM6" s="114"/>
      <c r="WN6" s="114"/>
      <c r="WO6" s="114"/>
      <c r="WP6" s="114"/>
      <c r="WQ6" s="114"/>
      <c r="WR6" s="114"/>
      <c r="WS6" s="114"/>
      <c r="WT6" s="114"/>
      <c r="WU6" s="114"/>
      <c r="WV6" s="114"/>
      <c r="WW6" s="114"/>
      <c r="WX6" s="114"/>
      <c r="WY6" s="114"/>
      <c r="WZ6" s="114"/>
      <c r="XA6" s="114"/>
      <c r="XB6" s="114"/>
      <c r="XC6" s="114"/>
      <c r="XD6" s="114"/>
      <c r="XE6" s="114"/>
      <c r="XF6" s="114"/>
      <c r="XG6" s="114"/>
      <c r="XH6" s="114"/>
      <c r="XI6" s="114"/>
      <c r="XJ6" s="114"/>
      <c r="XK6" s="114"/>
      <c r="XL6" s="114"/>
      <c r="XM6" s="114"/>
      <c r="XN6" s="114"/>
      <c r="XO6" s="114"/>
      <c r="XP6" s="114"/>
      <c r="XQ6" s="114"/>
      <c r="XR6" s="114"/>
      <c r="XS6" s="114"/>
      <c r="XT6" s="114"/>
      <c r="XU6" s="114"/>
      <c r="XV6" s="114"/>
      <c r="XW6" s="114"/>
      <c r="XX6" s="114"/>
      <c r="XY6" s="114"/>
      <c r="XZ6" s="114"/>
      <c r="YA6" s="114"/>
      <c r="YB6" s="114"/>
      <c r="YC6" s="114"/>
      <c r="YD6" s="114"/>
      <c r="YE6" s="114"/>
      <c r="YF6" s="114"/>
      <c r="YG6" s="114"/>
      <c r="YH6" s="114"/>
      <c r="YI6" s="114"/>
      <c r="YJ6" s="114"/>
      <c r="YK6" s="114"/>
      <c r="YL6" s="114"/>
      <c r="YM6" s="114"/>
      <c r="YN6" s="114"/>
      <c r="YO6" s="114"/>
      <c r="YP6" s="114"/>
      <c r="YQ6" s="114"/>
      <c r="YR6" s="114"/>
      <c r="YS6" s="114"/>
      <c r="YT6" s="114"/>
      <c r="YU6" s="114"/>
      <c r="YV6" s="114"/>
      <c r="YW6" s="114"/>
      <c r="YX6" s="114"/>
      <c r="YY6" s="114"/>
      <c r="YZ6" s="114"/>
      <c r="ZA6" s="114"/>
      <c r="ZB6" s="114"/>
      <c r="ZC6" s="114"/>
      <c r="ZD6" s="114"/>
      <c r="ZE6" s="114"/>
      <c r="ZF6" s="114"/>
      <c r="ZG6" s="114"/>
      <c r="ZH6" s="114"/>
      <c r="ZI6" s="114"/>
      <c r="ZJ6" s="114"/>
      <c r="ZK6" s="114"/>
      <c r="ZL6" s="114"/>
      <c r="ZM6" s="114"/>
      <c r="ZN6" s="114"/>
      <c r="ZO6" s="114"/>
      <c r="ZP6" s="114"/>
      <c r="ZQ6" s="114"/>
      <c r="ZR6" s="114"/>
      <c r="ZS6" s="114"/>
      <c r="ZT6" s="114"/>
      <c r="ZU6" s="114"/>
      <c r="ZV6" s="114"/>
      <c r="ZW6" s="114"/>
      <c r="ZX6" s="114"/>
      <c r="ZY6" s="114"/>
      <c r="ZZ6" s="114"/>
      <c r="AAA6" s="114"/>
      <c r="AAB6" s="114"/>
      <c r="AAC6" s="114"/>
      <c r="AAD6" s="114"/>
      <c r="AAE6" s="114"/>
      <c r="AAF6" s="114"/>
      <c r="AAG6" s="114"/>
      <c r="AAH6" s="114"/>
      <c r="AAI6" s="114"/>
      <c r="AAJ6" s="114"/>
      <c r="AAK6" s="114"/>
      <c r="AAL6" s="114"/>
      <c r="AAM6" s="114"/>
      <c r="AAN6" s="114"/>
      <c r="AAO6" s="114"/>
      <c r="AAP6" s="114"/>
      <c r="AAQ6" s="114"/>
      <c r="AAR6" s="114"/>
      <c r="AAS6" s="114"/>
      <c r="AAT6" s="114"/>
      <c r="AAU6" s="114"/>
      <c r="AAV6" s="114"/>
      <c r="AAW6" s="114"/>
      <c r="AAX6" s="114"/>
      <c r="AAY6" s="114"/>
      <c r="AAZ6" s="114"/>
      <c r="ABA6" s="114"/>
      <c r="ABB6" s="114"/>
      <c r="ABC6" s="114"/>
      <c r="ABD6" s="114"/>
      <c r="ABE6" s="114"/>
      <c r="ABF6" s="114"/>
      <c r="ABG6" s="114"/>
      <c r="ABH6" s="114"/>
      <c r="ABI6" s="114"/>
      <c r="ABJ6" s="114"/>
      <c r="ABK6" s="114"/>
      <c r="ABL6" s="114"/>
      <c r="ABM6" s="114"/>
      <c r="ABN6" s="114"/>
      <c r="ABO6" s="114"/>
      <c r="ABP6" s="114"/>
      <c r="ABQ6" s="114"/>
      <c r="ABR6" s="114"/>
      <c r="ABS6" s="114"/>
      <c r="ABT6" s="114"/>
      <c r="ABU6" s="114"/>
      <c r="ABV6" s="114"/>
      <c r="ABW6" s="114"/>
      <c r="ABX6" s="114"/>
      <c r="ABY6" s="114"/>
      <c r="ABZ6" s="114"/>
      <c r="ACA6" s="114"/>
      <c r="ACB6" s="114"/>
      <c r="ACC6" s="114"/>
      <c r="ACD6" s="114"/>
      <c r="ACE6" s="114"/>
      <c r="ACF6" s="114"/>
      <c r="ACG6" s="114"/>
      <c r="ACH6" s="114"/>
      <c r="ACI6" s="114"/>
      <c r="ACJ6" s="114"/>
      <c r="ACK6" s="114"/>
      <c r="ACL6" s="114"/>
      <c r="ACM6" s="114"/>
      <c r="ACN6" s="114"/>
      <c r="ACO6" s="114"/>
      <c r="ACP6" s="114"/>
      <c r="ACQ6" s="114"/>
      <c r="ACR6" s="114"/>
      <c r="ACS6" s="114"/>
      <c r="ACT6" s="114"/>
      <c r="ACU6" s="114"/>
      <c r="ACV6" s="114"/>
      <c r="ACW6" s="114"/>
      <c r="ACX6" s="114"/>
      <c r="ACY6" s="114"/>
      <c r="ACZ6" s="114"/>
      <c r="ADA6" s="114"/>
      <c r="ADB6" s="114"/>
      <c r="ADC6" s="114"/>
      <c r="ADD6" s="114"/>
      <c r="ADE6" s="114"/>
      <c r="ADF6" s="114"/>
      <c r="ADG6" s="114"/>
      <c r="ADH6" s="114"/>
      <c r="ADI6" s="114"/>
      <c r="ADJ6" s="114"/>
      <c r="ADK6" s="114"/>
      <c r="ADL6" s="114"/>
      <c r="ADM6" s="114"/>
      <c r="ADN6" s="114"/>
      <c r="ADO6" s="114"/>
      <c r="ADP6" s="114"/>
      <c r="ADQ6" s="114"/>
      <c r="ADR6" s="114"/>
      <c r="ADS6" s="114"/>
      <c r="ADT6" s="114"/>
      <c r="ADU6" s="114"/>
      <c r="ADV6" s="114"/>
      <c r="ADW6" s="114"/>
      <c r="ADX6" s="114"/>
      <c r="ADY6" s="114"/>
      <c r="ADZ6" s="114"/>
      <c r="AEA6" s="114"/>
      <c r="AEB6" s="114"/>
      <c r="AEC6" s="114"/>
      <c r="AED6" s="114"/>
      <c r="AEE6" s="114"/>
      <c r="AEF6" s="114"/>
      <c r="AEG6" s="114"/>
      <c r="AEH6" s="114"/>
      <c r="AEI6" s="114"/>
      <c r="AEJ6" s="114"/>
      <c r="AEK6" s="114"/>
      <c r="AEL6" s="114"/>
      <c r="AEM6" s="114"/>
      <c r="AEN6" s="114"/>
      <c r="AEO6" s="114"/>
      <c r="AEP6" s="114"/>
      <c r="AEQ6" s="114"/>
      <c r="AER6" s="114"/>
      <c r="AES6" s="114"/>
      <c r="AET6" s="114"/>
      <c r="AEU6" s="114"/>
      <c r="AEV6" s="114"/>
      <c r="AEW6" s="114"/>
      <c r="AEX6" s="114"/>
      <c r="AEY6" s="114"/>
      <c r="AEZ6" s="114"/>
      <c r="AFA6" s="114"/>
      <c r="AFB6" s="114"/>
      <c r="AFC6" s="114"/>
      <c r="AFD6" s="114"/>
      <c r="AFE6" s="114"/>
      <c r="AFF6" s="114"/>
      <c r="AFG6" s="114"/>
      <c r="AFH6" s="114"/>
      <c r="AFI6" s="114"/>
      <c r="AFJ6" s="114"/>
      <c r="AFK6" s="114"/>
      <c r="AFL6" s="114"/>
      <c r="AFM6" s="114"/>
      <c r="AFN6" s="114"/>
      <c r="AFO6" s="114"/>
      <c r="AFP6" s="114"/>
      <c r="AFQ6" s="114"/>
      <c r="AFR6" s="114"/>
      <c r="AFS6" s="114"/>
      <c r="AFT6" s="114"/>
      <c r="AFU6" s="114"/>
      <c r="AFV6" s="114"/>
      <c r="AFW6" s="114"/>
      <c r="AFX6" s="114"/>
      <c r="AFY6" s="114"/>
      <c r="AFZ6" s="114"/>
      <c r="AGA6" s="114"/>
      <c r="AGB6" s="114"/>
      <c r="AGC6" s="114"/>
      <c r="AGD6" s="114"/>
      <c r="AGE6" s="114"/>
      <c r="AGF6" s="114"/>
      <c r="AGG6" s="114"/>
      <c r="AGH6" s="114"/>
      <c r="AGI6" s="114"/>
      <c r="AGJ6" s="114"/>
      <c r="AGK6" s="114"/>
      <c r="AGL6" s="114"/>
      <c r="AGM6" s="114"/>
      <c r="AGN6" s="114"/>
      <c r="AGO6" s="114"/>
      <c r="AGP6" s="114"/>
      <c r="AGQ6" s="114"/>
      <c r="AGR6" s="114"/>
      <c r="AGS6" s="114"/>
      <c r="AGT6" s="114"/>
      <c r="AGU6" s="114"/>
      <c r="AGV6" s="114"/>
      <c r="AGW6" s="114"/>
      <c r="AGX6" s="114"/>
      <c r="AGY6" s="114"/>
      <c r="AGZ6" s="114"/>
      <c r="AHA6" s="114"/>
      <c r="AHB6" s="114"/>
      <c r="AHC6" s="114"/>
      <c r="AHD6" s="114"/>
      <c r="AHE6" s="114"/>
      <c r="AHF6" s="114"/>
      <c r="AHG6" s="114"/>
      <c r="AHH6" s="114"/>
      <c r="AHI6" s="114"/>
      <c r="AHJ6" s="114"/>
      <c r="AHK6" s="114"/>
      <c r="AHL6" s="114"/>
      <c r="AHM6" s="114"/>
      <c r="AHN6" s="114"/>
      <c r="AHO6" s="114"/>
      <c r="AHP6" s="114"/>
      <c r="AHQ6" s="114"/>
      <c r="AHR6" s="114"/>
      <c r="AHS6" s="114"/>
      <c r="AHT6" s="114"/>
      <c r="AHU6" s="114"/>
      <c r="AHV6" s="114"/>
      <c r="AHW6" s="114"/>
      <c r="AHX6" s="114"/>
      <c r="AHY6" s="114"/>
      <c r="AHZ6" s="114"/>
      <c r="AIA6" s="114"/>
      <c r="AIB6" s="114"/>
      <c r="AIC6" s="114"/>
      <c r="AID6" s="114"/>
      <c r="AIE6" s="114"/>
      <c r="AIF6" s="114"/>
      <c r="AIG6" s="114"/>
      <c r="AIH6" s="114"/>
      <c r="AII6" s="114"/>
      <c r="AIJ6" s="114"/>
      <c r="AIK6" s="114"/>
      <c r="AIL6" s="114"/>
      <c r="AIM6" s="114"/>
      <c r="AIN6" s="114"/>
      <c r="AIO6" s="114"/>
      <c r="AIP6" s="114"/>
      <c r="AIQ6" s="114"/>
      <c r="AIR6" s="114"/>
      <c r="AIS6" s="114"/>
      <c r="AIT6" s="114"/>
      <c r="AIU6" s="114"/>
      <c r="AIV6" s="114"/>
      <c r="AIW6" s="114"/>
      <c r="AIX6" s="114"/>
      <c r="AIY6" s="114"/>
      <c r="AIZ6" s="114"/>
      <c r="AJA6" s="114"/>
      <c r="AJB6" s="114"/>
      <c r="AJC6" s="114"/>
      <c r="AJD6" s="114"/>
      <c r="AJE6" s="114"/>
      <c r="AJF6" s="114"/>
      <c r="AJG6" s="114"/>
      <c r="AJH6" s="114"/>
      <c r="AJI6" s="114"/>
      <c r="AJJ6" s="114"/>
      <c r="AJK6" s="114"/>
      <c r="AJL6" s="114"/>
      <c r="AJM6" s="114"/>
      <c r="AJN6" s="114"/>
      <c r="AJO6" s="114"/>
      <c r="AJP6" s="114"/>
      <c r="AJQ6" s="114"/>
      <c r="AJR6" s="114"/>
      <c r="AJS6" s="114"/>
      <c r="AJT6" s="114"/>
      <c r="AJU6" s="114"/>
      <c r="AJV6" s="114"/>
      <c r="AJW6" s="114"/>
      <c r="AJX6" s="114"/>
      <c r="AJY6" s="114"/>
      <c r="AJZ6" s="114"/>
      <c r="AKA6" s="114"/>
      <c r="AKB6" s="114"/>
      <c r="AKC6" s="114"/>
      <c r="AKD6" s="114"/>
      <c r="AKE6" s="114"/>
      <c r="AKF6" s="114"/>
      <c r="AKG6" s="114"/>
      <c r="AKH6" s="114"/>
      <c r="AKI6" s="114"/>
      <c r="AKJ6" s="114"/>
      <c r="AKK6" s="114"/>
      <c r="AKL6" s="114"/>
    </row>
    <row r="7" spans="1:974" ht="15" customHeight="1" x14ac:dyDescent="0.3">
      <c r="A7" s="116"/>
      <c r="B7" s="117"/>
      <c r="C7" s="462"/>
      <c r="D7" s="138" t="s">
        <v>3062</v>
      </c>
      <c r="E7" s="139">
        <v>2</v>
      </c>
      <c r="F7" s="140">
        <v>90000</v>
      </c>
      <c r="G7" s="141">
        <f t="shared" si="0"/>
        <v>180000</v>
      </c>
    </row>
    <row r="8" spans="1:974" ht="15" customHeight="1" x14ac:dyDescent="0.3">
      <c r="A8" s="116"/>
      <c r="B8" s="117"/>
      <c r="C8" s="462"/>
      <c r="D8" s="138" t="s">
        <v>3063</v>
      </c>
      <c r="E8" s="139">
        <v>2</v>
      </c>
      <c r="F8" s="140">
        <v>13000</v>
      </c>
      <c r="G8" s="141">
        <f t="shared" si="0"/>
        <v>26000</v>
      </c>
    </row>
    <row r="9" spans="1:974" ht="15" customHeight="1" x14ac:dyDescent="0.3">
      <c r="A9" s="116"/>
      <c r="B9" s="117"/>
      <c r="C9" s="462"/>
      <c r="D9" s="118" t="s">
        <v>3064</v>
      </c>
      <c r="E9" s="119">
        <v>2</v>
      </c>
      <c r="F9" s="120">
        <v>12000</v>
      </c>
      <c r="G9" s="121">
        <f t="shared" si="0"/>
        <v>24000</v>
      </c>
    </row>
    <row r="10" spans="1:974" ht="15" customHeight="1" x14ac:dyDescent="0.3">
      <c r="A10" s="116"/>
      <c r="B10" s="117"/>
      <c r="C10" s="463"/>
      <c r="D10" s="464" t="s">
        <v>2830</v>
      </c>
      <c r="E10" s="465"/>
      <c r="F10" s="466"/>
      <c r="G10" s="127">
        <f>SUM(G5:G9)</f>
        <v>300000</v>
      </c>
    </row>
    <row r="11" spans="1:974" s="115" customFormat="1" ht="15" customHeight="1" x14ac:dyDescent="0.3">
      <c r="A11" s="103">
        <v>8470230</v>
      </c>
      <c r="B11" s="104">
        <v>426610</v>
      </c>
      <c r="C11" s="461" t="s">
        <v>3065</v>
      </c>
      <c r="D11" s="151" t="s">
        <v>3065</v>
      </c>
      <c r="E11" s="152">
        <v>1</v>
      </c>
      <c r="F11" s="153">
        <v>10000</v>
      </c>
      <c r="G11" s="154">
        <f>E11*F11</f>
        <v>10000</v>
      </c>
      <c r="H11" s="114"/>
      <c r="I11" s="114"/>
      <c r="J11" s="114"/>
      <c r="K11" s="114"/>
      <c r="L11" s="114"/>
      <c r="M11" s="114"/>
      <c r="N11" s="114"/>
      <c r="O11" s="114"/>
      <c r="P11" s="114"/>
      <c r="Q11" s="114"/>
      <c r="R11" s="114"/>
      <c r="S11" s="114"/>
      <c r="T11" s="114"/>
      <c r="U11" s="114"/>
      <c r="V11" s="114"/>
      <c r="W11" s="114"/>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4"/>
      <c r="AY11" s="114"/>
      <c r="AZ11" s="114"/>
      <c r="BA11" s="114"/>
      <c r="BB11" s="114"/>
      <c r="BC11" s="114"/>
      <c r="BD11" s="114"/>
      <c r="BE11" s="114"/>
      <c r="BF11" s="114"/>
      <c r="BG11" s="114"/>
      <c r="BH11" s="114"/>
      <c r="BI11" s="114"/>
      <c r="BJ11" s="114"/>
      <c r="BK11" s="114"/>
      <c r="BL11" s="114"/>
      <c r="BM11" s="114"/>
      <c r="BN11" s="114"/>
      <c r="BO11" s="114"/>
      <c r="BP11" s="114"/>
      <c r="BQ11" s="114"/>
      <c r="BR11" s="114"/>
      <c r="BS11" s="114"/>
      <c r="BT11" s="114"/>
      <c r="BU11" s="114"/>
      <c r="BV11" s="114"/>
      <c r="BW11" s="114"/>
      <c r="BX11" s="114"/>
      <c r="BY11" s="114"/>
      <c r="BZ11" s="114"/>
      <c r="CA11" s="114"/>
      <c r="CB11" s="114"/>
      <c r="CC11" s="114"/>
      <c r="CD11" s="114"/>
      <c r="CE11" s="114"/>
      <c r="CF11" s="114"/>
      <c r="CG11" s="114"/>
      <c r="CH11" s="114"/>
      <c r="CI11" s="114"/>
      <c r="CJ11" s="114"/>
      <c r="CK11" s="114"/>
      <c r="CL11" s="114"/>
      <c r="CM11" s="114"/>
      <c r="CN11" s="114"/>
      <c r="CO11" s="114"/>
      <c r="CP11" s="114"/>
      <c r="CQ11" s="114"/>
      <c r="CR11" s="114"/>
      <c r="CS11" s="114"/>
      <c r="CT11" s="114"/>
      <c r="CU11" s="114"/>
      <c r="CV11" s="114"/>
      <c r="CW11" s="114"/>
      <c r="CX11" s="114"/>
      <c r="CY11" s="114"/>
      <c r="CZ11" s="114"/>
      <c r="DA11" s="114"/>
      <c r="DB11" s="114"/>
      <c r="DC11" s="114"/>
      <c r="DD11" s="114"/>
      <c r="DE11" s="114"/>
      <c r="DF11" s="114"/>
      <c r="DG11" s="114"/>
      <c r="DH11" s="114"/>
      <c r="DI11" s="114"/>
      <c r="DJ11" s="114"/>
      <c r="DK11" s="114"/>
      <c r="DL11" s="114"/>
      <c r="DM11" s="114"/>
      <c r="DN11" s="114"/>
      <c r="DO11" s="114"/>
      <c r="DP11" s="114"/>
      <c r="DQ11" s="114"/>
      <c r="DR11" s="114"/>
      <c r="DS11" s="114"/>
      <c r="DT11" s="114"/>
      <c r="DU11" s="114"/>
      <c r="DV11" s="114"/>
      <c r="DW11" s="114"/>
      <c r="DX11" s="114"/>
      <c r="DY11" s="114"/>
      <c r="DZ11" s="114"/>
      <c r="EA11" s="114"/>
      <c r="EB11" s="114"/>
      <c r="EC11" s="114"/>
      <c r="ED11" s="114"/>
      <c r="EE11" s="114"/>
      <c r="EF11" s="114"/>
      <c r="EG11" s="114"/>
      <c r="EH11" s="114"/>
      <c r="EI11" s="114"/>
      <c r="EJ11" s="114"/>
      <c r="EK11" s="114"/>
      <c r="EL11" s="114"/>
      <c r="EM11" s="114"/>
      <c r="EN11" s="114"/>
      <c r="EO11" s="114"/>
      <c r="EP11" s="114"/>
      <c r="EQ11" s="114"/>
      <c r="ER11" s="114"/>
      <c r="ES11" s="114"/>
      <c r="ET11" s="114"/>
      <c r="EU11" s="114"/>
      <c r="EV11" s="114"/>
      <c r="EW11" s="114"/>
      <c r="EX11" s="114"/>
      <c r="EY11" s="114"/>
      <c r="EZ11" s="114"/>
      <c r="FA11" s="114"/>
      <c r="FB11" s="114"/>
      <c r="FC11" s="114"/>
      <c r="FD11" s="114"/>
      <c r="FE11" s="114"/>
      <c r="FF11" s="114"/>
      <c r="FG11" s="114"/>
      <c r="FH11" s="114"/>
      <c r="FI11" s="114"/>
      <c r="FJ11" s="114"/>
      <c r="FK11" s="114"/>
      <c r="FL11" s="114"/>
      <c r="FM11" s="114"/>
      <c r="FN11" s="114"/>
      <c r="FO11" s="114"/>
      <c r="FP11" s="114"/>
      <c r="FQ11" s="114"/>
      <c r="FR11" s="114"/>
      <c r="FS11" s="114"/>
      <c r="FT11" s="114"/>
      <c r="FU11" s="114"/>
      <c r="FV11" s="114"/>
      <c r="FW11" s="114"/>
      <c r="FX11" s="114"/>
      <c r="FY11" s="114"/>
      <c r="FZ11" s="114"/>
      <c r="GA11" s="114"/>
      <c r="GB11" s="114"/>
      <c r="GC11" s="114"/>
      <c r="GD11" s="114"/>
      <c r="GE11" s="114"/>
      <c r="GF11" s="114"/>
      <c r="GG11" s="114"/>
      <c r="GH11" s="114"/>
      <c r="GI11" s="114"/>
      <c r="GJ11" s="114"/>
      <c r="GK11" s="114"/>
      <c r="GL11" s="114"/>
      <c r="GM11" s="114"/>
      <c r="GN11" s="114"/>
      <c r="GO11" s="114"/>
      <c r="GP11" s="114"/>
      <c r="GQ11" s="114"/>
      <c r="GR11" s="114"/>
      <c r="GS11" s="114"/>
      <c r="GT11" s="114"/>
      <c r="GU11" s="114"/>
      <c r="GV11" s="114"/>
      <c r="GW11" s="114"/>
      <c r="GX11" s="114"/>
      <c r="GY11" s="114"/>
      <c r="GZ11" s="114"/>
      <c r="HA11" s="114"/>
      <c r="HB11" s="114"/>
      <c r="HC11" s="114"/>
      <c r="HD11" s="114"/>
      <c r="HE11" s="114"/>
      <c r="HF11" s="114"/>
      <c r="HG11" s="114"/>
      <c r="HH11" s="114"/>
      <c r="HI11" s="114"/>
      <c r="HJ11" s="114"/>
      <c r="HK11" s="114"/>
      <c r="HL11" s="114"/>
      <c r="HM11" s="114"/>
      <c r="HN11" s="114"/>
      <c r="HO11" s="114"/>
      <c r="HP11" s="114"/>
      <c r="HQ11" s="114"/>
      <c r="HR11" s="114"/>
      <c r="HS11" s="114"/>
      <c r="HT11" s="114"/>
      <c r="HU11" s="114"/>
      <c r="HV11" s="114"/>
      <c r="HW11" s="114"/>
      <c r="HX11" s="114"/>
      <c r="HY11" s="114"/>
      <c r="HZ11" s="114"/>
      <c r="IA11" s="114"/>
      <c r="IB11" s="114"/>
      <c r="IC11" s="114"/>
      <c r="ID11" s="114"/>
      <c r="IE11" s="114"/>
      <c r="IF11" s="114"/>
      <c r="IG11" s="114"/>
      <c r="IH11" s="114"/>
      <c r="II11" s="114"/>
      <c r="IJ11" s="114"/>
      <c r="IK11" s="114"/>
      <c r="IL11" s="114"/>
      <c r="IM11" s="114"/>
      <c r="IN11" s="114"/>
      <c r="IO11" s="114"/>
      <c r="IP11" s="114"/>
      <c r="IQ11" s="114"/>
      <c r="IR11" s="114"/>
      <c r="IS11" s="114"/>
      <c r="IT11" s="114"/>
      <c r="IU11" s="114"/>
      <c r="IV11" s="114"/>
      <c r="IW11" s="114"/>
      <c r="IX11" s="114"/>
      <c r="IY11" s="114"/>
      <c r="IZ11" s="114"/>
      <c r="JA11" s="114"/>
      <c r="JB11" s="114"/>
      <c r="JC11" s="114"/>
      <c r="JD11" s="114"/>
      <c r="JE11" s="114"/>
      <c r="JF11" s="114"/>
      <c r="JG11" s="114"/>
      <c r="JH11" s="114"/>
      <c r="JI11" s="114"/>
      <c r="JJ11" s="114"/>
      <c r="JK11" s="114"/>
      <c r="JL11" s="114"/>
      <c r="JM11" s="114"/>
      <c r="JN11" s="114"/>
      <c r="JO11" s="114"/>
      <c r="JP11" s="114"/>
      <c r="JQ11" s="114"/>
      <c r="JR11" s="114"/>
      <c r="JS11" s="114"/>
      <c r="JT11" s="114"/>
      <c r="JU11" s="114"/>
      <c r="JV11" s="114"/>
      <c r="JW11" s="114"/>
      <c r="JX11" s="114"/>
      <c r="JY11" s="114"/>
      <c r="JZ11" s="114"/>
      <c r="KA11" s="114"/>
      <c r="KB11" s="114"/>
      <c r="KC11" s="114"/>
      <c r="KD11" s="114"/>
      <c r="KE11" s="114"/>
      <c r="KF11" s="114"/>
      <c r="KG11" s="114"/>
      <c r="KH11" s="114"/>
      <c r="KI11" s="114"/>
      <c r="KJ11" s="114"/>
      <c r="KK11" s="114"/>
      <c r="KL11" s="114"/>
      <c r="KM11" s="114"/>
      <c r="KN11" s="114"/>
      <c r="KO11" s="114"/>
      <c r="KP11" s="114"/>
      <c r="KQ11" s="114"/>
      <c r="KR11" s="114"/>
      <c r="KS11" s="114"/>
      <c r="KT11" s="114"/>
      <c r="KU11" s="114"/>
      <c r="KV11" s="114"/>
      <c r="KW11" s="114"/>
      <c r="KX11" s="114"/>
      <c r="KY11" s="114"/>
      <c r="KZ11" s="114"/>
      <c r="LA11" s="114"/>
      <c r="LB11" s="114"/>
      <c r="LC11" s="114"/>
      <c r="LD11" s="114"/>
      <c r="LE11" s="114"/>
      <c r="LF11" s="114"/>
      <c r="LG11" s="114"/>
      <c r="LH11" s="114"/>
      <c r="LI11" s="114"/>
      <c r="LJ11" s="114"/>
      <c r="LK11" s="114"/>
      <c r="LL11" s="114"/>
      <c r="LM11" s="114"/>
      <c r="LN11" s="114"/>
      <c r="LO11" s="114"/>
      <c r="LP11" s="114"/>
      <c r="LQ11" s="114"/>
      <c r="LR11" s="114"/>
      <c r="LS11" s="114"/>
      <c r="LT11" s="114"/>
      <c r="LU11" s="114"/>
      <c r="LV11" s="114"/>
      <c r="LW11" s="114"/>
      <c r="LX11" s="114"/>
      <c r="LY11" s="114"/>
      <c r="LZ11" s="114"/>
      <c r="MA11" s="114"/>
      <c r="MB11" s="114"/>
      <c r="MC11" s="114"/>
      <c r="MD11" s="114"/>
      <c r="ME11" s="114"/>
      <c r="MF11" s="114"/>
      <c r="MG11" s="114"/>
      <c r="MH11" s="114"/>
      <c r="MI11" s="114"/>
      <c r="MJ11" s="114"/>
      <c r="MK11" s="114"/>
      <c r="ML11" s="114"/>
      <c r="MM11" s="114"/>
      <c r="MN11" s="114"/>
      <c r="MO11" s="114"/>
      <c r="MP11" s="114"/>
      <c r="MQ11" s="114"/>
      <c r="MR11" s="114"/>
      <c r="MS11" s="114"/>
      <c r="MT11" s="114"/>
      <c r="MU11" s="114"/>
      <c r="MV11" s="114"/>
      <c r="MW11" s="114"/>
      <c r="MX11" s="114"/>
      <c r="MY11" s="114"/>
      <c r="MZ11" s="114"/>
      <c r="NA11" s="114"/>
      <c r="NB11" s="114"/>
      <c r="NC11" s="114"/>
      <c r="ND11" s="114"/>
      <c r="NE11" s="114"/>
      <c r="NF11" s="114"/>
      <c r="NG11" s="114"/>
      <c r="NH11" s="114"/>
      <c r="NI11" s="114"/>
      <c r="NJ11" s="114"/>
      <c r="NK11" s="114"/>
      <c r="NL11" s="114"/>
      <c r="NM11" s="114"/>
      <c r="NN11" s="114"/>
      <c r="NO11" s="114"/>
      <c r="NP11" s="114"/>
      <c r="NQ11" s="114"/>
      <c r="NR11" s="114"/>
      <c r="NS11" s="114"/>
      <c r="NT11" s="114"/>
      <c r="NU11" s="114"/>
      <c r="NV11" s="114"/>
      <c r="NW11" s="114"/>
      <c r="NX11" s="114"/>
      <c r="NY11" s="114"/>
      <c r="NZ11" s="114"/>
      <c r="OA11" s="114"/>
      <c r="OB11" s="114"/>
      <c r="OC11" s="114"/>
      <c r="OD11" s="114"/>
      <c r="OE11" s="114"/>
      <c r="OF11" s="114"/>
      <c r="OG11" s="114"/>
      <c r="OH11" s="114"/>
      <c r="OI11" s="114"/>
      <c r="OJ11" s="114"/>
      <c r="OK11" s="114"/>
      <c r="OL11" s="114"/>
      <c r="OM11" s="114"/>
      <c r="ON11" s="114"/>
      <c r="OO11" s="114"/>
      <c r="OP11" s="114"/>
      <c r="OQ11" s="114"/>
      <c r="OR11" s="114"/>
      <c r="OS11" s="114"/>
      <c r="OT11" s="114"/>
      <c r="OU11" s="114"/>
      <c r="OV11" s="114"/>
      <c r="OW11" s="114"/>
      <c r="OX11" s="114"/>
      <c r="OY11" s="114"/>
      <c r="OZ11" s="114"/>
      <c r="PA11" s="114"/>
      <c r="PB11" s="114"/>
      <c r="PC11" s="114"/>
      <c r="PD11" s="114"/>
      <c r="PE11" s="114"/>
      <c r="PF11" s="114"/>
      <c r="PG11" s="114"/>
      <c r="PH11" s="114"/>
      <c r="PI11" s="114"/>
      <c r="PJ11" s="114"/>
      <c r="PK11" s="114"/>
      <c r="PL11" s="114"/>
      <c r="PM11" s="114"/>
      <c r="PN11" s="114"/>
      <c r="PO11" s="114"/>
      <c r="PP11" s="114"/>
      <c r="PQ11" s="114"/>
      <c r="PR11" s="114"/>
      <c r="PS11" s="114"/>
      <c r="PT11" s="114"/>
      <c r="PU11" s="114"/>
      <c r="PV11" s="114"/>
      <c r="PW11" s="114"/>
      <c r="PX11" s="114"/>
      <c r="PY11" s="114"/>
      <c r="PZ11" s="114"/>
      <c r="QA11" s="114"/>
      <c r="QB11" s="114"/>
      <c r="QC11" s="114"/>
      <c r="QD11" s="114"/>
      <c r="QE11" s="114"/>
      <c r="QF11" s="114"/>
      <c r="QG11" s="114"/>
      <c r="QH11" s="114"/>
      <c r="QI11" s="114"/>
      <c r="QJ11" s="114"/>
      <c r="QK11" s="114"/>
      <c r="QL11" s="114"/>
      <c r="QM11" s="114"/>
      <c r="QN11" s="114"/>
      <c r="QO11" s="114"/>
      <c r="QP11" s="114"/>
      <c r="QQ11" s="114"/>
      <c r="QR11" s="114"/>
      <c r="QS11" s="114"/>
      <c r="QT11" s="114"/>
      <c r="QU11" s="114"/>
      <c r="QV11" s="114"/>
      <c r="QW11" s="114"/>
      <c r="QX11" s="114"/>
      <c r="QY11" s="114"/>
      <c r="QZ11" s="114"/>
      <c r="RA11" s="114"/>
      <c r="RB11" s="114"/>
      <c r="RC11" s="114"/>
      <c r="RD11" s="114"/>
      <c r="RE11" s="114"/>
      <c r="RF11" s="114"/>
      <c r="RG11" s="114"/>
      <c r="RH11" s="114"/>
      <c r="RI11" s="114"/>
      <c r="RJ11" s="114"/>
      <c r="RK11" s="114"/>
      <c r="RL11" s="114"/>
      <c r="RM11" s="114"/>
      <c r="RN11" s="114"/>
      <c r="RO11" s="114"/>
      <c r="RP11" s="114"/>
      <c r="RQ11" s="114"/>
      <c r="RR11" s="114"/>
      <c r="RS11" s="114"/>
      <c r="RT11" s="114"/>
      <c r="RU11" s="114"/>
      <c r="RV11" s="114"/>
      <c r="RW11" s="114"/>
      <c r="RX11" s="114"/>
      <c r="RY11" s="114"/>
      <c r="RZ11" s="114"/>
      <c r="SA11" s="114"/>
      <c r="SB11" s="114"/>
      <c r="SC11" s="114"/>
      <c r="SD11" s="114"/>
      <c r="SE11" s="114"/>
      <c r="SF11" s="114"/>
      <c r="SG11" s="114"/>
      <c r="SH11" s="114"/>
      <c r="SI11" s="114"/>
      <c r="SJ11" s="114"/>
      <c r="SK11" s="114"/>
      <c r="SL11" s="114"/>
      <c r="SM11" s="114"/>
      <c r="SN11" s="114"/>
      <c r="SO11" s="114"/>
      <c r="SP11" s="114"/>
      <c r="SQ11" s="114"/>
      <c r="SR11" s="114"/>
      <c r="SS11" s="114"/>
      <c r="ST11" s="114"/>
      <c r="SU11" s="114"/>
      <c r="SV11" s="114"/>
      <c r="SW11" s="114"/>
      <c r="SX11" s="114"/>
      <c r="SY11" s="114"/>
      <c r="SZ11" s="114"/>
      <c r="TA11" s="114"/>
      <c r="TB11" s="114"/>
      <c r="TC11" s="114"/>
      <c r="TD11" s="114"/>
      <c r="TE11" s="114"/>
      <c r="TF11" s="114"/>
      <c r="TG11" s="114"/>
      <c r="TH11" s="114"/>
      <c r="TI11" s="114"/>
      <c r="TJ11" s="114"/>
      <c r="TK11" s="114"/>
      <c r="TL11" s="114"/>
      <c r="TM11" s="114"/>
      <c r="TN11" s="114"/>
      <c r="TO11" s="114"/>
      <c r="TP11" s="114"/>
      <c r="TQ11" s="114"/>
      <c r="TR11" s="114"/>
      <c r="TS11" s="114"/>
      <c r="TT11" s="114"/>
      <c r="TU11" s="114"/>
      <c r="TV11" s="114"/>
      <c r="TW11" s="114"/>
      <c r="TX11" s="114"/>
      <c r="TY11" s="114"/>
      <c r="TZ11" s="114"/>
      <c r="UA11" s="114"/>
      <c r="UB11" s="114"/>
      <c r="UC11" s="114"/>
      <c r="UD11" s="114"/>
      <c r="UE11" s="114"/>
      <c r="UF11" s="114"/>
      <c r="UG11" s="114"/>
      <c r="UH11" s="114"/>
      <c r="UI11" s="114"/>
      <c r="UJ11" s="114"/>
      <c r="UK11" s="114"/>
      <c r="UL11" s="114"/>
      <c r="UM11" s="114"/>
      <c r="UN11" s="114"/>
      <c r="UO11" s="114"/>
      <c r="UP11" s="114"/>
      <c r="UQ11" s="114"/>
      <c r="UR11" s="114"/>
      <c r="US11" s="114"/>
      <c r="UT11" s="114"/>
      <c r="UU11" s="114"/>
      <c r="UV11" s="114"/>
      <c r="UW11" s="114"/>
      <c r="UX11" s="114"/>
      <c r="UY11" s="114"/>
      <c r="UZ11" s="114"/>
      <c r="VA11" s="114"/>
      <c r="VB11" s="114"/>
      <c r="VC11" s="114"/>
      <c r="VD11" s="114"/>
      <c r="VE11" s="114"/>
      <c r="VF11" s="114"/>
      <c r="VG11" s="114"/>
      <c r="VH11" s="114"/>
      <c r="VI11" s="114"/>
      <c r="VJ11" s="114"/>
      <c r="VK11" s="114"/>
      <c r="VL11" s="114"/>
      <c r="VM11" s="114"/>
      <c r="VN11" s="114"/>
      <c r="VO11" s="114"/>
      <c r="VP11" s="114"/>
      <c r="VQ11" s="114"/>
      <c r="VR11" s="114"/>
      <c r="VS11" s="114"/>
      <c r="VT11" s="114"/>
      <c r="VU11" s="114"/>
      <c r="VV11" s="114"/>
      <c r="VW11" s="114"/>
      <c r="VX11" s="114"/>
      <c r="VY11" s="114"/>
      <c r="VZ11" s="114"/>
      <c r="WA11" s="114"/>
      <c r="WB11" s="114"/>
      <c r="WC11" s="114"/>
      <c r="WD11" s="114"/>
      <c r="WE11" s="114"/>
      <c r="WF11" s="114"/>
      <c r="WG11" s="114"/>
      <c r="WH11" s="114"/>
      <c r="WI11" s="114"/>
      <c r="WJ11" s="114"/>
      <c r="WK11" s="114"/>
      <c r="WL11" s="114"/>
      <c r="WM11" s="114"/>
      <c r="WN11" s="114"/>
      <c r="WO11" s="114"/>
      <c r="WP11" s="114"/>
      <c r="WQ11" s="114"/>
      <c r="WR11" s="114"/>
      <c r="WS11" s="114"/>
      <c r="WT11" s="114"/>
      <c r="WU11" s="114"/>
      <c r="WV11" s="114"/>
      <c r="WW11" s="114"/>
      <c r="WX11" s="114"/>
      <c r="WY11" s="114"/>
      <c r="WZ11" s="114"/>
      <c r="XA11" s="114"/>
      <c r="XB11" s="114"/>
      <c r="XC11" s="114"/>
      <c r="XD11" s="114"/>
      <c r="XE11" s="114"/>
      <c r="XF11" s="114"/>
      <c r="XG11" s="114"/>
      <c r="XH11" s="114"/>
      <c r="XI11" s="114"/>
      <c r="XJ11" s="114"/>
      <c r="XK11" s="114"/>
      <c r="XL11" s="114"/>
      <c r="XM11" s="114"/>
      <c r="XN11" s="114"/>
      <c r="XO11" s="114"/>
      <c r="XP11" s="114"/>
      <c r="XQ11" s="114"/>
      <c r="XR11" s="114"/>
      <c r="XS11" s="114"/>
      <c r="XT11" s="114"/>
      <c r="XU11" s="114"/>
      <c r="XV11" s="114"/>
      <c r="XW11" s="114"/>
      <c r="XX11" s="114"/>
      <c r="XY11" s="114"/>
      <c r="XZ11" s="114"/>
      <c r="YA11" s="114"/>
      <c r="YB11" s="114"/>
      <c r="YC11" s="114"/>
      <c r="YD11" s="114"/>
      <c r="YE11" s="114"/>
      <c r="YF11" s="114"/>
      <c r="YG11" s="114"/>
      <c r="YH11" s="114"/>
      <c r="YI11" s="114"/>
      <c r="YJ11" s="114"/>
      <c r="YK11" s="114"/>
      <c r="YL11" s="114"/>
      <c r="YM11" s="114"/>
      <c r="YN11" s="114"/>
      <c r="YO11" s="114"/>
      <c r="YP11" s="114"/>
      <c r="YQ11" s="114"/>
      <c r="YR11" s="114"/>
      <c r="YS11" s="114"/>
      <c r="YT11" s="114"/>
      <c r="YU11" s="114"/>
      <c r="YV11" s="114"/>
      <c r="YW11" s="114"/>
      <c r="YX11" s="114"/>
      <c r="YY11" s="114"/>
      <c r="YZ11" s="114"/>
      <c r="ZA11" s="114"/>
      <c r="ZB11" s="114"/>
      <c r="ZC11" s="114"/>
      <c r="ZD11" s="114"/>
      <c r="ZE11" s="114"/>
      <c r="ZF11" s="114"/>
      <c r="ZG11" s="114"/>
      <c r="ZH11" s="114"/>
      <c r="ZI11" s="114"/>
      <c r="ZJ11" s="114"/>
      <c r="ZK11" s="114"/>
      <c r="ZL11" s="114"/>
      <c r="ZM11" s="114"/>
      <c r="ZN11" s="114"/>
      <c r="ZO11" s="114"/>
      <c r="ZP11" s="114"/>
      <c r="ZQ11" s="114"/>
      <c r="ZR11" s="114"/>
      <c r="ZS11" s="114"/>
      <c r="ZT11" s="114"/>
      <c r="ZU11" s="114"/>
      <c r="ZV11" s="114"/>
      <c r="ZW11" s="114"/>
      <c r="ZX11" s="114"/>
      <c r="ZY11" s="114"/>
      <c r="ZZ11" s="114"/>
      <c r="AAA11" s="114"/>
      <c r="AAB11" s="114"/>
      <c r="AAC11" s="114"/>
      <c r="AAD11" s="114"/>
      <c r="AAE11" s="114"/>
      <c r="AAF11" s="114"/>
      <c r="AAG11" s="114"/>
      <c r="AAH11" s="114"/>
      <c r="AAI11" s="114"/>
      <c r="AAJ11" s="114"/>
      <c r="AAK11" s="114"/>
      <c r="AAL11" s="114"/>
      <c r="AAM11" s="114"/>
      <c r="AAN11" s="114"/>
      <c r="AAO11" s="114"/>
      <c r="AAP11" s="114"/>
      <c r="AAQ11" s="114"/>
      <c r="AAR11" s="114"/>
      <c r="AAS11" s="114"/>
      <c r="AAT11" s="114"/>
      <c r="AAU11" s="114"/>
      <c r="AAV11" s="114"/>
      <c r="AAW11" s="114"/>
      <c r="AAX11" s="114"/>
      <c r="AAY11" s="114"/>
      <c r="AAZ11" s="114"/>
      <c r="ABA11" s="114"/>
      <c r="ABB11" s="114"/>
      <c r="ABC11" s="114"/>
      <c r="ABD11" s="114"/>
      <c r="ABE11" s="114"/>
      <c r="ABF11" s="114"/>
      <c r="ABG11" s="114"/>
      <c r="ABH11" s="114"/>
      <c r="ABI11" s="114"/>
      <c r="ABJ11" s="114"/>
      <c r="ABK11" s="114"/>
      <c r="ABL11" s="114"/>
      <c r="ABM11" s="114"/>
      <c r="ABN11" s="114"/>
      <c r="ABO11" s="114"/>
      <c r="ABP11" s="114"/>
      <c r="ABQ11" s="114"/>
      <c r="ABR11" s="114"/>
      <c r="ABS11" s="114"/>
      <c r="ABT11" s="114"/>
      <c r="ABU11" s="114"/>
      <c r="ABV11" s="114"/>
      <c r="ABW11" s="114"/>
      <c r="ABX11" s="114"/>
      <c r="ABY11" s="114"/>
      <c r="ABZ11" s="114"/>
      <c r="ACA11" s="114"/>
      <c r="ACB11" s="114"/>
      <c r="ACC11" s="114"/>
      <c r="ACD11" s="114"/>
      <c r="ACE11" s="114"/>
      <c r="ACF11" s="114"/>
      <c r="ACG11" s="114"/>
      <c r="ACH11" s="114"/>
      <c r="ACI11" s="114"/>
      <c r="ACJ11" s="114"/>
      <c r="ACK11" s="114"/>
      <c r="ACL11" s="114"/>
      <c r="ACM11" s="114"/>
      <c r="ACN11" s="114"/>
      <c r="ACO11" s="114"/>
      <c r="ACP11" s="114"/>
      <c r="ACQ11" s="114"/>
      <c r="ACR11" s="114"/>
      <c r="ACS11" s="114"/>
      <c r="ACT11" s="114"/>
      <c r="ACU11" s="114"/>
      <c r="ACV11" s="114"/>
      <c r="ACW11" s="114"/>
      <c r="ACX11" s="114"/>
      <c r="ACY11" s="114"/>
      <c r="ACZ11" s="114"/>
      <c r="ADA11" s="114"/>
      <c r="ADB11" s="114"/>
      <c r="ADC11" s="114"/>
      <c r="ADD11" s="114"/>
      <c r="ADE11" s="114"/>
      <c r="ADF11" s="114"/>
      <c r="ADG11" s="114"/>
      <c r="ADH11" s="114"/>
      <c r="ADI11" s="114"/>
      <c r="ADJ11" s="114"/>
      <c r="ADK11" s="114"/>
      <c r="ADL11" s="114"/>
      <c r="ADM11" s="114"/>
      <c r="ADN11" s="114"/>
      <c r="ADO11" s="114"/>
      <c r="ADP11" s="114"/>
      <c r="ADQ11" s="114"/>
      <c r="ADR11" s="114"/>
      <c r="ADS11" s="114"/>
      <c r="ADT11" s="114"/>
      <c r="ADU11" s="114"/>
      <c r="ADV11" s="114"/>
      <c r="ADW11" s="114"/>
      <c r="ADX11" s="114"/>
      <c r="ADY11" s="114"/>
      <c r="ADZ11" s="114"/>
      <c r="AEA11" s="114"/>
      <c r="AEB11" s="114"/>
      <c r="AEC11" s="114"/>
      <c r="AED11" s="114"/>
      <c r="AEE11" s="114"/>
      <c r="AEF11" s="114"/>
      <c r="AEG11" s="114"/>
      <c r="AEH11" s="114"/>
      <c r="AEI11" s="114"/>
      <c r="AEJ11" s="114"/>
      <c r="AEK11" s="114"/>
      <c r="AEL11" s="114"/>
      <c r="AEM11" s="114"/>
      <c r="AEN11" s="114"/>
      <c r="AEO11" s="114"/>
      <c r="AEP11" s="114"/>
      <c r="AEQ11" s="114"/>
      <c r="AER11" s="114"/>
      <c r="AES11" s="114"/>
      <c r="AET11" s="114"/>
      <c r="AEU11" s="114"/>
      <c r="AEV11" s="114"/>
      <c r="AEW11" s="114"/>
      <c r="AEX11" s="114"/>
      <c r="AEY11" s="114"/>
      <c r="AEZ11" s="114"/>
      <c r="AFA11" s="114"/>
      <c r="AFB11" s="114"/>
      <c r="AFC11" s="114"/>
      <c r="AFD11" s="114"/>
      <c r="AFE11" s="114"/>
      <c r="AFF11" s="114"/>
      <c r="AFG11" s="114"/>
      <c r="AFH11" s="114"/>
      <c r="AFI11" s="114"/>
      <c r="AFJ11" s="114"/>
      <c r="AFK11" s="114"/>
      <c r="AFL11" s="114"/>
      <c r="AFM11" s="114"/>
      <c r="AFN11" s="114"/>
      <c r="AFO11" s="114"/>
      <c r="AFP11" s="114"/>
      <c r="AFQ11" s="114"/>
      <c r="AFR11" s="114"/>
      <c r="AFS11" s="114"/>
      <c r="AFT11" s="114"/>
      <c r="AFU11" s="114"/>
      <c r="AFV11" s="114"/>
      <c r="AFW11" s="114"/>
      <c r="AFX11" s="114"/>
      <c r="AFY11" s="114"/>
      <c r="AFZ11" s="114"/>
      <c r="AGA11" s="114"/>
      <c r="AGB11" s="114"/>
      <c r="AGC11" s="114"/>
      <c r="AGD11" s="114"/>
      <c r="AGE11" s="114"/>
      <c r="AGF11" s="114"/>
      <c r="AGG11" s="114"/>
      <c r="AGH11" s="114"/>
      <c r="AGI11" s="114"/>
      <c r="AGJ11" s="114"/>
      <c r="AGK11" s="114"/>
      <c r="AGL11" s="114"/>
      <c r="AGM11" s="114"/>
      <c r="AGN11" s="114"/>
      <c r="AGO11" s="114"/>
      <c r="AGP11" s="114"/>
      <c r="AGQ11" s="114"/>
      <c r="AGR11" s="114"/>
      <c r="AGS11" s="114"/>
      <c r="AGT11" s="114"/>
      <c r="AGU11" s="114"/>
      <c r="AGV11" s="114"/>
      <c r="AGW11" s="114"/>
      <c r="AGX11" s="114"/>
      <c r="AGY11" s="114"/>
      <c r="AGZ11" s="114"/>
      <c r="AHA11" s="114"/>
      <c r="AHB11" s="114"/>
      <c r="AHC11" s="114"/>
      <c r="AHD11" s="114"/>
      <c r="AHE11" s="114"/>
      <c r="AHF11" s="114"/>
      <c r="AHG11" s="114"/>
      <c r="AHH11" s="114"/>
      <c r="AHI11" s="114"/>
      <c r="AHJ11" s="114"/>
      <c r="AHK11" s="114"/>
      <c r="AHL11" s="114"/>
      <c r="AHM11" s="114"/>
      <c r="AHN11" s="114"/>
      <c r="AHO11" s="114"/>
      <c r="AHP11" s="114"/>
      <c r="AHQ11" s="114"/>
      <c r="AHR11" s="114"/>
      <c r="AHS11" s="114"/>
      <c r="AHT11" s="114"/>
      <c r="AHU11" s="114"/>
      <c r="AHV11" s="114"/>
      <c r="AHW11" s="114"/>
      <c r="AHX11" s="114"/>
      <c r="AHY11" s="114"/>
      <c r="AHZ11" s="114"/>
      <c r="AIA11" s="114"/>
      <c r="AIB11" s="114"/>
      <c r="AIC11" s="114"/>
      <c r="AID11" s="114"/>
      <c r="AIE11" s="114"/>
      <c r="AIF11" s="114"/>
      <c r="AIG11" s="114"/>
      <c r="AIH11" s="114"/>
      <c r="AII11" s="114"/>
      <c r="AIJ11" s="114"/>
      <c r="AIK11" s="114"/>
      <c r="AIL11" s="114"/>
      <c r="AIM11" s="114"/>
      <c r="AIN11" s="114"/>
      <c r="AIO11" s="114"/>
      <c r="AIP11" s="114"/>
      <c r="AIQ11" s="114"/>
      <c r="AIR11" s="114"/>
      <c r="AIS11" s="114"/>
      <c r="AIT11" s="114"/>
      <c r="AIU11" s="114"/>
      <c r="AIV11" s="114"/>
      <c r="AIW11" s="114"/>
      <c r="AIX11" s="114"/>
      <c r="AIY11" s="114"/>
      <c r="AIZ11" s="114"/>
      <c r="AJA11" s="114"/>
      <c r="AJB11" s="114"/>
      <c r="AJC11" s="114"/>
      <c r="AJD11" s="114"/>
      <c r="AJE11" s="114"/>
      <c r="AJF11" s="114"/>
      <c r="AJG11" s="114"/>
      <c r="AJH11" s="114"/>
      <c r="AJI11" s="114"/>
      <c r="AJJ11" s="114"/>
      <c r="AJK11" s="114"/>
      <c r="AJL11" s="114"/>
      <c r="AJM11" s="114"/>
      <c r="AJN11" s="114"/>
      <c r="AJO11" s="114"/>
      <c r="AJP11" s="114"/>
      <c r="AJQ11" s="114"/>
      <c r="AJR11" s="114"/>
      <c r="AJS11" s="114"/>
      <c r="AJT11" s="114"/>
      <c r="AJU11" s="114"/>
      <c r="AJV11" s="114"/>
      <c r="AJW11" s="114"/>
      <c r="AJX11" s="114"/>
      <c r="AJY11" s="114"/>
      <c r="AJZ11" s="114"/>
      <c r="AKA11" s="114"/>
      <c r="AKB11" s="114"/>
      <c r="AKC11" s="114"/>
      <c r="AKD11" s="114"/>
      <c r="AKE11" s="114"/>
      <c r="AKF11" s="114"/>
      <c r="AKG11" s="114"/>
      <c r="AKH11" s="114"/>
      <c r="AKI11" s="114"/>
      <c r="AKJ11" s="114"/>
      <c r="AKK11" s="114"/>
      <c r="AKL11" s="114"/>
    </row>
    <row r="12" spans="1:974" s="115" customFormat="1" ht="15" customHeight="1" x14ac:dyDescent="0.3">
      <c r="A12" s="158"/>
      <c r="B12" s="159"/>
      <c r="C12" s="463"/>
      <c r="D12" s="464" t="s">
        <v>2829</v>
      </c>
      <c r="E12" s="465"/>
      <c r="F12" s="466"/>
      <c r="G12" s="127">
        <f>SUM(G11)</f>
        <v>10000</v>
      </c>
      <c r="H12" s="114"/>
      <c r="I12" s="114"/>
      <c r="J12" s="114"/>
      <c r="K12" s="114"/>
      <c r="L12" s="114"/>
      <c r="M12" s="114"/>
      <c r="N12" s="114"/>
      <c r="O12" s="114"/>
      <c r="P12" s="114"/>
      <c r="Q12" s="114"/>
      <c r="R12" s="114"/>
      <c r="S12" s="114"/>
      <c r="T12" s="114"/>
      <c r="U12" s="114"/>
      <c r="V12" s="114"/>
      <c r="W12" s="114"/>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4"/>
      <c r="AY12" s="114"/>
      <c r="AZ12" s="114"/>
      <c r="BA12" s="114"/>
      <c r="BB12" s="114"/>
      <c r="BC12" s="114"/>
      <c r="BD12" s="114"/>
      <c r="BE12" s="114"/>
      <c r="BF12" s="114"/>
      <c r="BG12" s="114"/>
      <c r="BH12" s="114"/>
      <c r="BI12" s="114"/>
      <c r="BJ12" s="114"/>
      <c r="BK12" s="114"/>
      <c r="BL12" s="114"/>
      <c r="BM12" s="114"/>
      <c r="BN12" s="114"/>
      <c r="BO12" s="114"/>
      <c r="BP12" s="114"/>
      <c r="BQ12" s="114"/>
      <c r="BR12" s="114"/>
      <c r="BS12" s="114"/>
      <c r="BT12" s="114"/>
      <c r="BU12" s="114"/>
      <c r="BV12" s="114"/>
      <c r="BW12" s="114"/>
      <c r="BX12" s="114"/>
      <c r="BY12" s="114"/>
      <c r="BZ12" s="114"/>
      <c r="CA12" s="114"/>
      <c r="CB12" s="114"/>
      <c r="CC12" s="114"/>
      <c r="CD12" s="114"/>
      <c r="CE12" s="114"/>
      <c r="CF12" s="114"/>
      <c r="CG12" s="114"/>
      <c r="CH12" s="114"/>
      <c r="CI12" s="114"/>
      <c r="CJ12" s="114"/>
      <c r="CK12" s="114"/>
      <c r="CL12" s="114"/>
      <c r="CM12" s="114"/>
      <c r="CN12" s="114"/>
      <c r="CO12" s="114"/>
      <c r="CP12" s="114"/>
      <c r="CQ12" s="114"/>
      <c r="CR12" s="114"/>
      <c r="CS12" s="114"/>
      <c r="CT12" s="114"/>
      <c r="CU12" s="114"/>
      <c r="CV12" s="114"/>
      <c r="CW12" s="114"/>
      <c r="CX12" s="114"/>
      <c r="CY12" s="114"/>
      <c r="CZ12" s="114"/>
      <c r="DA12" s="114"/>
      <c r="DB12" s="114"/>
      <c r="DC12" s="114"/>
      <c r="DD12" s="114"/>
      <c r="DE12" s="114"/>
      <c r="DF12" s="114"/>
      <c r="DG12" s="114"/>
      <c r="DH12" s="114"/>
      <c r="DI12" s="114"/>
      <c r="DJ12" s="114"/>
      <c r="DK12" s="114"/>
      <c r="DL12" s="114"/>
      <c r="DM12" s="114"/>
      <c r="DN12" s="114"/>
      <c r="DO12" s="114"/>
      <c r="DP12" s="114"/>
      <c r="DQ12" s="114"/>
      <c r="DR12" s="114"/>
      <c r="DS12" s="114"/>
      <c r="DT12" s="114"/>
      <c r="DU12" s="114"/>
      <c r="DV12" s="114"/>
      <c r="DW12" s="114"/>
      <c r="DX12" s="114"/>
      <c r="DY12" s="114"/>
      <c r="DZ12" s="114"/>
      <c r="EA12" s="114"/>
      <c r="EB12" s="114"/>
      <c r="EC12" s="114"/>
      <c r="ED12" s="114"/>
      <c r="EE12" s="114"/>
      <c r="EF12" s="114"/>
      <c r="EG12" s="114"/>
      <c r="EH12" s="114"/>
      <c r="EI12" s="114"/>
      <c r="EJ12" s="114"/>
      <c r="EK12" s="114"/>
      <c r="EL12" s="114"/>
      <c r="EM12" s="114"/>
      <c r="EN12" s="114"/>
      <c r="EO12" s="114"/>
      <c r="EP12" s="114"/>
      <c r="EQ12" s="114"/>
      <c r="ER12" s="114"/>
      <c r="ES12" s="114"/>
      <c r="ET12" s="114"/>
      <c r="EU12" s="114"/>
      <c r="EV12" s="114"/>
      <c r="EW12" s="114"/>
      <c r="EX12" s="114"/>
      <c r="EY12" s="114"/>
      <c r="EZ12" s="114"/>
      <c r="FA12" s="114"/>
      <c r="FB12" s="114"/>
      <c r="FC12" s="114"/>
      <c r="FD12" s="114"/>
      <c r="FE12" s="114"/>
      <c r="FF12" s="114"/>
      <c r="FG12" s="114"/>
      <c r="FH12" s="114"/>
      <c r="FI12" s="114"/>
      <c r="FJ12" s="114"/>
      <c r="FK12" s="114"/>
      <c r="FL12" s="114"/>
      <c r="FM12" s="114"/>
      <c r="FN12" s="114"/>
      <c r="FO12" s="114"/>
      <c r="FP12" s="114"/>
      <c r="FQ12" s="114"/>
      <c r="FR12" s="114"/>
      <c r="FS12" s="114"/>
      <c r="FT12" s="114"/>
      <c r="FU12" s="114"/>
      <c r="FV12" s="114"/>
      <c r="FW12" s="114"/>
      <c r="FX12" s="114"/>
      <c r="FY12" s="114"/>
      <c r="FZ12" s="114"/>
      <c r="GA12" s="114"/>
      <c r="GB12" s="114"/>
      <c r="GC12" s="114"/>
      <c r="GD12" s="114"/>
      <c r="GE12" s="114"/>
      <c r="GF12" s="114"/>
      <c r="GG12" s="114"/>
      <c r="GH12" s="114"/>
      <c r="GI12" s="114"/>
      <c r="GJ12" s="114"/>
      <c r="GK12" s="114"/>
      <c r="GL12" s="114"/>
      <c r="GM12" s="114"/>
      <c r="GN12" s="114"/>
      <c r="GO12" s="114"/>
      <c r="GP12" s="114"/>
      <c r="GQ12" s="114"/>
      <c r="GR12" s="114"/>
      <c r="GS12" s="114"/>
      <c r="GT12" s="114"/>
      <c r="GU12" s="114"/>
      <c r="GV12" s="114"/>
      <c r="GW12" s="114"/>
      <c r="GX12" s="114"/>
      <c r="GY12" s="114"/>
      <c r="GZ12" s="114"/>
      <c r="HA12" s="114"/>
      <c r="HB12" s="114"/>
      <c r="HC12" s="114"/>
      <c r="HD12" s="114"/>
      <c r="HE12" s="114"/>
      <c r="HF12" s="114"/>
      <c r="HG12" s="114"/>
      <c r="HH12" s="114"/>
      <c r="HI12" s="114"/>
      <c r="HJ12" s="114"/>
      <c r="HK12" s="114"/>
      <c r="HL12" s="114"/>
      <c r="HM12" s="114"/>
      <c r="HN12" s="114"/>
      <c r="HO12" s="114"/>
      <c r="HP12" s="114"/>
      <c r="HQ12" s="114"/>
      <c r="HR12" s="114"/>
      <c r="HS12" s="114"/>
      <c r="HT12" s="114"/>
      <c r="HU12" s="114"/>
      <c r="HV12" s="114"/>
      <c r="HW12" s="114"/>
      <c r="HX12" s="114"/>
      <c r="HY12" s="114"/>
      <c r="HZ12" s="114"/>
      <c r="IA12" s="114"/>
      <c r="IB12" s="114"/>
      <c r="IC12" s="114"/>
      <c r="ID12" s="114"/>
      <c r="IE12" s="114"/>
      <c r="IF12" s="114"/>
      <c r="IG12" s="114"/>
      <c r="IH12" s="114"/>
      <c r="II12" s="114"/>
      <c r="IJ12" s="114"/>
      <c r="IK12" s="114"/>
      <c r="IL12" s="114"/>
      <c r="IM12" s="114"/>
      <c r="IN12" s="114"/>
      <c r="IO12" s="114"/>
      <c r="IP12" s="114"/>
      <c r="IQ12" s="114"/>
      <c r="IR12" s="114"/>
      <c r="IS12" s="114"/>
      <c r="IT12" s="114"/>
      <c r="IU12" s="114"/>
      <c r="IV12" s="114"/>
      <c r="IW12" s="114"/>
      <c r="IX12" s="114"/>
      <c r="IY12" s="114"/>
      <c r="IZ12" s="114"/>
      <c r="JA12" s="114"/>
      <c r="JB12" s="114"/>
      <c r="JC12" s="114"/>
      <c r="JD12" s="114"/>
      <c r="JE12" s="114"/>
      <c r="JF12" s="114"/>
      <c r="JG12" s="114"/>
      <c r="JH12" s="114"/>
      <c r="JI12" s="114"/>
      <c r="JJ12" s="114"/>
      <c r="JK12" s="114"/>
      <c r="JL12" s="114"/>
      <c r="JM12" s="114"/>
      <c r="JN12" s="114"/>
      <c r="JO12" s="114"/>
      <c r="JP12" s="114"/>
      <c r="JQ12" s="114"/>
      <c r="JR12" s="114"/>
      <c r="JS12" s="114"/>
      <c r="JT12" s="114"/>
      <c r="JU12" s="114"/>
      <c r="JV12" s="114"/>
      <c r="JW12" s="114"/>
      <c r="JX12" s="114"/>
      <c r="JY12" s="114"/>
      <c r="JZ12" s="114"/>
      <c r="KA12" s="114"/>
      <c r="KB12" s="114"/>
      <c r="KC12" s="114"/>
      <c r="KD12" s="114"/>
      <c r="KE12" s="114"/>
      <c r="KF12" s="114"/>
      <c r="KG12" s="114"/>
      <c r="KH12" s="114"/>
      <c r="KI12" s="114"/>
      <c r="KJ12" s="114"/>
      <c r="KK12" s="114"/>
      <c r="KL12" s="114"/>
      <c r="KM12" s="114"/>
      <c r="KN12" s="114"/>
      <c r="KO12" s="114"/>
      <c r="KP12" s="114"/>
      <c r="KQ12" s="114"/>
      <c r="KR12" s="114"/>
      <c r="KS12" s="114"/>
      <c r="KT12" s="114"/>
      <c r="KU12" s="114"/>
      <c r="KV12" s="114"/>
      <c r="KW12" s="114"/>
      <c r="KX12" s="114"/>
      <c r="KY12" s="114"/>
      <c r="KZ12" s="114"/>
      <c r="LA12" s="114"/>
      <c r="LB12" s="114"/>
      <c r="LC12" s="114"/>
      <c r="LD12" s="114"/>
      <c r="LE12" s="114"/>
      <c r="LF12" s="114"/>
      <c r="LG12" s="114"/>
      <c r="LH12" s="114"/>
      <c r="LI12" s="114"/>
      <c r="LJ12" s="114"/>
      <c r="LK12" s="114"/>
      <c r="LL12" s="114"/>
      <c r="LM12" s="114"/>
      <c r="LN12" s="114"/>
      <c r="LO12" s="114"/>
      <c r="LP12" s="114"/>
      <c r="LQ12" s="114"/>
      <c r="LR12" s="114"/>
      <c r="LS12" s="114"/>
      <c r="LT12" s="114"/>
      <c r="LU12" s="114"/>
      <c r="LV12" s="114"/>
      <c r="LW12" s="114"/>
      <c r="LX12" s="114"/>
      <c r="LY12" s="114"/>
      <c r="LZ12" s="114"/>
      <c r="MA12" s="114"/>
      <c r="MB12" s="114"/>
      <c r="MC12" s="114"/>
      <c r="MD12" s="114"/>
      <c r="ME12" s="114"/>
      <c r="MF12" s="114"/>
      <c r="MG12" s="114"/>
      <c r="MH12" s="114"/>
      <c r="MI12" s="114"/>
      <c r="MJ12" s="114"/>
      <c r="MK12" s="114"/>
      <c r="ML12" s="114"/>
      <c r="MM12" s="114"/>
      <c r="MN12" s="114"/>
      <c r="MO12" s="114"/>
      <c r="MP12" s="114"/>
      <c r="MQ12" s="114"/>
      <c r="MR12" s="114"/>
      <c r="MS12" s="114"/>
      <c r="MT12" s="114"/>
      <c r="MU12" s="114"/>
      <c r="MV12" s="114"/>
      <c r="MW12" s="114"/>
      <c r="MX12" s="114"/>
      <c r="MY12" s="114"/>
      <c r="MZ12" s="114"/>
      <c r="NA12" s="114"/>
      <c r="NB12" s="114"/>
      <c r="NC12" s="114"/>
      <c r="ND12" s="114"/>
      <c r="NE12" s="114"/>
      <c r="NF12" s="114"/>
      <c r="NG12" s="114"/>
      <c r="NH12" s="114"/>
      <c r="NI12" s="114"/>
      <c r="NJ12" s="114"/>
      <c r="NK12" s="114"/>
      <c r="NL12" s="114"/>
      <c r="NM12" s="114"/>
      <c r="NN12" s="114"/>
      <c r="NO12" s="114"/>
      <c r="NP12" s="114"/>
      <c r="NQ12" s="114"/>
      <c r="NR12" s="114"/>
      <c r="NS12" s="114"/>
      <c r="NT12" s="114"/>
      <c r="NU12" s="114"/>
      <c r="NV12" s="114"/>
      <c r="NW12" s="114"/>
      <c r="NX12" s="114"/>
      <c r="NY12" s="114"/>
      <c r="NZ12" s="114"/>
      <c r="OA12" s="114"/>
      <c r="OB12" s="114"/>
      <c r="OC12" s="114"/>
      <c r="OD12" s="114"/>
      <c r="OE12" s="114"/>
      <c r="OF12" s="114"/>
      <c r="OG12" s="114"/>
      <c r="OH12" s="114"/>
      <c r="OI12" s="114"/>
      <c r="OJ12" s="114"/>
      <c r="OK12" s="114"/>
      <c r="OL12" s="114"/>
      <c r="OM12" s="114"/>
      <c r="ON12" s="114"/>
      <c r="OO12" s="114"/>
      <c r="OP12" s="114"/>
      <c r="OQ12" s="114"/>
      <c r="OR12" s="114"/>
      <c r="OS12" s="114"/>
      <c r="OT12" s="114"/>
      <c r="OU12" s="114"/>
      <c r="OV12" s="114"/>
      <c r="OW12" s="114"/>
      <c r="OX12" s="114"/>
      <c r="OY12" s="114"/>
      <c r="OZ12" s="114"/>
      <c r="PA12" s="114"/>
      <c r="PB12" s="114"/>
      <c r="PC12" s="114"/>
      <c r="PD12" s="114"/>
      <c r="PE12" s="114"/>
      <c r="PF12" s="114"/>
      <c r="PG12" s="114"/>
      <c r="PH12" s="114"/>
      <c r="PI12" s="114"/>
      <c r="PJ12" s="114"/>
      <c r="PK12" s="114"/>
      <c r="PL12" s="114"/>
      <c r="PM12" s="114"/>
      <c r="PN12" s="114"/>
      <c r="PO12" s="114"/>
      <c r="PP12" s="114"/>
      <c r="PQ12" s="114"/>
      <c r="PR12" s="114"/>
      <c r="PS12" s="114"/>
      <c r="PT12" s="114"/>
      <c r="PU12" s="114"/>
      <c r="PV12" s="114"/>
      <c r="PW12" s="114"/>
      <c r="PX12" s="114"/>
      <c r="PY12" s="114"/>
      <c r="PZ12" s="114"/>
      <c r="QA12" s="114"/>
      <c r="QB12" s="114"/>
      <c r="QC12" s="114"/>
      <c r="QD12" s="114"/>
      <c r="QE12" s="114"/>
      <c r="QF12" s="114"/>
      <c r="QG12" s="114"/>
      <c r="QH12" s="114"/>
      <c r="QI12" s="114"/>
      <c r="QJ12" s="114"/>
      <c r="QK12" s="114"/>
      <c r="QL12" s="114"/>
      <c r="QM12" s="114"/>
      <c r="QN12" s="114"/>
      <c r="QO12" s="114"/>
      <c r="QP12" s="114"/>
      <c r="QQ12" s="114"/>
      <c r="QR12" s="114"/>
      <c r="QS12" s="114"/>
      <c r="QT12" s="114"/>
      <c r="QU12" s="114"/>
      <c r="QV12" s="114"/>
      <c r="QW12" s="114"/>
      <c r="QX12" s="114"/>
      <c r="QY12" s="114"/>
      <c r="QZ12" s="114"/>
      <c r="RA12" s="114"/>
      <c r="RB12" s="114"/>
      <c r="RC12" s="114"/>
      <c r="RD12" s="114"/>
      <c r="RE12" s="114"/>
      <c r="RF12" s="114"/>
      <c r="RG12" s="114"/>
      <c r="RH12" s="114"/>
      <c r="RI12" s="114"/>
      <c r="RJ12" s="114"/>
      <c r="RK12" s="114"/>
      <c r="RL12" s="114"/>
      <c r="RM12" s="114"/>
      <c r="RN12" s="114"/>
      <c r="RO12" s="114"/>
      <c r="RP12" s="114"/>
      <c r="RQ12" s="114"/>
      <c r="RR12" s="114"/>
      <c r="RS12" s="114"/>
      <c r="RT12" s="114"/>
      <c r="RU12" s="114"/>
      <c r="RV12" s="114"/>
      <c r="RW12" s="114"/>
      <c r="RX12" s="114"/>
      <c r="RY12" s="114"/>
      <c r="RZ12" s="114"/>
      <c r="SA12" s="114"/>
      <c r="SB12" s="114"/>
      <c r="SC12" s="114"/>
      <c r="SD12" s="114"/>
      <c r="SE12" s="114"/>
      <c r="SF12" s="114"/>
      <c r="SG12" s="114"/>
      <c r="SH12" s="114"/>
      <c r="SI12" s="114"/>
      <c r="SJ12" s="114"/>
      <c r="SK12" s="114"/>
      <c r="SL12" s="114"/>
      <c r="SM12" s="114"/>
      <c r="SN12" s="114"/>
      <c r="SO12" s="114"/>
      <c r="SP12" s="114"/>
      <c r="SQ12" s="114"/>
      <c r="SR12" s="114"/>
      <c r="SS12" s="114"/>
      <c r="ST12" s="114"/>
      <c r="SU12" s="114"/>
      <c r="SV12" s="114"/>
      <c r="SW12" s="114"/>
      <c r="SX12" s="114"/>
      <c r="SY12" s="114"/>
      <c r="SZ12" s="114"/>
      <c r="TA12" s="114"/>
      <c r="TB12" s="114"/>
      <c r="TC12" s="114"/>
      <c r="TD12" s="114"/>
      <c r="TE12" s="114"/>
      <c r="TF12" s="114"/>
      <c r="TG12" s="114"/>
      <c r="TH12" s="114"/>
      <c r="TI12" s="114"/>
      <c r="TJ12" s="114"/>
      <c r="TK12" s="114"/>
      <c r="TL12" s="114"/>
      <c r="TM12" s="114"/>
      <c r="TN12" s="114"/>
      <c r="TO12" s="114"/>
      <c r="TP12" s="114"/>
      <c r="TQ12" s="114"/>
      <c r="TR12" s="114"/>
      <c r="TS12" s="114"/>
      <c r="TT12" s="114"/>
      <c r="TU12" s="114"/>
      <c r="TV12" s="114"/>
      <c r="TW12" s="114"/>
      <c r="TX12" s="114"/>
      <c r="TY12" s="114"/>
      <c r="TZ12" s="114"/>
      <c r="UA12" s="114"/>
      <c r="UB12" s="114"/>
      <c r="UC12" s="114"/>
      <c r="UD12" s="114"/>
      <c r="UE12" s="114"/>
      <c r="UF12" s="114"/>
      <c r="UG12" s="114"/>
      <c r="UH12" s="114"/>
      <c r="UI12" s="114"/>
      <c r="UJ12" s="114"/>
      <c r="UK12" s="114"/>
      <c r="UL12" s="114"/>
      <c r="UM12" s="114"/>
      <c r="UN12" s="114"/>
      <c r="UO12" s="114"/>
      <c r="UP12" s="114"/>
      <c r="UQ12" s="114"/>
      <c r="UR12" s="114"/>
      <c r="US12" s="114"/>
      <c r="UT12" s="114"/>
      <c r="UU12" s="114"/>
      <c r="UV12" s="114"/>
      <c r="UW12" s="114"/>
      <c r="UX12" s="114"/>
      <c r="UY12" s="114"/>
      <c r="UZ12" s="114"/>
      <c r="VA12" s="114"/>
      <c r="VB12" s="114"/>
      <c r="VC12" s="114"/>
      <c r="VD12" s="114"/>
      <c r="VE12" s="114"/>
      <c r="VF12" s="114"/>
      <c r="VG12" s="114"/>
      <c r="VH12" s="114"/>
      <c r="VI12" s="114"/>
      <c r="VJ12" s="114"/>
      <c r="VK12" s="114"/>
      <c r="VL12" s="114"/>
      <c r="VM12" s="114"/>
      <c r="VN12" s="114"/>
      <c r="VO12" s="114"/>
      <c r="VP12" s="114"/>
      <c r="VQ12" s="114"/>
      <c r="VR12" s="114"/>
      <c r="VS12" s="114"/>
      <c r="VT12" s="114"/>
      <c r="VU12" s="114"/>
      <c r="VV12" s="114"/>
      <c r="VW12" s="114"/>
      <c r="VX12" s="114"/>
      <c r="VY12" s="114"/>
      <c r="VZ12" s="114"/>
      <c r="WA12" s="114"/>
      <c r="WB12" s="114"/>
      <c r="WC12" s="114"/>
      <c r="WD12" s="114"/>
      <c r="WE12" s="114"/>
      <c r="WF12" s="114"/>
      <c r="WG12" s="114"/>
      <c r="WH12" s="114"/>
      <c r="WI12" s="114"/>
      <c r="WJ12" s="114"/>
      <c r="WK12" s="114"/>
      <c r="WL12" s="114"/>
      <c r="WM12" s="114"/>
      <c r="WN12" s="114"/>
      <c r="WO12" s="114"/>
      <c r="WP12" s="114"/>
      <c r="WQ12" s="114"/>
      <c r="WR12" s="114"/>
      <c r="WS12" s="114"/>
      <c r="WT12" s="114"/>
      <c r="WU12" s="114"/>
      <c r="WV12" s="114"/>
      <c r="WW12" s="114"/>
      <c r="WX12" s="114"/>
      <c r="WY12" s="114"/>
      <c r="WZ12" s="114"/>
      <c r="XA12" s="114"/>
      <c r="XB12" s="114"/>
      <c r="XC12" s="114"/>
      <c r="XD12" s="114"/>
      <c r="XE12" s="114"/>
      <c r="XF12" s="114"/>
      <c r="XG12" s="114"/>
      <c r="XH12" s="114"/>
      <c r="XI12" s="114"/>
      <c r="XJ12" s="114"/>
      <c r="XK12" s="114"/>
      <c r="XL12" s="114"/>
      <c r="XM12" s="114"/>
      <c r="XN12" s="114"/>
      <c r="XO12" s="114"/>
      <c r="XP12" s="114"/>
      <c r="XQ12" s="114"/>
      <c r="XR12" s="114"/>
      <c r="XS12" s="114"/>
      <c r="XT12" s="114"/>
      <c r="XU12" s="114"/>
      <c r="XV12" s="114"/>
      <c r="XW12" s="114"/>
      <c r="XX12" s="114"/>
      <c r="XY12" s="114"/>
      <c r="XZ12" s="114"/>
      <c r="YA12" s="114"/>
      <c r="YB12" s="114"/>
      <c r="YC12" s="114"/>
      <c r="YD12" s="114"/>
      <c r="YE12" s="114"/>
      <c r="YF12" s="114"/>
      <c r="YG12" s="114"/>
      <c r="YH12" s="114"/>
      <c r="YI12" s="114"/>
      <c r="YJ12" s="114"/>
      <c r="YK12" s="114"/>
      <c r="YL12" s="114"/>
      <c r="YM12" s="114"/>
      <c r="YN12" s="114"/>
      <c r="YO12" s="114"/>
      <c r="YP12" s="114"/>
      <c r="YQ12" s="114"/>
      <c r="YR12" s="114"/>
      <c r="YS12" s="114"/>
      <c r="YT12" s="114"/>
      <c r="YU12" s="114"/>
      <c r="YV12" s="114"/>
      <c r="YW12" s="114"/>
      <c r="YX12" s="114"/>
      <c r="YY12" s="114"/>
      <c r="YZ12" s="114"/>
      <c r="ZA12" s="114"/>
      <c r="ZB12" s="114"/>
      <c r="ZC12" s="114"/>
      <c r="ZD12" s="114"/>
      <c r="ZE12" s="114"/>
      <c r="ZF12" s="114"/>
      <c r="ZG12" s="114"/>
      <c r="ZH12" s="114"/>
      <c r="ZI12" s="114"/>
      <c r="ZJ12" s="114"/>
      <c r="ZK12" s="114"/>
      <c r="ZL12" s="114"/>
      <c r="ZM12" s="114"/>
      <c r="ZN12" s="114"/>
      <c r="ZO12" s="114"/>
      <c r="ZP12" s="114"/>
      <c r="ZQ12" s="114"/>
      <c r="ZR12" s="114"/>
      <c r="ZS12" s="114"/>
      <c r="ZT12" s="114"/>
      <c r="ZU12" s="114"/>
      <c r="ZV12" s="114"/>
      <c r="ZW12" s="114"/>
      <c r="ZX12" s="114"/>
      <c r="ZY12" s="114"/>
      <c r="ZZ12" s="114"/>
      <c r="AAA12" s="114"/>
      <c r="AAB12" s="114"/>
      <c r="AAC12" s="114"/>
      <c r="AAD12" s="114"/>
      <c r="AAE12" s="114"/>
      <c r="AAF12" s="114"/>
      <c r="AAG12" s="114"/>
      <c r="AAH12" s="114"/>
      <c r="AAI12" s="114"/>
      <c r="AAJ12" s="114"/>
      <c r="AAK12" s="114"/>
      <c r="AAL12" s="114"/>
      <c r="AAM12" s="114"/>
      <c r="AAN12" s="114"/>
      <c r="AAO12" s="114"/>
      <c r="AAP12" s="114"/>
      <c r="AAQ12" s="114"/>
      <c r="AAR12" s="114"/>
      <c r="AAS12" s="114"/>
      <c r="AAT12" s="114"/>
      <c r="AAU12" s="114"/>
      <c r="AAV12" s="114"/>
      <c r="AAW12" s="114"/>
      <c r="AAX12" s="114"/>
      <c r="AAY12" s="114"/>
      <c r="AAZ12" s="114"/>
      <c r="ABA12" s="114"/>
      <c r="ABB12" s="114"/>
      <c r="ABC12" s="114"/>
      <c r="ABD12" s="114"/>
      <c r="ABE12" s="114"/>
      <c r="ABF12" s="114"/>
      <c r="ABG12" s="114"/>
      <c r="ABH12" s="114"/>
      <c r="ABI12" s="114"/>
      <c r="ABJ12" s="114"/>
      <c r="ABK12" s="114"/>
      <c r="ABL12" s="114"/>
      <c r="ABM12" s="114"/>
      <c r="ABN12" s="114"/>
      <c r="ABO12" s="114"/>
      <c r="ABP12" s="114"/>
      <c r="ABQ12" s="114"/>
      <c r="ABR12" s="114"/>
      <c r="ABS12" s="114"/>
      <c r="ABT12" s="114"/>
      <c r="ABU12" s="114"/>
      <c r="ABV12" s="114"/>
      <c r="ABW12" s="114"/>
      <c r="ABX12" s="114"/>
      <c r="ABY12" s="114"/>
      <c r="ABZ12" s="114"/>
      <c r="ACA12" s="114"/>
      <c r="ACB12" s="114"/>
      <c r="ACC12" s="114"/>
      <c r="ACD12" s="114"/>
      <c r="ACE12" s="114"/>
      <c r="ACF12" s="114"/>
      <c r="ACG12" s="114"/>
      <c r="ACH12" s="114"/>
      <c r="ACI12" s="114"/>
      <c r="ACJ12" s="114"/>
      <c r="ACK12" s="114"/>
      <c r="ACL12" s="114"/>
      <c r="ACM12" s="114"/>
      <c r="ACN12" s="114"/>
      <c r="ACO12" s="114"/>
      <c r="ACP12" s="114"/>
      <c r="ACQ12" s="114"/>
      <c r="ACR12" s="114"/>
      <c r="ACS12" s="114"/>
      <c r="ACT12" s="114"/>
      <c r="ACU12" s="114"/>
      <c r="ACV12" s="114"/>
      <c r="ACW12" s="114"/>
      <c r="ACX12" s="114"/>
      <c r="ACY12" s="114"/>
      <c r="ACZ12" s="114"/>
      <c r="ADA12" s="114"/>
      <c r="ADB12" s="114"/>
      <c r="ADC12" s="114"/>
      <c r="ADD12" s="114"/>
      <c r="ADE12" s="114"/>
      <c r="ADF12" s="114"/>
      <c r="ADG12" s="114"/>
      <c r="ADH12" s="114"/>
      <c r="ADI12" s="114"/>
      <c r="ADJ12" s="114"/>
      <c r="ADK12" s="114"/>
      <c r="ADL12" s="114"/>
      <c r="ADM12" s="114"/>
      <c r="ADN12" s="114"/>
      <c r="ADO12" s="114"/>
      <c r="ADP12" s="114"/>
      <c r="ADQ12" s="114"/>
      <c r="ADR12" s="114"/>
      <c r="ADS12" s="114"/>
      <c r="ADT12" s="114"/>
      <c r="ADU12" s="114"/>
      <c r="ADV12" s="114"/>
      <c r="ADW12" s="114"/>
      <c r="ADX12" s="114"/>
      <c r="ADY12" s="114"/>
      <c r="ADZ12" s="114"/>
      <c r="AEA12" s="114"/>
      <c r="AEB12" s="114"/>
      <c r="AEC12" s="114"/>
      <c r="AED12" s="114"/>
      <c r="AEE12" s="114"/>
      <c r="AEF12" s="114"/>
      <c r="AEG12" s="114"/>
      <c r="AEH12" s="114"/>
      <c r="AEI12" s="114"/>
      <c r="AEJ12" s="114"/>
      <c r="AEK12" s="114"/>
      <c r="AEL12" s="114"/>
      <c r="AEM12" s="114"/>
      <c r="AEN12" s="114"/>
      <c r="AEO12" s="114"/>
      <c r="AEP12" s="114"/>
      <c r="AEQ12" s="114"/>
      <c r="AER12" s="114"/>
      <c r="AES12" s="114"/>
      <c r="AET12" s="114"/>
      <c r="AEU12" s="114"/>
      <c r="AEV12" s="114"/>
      <c r="AEW12" s="114"/>
      <c r="AEX12" s="114"/>
      <c r="AEY12" s="114"/>
      <c r="AEZ12" s="114"/>
      <c r="AFA12" s="114"/>
      <c r="AFB12" s="114"/>
      <c r="AFC12" s="114"/>
      <c r="AFD12" s="114"/>
      <c r="AFE12" s="114"/>
      <c r="AFF12" s="114"/>
      <c r="AFG12" s="114"/>
      <c r="AFH12" s="114"/>
      <c r="AFI12" s="114"/>
      <c r="AFJ12" s="114"/>
      <c r="AFK12" s="114"/>
      <c r="AFL12" s="114"/>
      <c r="AFM12" s="114"/>
      <c r="AFN12" s="114"/>
      <c r="AFO12" s="114"/>
      <c r="AFP12" s="114"/>
      <c r="AFQ12" s="114"/>
      <c r="AFR12" s="114"/>
      <c r="AFS12" s="114"/>
      <c r="AFT12" s="114"/>
      <c r="AFU12" s="114"/>
      <c r="AFV12" s="114"/>
      <c r="AFW12" s="114"/>
      <c r="AFX12" s="114"/>
      <c r="AFY12" s="114"/>
      <c r="AFZ12" s="114"/>
      <c r="AGA12" s="114"/>
      <c r="AGB12" s="114"/>
      <c r="AGC12" s="114"/>
      <c r="AGD12" s="114"/>
      <c r="AGE12" s="114"/>
      <c r="AGF12" s="114"/>
      <c r="AGG12" s="114"/>
      <c r="AGH12" s="114"/>
      <c r="AGI12" s="114"/>
      <c r="AGJ12" s="114"/>
      <c r="AGK12" s="114"/>
      <c r="AGL12" s="114"/>
      <c r="AGM12" s="114"/>
      <c r="AGN12" s="114"/>
      <c r="AGO12" s="114"/>
      <c r="AGP12" s="114"/>
      <c r="AGQ12" s="114"/>
      <c r="AGR12" s="114"/>
      <c r="AGS12" s="114"/>
      <c r="AGT12" s="114"/>
      <c r="AGU12" s="114"/>
      <c r="AGV12" s="114"/>
      <c r="AGW12" s="114"/>
      <c r="AGX12" s="114"/>
      <c r="AGY12" s="114"/>
      <c r="AGZ12" s="114"/>
      <c r="AHA12" s="114"/>
      <c r="AHB12" s="114"/>
      <c r="AHC12" s="114"/>
      <c r="AHD12" s="114"/>
      <c r="AHE12" s="114"/>
      <c r="AHF12" s="114"/>
      <c r="AHG12" s="114"/>
      <c r="AHH12" s="114"/>
      <c r="AHI12" s="114"/>
      <c r="AHJ12" s="114"/>
      <c r="AHK12" s="114"/>
      <c r="AHL12" s="114"/>
      <c r="AHM12" s="114"/>
      <c r="AHN12" s="114"/>
      <c r="AHO12" s="114"/>
      <c r="AHP12" s="114"/>
      <c r="AHQ12" s="114"/>
      <c r="AHR12" s="114"/>
      <c r="AHS12" s="114"/>
      <c r="AHT12" s="114"/>
      <c r="AHU12" s="114"/>
      <c r="AHV12" s="114"/>
      <c r="AHW12" s="114"/>
      <c r="AHX12" s="114"/>
      <c r="AHY12" s="114"/>
      <c r="AHZ12" s="114"/>
      <c r="AIA12" s="114"/>
      <c r="AIB12" s="114"/>
      <c r="AIC12" s="114"/>
      <c r="AID12" s="114"/>
      <c r="AIE12" s="114"/>
      <c r="AIF12" s="114"/>
      <c r="AIG12" s="114"/>
      <c r="AIH12" s="114"/>
      <c r="AII12" s="114"/>
      <c r="AIJ12" s="114"/>
      <c r="AIK12" s="114"/>
      <c r="AIL12" s="114"/>
      <c r="AIM12" s="114"/>
      <c r="AIN12" s="114"/>
      <c r="AIO12" s="114"/>
      <c r="AIP12" s="114"/>
      <c r="AIQ12" s="114"/>
      <c r="AIR12" s="114"/>
      <c r="AIS12" s="114"/>
      <c r="AIT12" s="114"/>
      <c r="AIU12" s="114"/>
      <c r="AIV12" s="114"/>
      <c r="AIW12" s="114"/>
      <c r="AIX12" s="114"/>
      <c r="AIY12" s="114"/>
      <c r="AIZ12" s="114"/>
      <c r="AJA12" s="114"/>
      <c r="AJB12" s="114"/>
      <c r="AJC12" s="114"/>
      <c r="AJD12" s="114"/>
      <c r="AJE12" s="114"/>
      <c r="AJF12" s="114"/>
      <c r="AJG12" s="114"/>
      <c r="AJH12" s="114"/>
      <c r="AJI12" s="114"/>
      <c r="AJJ12" s="114"/>
      <c r="AJK12" s="114"/>
      <c r="AJL12" s="114"/>
      <c r="AJM12" s="114"/>
      <c r="AJN12" s="114"/>
      <c r="AJO12" s="114"/>
      <c r="AJP12" s="114"/>
      <c r="AJQ12" s="114"/>
      <c r="AJR12" s="114"/>
      <c r="AJS12" s="114"/>
      <c r="AJT12" s="114"/>
      <c r="AJU12" s="114"/>
      <c r="AJV12" s="114"/>
      <c r="AJW12" s="114"/>
      <c r="AJX12" s="114"/>
      <c r="AJY12" s="114"/>
      <c r="AJZ12" s="114"/>
      <c r="AKA12" s="114"/>
      <c r="AKB12" s="114"/>
      <c r="AKC12" s="114"/>
      <c r="AKD12" s="114"/>
      <c r="AKE12" s="114"/>
      <c r="AKF12" s="114"/>
      <c r="AKG12" s="114"/>
      <c r="AKH12" s="114"/>
      <c r="AKI12" s="114"/>
      <c r="AKJ12" s="114"/>
      <c r="AKK12" s="114"/>
      <c r="AKL12" s="114"/>
    </row>
    <row r="13" spans="1:974" s="115" customFormat="1" ht="15" customHeight="1" x14ac:dyDescent="0.3">
      <c r="A13" s="103">
        <v>8470230</v>
      </c>
      <c r="B13" s="104">
        <v>436110</v>
      </c>
      <c r="C13" s="461" t="s">
        <v>3066</v>
      </c>
      <c r="D13" s="151" t="s">
        <v>3067</v>
      </c>
      <c r="E13" s="160">
        <v>1</v>
      </c>
      <c r="F13" s="153">
        <v>5000</v>
      </c>
      <c r="G13" s="154">
        <f>E13*F13</f>
        <v>5000</v>
      </c>
      <c r="H13" s="114"/>
      <c r="I13" s="114"/>
      <c r="J13" s="114"/>
      <c r="K13" s="114"/>
      <c r="L13" s="114"/>
      <c r="M13" s="114"/>
      <c r="N13" s="114"/>
      <c r="O13" s="114"/>
      <c r="P13" s="114"/>
      <c r="Q13" s="114"/>
      <c r="R13" s="114"/>
      <c r="S13" s="114"/>
      <c r="T13" s="114"/>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4"/>
      <c r="AY13" s="114"/>
      <c r="AZ13" s="114"/>
      <c r="BA13" s="114"/>
      <c r="BB13" s="114"/>
      <c r="BC13" s="114"/>
      <c r="BD13" s="114"/>
      <c r="BE13" s="114"/>
      <c r="BF13" s="114"/>
      <c r="BG13" s="114"/>
      <c r="BH13" s="114"/>
      <c r="BI13" s="114"/>
      <c r="BJ13" s="114"/>
      <c r="BK13" s="114"/>
      <c r="BL13" s="114"/>
      <c r="BM13" s="114"/>
      <c r="BN13" s="114"/>
      <c r="BO13" s="114"/>
      <c r="BP13" s="114"/>
      <c r="BQ13" s="114"/>
      <c r="BR13" s="114"/>
      <c r="BS13" s="114"/>
      <c r="BT13" s="114"/>
      <c r="BU13" s="114"/>
      <c r="BV13" s="114"/>
      <c r="BW13" s="114"/>
      <c r="BX13" s="114"/>
      <c r="BY13" s="114"/>
      <c r="BZ13" s="114"/>
      <c r="CA13" s="114"/>
      <c r="CB13" s="114"/>
      <c r="CC13" s="114"/>
      <c r="CD13" s="114"/>
      <c r="CE13" s="114"/>
      <c r="CF13" s="114"/>
      <c r="CG13" s="114"/>
      <c r="CH13" s="114"/>
      <c r="CI13" s="114"/>
      <c r="CJ13" s="114"/>
      <c r="CK13" s="114"/>
      <c r="CL13" s="114"/>
      <c r="CM13" s="114"/>
      <c r="CN13" s="114"/>
      <c r="CO13" s="114"/>
      <c r="CP13" s="114"/>
      <c r="CQ13" s="114"/>
      <c r="CR13" s="114"/>
      <c r="CS13" s="114"/>
      <c r="CT13" s="114"/>
      <c r="CU13" s="114"/>
      <c r="CV13" s="114"/>
      <c r="CW13" s="114"/>
      <c r="CX13" s="114"/>
      <c r="CY13" s="114"/>
      <c r="CZ13" s="114"/>
      <c r="DA13" s="114"/>
      <c r="DB13" s="114"/>
      <c r="DC13" s="114"/>
      <c r="DD13" s="114"/>
      <c r="DE13" s="114"/>
      <c r="DF13" s="114"/>
      <c r="DG13" s="114"/>
      <c r="DH13" s="114"/>
      <c r="DI13" s="114"/>
      <c r="DJ13" s="114"/>
      <c r="DK13" s="114"/>
      <c r="DL13" s="114"/>
      <c r="DM13" s="114"/>
      <c r="DN13" s="114"/>
      <c r="DO13" s="114"/>
      <c r="DP13" s="114"/>
      <c r="DQ13" s="114"/>
      <c r="DR13" s="114"/>
      <c r="DS13" s="114"/>
      <c r="DT13" s="114"/>
      <c r="DU13" s="114"/>
      <c r="DV13" s="114"/>
      <c r="DW13" s="114"/>
      <c r="DX13" s="114"/>
      <c r="DY13" s="114"/>
      <c r="DZ13" s="114"/>
      <c r="EA13" s="114"/>
      <c r="EB13" s="114"/>
      <c r="EC13" s="114"/>
      <c r="ED13" s="114"/>
      <c r="EE13" s="114"/>
      <c r="EF13" s="114"/>
      <c r="EG13" s="114"/>
      <c r="EH13" s="114"/>
      <c r="EI13" s="114"/>
      <c r="EJ13" s="114"/>
      <c r="EK13" s="114"/>
      <c r="EL13" s="114"/>
      <c r="EM13" s="114"/>
      <c r="EN13" s="114"/>
      <c r="EO13" s="114"/>
      <c r="EP13" s="114"/>
      <c r="EQ13" s="114"/>
      <c r="ER13" s="114"/>
      <c r="ES13" s="114"/>
      <c r="ET13" s="114"/>
      <c r="EU13" s="114"/>
      <c r="EV13" s="114"/>
      <c r="EW13" s="114"/>
      <c r="EX13" s="114"/>
      <c r="EY13" s="114"/>
      <c r="EZ13" s="114"/>
      <c r="FA13" s="114"/>
      <c r="FB13" s="114"/>
      <c r="FC13" s="114"/>
      <c r="FD13" s="114"/>
      <c r="FE13" s="114"/>
      <c r="FF13" s="114"/>
      <c r="FG13" s="114"/>
      <c r="FH13" s="114"/>
      <c r="FI13" s="114"/>
      <c r="FJ13" s="114"/>
      <c r="FK13" s="114"/>
      <c r="FL13" s="114"/>
      <c r="FM13" s="114"/>
      <c r="FN13" s="114"/>
      <c r="FO13" s="114"/>
      <c r="FP13" s="114"/>
      <c r="FQ13" s="114"/>
      <c r="FR13" s="114"/>
      <c r="FS13" s="114"/>
      <c r="FT13" s="114"/>
      <c r="FU13" s="114"/>
      <c r="FV13" s="114"/>
      <c r="FW13" s="114"/>
      <c r="FX13" s="114"/>
      <c r="FY13" s="114"/>
      <c r="FZ13" s="114"/>
      <c r="GA13" s="114"/>
      <c r="GB13" s="114"/>
      <c r="GC13" s="114"/>
      <c r="GD13" s="114"/>
      <c r="GE13" s="114"/>
      <c r="GF13" s="114"/>
      <c r="GG13" s="114"/>
      <c r="GH13" s="114"/>
      <c r="GI13" s="114"/>
      <c r="GJ13" s="114"/>
      <c r="GK13" s="114"/>
      <c r="GL13" s="114"/>
      <c r="GM13" s="114"/>
      <c r="GN13" s="114"/>
      <c r="GO13" s="114"/>
      <c r="GP13" s="114"/>
      <c r="GQ13" s="114"/>
      <c r="GR13" s="114"/>
      <c r="GS13" s="114"/>
      <c r="GT13" s="114"/>
      <c r="GU13" s="114"/>
      <c r="GV13" s="114"/>
      <c r="GW13" s="114"/>
      <c r="GX13" s="114"/>
      <c r="GY13" s="114"/>
      <c r="GZ13" s="114"/>
      <c r="HA13" s="114"/>
      <c r="HB13" s="114"/>
      <c r="HC13" s="114"/>
      <c r="HD13" s="114"/>
      <c r="HE13" s="114"/>
      <c r="HF13" s="114"/>
      <c r="HG13" s="114"/>
      <c r="HH13" s="114"/>
      <c r="HI13" s="114"/>
      <c r="HJ13" s="114"/>
      <c r="HK13" s="114"/>
      <c r="HL13" s="114"/>
      <c r="HM13" s="114"/>
      <c r="HN13" s="114"/>
      <c r="HO13" s="114"/>
      <c r="HP13" s="114"/>
      <c r="HQ13" s="114"/>
      <c r="HR13" s="114"/>
      <c r="HS13" s="114"/>
      <c r="HT13" s="114"/>
      <c r="HU13" s="114"/>
      <c r="HV13" s="114"/>
      <c r="HW13" s="114"/>
      <c r="HX13" s="114"/>
      <c r="HY13" s="114"/>
      <c r="HZ13" s="114"/>
      <c r="IA13" s="114"/>
      <c r="IB13" s="114"/>
      <c r="IC13" s="114"/>
      <c r="ID13" s="114"/>
      <c r="IE13" s="114"/>
      <c r="IF13" s="114"/>
      <c r="IG13" s="114"/>
      <c r="IH13" s="114"/>
      <c r="II13" s="114"/>
      <c r="IJ13" s="114"/>
      <c r="IK13" s="114"/>
      <c r="IL13" s="114"/>
      <c r="IM13" s="114"/>
      <c r="IN13" s="114"/>
      <c r="IO13" s="114"/>
      <c r="IP13" s="114"/>
      <c r="IQ13" s="114"/>
      <c r="IR13" s="114"/>
      <c r="IS13" s="114"/>
      <c r="IT13" s="114"/>
      <c r="IU13" s="114"/>
      <c r="IV13" s="114"/>
      <c r="IW13" s="114"/>
      <c r="IX13" s="114"/>
      <c r="IY13" s="114"/>
      <c r="IZ13" s="114"/>
      <c r="JA13" s="114"/>
      <c r="JB13" s="114"/>
      <c r="JC13" s="114"/>
      <c r="JD13" s="114"/>
      <c r="JE13" s="114"/>
      <c r="JF13" s="114"/>
      <c r="JG13" s="114"/>
      <c r="JH13" s="114"/>
      <c r="JI13" s="114"/>
      <c r="JJ13" s="114"/>
      <c r="JK13" s="114"/>
      <c r="JL13" s="114"/>
      <c r="JM13" s="114"/>
      <c r="JN13" s="114"/>
      <c r="JO13" s="114"/>
      <c r="JP13" s="114"/>
      <c r="JQ13" s="114"/>
      <c r="JR13" s="114"/>
      <c r="JS13" s="114"/>
      <c r="JT13" s="114"/>
      <c r="JU13" s="114"/>
      <c r="JV13" s="114"/>
      <c r="JW13" s="114"/>
      <c r="JX13" s="114"/>
      <c r="JY13" s="114"/>
      <c r="JZ13" s="114"/>
      <c r="KA13" s="114"/>
      <c r="KB13" s="114"/>
      <c r="KC13" s="114"/>
      <c r="KD13" s="114"/>
      <c r="KE13" s="114"/>
      <c r="KF13" s="114"/>
      <c r="KG13" s="114"/>
      <c r="KH13" s="114"/>
      <c r="KI13" s="114"/>
      <c r="KJ13" s="114"/>
      <c r="KK13" s="114"/>
      <c r="KL13" s="114"/>
      <c r="KM13" s="114"/>
      <c r="KN13" s="114"/>
      <c r="KO13" s="114"/>
      <c r="KP13" s="114"/>
      <c r="KQ13" s="114"/>
      <c r="KR13" s="114"/>
      <c r="KS13" s="114"/>
      <c r="KT13" s="114"/>
      <c r="KU13" s="114"/>
      <c r="KV13" s="114"/>
      <c r="KW13" s="114"/>
      <c r="KX13" s="114"/>
      <c r="KY13" s="114"/>
      <c r="KZ13" s="114"/>
      <c r="LA13" s="114"/>
      <c r="LB13" s="114"/>
      <c r="LC13" s="114"/>
      <c r="LD13" s="114"/>
      <c r="LE13" s="114"/>
      <c r="LF13" s="114"/>
      <c r="LG13" s="114"/>
      <c r="LH13" s="114"/>
      <c r="LI13" s="114"/>
      <c r="LJ13" s="114"/>
      <c r="LK13" s="114"/>
      <c r="LL13" s="114"/>
      <c r="LM13" s="114"/>
      <c r="LN13" s="114"/>
      <c r="LO13" s="114"/>
      <c r="LP13" s="114"/>
      <c r="LQ13" s="114"/>
      <c r="LR13" s="114"/>
      <c r="LS13" s="114"/>
      <c r="LT13" s="114"/>
      <c r="LU13" s="114"/>
      <c r="LV13" s="114"/>
      <c r="LW13" s="114"/>
      <c r="LX13" s="114"/>
      <c r="LY13" s="114"/>
      <c r="LZ13" s="114"/>
      <c r="MA13" s="114"/>
      <c r="MB13" s="114"/>
      <c r="MC13" s="114"/>
      <c r="MD13" s="114"/>
      <c r="ME13" s="114"/>
      <c r="MF13" s="114"/>
      <c r="MG13" s="114"/>
      <c r="MH13" s="114"/>
      <c r="MI13" s="114"/>
      <c r="MJ13" s="114"/>
      <c r="MK13" s="114"/>
      <c r="ML13" s="114"/>
      <c r="MM13" s="114"/>
      <c r="MN13" s="114"/>
      <c r="MO13" s="114"/>
      <c r="MP13" s="114"/>
      <c r="MQ13" s="114"/>
      <c r="MR13" s="114"/>
      <c r="MS13" s="114"/>
      <c r="MT13" s="114"/>
      <c r="MU13" s="114"/>
      <c r="MV13" s="114"/>
      <c r="MW13" s="114"/>
      <c r="MX13" s="114"/>
      <c r="MY13" s="114"/>
      <c r="MZ13" s="114"/>
      <c r="NA13" s="114"/>
      <c r="NB13" s="114"/>
      <c r="NC13" s="114"/>
      <c r="ND13" s="114"/>
      <c r="NE13" s="114"/>
      <c r="NF13" s="114"/>
      <c r="NG13" s="114"/>
      <c r="NH13" s="114"/>
      <c r="NI13" s="114"/>
      <c r="NJ13" s="114"/>
      <c r="NK13" s="114"/>
      <c r="NL13" s="114"/>
      <c r="NM13" s="114"/>
      <c r="NN13" s="114"/>
      <c r="NO13" s="114"/>
      <c r="NP13" s="114"/>
      <c r="NQ13" s="114"/>
      <c r="NR13" s="114"/>
      <c r="NS13" s="114"/>
      <c r="NT13" s="114"/>
      <c r="NU13" s="114"/>
      <c r="NV13" s="114"/>
      <c r="NW13" s="114"/>
      <c r="NX13" s="114"/>
      <c r="NY13" s="114"/>
      <c r="NZ13" s="114"/>
      <c r="OA13" s="114"/>
      <c r="OB13" s="114"/>
      <c r="OC13" s="114"/>
      <c r="OD13" s="114"/>
      <c r="OE13" s="114"/>
      <c r="OF13" s="114"/>
      <c r="OG13" s="114"/>
      <c r="OH13" s="114"/>
      <c r="OI13" s="114"/>
      <c r="OJ13" s="114"/>
      <c r="OK13" s="114"/>
      <c r="OL13" s="114"/>
      <c r="OM13" s="114"/>
      <c r="ON13" s="114"/>
      <c r="OO13" s="114"/>
      <c r="OP13" s="114"/>
      <c r="OQ13" s="114"/>
      <c r="OR13" s="114"/>
      <c r="OS13" s="114"/>
      <c r="OT13" s="114"/>
      <c r="OU13" s="114"/>
      <c r="OV13" s="114"/>
      <c r="OW13" s="114"/>
      <c r="OX13" s="114"/>
      <c r="OY13" s="114"/>
      <c r="OZ13" s="114"/>
      <c r="PA13" s="114"/>
      <c r="PB13" s="114"/>
      <c r="PC13" s="114"/>
      <c r="PD13" s="114"/>
      <c r="PE13" s="114"/>
      <c r="PF13" s="114"/>
      <c r="PG13" s="114"/>
      <c r="PH13" s="114"/>
      <c r="PI13" s="114"/>
      <c r="PJ13" s="114"/>
      <c r="PK13" s="114"/>
      <c r="PL13" s="114"/>
      <c r="PM13" s="114"/>
      <c r="PN13" s="114"/>
      <c r="PO13" s="114"/>
      <c r="PP13" s="114"/>
      <c r="PQ13" s="114"/>
      <c r="PR13" s="114"/>
      <c r="PS13" s="114"/>
      <c r="PT13" s="114"/>
      <c r="PU13" s="114"/>
      <c r="PV13" s="114"/>
      <c r="PW13" s="114"/>
      <c r="PX13" s="114"/>
      <c r="PY13" s="114"/>
      <c r="PZ13" s="114"/>
      <c r="QA13" s="114"/>
      <c r="QB13" s="114"/>
      <c r="QC13" s="114"/>
      <c r="QD13" s="114"/>
      <c r="QE13" s="114"/>
      <c r="QF13" s="114"/>
      <c r="QG13" s="114"/>
      <c r="QH13" s="114"/>
      <c r="QI13" s="114"/>
      <c r="QJ13" s="114"/>
      <c r="QK13" s="114"/>
      <c r="QL13" s="114"/>
      <c r="QM13" s="114"/>
      <c r="QN13" s="114"/>
      <c r="QO13" s="114"/>
      <c r="QP13" s="114"/>
      <c r="QQ13" s="114"/>
      <c r="QR13" s="114"/>
      <c r="QS13" s="114"/>
      <c r="QT13" s="114"/>
      <c r="QU13" s="114"/>
      <c r="QV13" s="114"/>
      <c r="QW13" s="114"/>
      <c r="QX13" s="114"/>
      <c r="QY13" s="114"/>
      <c r="QZ13" s="114"/>
      <c r="RA13" s="114"/>
      <c r="RB13" s="114"/>
      <c r="RC13" s="114"/>
      <c r="RD13" s="114"/>
      <c r="RE13" s="114"/>
      <c r="RF13" s="114"/>
      <c r="RG13" s="114"/>
      <c r="RH13" s="114"/>
      <c r="RI13" s="114"/>
      <c r="RJ13" s="114"/>
      <c r="RK13" s="114"/>
      <c r="RL13" s="114"/>
      <c r="RM13" s="114"/>
      <c r="RN13" s="114"/>
      <c r="RO13" s="114"/>
      <c r="RP13" s="114"/>
      <c r="RQ13" s="114"/>
      <c r="RR13" s="114"/>
      <c r="RS13" s="114"/>
      <c r="RT13" s="114"/>
      <c r="RU13" s="114"/>
      <c r="RV13" s="114"/>
      <c r="RW13" s="114"/>
      <c r="RX13" s="114"/>
      <c r="RY13" s="114"/>
      <c r="RZ13" s="114"/>
      <c r="SA13" s="114"/>
      <c r="SB13" s="114"/>
      <c r="SC13" s="114"/>
      <c r="SD13" s="114"/>
      <c r="SE13" s="114"/>
      <c r="SF13" s="114"/>
      <c r="SG13" s="114"/>
      <c r="SH13" s="114"/>
      <c r="SI13" s="114"/>
      <c r="SJ13" s="114"/>
      <c r="SK13" s="114"/>
      <c r="SL13" s="114"/>
      <c r="SM13" s="114"/>
      <c r="SN13" s="114"/>
      <c r="SO13" s="114"/>
      <c r="SP13" s="114"/>
      <c r="SQ13" s="114"/>
      <c r="SR13" s="114"/>
      <c r="SS13" s="114"/>
      <c r="ST13" s="114"/>
      <c r="SU13" s="114"/>
      <c r="SV13" s="114"/>
      <c r="SW13" s="114"/>
      <c r="SX13" s="114"/>
      <c r="SY13" s="114"/>
      <c r="SZ13" s="114"/>
      <c r="TA13" s="114"/>
      <c r="TB13" s="114"/>
      <c r="TC13" s="114"/>
      <c r="TD13" s="114"/>
      <c r="TE13" s="114"/>
      <c r="TF13" s="114"/>
      <c r="TG13" s="114"/>
      <c r="TH13" s="114"/>
      <c r="TI13" s="114"/>
      <c r="TJ13" s="114"/>
      <c r="TK13" s="114"/>
      <c r="TL13" s="114"/>
      <c r="TM13" s="114"/>
      <c r="TN13" s="114"/>
      <c r="TO13" s="114"/>
      <c r="TP13" s="114"/>
      <c r="TQ13" s="114"/>
      <c r="TR13" s="114"/>
      <c r="TS13" s="114"/>
      <c r="TT13" s="114"/>
      <c r="TU13" s="114"/>
      <c r="TV13" s="114"/>
      <c r="TW13" s="114"/>
      <c r="TX13" s="114"/>
      <c r="TY13" s="114"/>
      <c r="TZ13" s="114"/>
      <c r="UA13" s="114"/>
      <c r="UB13" s="114"/>
      <c r="UC13" s="114"/>
      <c r="UD13" s="114"/>
      <c r="UE13" s="114"/>
      <c r="UF13" s="114"/>
      <c r="UG13" s="114"/>
      <c r="UH13" s="114"/>
      <c r="UI13" s="114"/>
      <c r="UJ13" s="114"/>
      <c r="UK13" s="114"/>
      <c r="UL13" s="114"/>
      <c r="UM13" s="114"/>
      <c r="UN13" s="114"/>
      <c r="UO13" s="114"/>
      <c r="UP13" s="114"/>
      <c r="UQ13" s="114"/>
      <c r="UR13" s="114"/>
      <c r="US13" s="114"/>
      <c r="UT13" s="114"/>
      <c r="UU13" s="114"/>
      <c r="UV13" s="114"/>
      <c r="UW13" s="114"/>
      <c r="UX13" s="114"/>
      <c r="UY13" s="114"/>
      <c r="UZ13" s="114"/>
      <c r="VA13" s="114"/>
      <c r="VB13" s="114"/>
      <c r="VC13" s="114"/>
      <c r="VD13" s="114"/>
      <c r="VE13" s="114"/>
      <c r="VF13" s="114"/>
      <c r="VG13" s="114"/>
      <c r="VH13" s="114"/>
      <c r="VI13" s="114"/>
      <c r="VJ13" s="114"/>
      <c r="VK13" s="114"/>
      <c r="VL13" s="114"/>
      <c r="VM13" s="114"/>
      <c r="VN13" s="114"/>
      <c r="VO13" s="114"/>
      <c r="VP13" s="114"/>
      <c r="VQ13" s="114"/>
      <c r="VR13" s="114"/>
      <c r="VS13" s="114"/>
      <c r="VT13" s="114"/>
      <c r="VU13" s="114"/>
      <c r="VV13" s="114"/>
      <c r="VW13" s="114"/>
      <c r="VX13" s="114"/>
      <c r="VY13" s="114"/>
      <c r="VZ13" s="114"/>
      <c r="WA13" s="114"/>
      <c r="WB13" s="114"/>
      <c r="WC13" s="114"/>
      <c r="WD13" s="114"/>
      <c r="WE13" s="114"/>
      <c r="WF13" s="114"/>
      <c r="WG13" s="114"/>
      <c r="WH13" s="114"/>
      <c r="WI13" s="114"/>
      <c r="WJ13" s="114"/>
      <c r="WK13" s="114"/>
      <c r="WL13" s="114"/>
      <c r="WM13" s="114"/>
      <c r="WN13" s="114"/>
      <c r="WO13" s="114"/>
      <c r="WP13" s="114"/>
      <c r="WQ13" s="114"/>
      <c r="WR13" s="114"/>
      <c r="WS13" s="114"/>
      <c r="WT13" s="114"/>
      <c r="WU13" s="114"/>
      <c r="WV13" s="114"/>
      <c r="WW13" s="114"/>
      <c r="WX13" s="114"/>
      <c r="WY13" s="114"/>
      <c r="WZ13" s="114"/>
      <c r="XA13" s="114"/>
      <c r="XB13" s="114"/>
      <c r="XC13" s="114"/>
      <c r="XD13" s="114"/>
      <c r="XE13" s="114"/>
      <c r="XF13" s="114"/>
      <c r="XG13" s="114"/>
      <c r="XH13" s="114"/>
      <c r="XI13" s="114"/>
      <c r="XJ13" s="114"/>
      <c r="XK13" s="114"/>
      <c r="XL13" s="114"/>
      <c r="XM13" s="114"/>
      <c r="XN13" s="114"/>
      <c r="XO13" s="114"/>
      <c r="XP13" s="114"/>
      <c r="XQ13" s="114"/>
      <c r="XR13" s="114"/>
      <c r="XS13" s="114"/>
      <c r="XT13" s="114"/>
      <c r="XU13" s="114"/>
      <c r="XV13" s="114"/>
      <c r="XW13" s="114"/>
      <c r="XX13" s="114"/>
      <c r="XY13" s="114"/>
      <c r="XZ13" s="114"/>
      <c r="YA13" s="114"/>
      <c r="YB13" s="114"/>
      <c r="YC13" s="114"/>
      <c r="YD13" s="114"/>
      <c r="YE13" s="114"/>
      <c r="YF13" s="114"/>
      <c r="YG13" s="114"/>
      <c r="YH13" s="114"/>
      <c r="YI13" s="114"/>
      <c r="YJ13" s="114"/>
      <c r="YK13" s="114"/>
      <c r="YL13" s="114"/>
      <c r="YM13" s="114"/>
      <c r="YN13" s="114"/>
      <c r="YO13" s="114"/>
      <c r="YP13" s="114"/>
      <c r="YQ13" s="114"/>
      <c r="YR13" s="114"/>
      <c r="YS13" s="114"/>
      <c r="YT13" s="114"/>
      <c r="YU13" s="114"/>
      <c r="YV13" s="114"/>
      <c r="YW13" s="114"/>
      <c r="YX13" s="114"/>
      <c r="YY13" s="114"/>
      <c r="YZ13" s="114"/>
      <c r="ZA13" s="114"/>
      <c r="ZB13" s="114"/>
      <c r="ZC13" s="114"/>
      <c r="ZD13" s="114"/>
      <c r="ZE13" s="114"/>
      <c r="ZF13" s="114"/>
      <c r="ZG13" s="114"/>
      <c r="ZH13" s="114"/>
      <c r="ZI13" s="114"/>
      <c r="ZJ13" s="114"/>
      <c r="ZK13" s="114"/>
      <c r="ZL13" s="114"/>
      <c r="ZM13" s="114"/>
      <c r="ZN13" s="114"/>
      <c r="ZO13" s="114"/>
      <c r="ZP13" s="114"/>
      <c r="ZQ13" s="114"/>
      <c r="ZR13" s="114"/>
      <c r="ZS13" s="114"/>
      <c r="ZT13" s="114"/>
      <c r="ZU13" s="114"/>
      <c r="ZV13" s="114"/>
      <c r="ZW13" s="114"/>
      <c r="ZX13" s="114"/>
      <c r="ZY13" s="114"/>
      <c r="ZZ13" s="114"/>
      <c r="AAA13" s="114"/>
      <c r="AAB13" s="114"/>
      <c r="AAC13" s="114"/>
      <c r="AAD13" s="114"/>
      <c r="AAE13" s="114"/>
      <c r="AAF13" s="114"/>
      <c r="AAG13" s="114"/>
      <c r="AAH13" s="114"/>
      <c r="AAI13" s="114"/>
      <c r="AAJ13" s="114"/>
      <c r="AAK13" s="114"/>
      <c r="AAL13" s="114"/>
      <c r="AAM13" s="114"/>
      <c r="AAN13" s="114"/>
      <c r="AAO13" s="114"/>
      <c r="AAP13" s="114"/>
      <c r="AAQ13" s="114"/>
      <c r="AAR13" s="114"/>
      <c r="AAS13" s="114"/>
      <c r="AAT13" s="114"/>
      <c r="AAU13" s="114"/>
      <c r="AAV13" s="114"/>
      <c r="AAW13" s="114"/>
      <c r="AAX13" s="114"/>
      <c r="AAY13" s="114"/>
      <c r="AAZ13" s="114"/>
      <c r="ABA13" s="114"/>
      <c r="ABB13" s="114"/>
      <c r="ABC13" s="114"/>
      <c r="ABD13" s="114"/>
      <c r="ABE13" s="114"/>
      <c r="ABF13" s="114"/>
      <c r="ABG13" s="114"/>
      <c r="ABH13" s="114"/>
      <c r="ABI13" s="114"/>
      <c r="ABJ13" s="114"/>
      <c r="ABK13" s="114"/>
      <c r="ABL13" s="114"/>
      <c r="ABM13" s="114"/>
      <c r="ABN13" s="114"/>
      <c r="ABO13" s="114"/>
      <c r="ABP13" s="114"/>
      <c r="ABQ13" s="114"/>
      <c r="ABR13" s="114"/>
      <c r="ABS13" s="114"/>
      <c r="ABT13" s="114"/>
      <c r="ABU13" s="114"/>
      <c r="ABV13" s="114"/>
      <c r="ABW13" s="114"/>
      <c r="ABX13" s="114"/>
      <c r="ABY13" s="114"/>
      <c r="ABZ13" s="114"/>
      <c r="ACA13" s="114"/>
      <c r="ACB13" s="114"/>
      <c r="ACC13" s="114"/>
      <c r="ACD13" s="114"/>
      <c r="ACE13" s="114"/>
      <c r="ACF13" s="114"/>
      <c r="ACG13" s="114"/>
      <c r="ACH13" s="114"/>
      <c r="ACI13" s="114"/>
      <c r="ACJ13" s="114"/>
      <c r="ACK13" s="114"/>
      <c r="ACL13" s="114"/>
      <c r="ACM13" s="114"/>
      <c r="ACN13" s="114"/>
      <c r="ACO13" s="114"/>
      <c r="ACP13" s="114"/>
      <c r="ACQ13" s="114"/>
      <c r="ACR13" s="114"/>
      <c r="ACS13" s="114"/>
      <c r="ACT13" s="114"/>
      <c r="ACU13" s="114"/>
      <c r="ACV13" s="114"/>
      <c r="ACW13" s="114"/>
      <c r="ACX13" s="114"/>
      <c r="ACY13" s="114"/>
      <c r="ACZ13" s="114"/>
      <c r="ADA13" s="114"/>
      <c r="ADB13" s="114"/>
      <c r="ADC13" s="114"/>
      <c r="ADD13" s="114"/>
      <c r="ADE13" s="114"/>
      <c r="ADF13" s="114"/>
      <c r="ADG13" s="114"/>
      <c r="ADH13" s="114"/>
      <c r="ADI13" s="114"/>
      <c r="ADJ13" s="114"/>
      <c r="ADK13" s="114"/>
      <c r="ADL13" s="114"/>
      <c r="ADM13" s="114"/>
      <c r="ADN13" s="114"/>
      <c r="ADO13" s="114"/>
      <c r="ADP13" s="114"/>
      <c r="ADQ13" s="114"/>
      <c r="ADR13" s="114"/>
      <c r="ADS13" s="114"/>
      <c r="ADT13" s="114"/>
      <c r="ADU13" s="114"/>
      <c r="ADV13" s="114"/>
      <c r="ADW13" s="114"/>
      <c r="ADX13" s="114"/>
      <c r="ADY13" s="114"/>
      <c r="ADZ13" s="114"/>
      <c r="AEA13" s="114"/>
      <c r="AEB13" s="114"/>
      <c r="AEC13" s="114"/>
      <c r="AED13" s="114"/>
      <c r="AEE13" s="114"/>
      <c r="AEF13" s="114"/>
      <c r="AEG13" s="114"/>
      <c r="AEH13" s="114"/>
      <c r="AEI13" s="114"/>
      <c r="AEJ13" s="114"/>
      <c r="AEK13" s="114"/>
      <c r="AEL13" s="114"/>
      <c r="AEM13" s="114"/>
      <c r="AEN13" s="114"/>
      <c r="AEO13" s="114"/>
      <c r="AEP13" s="114"/>
      <c r="AEQ13" s="114"/>
      <c r="AER13" s="114"/>
      <c r="AES13" s="114"/>
      <c r="AET13" s="114"/>
      <c r="AEU13" s="114"/>
      <c r="AEV13" s="114"/>
      <c r="AEW13" s="114"/>
      <c r="AEX13" s="114"/>
      <c r="AEY13" s="114"/>
      <c r="AEZ13" s="114"/>
      <c r="AFA13" s="114"/>
      <c r="AFB13" s="114"/>
      <c r="AFC13" s="114"/>
      <c r="AFD13" s="114"/>
      <c r="AFE13" s="114"/>
      <c r="AFF13" s="114"/>
      <c r="AFG13" s="114"/>
      <c r="AFH13" s="114"/>
      <c r="AFI13" s="114"/>
      <c r="AFJ13" s="114"/>
      <c r="AFK13" s="114"/>
      <c r="AFL13" s="114"/>
      <c r="AFM13" s="114"/>
      <c r="AFN13" s="114"/>
      <c r="AFO13" s="114"/>
      <c r="AFP13" s="114"/>
      <c r="AFQ13" s="114"/>
      <c r="AFR13" s="114"/>
      <c r="AFS13" s="114"/>
      <c r="AFT13" s="114"/>
      <c r="AFU13" s="114"/>
      <c r="AFV13" s="114"/>
      <c r="AFW13" s="114"/>
      <c r="AFX13" s="114"/>
      <c r="AFY13" s="114"/>
      <c r="AFZ13" s="114"/>
      <c r="AGA13" s="114"/>
      <c r="AGB13" s="114"/>
      <c r="AGC13" s="114"/>
      <c r="AGD13" s="114"/>
      <c r="AGE13" s="114"/>
      <c r="AGF13" s="114"/>
      <c r="AGG13" s="114"/>
      <c r="AGH13" s="114"/>
      <c r="AGI13" s="114"/>
      <c r="AGJ13" s="114"/>
      <c r="AGK13" s="114"/>
      <c r="AGL13" s="114"/>
      <c r="AGM13" s="114"/>
      <c r="AGN13" s="114"/>
      <c r="AGO13" s="114"/>
      <c r="AGP13" s="114"/>
      <c r="AGQ13" s="114"/>
      <c r="AGR13" s="114"/>
      <c r="AGS13" s="114"/>
      <c r="AGT13" s="114"/>
      <c r="AGU13" s="114"/>
      <c r="AGV13" s="114"/>
      <c r="AGW13" s="114"/>
      <c r="AGX13" s="114"/>
      <c r="AGY13" s="114"/>
      <c r="AGZ13" s="114"/>
      <c r="AHA13" s="114"/>
      <c r="AHB13" s="114"/>
      <c r="AHC13" s="114"/>
      <c r="AHD13" s="114"/>
      <c r="AHE13" s="114"/>
      <c r="AHF13" s="114"/>
      <c r="AHG13" s="114"/>
      <c r="AHH13" s="114"/>
      <c r="AHI13" s="114"/>
      <c r="AHJ13" s="114"/>
      <c r="AHK13" s="114"/>
      <c r="AHL13" s="114"/>
      <c r="AHM13" s="114"/>
      <c r="AHN13" s="114"/>
      <c r="AHO13" s="114"/>
      <c r="AHP13" s="114"/>
      <c r="AHQ13" s="114"/>
      <c r="AHR13" s="114"/>
      <c r="AHS13" s="114"/>
      <c r="AHT13" s="114"/>
      <c r="AHU13" s="114"/>
      <c r="AHV13" s="114"/>
      <c r="AHW13" s="114"/>
      <c r="AHX13" s="114"/>
      <c r="AHY13" s="114"/>
      <c r="AHZ13" s="114"/>
      <c r="AIA13" s="114"/>
      <c r="AIB13" s="114"/>
      <c r="AIC13" s="114"/>
      <c r="AID13" s="114"/>
      <c r="AIE13" s="114"/>
      <c r="AIF13" s="114"/>
      <c r="AIG13" s="114"/>
      <c r="AIH13" s="114"/>
      <c r="AII13" s="114"/>
      <c r="AIJ13" s="114"/>
      <c r="AIK13" s="114"/>
      <c r="AIL13" s="114"/>
      <c r="AIM13" s="114"/>
      <c r="AIN13" s="114"/>
      <c r="AIO13" s="114"/>
      <c r="AIP13" s="114"/>
      <c r="AIQ13" s="114"/>
      <c r="AIR13" s="114"/>
      <c r="AIS13" s="114"/>
      <c r="AIT13" s="114"/>
      <c r="AIU13" s="114"/>
      <c r="AIV13" s="114"/>
      <c r="AIW13" s="114"/>
      <c r="AIX13" s="114"/>
      <c r="AIY13" s="114"/>
      <c r="AIZ13" s="114"/>
      <c r="AJA13" s="114"/>
      <c r="AJB13" s="114"/>
      <c r="AJC13" s="114"/>
      <c r="AJD13" s="114"/>
      <c r="AJE13" s="114"/>
      <c r="AJF13" s="114"/>
      <c r="AJG13" s="114"/>
      <c r="AJH13" s="114"/>
      <c r="AJI13" s="114"/>
      <c r="AJJ13" s="114"/>
      <c r="AJK13" s="114"/>
      <c r="AJL13" s="114"/>
      <c r="AJM13" s="114"/>
      <c r="AJN13" s="114"/>
      <c r="AJO13" s="114"/>
      <c r="AJP13" s="114"/>
      <c r="AJQ13" s="114"/>
      <c r="AJR13" s="114"/>
      <c r="AJS13" s="114"/>
      <c r="AJT13" s="114"/>
      <c r="AJU13" s="114"/>
      <c r="AJV13" s="114"/>
      <c r="AJW13" s="114"/>
      <c r="AJX13" s="114"/>
      <c r="AJY13" s="114"/>
      <c r="AJZ13" s="114"/>
      <c r="AKA13" s="114"/>
      <c r="AKB13" s="114"/>
      <c r="AKC13" s="114"/>
      <c r="AKD13" s="114"/>
      <c r="AKE13" s="114"/>
      <c r="AKF13" s="114"/>
      <c r="AKG13" s="114"/>
      <c r="AKH13" s="114"/>
      <c r="AKI13" s="114"/>
      <c r="AKJ13" s="114"/>
      <c r="AKK13" s="114"/>
      <c r="AKL13" s="114"/>
    </row>
    <row r="14" spans="1:974" s="115" customFormat="1" ht="15" customHeight="1" x14ac:dyDescent="0.3">
      <c r="A14" s="158"/>
      <c r="B14" s="159"/>
      <c r="C14" s="463"/>
      <c r="D14" s="464" t="s">
        <v>2837</v>
      </c>
      <c r="E14" s="465"/>
      <c r="F14" s="466"/>
      <c r="G14" s="127">
        <f>SUM(G13)</f>
        <v>5000</v>
      </c>
      <c r="H14" s="114"/>
      <c r="I14" s="114"/>
      <c r="J14" s="114"/>
      <c r="K14" s="114"/>
      <c r="L14" s="114"/>
      <c r="M14" s="114"/>
      <c r="N14" s="114"/>
      <c r="O14" s="114"/>
      <c r="P14" s="114"/>
      <c r="Q14" s="114"/>
      <c r="R14" s="114"/>
      <c r="S14" s="114"/>
      <c r="T14" s="114"/>
      <c r="U14" s="114"/>
      <c r="V14" s="114"/>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4"/>
      <c r="AY14" s="114"/>
      <c r="AZ14" s="114"/>
      <c r="BA14" s="114"/>
      <c r="BB14" s="114"/>
      <c r="BC14" s="114"/>
      <c r="BD14" s="114"/>
      <c r="BE14" s="114"/>
      <c r="BF14" s="114"/>
      <c r="BG14" s="114"/>
      <c r="BH14" s="114"/>
      <c r="BI14" s="114"/>
      <c r="BJ14" s="114"/>
      <c r="BK14" s="114"/>
      <c r="BL14" s="114"/>
      <c r="BM14" s="114"/>
      <c r="BN14" s="114"/>
      <c r="BO14" s="114"/>
      <c r="BP14" s="114"/>
      <c r="BQ14" s="114"/>
      <c r="BR14" s="114"/>
      <c r="BS14" s="114"/>
      <c r="BT14" s="114"/>
      <c r="BU14" s="114"/>
      <c r="BV14" s="114"/>
      <c r="BW14" s="114"/>
      <c r="BX14" s="114"/>
      <c r="BY14" s="114"/>
      <c r="BZ14" s="114"/>
      <c r="CA14" s="114"/>
      <c r="CB14" s="114"/>
      <c r="CC14" s="114"/>
      <c r="CD14" s="114"/>
      <c r="CE14" s="114"/>
      <c r="CF14" s="114"/>
      <c r="CG14" s="114"/>
      <c r="CH14" s="114"/>
      <c r="CI14" s="114"/>
      <c r="CJ14" s="114"/>
      <c r="CK14" s="114"/>
      <c r="CL14" s="114"/>
      <c r="CM14" s="114"/>
      <c r="CN14" s="114"/>
      <c r="CO14" s="114"/>
      <c r="CP14" s="114"/>
      <c r="CQ14" s="114"/>
      <c r="CR14" s="114"/>
      <c r="CS14" s="114"/>
      <c r="CT14" s="114"/>
      <c r="CU14" s="114"/>
      <c r="CV14" s="114"/>
      <c r="CW14" s="114"/>
      <c r="CX14" s="114"/>
      <c r="CY14" s="114"/>
      <c r="CZ14" s="114"/>
      <c r="DA14" s="114"/>
      <c r="DB14" s="114"/>
      <c r="DC14" s="114"/>
      <c r="DD14" s="114"/>
      <c r="DE14" s="114"/>
      <c r="DF14" s="114"/>
      <c r="DG14" s="114"/>
      <c r="DH14" s="114"/>
      <c r="DI14" s="114"/>
      <c r="DJ14" s="114"/>
      <c r="DK14" s="114"/>
      <c r="DL14" s="114"/>
      <c r="DM14" s="114"/>
      <c r="DN14" s="114"/>
      <c r="DO14" s="114"/>
      <c r="DP14" s="114"/>
      <c r="DQ14" s="114"/>
      <c r="DR14" s="114"/>
      <c r="DS14" s="114"/>
      <c r="DT14" s="114"/>
      <c r="DU14" s="114"/>
      <c r="DV14" s="114"/>
      <c r="DW14" s="114"/>
      <c r="DX14" s="114"/>
      <c r="DY14" s="114"/>
      <c r="DZ14" s="114"/>
      <c r="EA14" s="114"/>
      <c r="EB14" s="114"/>
      <c r="EC14" s="114"/>
      <c r="ED14" s="114"/>
      <c r="EE14" s="114"/>
      <c r="EF14" s="114"/>
      <c r="EG14" s="114"/>
      <c r="EH14" s="114"/>
      <c r="EI14" s="114"/>
      <c r="EJ14" s="114"/>
      <c r="EK14" s="114"/>
      <c r="EL14" s="114"/>
      <c r="EM14" s="114"/>
      <c r="EN14" s="114"/>
      <c r="EO14" s="114"/>
      <c r="EP14" s="114"/>
      <c r="EQ14" s="114"/>
      <c r="ER14" s="114"/>
      <c r="ES14" s="114"/>
      <c r="ET14" s="114"/>
      <c r="EU14" s="114"/>
      <c r="EV14" s="114"/>
      <c r="EW14" s="114"/>
      <c r="EX14" s="114"/>
      <c r="EY14" s="114"/>
      <c r="EZ14" s="114"/>
      <c r="FA14" s="114"/>
      <c r="FB14" s="114"/>
      <c r="FC14" s="114"/>
      <c r="FD14" s="114"/>
      <c r="FE14" s="114"/>
      <c r="FF14" s="114"/>
      <c r="FG14" s="114"/>
      <c r="FH14" s="114"/>
      <c r="FI14" s="114"/>
      <c r="FJ14" s="114"/>
      <c r="FK14" s="114"/>
      <c r="FL14" s="114"/>
      <c r="FM14" s="114"/>
      <c r="FN14" s="114"/>
      <c r="FO14" s="114"/>
      <c r="FP14" s="114"/>
      <c r="FQ14" s="114"/>
      <c r="FR14" s="114"/>
      <c r="FS14" s="114"/>
      <c r="FT14" s="114"/>
      <c r="FU14" s="114"/>
      <c r="FV14" s="114"/>
      <c r="FW14" s="114"/>
      <c r="FX14" s="114"/>
      <c r="FY14" s="114"/>
      <c r="FZ14" s="114"/>
      <c r="GA14" s="114"/>
      <c r="GB14" s="114"/>
      <c r="GC14" s="114"/>
      <c r="GD14" s="114"/>
      <c r="GE14" s="114"/>
      <c r="GF14" s="114"/>
      <c r="GG14" s="114"/>
      <c r="GH14" s="114"/>
      <c r="GI14" s="114"/>
      <c r="GJ14" s="114"/>
      <c r="GK14" s="114"/>
      <c r="GL14" s="114"/>
      <c r="GM14" s="114"/>
      <c r="GN14" s="114"/>
      <c r="GO14" s="114"/>
      <c r="GP14" s="114"/>
      <c r="GQ14" s="114"/>
      <c r="GR14" s="114"/>
      <c r="GS14" s="114"/>
      <c r="GT14" s="114"/>
      <c r="GU14" s="114"/>
      <c r="GV14" s="114"/>
      <c r="GW14" s="114"/>
      <c r="GX14" s="114"/>
      <c r="GY14" s="114"/>
      <c r="GZ14" s="114"/>
      <c r="HA14" s="114"/>
      <c r="HB14" s="114"/>
      <c r="HC14" s="114"/>
      <c r="HD14" s="114"/>
      <c r="HE14" s="114"/>
      <c r="HF14" s="114"/>
      <c r="HG14" s="114"/>
      <c r="HH14" s="114"/>
      <c r="HI14" s="114"/>
      <c r="HJ14" s="114"/>
      <c r="HK14" s="114"/>
      <c r="HL14" s="114"/>
      <c r="HM14" s="114"/>
      <c r="HN14" s="114"/>
      <c r="HO14" s="114"/>
      <c r="HP14" s="114"/>
      <c r="HQ14" s="114"/>
      <c r="HR14" s="114"/>
      <c r="HS14" s="114"/>
      <c r="HT14" s="114"/>
      <c r="HU14" s="114"/>
      <c r="HV14" s="114"/>
      <c r="HW14" s="114"/>
      <c r="HX14" s="114"/>
      <c r="HY14" s="114"/>
      <c r="HZ14" s="114"/>
      <c r="IA14" s="114"/>
      <c r="IB14" s="114"/>
      <c r="IC14" s="114"/>
      <c r="ID14" s="114"/>
      <c r="IE14" s="114"/>
      <c r="IF14" s="114"/>
      <c r="IG14" s="114"/>
      <c r="IH14" s="114"/>
      <c r="II14" s="114"/>
      <c r="IJ14" s="114"/>
      <c r="IK14" s="114"/>
      <c r="IL14" s="114"/>
      <c r="IM14" s="114"/>
      <c r="IN14" s="114"/>
      <c r="IO14" s="114"/>
      <c r="IP14" s="114"/>
      <c r="IQ14" s="114"/>
      <c r="IR14" s="114"/>
      <c r="IS14" s="114"/>
      <c r="IT14" s="114"/>
      <c r="IU14" s="114"/>
      <c r="IV14" s="114"/>
      <c r="IW14" s="114"/>
      <c r="IX14" s="114"/>
      <c r="IY14" s="114"/>
      <c r="IZ14" s="114"/>
      <c r="JA14" s="114"/>
      <c r="JB14" s="114"/>
      <c r="JC14" s="114"/>
      <c r="JD14" s="114"/>
      <c r="JE14" s="114"/>
      <c r="JF14" s="114"/>
      <c r="JG14" s="114"/>
      <c r="JH14" s="114"/>
      <c r="JI14" s="114"/>
      <c r="JJ14" s="114"/>
      <c r="JK14" s="114"/>
      <c r="JL14" s="114"/>
      <c r="JM14" s="114"/>
      <c r="JN14" s="114"/>
      <c r="JO14" s="114"/>
      <c r="JP14" s="114"/>
      <c r="JQ14" s="114"/>
      <c r="JR14" s="114"/>
      <c r="JS14" s="114"/>
      <c r="JT14" s="114"/>
      <c r="JU14" s="114"/>
      <c r="JV14" s="114"/>
      <c r="JW14" s="114"/>
      <c r="JX14" s="114"/>
      <c r="JY14" s="114"/>
      <c r="JZ14" s="114"/>
      <c r="KA14" s="114"/>
      <c r="KB14" s="114"/>
      <c r="KC14" s="114"/>
      <c r="KD14" s="114"/>
      <c r="KE14" s="114"/>
      <c r="KF14" s="114"/>
      <c r="KG14" s="114"/>
      <c r="KH14" s="114"/>
      <c r="KI14" s="114"/>
      <c r="KJ14" s="114"/>
      <c r="KK14" s="114"/>
      <c r="KL14" s="114"/>
      <c r="KM14" s="114"/>
      <c r="KN14" s="114"/>
      <c r="KO14" s="114"/>
      <c r="KP14" s="114"/>
      <c r="KQ14" s="114"/>
      <c r="KR14" s="114"/>
      <c r="KS14" s="114"/>
      <c r="KT14" s="114"/>
      <c r="KU14" s="114"/>
      <c r="KV14" s="114"/>
      <c r="KW14" s="114"/>
      <c r="KX14" s="114"/>
      <c r="KY14" s="114"/>
      <c r="KZ14" s="114"/>
      <c r="LA14" s="114"/>
      <c r="LB14" s="114"/>
      <c r="LC14" s="114"/>
      <c r="LD14" s="114"/>
      <c r="LE14" s="114"/>
      <c r="LF14" s="114"/>
      <c r="LG14" s="114"/>
      <c r="LH14" s="114"/>
      <c r="LI14" s="114"/>
      <c r="LJ14" s="114"/>
      <c r="LK14" s="114"/>
      <c r="LL14" s="114"/>
      <c r="LM14" s="114"/>
      <c r="LN14" s="114"/>
      <c r="LO14" s="114"/>
      <c r="LP14" s="114"/>
      <c r="LQ14" s="114"/>
      <c r="LR14" s="114"/>
      <c r="LS14" s="114"/>
      <c r="LT14" s="114"/>
      <c r="LU14" s="114"/>
      <c r="LV14" s="114"/>
      <c r="LW14" s="114"/>
      <c r="LX14" s="114"/>
      <c r="LY14" s="114"/>
      <c r="LZ14" s="114"/>
      <c r="MA14" s="114"/>
      <c r="MB14" s="114"/>
      <c r="MC14" s="114"/>
      <c r="MD14" s="114"/>
      <c r="ME14" s="114"/>
      <c r="MF14" s="114"/>
      <c r="MG14" s="114"/>
      <c r="MH14" s="114"/>
      <c r="MI14" s="114"/>
      <c r="MJ14" s="114"/>
      <c r="MK14" s="114"/>
      <c r="ML14" s="114"/>
      <c r="MM14" s="114"/>
      <c r="MN14" s="114"/>
      <c r="MO14" s="114"/>
      <c r="MP14" s="114"/>
      <c r="MQ14" s="114"/>
      <c r="MR14" s="114"/>
      <c r="MS14" s="114"/>
      <c r="MT14" s="114"/>
      <c r="MU14" s="114"/>
      <c r="MV14" s="114"/>
      <c r="MW14" s="114"/>
      <c r="MX14" s="114"/>
      <c r="MY14" s="114"/>
      <c r="MZ14" s="114"/>
      <c r="NA14" s="114"/>
      <c r="NB14" s="114"/>
      <c r="NC14" s="114"/>
      <c r="ND14" s="114"/>
      <c r="NE14" s="114"/>
      <c r="NF14" s="114"/>
      <c r="NG14" s="114"/>
      <c r="NH14" s="114"/>
      <c r="NI14" s="114"/>
      <c r="NJ14" s="114"/>
      <c r="NK14" s="114"/>
      <c r="NL14" s="114"/>
      <c r="NM14" s="114"/>
      <c r="NN14" s="114"/>
      <c r="NO14" s="114"/>
      <c r="NP14" s="114"/>
      <c r="NQ14" s="114"/>
      <c r="NR14" s="114"/>
      <c r="NS14" s="114"/>
      <c r="NT14" s="114"/>
      <c r="NU14" s="114"/>
      <c r="NV14" s="114"/>
      <c r="NW14" s="114"/>
      <c r="NX14" s="114"/>
      <c r="NY14" s="114"/>
      <c r="NZ14" s="114"/>
      <c r="OA14" s="114"/>
      <c r="OB14" s="114"/>
      <c r="OC14" s="114"/>
      <c r="OD14" s="114"/>
      <c r="OE14" s="114"/>
      <c r="OF14" s="114"/>
      <c r="OG14" s="114"/>
      <c r="OH14" s="114"/>
      <c r="OI14" s="114"/>
      <c r="OJ14" s="114"/>
      <c r="OK14" s="114"/>
      <c r="OL14" s="114"/>
      <c r="OM14" s="114"/>
      <c r="ON14" s="114"/>
      <c r="OO14" s="114"/>
      <c r="OP14" s="114"/>
      <c r="OQ14" s="114"/>
      <c r="OR14" s="114"/>
      <c r="OS14" s="114"/>
      <c r="OT14" s="114"/>
      <c r="OU14" s="114"/>
      <c r="OV14" s="114"/>
      <c r="OW14" s="114"/>
      <c r="OX14" s="114"/>
      <c r="OY14" s="114"/>
      <c r="OZ14" s="114"/>
      <c r="PA14" s="114"/>
      <c r="PB14" s="114"/>
      <c r="PC14" s="114"/>
      <c r="PD14" s="114"/>
      <c r="PE14" s="114"/>
      <c r="PF14" s="114"/>
      <c r="PG14" s="114"/>
      <c r="PH14" s="114"/>
      <c r="PI14" s="114"/>
      <c r="PJ14" s="114"/>
      <c r="PK14" s="114"/>
      <c r="PL14" s="114"/>
      <c r="PM14" s="114"/>
      <c r="PN14" s="114"/>
      <c r="PO14" s="114"/>
      <c r="PP14" s="114"/>
      <c r="PQ14" s="114"/>
      <c r="PR14" s="114"/>
      <c r="PS14" s="114"/>
      <c r="PT14" s="114"/>
      <c r="PU14" s="114"/>
      <c r="PV14" s="114"/>
      <c r="PW14" s="114"/>
      <c r="PX14" s="114"/>
      <c r="PY14" s="114"/>
      <c r="PZ14" s="114"/>
      <c r="QA14" s="114"/>
      <c r="QB14" s="114"/>
      <c r="QC14" s="114"/>
      <c r="QD14" s="114"/>
      <c r="QE14" s="114"/>
      <c r="QF14" s="114"/>
      <c r="QG14" s="114"/>
      <c r="QH14" s="114"/>
      <c r="QI14" s="114"/>
      <c r="QJ14" s="114"/>
      <c r="QK14" s="114"/>
      <c r="QL14" s="114"/>
      <c r="QM14" s="114"/>
      <c r="QN14" s="114"/>
      <c r="QO14" s="114"/>
      <c r="QP14" s="114"/>
      <c r="QQ14" s="114"/>
      <c r="QR14" s="114"/>
      <c r="QS14" s="114"/>
      <c r="QT14" s="114"/>
      <c r="QU14" s="114"/>
      <c r="QV14" s="114"/>
      <c r="QW14" s="114"/>
      <c r="QX14" s="114"/>
      <c r="QY14" s="114"/>
      <c r="QZ14" s="114"/>
      <c r="RA14" s="114"/>
      <c r="RB14" s="114"/>
      <c r="RC14" s="114"/>
      <c r="RD14" s="114"/>
      <c r="RE14" s="114"/>
      <c r="RF14" s="114"/>
      <c r="RG14" s="114"/>
      <c r="RH14" s="114"/>
      <c r="RI14" s="114"/>
      <c r="RJ14" s="114"/>
      <c r="RK14" s="114"/>
      <c r="RL14" s="114"/>
      <c r="RM14" s="114"/>
      <c r="RN14" s="114"/>
      <c r="RO14" s="114"/>
      <c r="RP14" s="114"/>
      <c r="RQ14" s="114"/>
      <c r="RR14" s="114"/>
      <c r="RS14" s="114"/>
      <c r="RT14" s="114"/>
      <c r="RU14" s="114"/>
      <c r="RV14" s="114"/>
      <c r="RW14" s="114"/>
      <c r="RX14" s="114"/>
      <c r="RY14" s="114"/>
      <c r="RZ14" s="114"/>
      <c r="SA14" s="114"/>
      <c r="SB14" s="114"/>
      <c r="SC14" s="114"/>
      <c r="SD14" s="114"/>
      <c r="SE14" s="114"/>
      <c r="SF14" s="114"/>
      <c r="SG14" s="114"/>
      <c r="SH14" s="114"/>
      <c r="SI14" s="114"/>
      <c r="SJ14" s="114"/>
      <c r="SK14" s="114"/>
      <c r="SL14" s="114"/>
      <c r="SM14" s="114"/>
      <c r="SN14" s="114"/>
      <c r="SO14" s="114"/>
      <c r="SP14" s="114"/>
      <c r="SQ14" s="114"/>
      <c r="SR14" s="114"/>
      <c r="SS14" s="114"/>
      <c r="ST14" s="114"/>
      <c r="SU14" s="114"/>
      <c r="SV14" s="114"/>
      <c r="SW14" s="114"/>
      <c r="SX14" s="114"/>
      <c r="SY14" s="114"/>
      <c r="SZ14" s="114"/>
      <c r="TA14" s="114"/>
      <c r="TB14" s="114"/>
      <c r="TC14" s="114"/>
      <c r="TD14" s="114"/>
      <c r="TE14" s="114"/>
      <c r="TF14" s="114"/>
      <c r="TG14" s="114"/>
      <c r="TH14" s="114"/>
      <c r="TI14" s="114"/>
      <c r="TJ14" s="114"/>
      <c r="TK14" s="114"/>
      <c r="TL14" s="114"/>
      <c r="TM14" s="114"/>
      <c r="TN14" s="114"/>
      <c r="TO14" s="114"/>
      <c r="TP14" s="114"/>
      <c r="TQ14" s="114"/>
      <c r="TR14" s="114"/>
      <c r="TS14" s="114"/>
      <c r="TT14" s="114"/>
      <c r="TU14" s="114"/>
      <c r="TV14" s="114"/>
      <c r="TW14" s="114"/>
      <c r="TX14" s="114"/>
      <c r="TY14" s="114"/>
      <c r="TZ14" s="114"/>
      <c r="UA14" s="114"/>
      <c r="UB14" s="114"/>
      <c r="UC14" s="114"/>
      <c r="UD14" s="114"/>
      <c r="UE14" s="114"/>
      <c r="UF14" s="114"/>
      <c r="UG14" s="114"/>
      <c r="UH14" s="114"/>
      <c r="UI14" s="114"/>
      <c r="UJ14" s="114"/>
      <c r="UK14" s="114"/>
      <c r="UL14" s="114"/>
      <c r="UM14" s="114"/>
      <c r="UN14" s="114"/>
      <c r="UO14" s="114"/>
      <c r="UP14" s="114"/>
      <c r="UQ14" s="114"/>
      <c r="UR14" s="114"/>
      <c r="US14" s="114"/>
      <c r="UT14" s="114"/>
      <c r="UU14" s="114"/>
      <c r="UV14" s="114"/>
      <c r="UW14" s="114"/>
      <c r="UX14" s="114"/>
      <c r="UY14" s="114"/>
      <c r="UZ14" s="114"/>
      <c r="VA14" s="114"/>
      <c r="VB14" s="114"/>
      <c r="VC14" s="114"/>
      <c r="VD14" s="114"/>
      <c r="VE14" s="114"/>
      <c r="VF14" s="114"/>
      <c r="VG14" s="114"/>
      <c r="VH14" s="114"/>
      <c r="VI14" s="114"/>
      <c r="VJ14" s="114"/>
      <c r="VK14" s="114"/>
      <c r="VL14" s="114"/>
      <c r="VM14" s="114"/>
      <c r="VN14" s="114"/>
      <c r="VO14" s="114"/>
      <c r="VP14" s="114"/>
      <c r="VQ14" s="114"/>
      <c r="VR14" s="114"/>
      <c r="VS14" s="114"/>
      <c r="VT14" s="114"/>
      <c r="VU14" s="114"/>
      <c r="VV14" s="114"/>
      <c r="VW14" s="114"/>
      <c r="VX14" s="114"/>
      <c r="VY14" s="114"/>
      <c r="VZ14" s="114"/>
      <c r="WA14" s="114"/>
      <c r="WB14" s="114"/>
      <c r="WC14" s="114"/>
      <c r="WD14" s="114"/>
      <c r="WE14" s="114"/>
      <c r="WF14" s="114"/>
      <c r="WG14" s="114"/>
      <c r="WH14" s="114"/>
      <c r="WI14" s="114"/>
      <c r="WJ14" s="114"/>
      <c r="WK14" s="114"/>
      <c r="WL14" s="114"/>
      <c r="WM14" s="114"/>
      <c r="WN14" s="114"/>
      <c r="WO14" s="114"/>
      <c r="WP14" s="114"/>
      <c r="WQ14" s="114"/>
      <c r="WR14" s="114"/>
      <c r="WS14" s="114"/>
      <c r="WT14" s="114"/>
      <c r="WU14" s="114"/>
      <c r="WV14" s="114"/>
      <c r="WW14" s="114"/>
      <c r="WX14" s="114"/>
      <c r="WY14" s="114"/>
      <c r="WZ14" s="114"/>
      <c r="XA14" s="114"/>
      <c r="XB14" s="114"/>
      <c r="XC14" s="114"/>
      <c r="XD14" s="114"/>
      <c r="XE14" s="114"/>
      <c r="XF14" s="114"/>
      <c r="XG14" s="114"/>
      <c r="XH14" s="114"/>
      <c r="XI14" s="114"/>
      <c r="XJ14" s="114"/>
      <c r="XK14" s="114"/>
      <c r="XL14" s="114"/>
      <c r="XM14" s="114"/>
      <c r="XN14" s="114"/>
      <c r="XO14" s="114"/>
      <c r="XP14" s="114"/>
      <c r="XQ14" s="114"/>
      <c r="XR14" s="114"/>
      <c r="XS14" s="114"/>
      <c r="XT14" s="114"/>
      <c r="XU14" s="114"/>
      <c r="XV14" s="114"/>
      <c r="XW14" s="114"/>
      <c r="XX14" s="114"/>
      <c r="XY14" s="114"/>
      <c r="XZ14" s="114"/>
      <c r="YA14" s="114"/>
      <c r="YB14" s="114"/>
      <c r="YC14" s="114"/>
      <c r="YD14" s="114"/>
      <c r="YE14" s="114"/>
      <c r="YF14" s="114"/>
      <c r="YG14" s="114"/>
      <c r="YH14" s="114"/>
      <c r="YI14" s="114"/>
      <c r="YJ14" s="114"/>
      <c r="YK14" s="114"/>
      <c r="YL14" s="114"/>
      <c r="YM14" s="114"/>
      <c r="YN14" s="114"/>
      <c r="YO14" s="114"/>
      <c r="YP14" s="114"/>
      <c r="YQ14" s="114"/>
      <c r="YR14" s="114"/>
      <c r="YS14" s="114"/>
      <c r="YT14" s="114"/>
      <c r="YU14" s="114"/>
      <c r="YV14" s="114"/>
      <c r="YW14" s="114"/>
      <c r="YX14" s="114"/>
      <c r="YY14" s="114"/>
      <c r="YZ14" s="114"/>
      <c r="ZA14" s="114"/>
      <c r="ZB14" s="114"/>
      <c r="ZC14" s="114"/>
      <c r="ZD14" s="114"/>
      <c r="ZE14" s="114"/>
      <c r="ZF14" s="114"/>
      <c r="ZG14" s="114"/>
      <c r="ZH14" s="114"/>
      <c r="ZI14" s="114"/>
      <c r="ZJ14" s="114"/>
      <c r="ZK14" s="114"/>
      <c r="ZL14" s="114"/>
      <c r="ZM14" s="114"/>
      <c r="ZN14" s="114"/>
      <c r="ZO14" s="114"/>
      <c r="ZP14" s="114"/>
      <c r="ZQ14" s="114"/>
      <c r="ZR14" s="114"/>
      <c r="ZS14" s="114"/>
      <c r="ZT14" s="114"/>
      <c r="ZU14" s="114"/>
      <c r="ZV14" s="114"/>
      <c r="ZW14" s="114"/>
      <c r="ZX14" s="114"/>
      <c r="ZY14" s="114"/>
      <c r="ZZ14" s="114"/>
      <c r="AAA14" s="114"/>
      <c r="AAB14" s="114"/>
      <c r="AAC14" s="114"/>
      <c r="AAD14" s="114"/>
      <c r="AAE14" s="114"/>
      <c r="AAF14" s="114"/>
      <c r="AAG14" s="114"/>
      <c r="AAH14" s="114"/>
      <c r="AAI14" s="114"/>
      <c r="AAJ14" s="114"/>
      <c r="AAK14" s="114"/>
      <c r="AAL14" s="114"/>
      <c r="AAM14" s="114"/>
      <c r="AAN14" s="114"/>
      <c r="AAO14" s="114"/>
      <c r="AAP14" s="114"/>
      <c r="AAQ14" s="114"/>
      <c r="AAR14" s="114"/>
      <c r="AAS14" s="114"/>
      <c r="AAT14" s="114"/>
      <c r="AAU14" s="114"/>
      <c r="AAV14" s="114"/>
      <c r="AAW14" s="114"/>
      <c r="AAX14" s="114"/>
      <c r="AAY14" s="114"/>
      <c r="AAZ14" s="114"/>
      <c r="ABA14" s="114"/>
      <c r="ABB14" s="114"/>
      <c r="ABC14" s="114"/>
      <c r="ABD14" s="114"/>
      <c r="ABE14" s="114"/>
      <c r="ABF14" s="114"/>
      <c r="ABG14" s="114"/>
      <c r="ABH14" s="114"/>
      <c r="ABI14" s="114"/>
      <c r="ABJ14" s="114"/>
      <c r="ABK14" s="114"/>
      <c r="ABL14" s="114"/>
      <c r="ABM14" s="114"/>
      <c r="ABN14" s="114"/>
      <c r="ABO14" s="114"/>
      <c r="ABP14" s="114"/>
      <c r="ABQ14" s="114"/>
      <c r="ABR14" s="114"/>
      <c r="ABS14" s="114"/>
      <c r="ABT14" s="114"/>
      <c r="ABU14" s="114"/>
      <c r="ABV14" s="114"/>
      <c r="ABW14" s="114"/>
      <c r="ABX14" s="114"/>
      <c r="ABY14" s="114"/>
      <c r="ABZ14" s="114"/>
      <c r="ACA14" s="114"/>
      <c r="ACB14" s="114"/>
      <c r="ACC14" s="114"/>
      <c r="ACD14" s="114"/>
      <c r="ACE14" s="114"/>
      <c r="ACF14" s="114"/>
      <c r="ACG14" s="114"/>
      <c r="ACH14" s="114"/>
      <c r="ACI14" s="114"/>
      <c r="ACJ14" s="114"/>
      <c r="ACK14" s="114"/>
      <c r="ACL14" s="114"/>
      <c r="ACM14" s="114"/>
      <c r="ACN14" s="114"/>
      <c r="ACO14" s="114"/>
      <c r="ACP14" s="114"/>
      <c r="ACQ14" s="114"/>
      <c r="ACR14" s="114"/>
      <c r="ACS14" s="114"/>
      <c r="ACT14" s="114"/>
      <c r="ACU14" s="114"/>
      <c r="ACV14" s="114"/>
      <c r="ACW14" s="114"/>
      <c r="ACX14" s="114"/>
      <c r="ACY14" s="114"/>
      <c r="ACZ14" s="114"/>
      <c r="ADA14" s="114"/>
      <c r="ADB14" s="114"/>
      <c r="ADC14" s="114"/>
      <c r="ADD14" s="114"/>
      <c r="ADE14" s="114"/>
      <c r="ADF14" s="114"/>
      <c r="ADG14" s="114"/>
      <c r="ADH14" s="114"/>
      <c r="ADI14" s="114"/>
      <c r="ADJ14" s="114"/>
      <c r="ADK14" s="114"/>
      <c r="ADL14" s="114"/>
      <c r="ADM14" s="114"/>
      <c r="ADN14" s="114"/>
      <c r="ADO14" s="114"/>
      <c r="ADP14" s="114"/>
      <c r="ADQ14" s="114"/>
      <c r="ADR14" s="114"/>
      <c r="ADS14" s="114"/>
      <c r="ADT14" s="114"/>
      <c r="ADU14" s="114"/>
      <c r="ADV14" s="114"/>
      <c r="ADW14" s="114"/>
      <c r="ADX14" s="114"/>
      <c r="ADY14" s="114"/>
      <c r="ADZ14" s="114"/>
      <c r="AEA14" s="114"/>
      <c r="AEB14" s="114"/>
      <c r="AEC14" s="114"/>
      <c r="AED14" s="114"/>
      <c r="AEE14" s="114"/>
      <c r="AEF14" s="114"/>
      <c r="AEG14" s="114"/>
      <c r="AEH14" s="114"/>
      <c r="AEI14" s="114"/>
      <c r="AEJ14" s="114"/>
      <c r="AEK14" s="114"/>
      <c r="AEL14" s="114"/>
      <c r="AEM14" s="114"/>
      <c r="AEN14" s="114"/>
      <c r="AEO14" s="114"/>
      <c r="AEP14" s="114"/>
      <c r="AEQ14" s="114"/>
      <c r="AER14" s="114"/>
      <c r="AES14" s="114"/>
      <c r="AET14" s="114"/>
      <c r="AEU14" s="114"/>
      <c r="AEV14" s="114"/>
      <c r="AEW14" s="114"/>
      <c r="AEX14" s="114"/>
      <c r="AEY14" s="114"/>
      <c r="AEZ14" s="114"/>
      <c r="AFA14" s="114"/>
      <c r="AFB14" s="114"/>
      <c r="AFC14" s="114"/>
      <c r="AFD14" s="114"/>
      <c r="AFE14" s="114"/>
      <c r="AFF14" s="114"/>
      <c r="AFG14" s="114"/>
      <c r="AFH14" s="114"/>
      <c r="AFI14" s="114"/>
      <c r="AFJ14" s="114"/>
      <c r="AFK14" s="114"/>
      <c r="AFL14" s="114"/>
      <c r="AFM14" s="114"/>
      <c r="AFN14" s="114"/>
      <c r="AFO14" s="114"/>
      <c r="AFP14" s="114"/>
      <c r="AFQ14" s="114"/>
      <c r="AFR14" s="114"/>
      <c r="AFS14" s="114"/>
      <c r="AFT14" s="114"/>
      <c r="AFU14" s="114"/>
      <c r="AFV14" s="114"/>
      <c r="AFW14" s="114"/>
      <c r="AFX14" s="114"/>
      <c r="AFY14" s="114"/>
      <c r="AFZ14" s="114"/>
      <c r="AGA14" s="114"/>
      <c r="AGB14" s="114"/>
      <c r="AGC14" s="114"/>
      <c r="AGD14" s="114"/>
      <c r="AGE14" s="114"/>
      <c r="AGF14" s="114"/>
      <c r="AGG14" s="114"/>
      <c r="AGH14" s="114"/>
      <c r="AGI14" s="114"/>
      <c r="AGJ14" s="114"/>
      <c r="AGK14" s="114"/>
      <c r="AGL14" s="114"/>
      <c r="AGM14" s="114"/>
      <c r="AGN14" s="114"/>
      <c r="AGO14" s="114"/>
      <c r="AGP14" s="114"/>
      <c r="AGQ14" s="114"/>
      <c r="AGR14" s="114"/>
      <c r="AGS14" s="114"/>
      <c r="AGT14" s="114"/>
      <c r="AGU14" s="114"/>
      <c r="AGV14" s="114"/>
      <c r="AGW14" s="114"/>
      <c r="AGX14" s="114"/>
      <c r="AGY14" s="114"/>
      <c r="AGZ14" s="114"/>
      <c r="AHA14" s="114"/>
      <c r="AHB14" s="114"/>
      <c r="AHC14" s="114"/>
      <c r="AHD14" s="114"/>
      <c r="AHE14" s="114"/>
      <c r="AHF14" s="114"/>
      <c r="AHG14" s="114"/>
      <c r="AHH14" s="114"/>
      <c r="AHI14" s="114"/>
      <c r="AHJ14" s="114"/>
      <c r="AHK14" s="114"/>
      <c r="AHL14" s="114"/>
      <c r="AHM14" s="114"/>
      <c r="AHN14" s="114"/>
      <c r="AHO14" s="114"/>
      <c r="AHP14" s="114"/>
      <c r="AHQ14" s="114"/>
      <c r="AHR14" s="114"/>
      <c r="AHS14" s="114"/>
      <c r="AHT14" s="114"/>
      <c r="AHU14" s="114"/>
      <c r="AHV14" s="114"/>
      <c r="AHW14" s="114"/>
      <c r="AHX14" s="114"/>
      <c r="AHY14" s="114"/>
      <c r="AHZ14" s="114"/>
      <c r="AIA14" s="114"/>
      <c r="AIB14" s="114"/>
      <c r="AIC14" s="114"/>
      <c r="AID14" s="114"/>
      <c r="AIE14" s="114"/>
      <c r="AIF14" s="114"/>
      <c r="AIG14" s="114"/>
      <c r="AIH14" s="114"/>
      <c r="AII14" s="114"/>
      <c r="AIJ14" s="114"/>
      <c r="AIK14" s="114"/>
      <c r="AIL14" s="114"/>
      <c r="AIM14" s="114"/>
      <c r="AIN14" s="114"/>
      <c r="AIO14" s="114"/>
      <c r="AIP14" s="114"/>
      <c r="AIQ14" s="114"/>
      <c r="AIR14" s="114"/>
      <c r="AIS14" s="114"/>
      <c r="AIT14" s="114"/>
      <c r="AIU14" s="114"/>
      <c r="AIV14" s="114"/>
      <c r="AIW14" s="114"/>
      <c r="AIX14" s="114"/>
      <c r="AIY14" s="114"/>
      <c r="AIZ14" s="114"/>
      <c r="AJA14" s="114"/>
      <c r="AJB14" s="114"/>
      <c r="AJC14" s="114"/>
      <c r="AJD14" s="114"/>
      <c r="AJE14" s="114"/>
      <c r="AJF14" s="114"/>
      <c r="AJG14" s="114"/>
      <c r="AJH14" s="114"/>
      <c r="AJI14" s="114"/>
      <c r="AJJ14" s="114"/>
      <c r="AJK14" s="114"/>
      <c r="AJL14" s="114"/>
      <c r="AJM14" s="114"/>
      <c r="AJN14" s="114"/>
      <c r="AJO14" s="114"/>
      <c r="AJP14" s="114"/>
      <c r="AJQ14" s="114"/>
      <c r="AJR14" s="114"/>
      <c r="AJS14" s="114"/>
      <c r="AJT14" s="114"/>
      <c r="AJU14" s="114"/>
      <c r="AJV14" s="114"/>
      <c r="AJW14" s="114"/>
      <c r="AJX14" s="114"/>
      <c r="AJY14" s="114"/>
      <c r="AJZ14" s="114"/>
      <c r="AKA14" s="114"/>
      <c r="AKB14" s="114"/>
      <c r="AKC14" s="114"/>
      <c r="AKD14" s="114"/>
      <c r="AKE14" s="114"/>
      <c r="AKF14" s="114"/>
      <c r="AKG14" s="114"/>
      <c r="AKH14" s="114"/>
      <c r="AKI14" s="114"/>
      <c r="AKJ14" s="114"/>
      <c r="AKK14" s="114"/>
      <c r="AKL14" s="114"/>
    </row>
    <row r="15" spans="1:974" s="115" customFormat="1" ht="15" customHeight="1" x14ac:dyDescent="0.3">
      <c r="A15" s="116">
        <v>8470230</v>
      </c>
      <c r="B15" s="117">
        <v>425900</v>
      </c>
      <c r="C15" s="461" t="s">
        <v>3068</v>
      </c>
      <c r="D15" s="130" t="s">
        <v>3069</v>
      </c>
      <c r="E15" s="131">
        <v>2</v>
      </c>
      <c r="F15" s="132">
        <v>25000</v>
      </c>
      <c r="G15" s="133">
        <f>E15*F15</f>
        <v>50000</v>
      </c>
      <c r="H15" s="114"/>
      <c r="I15" s="114"/>
      <c r="J15" s="114"/>
      <c r="K15" s="114"/>
      <c r="L15" s="114"/>
      <c r="M15" s="114"/>
      <c r="N15" s="114"/>
      <c r="O15" s="114"/>
      <c r="P15" s="114"/>
      <c r="Q15" s="114"/>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4"/>
      <c r="AY15" s="114"/>
      <c r="AZ15" s="114"/>
      <c r="BA15" s="114"/>
      <c r="BB15" s="114"/>
      <c r="BC15" s="114"/>
      <c r="BD15" s="114"/>
      <c r="BE15" s="114"/>
      <c r="BF15" s="114"/>
      <c r="BG15" s="114"/>
      <c r="BH15" s="114"/>
      <c r="BI15" s="114"/>
      <c r="BJ15" s="114"/>
      <c r="BK15" s="114"/>
      <c r="BL15" s="114"/>
      <c r="BM15" s="114"/>
      <c r="BN15" s="114"/>
      <c r="BO15" s="114"/>
      <c r="BP15" s="114"/>
      <c r="BQ15" s="114"/>
      <c r="BR15" s="114"/>
      <c r="BS15" s="114"/>
      <c r="BT15" s="114"/>
      <c r="BU15" s="114"/>
      <c r="BV15" s="114"/>
      <c r="BW15" s="114"/>
      <c r="BX15" s="114"/>
      <c r="BY15" s="114"/>
      <c r="BZ15" s="114"/>
      <c r="CA15" s="114"/>
      <c r="CB15" s="114"/>
      <c r="CC15" s="114"/>
      <c r="CD15" s="114"/>
      <c r="CE15" s="114"/>
      <c r="CF15" s="114"/>
      <c r="CG15" s="114"/>
      <c r="CH15" s="114"/>
      <c r="CI15" s="114"/>
      <c r="CJ15" s="114"/>
      <c r="CK15" s="114"/>
      <c r="CL15" s="114"/>
      <c r="CM15" s="114"/>
      <c r="CN15" s="114"/>
      <c r="CO15" s="114"/>
      <c r="CP15" s="114"/>
      <c r="CQ15" s="114"/>
      <c r="CR15" s="114"/>
      <c r="CS15" s="114"/>
      <c r="CT15" s="114"/>
      <c r="CU15" s="114"/>
      <c r="CV15" s="114"/>
      <c r="CW15" s="114"/>
      <c r="CX15" s="114"/>
      <c r="CY15" s="114"/>
      <c r="CZ15" s="114"/>
      <c r="DA15" s="114"/>
      <c r="DB15" s="114"/>
      <c r="DC15" s="114"/>
      <c r="DD15" s="114"/>
      <c r="DE15" s="114"/>
      <c r="DF15" s="114"/>
      <c r="DG15" s="114"/>
      <c r="DH15" s="114"/>
      <c r="DI15" s="114"/>
      <c r="DJ15" s="114"/>
      <c r="DK15" s="114"/>
      <c r="DL15" s="114"/>
      <c r="DM15" s="114"/>
      <c r="DN15" s="114"/>
      <c r="DO15" s="114"/>
      <c r="DP15" s="114"/>
      <c r="DQ15" s="114"/>
      <c r="DR15" s="114"/>
      <c r="DS15" s="114"/>
      <c r="DT15" s="114"/>
      <c r="DU15" s="114"/>
      <c r="DV15" s="114"/>
      <c r="DW15" s="114"/>
      <c r="DX15" s="114"/>
      <c r="DY15" s="114"/>
      <c r="DZ15" s="114"/>
      <c r="EA15" s="114"/>
      <c r="EB15" s="114"/>
      <c r="EC15" s="114"/>
      <c r="ED15" s="114"/>
      <c r="EE15" s="114"/>
      <c r="EF15" s="114"/>
      <c r="EG15" s="114"/>
      <c r="EH15" s="114"/>
      <c r="EI15" s="114"/>
      <c r="EJ15" s="114"/>
      <c r="EK15" s="114"/>
      <c r="EL15" s="114"/>
      <c r="EM15" s="114"/>
      <c r="EN15" s="114"/>
      <c r="EO15" s="114"/>
      <c r="EP15" s="114"/>
      <c r="EQ15" s="114"/>
      <c r="ER15" s="114"/>
      <c r="ES15" s="114"/>
      <c r="ET15" s="114"/>
      <c r="EU15" s="114"/>
      <c r="EV15" s="114"/>
      <c r="EW15" s="114"/>
      <c r="EX15" s="114"/>
      <c r="EY15" s="114"/>
      <c r="EZ15" s="114"/>
      <c r="FA15" s="114"/>
      <c r="FB15" s="114"/>
      <c r="FC15" s="114"/>
      <c r="FD15" s="114"/>
      <c r="FE15" s="114"/>
      <c r="FF15" s="114"/>
      <c r="FG15" s="114"/>
      <c r="FH15" s="114"/>
      <c r="FI15" s="114"/>
      <c r="FJ15" s="114"/>
      <c r="FK15" s="114"/>
      <c r="FL15" s="114"/>
      <c r="FM15" s="114"/>
      <c r="FN15" s="114"/>
      <c r="FO15" s="114"/>
      <c r="FP15" s="114"/>
      <c r="FQ15" s="114"/>
      <c r="FR15" s="114"/>
      <c r="FS15" s="114"/>
      <c r="FT15" s="114"/>
      <c r="FU15" s="114"/>
      <c r="FV15" s="114"/>
      <c r="FW15" s="114"/>
      <c r="FX15" s="114"/>
      <c r="FY15" s="114"/>
      <c r="FZ15" s="114"/>
      <c r="GA15" s="114"/>
      <c r="GB15" s="114"/>
      <c r="GC15" s="114"/>
      <c r="GD15" s="114"/>
      <c r="GE15" s="114"/>
      <c r="GF15" s="114"/>
      <c r="GG15" s="114"/>
      <c r="GH15" s="114"/>
      <c r="GI15" s="114"/>
      <c r="GJ15" s="114"/>
      <c r="GK15" s="114"/>
      <c r="GL15" s="114"/>
      <c r="GM15" s="114"/>
      <c r="GN15" s="114"/>
      <c r="GO15" s="114"/>
      <c r="GP15" s="114"/>
      <c r="GQ15" s="114"/>
      <c r="GR15" s="114"/>
      <c r="GS15" s="114"/>
      <c r="GT15" s="114"/>
      <c r="GU15" s="114"/>
      <c r="GV15" s="114"/>
      <c r="GW15" s="114"/>
      <c r="GX15" s="114"/>
      <c r="GY15" s="114"/>
      <c r="GZ15" s="114"/>
      <c r="HA15" s="114"/>
      <c r="HB15" s="114"/>
      <c r="HC15" s="114"/>
      <c r="HD15" s="114"/>
      <c r="HE15" s="114"/>
      <c r="HF15" s="114"/>
      <c r="HG15" s="114"/>
      <c r="HH15" s="114"/>
      <c r="HI15" s="114"/>
      <c r="HJ15" s="114"/>
      <c r="HK15" s="114"/>
      <c r="HL15" s="114"/>
      <c r="HM15" s="114"/>
      <c r="HN15" s="114"/>
      <c r="HO15" s="114"/>
      <c r="HP15" s="114"/>
      <c r="HQ15" s="114"/>
      <c r="HR15" s="114"/>
      <c r="HS15" s="114"/>
      <c r="HT15" s="114"/>
      <c r="HU15" s="114"/>
      <c r="HV15" s="114"/>
      <c r="HW15" s="114"/>
      <c r="HX15" s="114"/>
      <c r="HY15" s="114"/>
      <c r="HZ15" s="114"/>
      <c r="IA15" s="114"/>
      <c r="IB15" s="114"/>
      <c r="IC15" s="114"/>
      <c r="ID15" s="114"/>
      <c r="IE15" s="114"/>
      <c r="IF15" s="114"/>
      <c r="IG15" s="114"/>
      <c r="IH15" s="114"/>
      <c r="II15" s="114"/>
      <c r="IJ15" s="114"/>
      <c r="IK15" s="114"/>
      <c r="IL15" s="114"/>
      <c r="IM15" s="114"/>
      <c r="IN15" s="114"/>
      <c r="IO15" s="114"/>
      <c r="IP15" s="114"/>
      <c r="IQ15" s="114"/>
      <c r="IR15" s="114"/>
      <c r="IS15" s="114"/>
      <c r="IT15" s="114"/>
      <c r="IU15" s="114"/>
      <c r="IV15" s="114"/>
      <c r="IW15" s="114"/>
      <c r="IX15" s="114"/>
      <c r="IY15" s="114"/>
      <c r="IZ15" s="114"/>
      <c r="JA15" s="114"/>
      <c r="JB15" s="114"/>
      <c r="JC15" s="114"/>
      <c r="JD15" s="114"/>
      <c r="JE15" s="114"/>
      <c r="JF15" s="114"/>
      <c r="JG15" s="114"/>
      <c r="JH15" s="114"/>
      <c r="JI15" s="114"/>
      <c r="JJ15" s="114"/>
      <c r="JK15" s="114"/>
      <c r="JL15" s="114"/>
      <c r="JM15" s="114"/>
      <c r="JN15" s="114"/>
      <c r="JO15" s="114"/>
      <c r="JP15" s="114"/>
      <c r="JQ15" s="114"/>
      <c r="JR15" s="114"/>
      <c r="JS15" s="114"/>
      <c r="JT15" s="114"/>
      <c r="JU15" s="114"/>
      <c r="JV15" s="114"/>
      <c r="JW15" s="114"/>
      <c r="JX15" s="114"/>
      <c r="JY15" s="114"/>
      <c r="JZ15" s="114"/>
      <c r="KA15" s="114"/>
      <c r="KB15" s="114"/>
      <c r="KC15" s="114"/>
      <c r="KD15" s="114"/>
      <c r="KE15" s="114"/>
      <c r="KF15" s="114"/>
      <c r="KG15" s="114"/>
      <c r="KH15" s="114"/>
      <c r="KI15" s="114"/>
      <c r="KJ15" s="114"/>
      <c r="KK15" s="114"/>
      <c r="KL15" s="114"/>
      <c r="KM15" s="114"/>
      <c r="KN15" s="114"/>
      <c r="KO15" s="114"/>
      <c r="KP15" s="114"/>
      <c r="KQ15" s="114"/>
      <c r="KR15" s="114"/>
      <c r="KS15" s="114"/>
      <c r="KT15" s="114"/>
      <c r="KU15" s="114"/>
      <c r="KV15" s="114"/>
      <c r="KW15" s="114"/>
      <c r="KX15" s="114"/>
      <c r="KY15" s="114"/>
      <c r="KZ15" s="114"/>
      <c r="LA15" s="114"/>
      <c r="LB15" s="114"/>
      <c r="LC15" s="114"/>
      <c r="LD15" s="114"/>
      <c r="LE15" s="114"/>
      <c r="LF15" s="114"/>
      <c r="LG15" s="114"/>
      <c r="LH15" s="114"/>
      <c r="LI15" s="114"/>
      <c r="LJ15" s="114"/>
      <c r="LK15" s="114"/>
      <c r="LL15" s="114"/>
      <c r="LM15" s="114"/>
      <c r="LN15" s="114"/>
      <c r="LO15" s="114"/>
      <c r="LP15" s="114"/>
      <c r="LQ15" s="114"/>
      <c r="LR15" s="114"/>
      <c r="LS15" s="114"/>
      <c r="LT15" s="114"/>
      <c r="LU15" s="114"/>
      <c r="LV15" s="114"/>
      <c r="LW15" s="114"/>
      <c r="LX15" s="114"/>
      <c r="LY15" s="114"/>
      <c r="LZ15" s="114"/>
      <c r="MA15" s="114"/>
      <c r="MB15" s="114"/>
      <c r="MC15" s="114"/>
      <c r="MD15" s="114"/>
      <c r="ME15" s="114"/>
      <c r="MF15" s="114"/>
      <c r="MG15" s="114"/>
      <c r="MH15" s="114"/>
      <c r="MI15" s="114"/>
      <c r="MJ15" s="114"/>
      <c r="MK15" s="114"/>
      <c r="ML15" s="114"/>
      <c r="MM15" s="114"/>
      <c r="MN15" s="114"/>
      <c r="MO15" s="114"/>
      <c r="MP15" s="114"/>
      <c r="MQ15" s="114"/>
      <c r="MR15" s="114"/>
      <c r="MS15" s="114"/>
      <c r="MT15" s="114"/>
      <c r="MU15" s="114"/>
      <c r="MV15" s="114"/>
      <c r="MW15" s="114"/>
      <c r="MX15" s="114"/>
      <c r="MY15" s="114"/>
      <c r="MZ15" s="114"/>
      <c r="NA15" s="114"/>
      <c r="NB15" s="114"/>
      <c r="NC15" s="114"/>
      <c r="ND15" s="114"/>
      <c r="NE15" s="114"/>
      <c r="NF15" s="114"/>
      <c r="NG15" s="114"/>
      <c r="NH15" s="114"/>
      <c r="NI15" s="114"/>
      <c r="NJ15" s="114"/>
      <c r="NK15" s="114"/>
      <c r="NL15" s="114"/>
      <c r="NM15" s="114"/>
      <c r="NN15" s="114"/>
      <c r="NO15" s="114"/>
      <c r="NP15" s="114"/>
      <c r="NQ15" s="114"/>
      <c r="NR15" s="114"/>
      <c r="NS15" s="114"/>
      <c r="NT15" s="114"/>
      <c r="NU15" s="114"/>
      <c r="NV15" s="114"/>
      <c r="NW15" s="114"/>
      <c r="NX15" s="114"/>
      <c r="NY15" s="114"/>
      <c r="NZ15" s="114"/>
      <c r="OA15" s="114"/>
      <c r="OB15" s="114"/>
      <c r="OC15" s="114"/>
      <c r="OD15" s="114"/>
      <c r="OE15" s="114"/>
      <c r="OF15" s="114"/>
      <c r="OG15" s="114"/>
      <c r="OH15" s="114"/>
      <c r="OI15" s="114"/>
      <c r="OJ15" s="114"/>
      <c r="OK15" s="114"/>
      <c r="OL15" s="114"/>
      <c r="OM15" s="114"/>
      <c r="ON15" s="114"/>
      <c r="OO15" s="114"/>
      <c r="OP15" s="114"/>
      <c r="OQ15" s="114"/>
      <c r="OR15" s="114"/>
      <c r="OS15" s="114"/>
      <c r="OT15" s="114"/>
      <c r="OU15" s="114"/>
      <c r="OV15" s="114"/>
      <c r="OW15" s="114"/>
      <c r="OX15" s="114"/>
      <c r="OY15" s="114"/>
      <c r="OZ15" s="114"/>
      <c r="PA15" s="114"/>
      <c r="PB15" s="114"/>
      <c r="PC15" s="114"/>
      <c r="PD15" s="114"/>
      <c r="PE15" s="114"/>
      <c r="PF15" s="114"/>
      <c r="PG15" s="114"/>
      <c r="PH15" s="114"/>
      <c r="PI15" s="114"/>
      <c r="PJ15" s="114"/>
      <c r="PK15" s="114"/>
      <c r="PL15" s="114"/>
      <c r="PM15" s="114"/>
      <c r="PN15" s="114"/>
      <c r="PO15" s="114"/>
      <c r="PP15" s="114"/>
      <c r="PQ15" s="114"/>
      <c r="PR15" s="114"/>
      <c r="PS15" s="114"/>
      <c r="PT15" s="114"/>
      <c r="PU15" s="114"/>
      <c r="PV15" s="114"/>
      <c r="PW15" s="114"/>
      <c r="PX15" s="114"/>
      <c r="PY15" s="114"/>
      <c r="PZ15" s="114"/>
      <c r="QA15" s="114"/>
      <c r="QB15" s="114"/>
      <c r="QC15" s="114"/>
      <c r="QD15" s="114"/>
      <c r="QE15" s="114"/>
      <c r="QF15" s="114"/>
      <c r="QG15" s="114"/>
      <c r="QH15" s="114"/>
      <c r="QI15" s="114"/>
      <c r="QJ15" s="114"/>
      <c r="QK15" s="114"/>
      <c r="QL15" s="114"/>
      <c r="QM15" s="114"/>
      <c r="QN15" s="114"/>
      <c r="QO15" s="114"/>
      <c r="QP15" s="114"/>
      <c r="QQ15" s="114"/>
      <c r="QR15" s="114"/>
      <c r="QS15" s="114"/>
      <c r="QT15" s="114"/>
      <c r="QU15" s="114"/>
      <c r="QV15" s="114"/>
      <c r="QW15" s="114"/>
      <c r="QX15" s="114"/>
      <c r="QY15" s="114"/>
      <c r="QZ15" s="114"/>
      <c r="RA15" s="114"/>
      <c r="RB15" s="114"/>
      <c r="RC15" s="114"/>
      <c r="RD15" s="114"/>
      <c r="RE15" s="114"/>
      <c r="RF15" s="114"/>
      <c r="RG15" s="114"/>
      <c r="RH15" s="114"/>
      <c r="RI15" s="114"/>
      <c r="RJ15" s="114"/>
      <c r="RK15" s="114"/>
      <c r="RL15" s="114"/>
      <c r="RM15" s="114"/>
      <c r="RN15" s="114"/>
      <c r="RO15" s="114"/>
      <c r="RP15" s="114"/>
      <c r="RQ15" s="114"/>
      <c r="RR15" s="114"/>
      <c r="RS15" s="114"/>
      <c r="RT15" s="114"/>
      <c r="RU15" s="114"/>
      <c r="RV15" s="114"/>
      <c r="RW15" s="114"/>
      <c r="RX15" s="114"/>
      <c r="RY15" s="114"/>
      <c r="RZ15" s="114"/>
      <c r="SA15" s="114"/>
      <c r="SB15" s="114"/>
      <c r="SC15" s="114"/>
      <c r="SD15" s="114"/>
      <c r="SE15" s="114"/>
      <c r="SF15" s="114"/>
      <c r="SG15" s="114"/>
      <c r="SH15" s="114"/>
      <c r="SI15" s="114"/>
      <c r="SJ15" s="114"/>
      <c r="SK15" s="114"/>
      <c r="SL15" s="114"/>
      <c r="SM15" s="114"/>
      <c r="SN15" s="114"/>
      <c r="SO15" s="114"/>
      <c r="SP15" s="114"/>
      <c r="SQ15" s="114"/>
      <c r="SR15" s="114"/>
      <c r="SS15" s="114"/>
      <c r="ST15" s="114"/>
      <c r="SU15" s="114"/>
      <c r="SV15" s="114"/>
      <c r="SW15" s="114"/>
      <c r="SX15" s="114"/>
      <c r="SY15" s="114"/>
      <c r="SZ15" s="114"/>
      <c r="TA15" s="114"/>
      <c r="TB15" s="114"/>
      <c r="TC15" s="114"/>
      <c r="TD15" s="114"/>
      <c r="TE15" s="114"/>
      <c r="TF15" s="114"/>
      <c r="TG15" s="114"/>
      <c r="TH15" s="114"/>
      <c r="TI15" s="114"/>
      <c r="TJ15" s="114"/>
      <c r="TK15" s="114"/>
      <c r="TL15" s="114"/>
      <c r="TM15" s="114"/>
      <c r="TN15" s="114"/>
      <c r="TO15" s="114"/>
      <c r="TP15" s="114"/>
      <c r="TQ15" s="114"/>
      <c r="TR15" s="114"/>
      <c r="TS15" s="114"/>
      <c r="TT15" s="114"/>
      <c r="TU15" s="114"/>
      <c r="TV15" s="114"/>
      <c r="TW15" s="114"/>
      <c r="TX15" s="114"/>
      <c r="TY15" s="114"/>
      <c r="TZ15" s="114"/>
      <c r="UA15" s="114"/>
      <c r="UB15" s="114"/>
      <c r="UC15" s="114"/>
      <c r="UD15" s="114"/>
      <c r="UE15" s="114"/>
      <c r="UF15" s="114"/>
      <c r="UG15" s="114"/>
      <c r="UH15" s="114"/>
      <c r="UI15" s="114"/>
      <c r="UJ15" s="114"/>
      <c r="UK15" s="114"/>
      <c r="UL15" s="114"/>
      <c r="UM15" s="114"/>
      <c r="UN15" s="114"/>
      <c r="UO15" s="114"/>
      <c r="UP15" s="114"/>
      <c r="UQ15" s="114"/>
      <c r="UR15" s="114"/>
      <c r="US15" s="114"/>
      <c r="UT15" s="114"/>
      <c r="UU15" s="114"/>
      <c r="UV15" s="114"/>
      <c r="UW15" s="114"/>
      <c r="UX15" s="114"/>
      <c r="UY15" s="114"/>
      <c r="UZ15" s="114"/>
      <c r="VA15" s="114"/>
      <c r="VB15" s="114"/>
      <c r="VC15" s="114"/>
      <c r="VD15" s="114"/>
      <c r="VE15" s="114"/>
      <c r="VF15" s="114"/>
      <c r="VG15" s="114"/>
      <c r="VH15" s="114"/>
      <c r="VI15" s="114"/>
      <c r="VJ15" s="114"/>
      <c r="VK15" s="114"/>
      <c r="VL15" s="114"/>
      <c r="VM15" s="114"/>
      <c r="VN15" s="114"/>
      <c r="VO15" s="114"/>
      <c r="VP15" s="114"/>
      <c r="VQ15" s="114"/>
      <c r="VR15" s="114"/>
      <c r="VS15" s="114"/>
      <c r="VT15" s="114"/>
      <c r="VU15" s="114"/>
      <c r="VV15" s="114"/>
      <c r="VW15" s="114"/>
      <c r="VX15" s="114"/>
      <c r="VY15" s="114"/>
      <c r="VZ15" s="114"/>
      <c r="WA15" s="114"/>
      <c r="WB15" s="114"/>
      <c r="WC15" s="114"/>
      <c r="WD15" s="114"/>
      <c r="WE15" s="114"/>
      <c r="WF15" s="114"/>
      <c r="WG15" s="114"/>
      <c r="WH15" s="114"/>
      <c r="WI15" s="114"/>
      <c r="WJ15" s="114"/>
      <c r="WK15" s="114"/>
      <c r="WL15" s="114"/>
      <c r="WM15" s="114"/>
      <c r="WN15" s="114"/>
      <c r="WO15" s="114"/>
      <c r="WP15" s="114"/>
      <c r="WQ15" s="114"/>
      <c r="WR15" s="114"/>
      <c r="WS15" s="114"/>
      <c r="WT15" s="114"/>
      <c r="WU15" s="114"/>
      <c r="WV15" s="114"/>
      <c r="WW15" s="114"/>
      <c r="WX15" s="114"/>
      <c r="WY15" s="114"/>
      <c r="WZ15" s="114"/>
      <c r="XA15" s="114"/>
      <c r="XB15" s="114"/>
      <c r="XC15" s="114"/>
      <c r="XD15" s="114"/>
      <c r="XE15" s="114"/>
      <c r="XF15" s="114"/>
      <c r="XG15" s="114"/>
      <c r="XH15" s="114"/>
      <c r="XI15" s="114"/>
      <c r="XJ15" s="114"/>
      <c r="XK15" s="114"/>
      <c r="XL15" s="114"/>
      <c r="XM15" s="114"/>
      <c r="XN15" s="114"/>
      <c r="XO15" s="114"/>
      <c r="XP15" s="114"/>
      <c r="XQ15" s="114"/>
      <c r="XR15" s="114"/>
      <c r="XS15" s="114"/>
      <c r="XT15" s="114"/>
      <c r="XU15" s="114"/>
      <c r="XV15" s="114"/>
      <c r="XW15" s="114"/>
      <c r="XX15" s="114"/>
      <c r="XY15" s="114"/>
      <c r="XZ15" s="114"/>
      <c r="YA15" s="114"/>
      <c r="YB15" s="114"/>
      <c r="YC15" s="114"/>
      <c r="YD15" s="114"/>
      <c r="YE15" s="114"/>
      <c r="YF15" s="114"/>
      <c r="YG15" s="114"/>
      <c r="YH15" s="114"/>
      <c r="YI15" s="114"/>
      <c r="YJ15" s="114"/>
      <c r="YK15" s="114"/>
      <c r="YL15" s="114"/>
      <c r="YM15" s="114"/>
      <c r="YN15" s="114"/>
      <c r="YO15" s="114"/>
      <c r="YP15" s="114"/>
      <c r="YQ15" s="114"/>
      <c r="YR15" s="114"/>
      <c r="YS15" s="114"/>
      <c r="YT15" s="114"/>
      <c r="YU15" s="114"/>
      <c r="YV15" s="114"/>
      <c r="YW15" s="114"/>
      <c r="YX15" s="114"/>
      <c r="YY15" s="114"/>
      <c r="YZ15" s="114"/>
      <c r="ZA15" s="114"/>
      <c r="ZB15" s="114"/>
      <c r="ZC15" s="114"/>
      <c r="ZD15" s="114"/>
      <c r="ZE15" s="114"/>
      <c r="ZF15" s="114"/>
      <c r="ZG15" s="114"/>
      <c r="ZH15" s="114"/>
      <c r="ZI15" s="114"/>
      <c r="ZJ15" s="114"/>
      <c r="ZK15" s="114"/>
      <c r="ZL15" s="114"/>
      <c r="ZM15" s="114"/>
      <c r="ZN15" s="114"/>
      <c r="ZO15" s="114"/>
      <c r="ZP15" s="114"/>
      <c r="ZQ15" s="114"/>
      <c r="ZR15" s="114"/>
      <c r="ZS15" s="114"/>
      <c r="ZT15" s="114"/>
      <c r="ZU15" s="114"/>
      <c r="ZV15" s="114"/>
      <c r="ZW15" s="114"/>
      <c r="ZX15" s="114"/>
      <c r="ZY15" s="114"/>
      <c r="ZZ15" s="114"/>
      <c r="AAA15" s="114"/>
      <c r="AAB15" s="114"/>
      <c r="AAC15" s="114"/>
      <c r="AAD15" s="114"/>
      <c r="AAE15" s="114"/>
      <c r="AAF15" s="114"/>
      <c r="AAG15" s="114"/>
      <c r="AAH15" s="114"/>
      <c r="AAI15" s="114"/>
      <c r="AAJ15" s="114"/>
      <c r="AAK15" s="114"/>
      <c r="AAL15" s="114"/>
      <c r="AAM15" s="114"/>
      <c r="AAN15" s="114"/>
      <c r="AAO15" s="114"/>
      <c r="AAP15" s="114"/>
      <c r="AAQ15" s="114"/>
      <c r="AAR15" s="114"/>
      <c r="AAS15" s="114"/>
      <c r="AAT15" s="114"/>
      <c r="AAU15" s="114"/>
      <c r="AAV15" s="114"/>
      <c r="AAW15" s="114"/>
      <c r="AAX15" s="114"/>
      <c r="AAY15" s="114"/>
      <c r="AAZ15" s="114"/>
      <c r="ABA15" s="114"/>
      <c r="ABB15" s="114"/>
      <c r="ABC15" s="114"/>
      <c r="ABD15" s="114"/>
      <c r="ABE15" s="114"/>
      <c r="ABF15" s="114"/>
      <c r="ABG15" s="114"/>
      <c r="ABH15" s="114"/>
      <c r="ABI15" s="114"/>
      <c r="ABJ15" s="114"/>
      <c r="ABK15" s="114"/>
      <c r="ABL15" s="114"/>
      <c r="ABM15" s="114"/>
      <c r="ABN15" s="114"/>
      <c r="ABO15" s="114"/>
      <c r="ABP15" s="114"/>
      <c r="ABQ15" s="114"/>
      <c r="ABR15" s="114"/>
      <c r="ABS15" s="114"/>
      <c r="ABT15" s="114"/>
      <c r="ABU15" s="114"/>
      <c r="ABV15" s="114"/>
      <c r="ABW15" s="114"/>
      <c r="ABX15" s="114"/>
      <c r="ABY15" s="114"/>
      <c r="ABZ15" s="114"/>
      <c r="ACA15" s="114"/>
      <c r="ACB15" s="114"/>
      <c r="ACC15" s="114"/>
      <c r="ACD15" s="114"/>
      <c r="ACE15" s="114"/>
      <c r="ACF15" s="114"/>
      <c r="ACG15" s="114"/>
      <c r="ACH15" s="114"/>
      <c r="ACI15" s="114"/>
      <c r="ACJ15" s="114"/>
      <c r="ACK15" s="114"/>
      <c r="ACL15" s="114"/>
      <c r="ACM15" s="114"/>
      <c r="ACN15" s="114"/>
      <c r="ACO15" s="114"/>
      <c r="ACP15" s="114"/>
      <c r="ACQ15" s="114"/>
      <c r="ACR15" s="114"/>
      <c r="ACS15" s="114"/>
      <c r="ACT15" s="114"/>
      <c r="ACU15" s="114"/>
      <c r="ACV15" s="114"/>
      <c r="ACW15" s="114"/>
      <c r="ACX15" s="114"/>
      <c r="ACY15" s="114"/>
      <c r="ACZ15" s="114"/>
      <c r="ADA15" s="114"/>
      <c r="ADB15" s="114"/>
      <c r="ADC15" s="114"/>
      <c r="ADD15" s="114"/>
      <c r="ADE15" s="114"/>
      <c r="ADF15" s="114"/>
      <c r="ADG15" s="114"/>
      <c r="ADH15" s="114"/>
      <c r="ADI15" s="114"/>
      <c r="ADJ15" s="114"/>
      <c r="ADK15" s="114"/>
      <c r="ADL15" s="114"/>
      <c r="ADM15" s="114"/>
      <c r="ADN15" s="114"/>
      <c r="ADO15" s="114"/>
      <c r="ADP15" s="114"/>
      <c r="ADQ15" s="114"/>
      <c r="ADR15" s="114"/>
      <c r="ADS15" s="114"/>
      <c r="ADT15" s="114"/>
      <c r="ADU15" s="114"/>
      <c r="ADV15" s="114"/>
      <c r="ADW15" s="114"/>
      <c r="ADX15" s="114"/>
      <c r="ADY15" s="114"/>
      <c r="ADZ15" s="114"/>
      <c r="AEA15" s="114"/>
      <c r="AEB15" s="114"/>
      <c r="AEC15" s="114"/>
      <c r="AED15" s="114"/>
      <c r="AEE15" s="114"/>
      <c r="AEF15" s="114"/>
      <c r="AEG15" s="114"/>
      <c r="AEH15" s="114"/>
      <c r="AEI15" s="114"/>
      <c r="AEJ15" s="114"/>
      <c r="AEK15" s="114"/>
      <c r="AEL15" s="114"/>
      <c r="AEM15" s="114"/>
      <c r="AEN15" s="114"/>
      <c r="AEO15" s="114"/>
      <c r="AEP15" s="114"/>
      <c r="AEQ15" s="114"/>
      <c r="AER15" s="114"/>
      <c r="AES15" s="114"/>
      <c r="AET15" s="114"/>
      <c r="AEU15" s="114"/>
      <c r="AEV15" s="114"/>
      <c r="AEW15" s="114"/>
      <c r="AEX15" s="114"/>
      <c r="AEY15" s="114"/>
      <c r="AEZ15" s="114"/>
      <c r="AFA15" s="114"/>
      <c r="AFB15" s="114"/>
      <c r="AFC15" s="114"/>
      <c r="AFD15" s="114"/>
      <c r="AFE15" s="114"/>
      <c r="AFF15" s="114"/>
      <c r="AFG15" s="114"/>
      <c r="AFH15" s="114"/>
      <c r="AFI15" s="114"/>
      <c r="AFJ15" s="114"/>
      <c r="AFK15" s="114"/>
      <c r="AFL15" s="114"/>
      <c r="AFM15" s="114"/>
      <c r="AFN15" s="114"/>
      <c r="AFO15" s="114"/>
      <c r="AFP15" s="114"/>
      <c r="AFQ15" s="114"/>
      <c r="AFR15" s="114"/>
      <c r="AFS15" s="114"/>
      <c r="AFT15" s="114"/>
      <c r="AFU15" s="114"/>
      <c r="AFV15" s="114"/>
      <c r="AFW15" s="114"/>
      <c r="AFX15" s="114"/>
      <c r="AFY15" s="114"/>
      <c r="AFZ15" s="114"/>
      <c r="AGA15" s="114"/>
      <c r="AGB15" s="114"/>
      <c r="AGC15" s="114"/>
      <c r="AGD15" s="114"/>
      <c r="AGE15" s="114"/>
      <c r="AGF15" s="114"/>
      <c r="AGG15" s="114"/>
      <c r="AGH15" s="114"/>
      <c r="AGI15" s="114"/>
      <c r="AGJ15" s="114"/>
      <c r="AGK15" s="114"/>
      <c r="AGL15" s="114"/>
      <c r="AGM15" s="114"/>
      <c r="AGN15" s="114"/>
      <c r="AGO15" s="114"/>
      <c r="AGP15" s="114"/>
      <c r="AGQ15" s="114"/>
      <c r="AGR15" s="114"/>
      <c r="AGS15" s="114"/>
      <c r="AGT15" s="114"/>
      <c r="AGU15" s="114"/>
      <c r="AGV15" s="114"/>
      <c r="AGW15" s="114"/>
      <c r="AGX15" s="114"/>
      <c r="AGY15" s="114"/>
      <c r="AGZ15" s="114"/>
      <c r="AHA15" s="114"/>
      <c r="AHB15" s="114"/>
      <c r="AHC15" s="114"/>
      <c r="AHD15" s="114"/>
      <c r="AHE15" s="114"/>
      <c r="AHF15" s="114"/>
      <c r="AHG15" s="114"/>
      <c r="AHH15" s="114"/>
      <c r="AHI15" s="114"/>
      <c r="AHJ15" s="114"/>
      <c r="AHK15" s="114"/>
      <c r="AHL15" s="114"/>
      <c r="AHM15" s="114"/>
      <c r="AHN15" s="114"/>
      <c r="AHO15" s="114"/>
      <c r="AHP15" s="114"/>
      <c r="AHQ15" s="114"/>
      <c r="AHR15" s="114"/>
      <c r="AHS15" s="114"/>
      <c r="AHT15" s="114"/>
      <c r="AHU15" s="114"/>
      <c r="AHV15" s="114"/>
      <c r="AHW15" s="114"/>
      <c r="AHX15" s="114"/>
      <c r="AHY15" s="114"/>
      <c r="AHZ15" s="114"/>
      <c r="AIA15" s="114"/>
      <c r="AIB15" s="114"/>
      <c r="AIC15" s="114"/>
      <c r="AID15" s="114"/>
      <c r="AIE15" s="114"/>
      <c r="AIF15" s="114"/>
      <c r="AIG15" s="114"/>
      <c r="AIH15" s="114"/>
      <c r="AII15" s="114"/>
      <c r="AIJ15" s="114"/>
      <c r="AIK15" s="114"/>
      <c r="AIL15" s="114"/>
      <c r="AIM15" s="114"/>
      <c r="AIN15" s="114"/>
      <c r="AIO15" s="114"/>
      <c r="AIP15" s="114"/>
      <c r="AIQ15" s="114"/>
      <c r="AIR15" s="114"/>
      <c r="AIS15" s="114"/>
      <c r="AIT15" s="114"/>
      <c r="AIU15" s="114"/>
      <c r="AIV15" s="114"/>
      <c r="AIW15" s="114"/>
      <c r="AIX15" s="114"/>
      <c r="AIY15" s="114"/>
      <c r="AIZ15" s="114"/>
      <c r="AJA15" s="114"/>
      <c r="AJB15" s="114"/>
      <c r="AJC15" s="114"/>
      <c r="AJD15" s="114"/>
      <c r="AJE15" s="114"/>
      <c r="AJF15" s="114"/>
      <c r="AJG15" s="114"/>
      <c r="AJH15" s="114"/>
      <c r="AJI15" s="114"/>
      <c r="AJJ15" s="114"/>
      <c r="AJK15" s="114"/>
      <c r="AJL15" s="114"/>
      <c r="AJM15" s="114"/>
      <c r="AJN15" s="114"/>
      <c r="AJO15" s="114"/>
      <c r="AJP15" s="114"/>
      <c r="AJQ15" s="114"/>
      <c r="AJR15" s="114"/>
      <c r="AJS15" s="114"/>
      <c r="AJT15" s="114"/>
      <c r="AJU15" s="114"/>
      <c r="AJV15" s="114"/>
      <c r="AJW15" s="114"/>
      <c r="AJX15" s="114"/>
      <c r="AJY15" s="114"/>
      <c r="AJZ15" s="114"/>
      <c r="AKA15" s="114"/>
      <c r="AKB15" s="114"/>
      <c r="AKC15" s="114"/>
      <c r="AKD15" s="114"/>
      <c r="AKE15" s="114"/>
      <c r="AKF15" s="114"/>
      <c r="AKG15" s="114"/>
      <c r="AKH15" s="114"/>
      <c r="AKI15" s="114"/>
      <c r="AKJ15" s="114"/>
      <c r="AKK15" s="114"/>
      <c r="AKL15" s="114"/>
    </row>
    <row r="16" spans="1:974" ht="15" customHeight="1" x14ac:dyDescent="0.3">
      <c r="A16" s="116"/>
      <c r="B16" s="117"/>
      <c r="C16" s="462"/>
      <c r="D16" s="138" t="s">
        <v>3072</v>
      </c>
      <c r="E16" s="139">
        <v>264</v>
      </c>
      <c r="F16" s="140">
        <v>50</v>
      </c>
      <c r="G16" s="141">
        <f>E16*F16</f>
        <v>13200</v>
      </c>
    </row>
    <row r="17" spans="1:974" ht="15" customHeight="1" x14ac:dyDescent="0.3">
      <c r="A17" s="116"/>
      <c r="B17" s="117"/>
      <c r="C17" s="462"/>
      <c r="D17" s="118" t="s">
        <v>3071</v>
      </c>
      <c r="E17" s="119">
        <v>1</v>
      </c>
      <c r="F17" s="120">
        <v>1000</v>
      </c>
      <c r="G17" s="121">
        <f>E17*F17</f>
        <v>1000</v>
      </c>
    </row>
    <row r="18" spans="1:974" ht="15" customHeight="1" x14ac:dyDescent="0.3">
      <c r="A18" s="158"/>
      <c r="B18" s="159"/>
      <c r="C18" s="463"/>
      <c r="D18" s="464" t="s">
        <v>2826</v>
      </c>
      <c r="E18" s="465"/>
      <c r="F18" s="466"/>
      <c r="G18" s="127">
        <f>SUM(G15:G17)</f>
        <v>64200</v>
      </c>
    </row>
    <row r="19" spans="1:974" s="115" customFormat="1" ht="15" customHeight="1" x14ac:dyDescent="0.3">
      <c r="A19" s="103">
        <v>8470230</v>
      </c>
      <c r="B19" s="104">
        <v>428640</v>
      </c>
      <c r="C19" s="461" t="s">
        <v>3073</v>
      </c>
      <c r="D19" s="151" t="s">
        <v>3074</v>
      </c>
      <c r="E19" s="152">
        <v>1000</v>
      </c>
      <c r="F19" s="153">
        <v>40</v>
      </c>
      <c r="G19" s="133">
        <f>E19*F19</f>
        <v>40000</v>
      </c>
      <c r="H19" s="114"/>
      <c r="I19" s="114"/>
      <c r="J19" s="114"/>
      <c r="K19" s="114"/>
      <c r="L19" s="114"/>
      <c r="M19" s="114"/>
      <c r="N19" s="114"/>
      <c r="O19" s="114"/>
      <c r="P19" s="114"/>
      <c r="Q19" s="114"/>
      <c r="R19" s="114"/>
      <c r="S19" s="114"/>
      <c r="T19" s="114"/>
      <c r="U19" s="114"/>
      <c r="V19" s="114"/>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c r="AY19" s="114"/>
      <c r="AZ19" s="114"/>
      <c r="BA19" s="114"/>
      <c r="BB19" s="114"/>
      <c r="BC19" s="114"/>
      <c r="BD19" s="114"/>
      <c r="BE19" s="114"/>
      <c r="BF19" s="114"/>
      <c r="BG19" s="114"/>
      <c r="BH19" s="114"/>
      <c r="BI19" s="114"/>
      <c r="BJ19" s="114"/>
      <c r="BK19" s="114"/>
      <c r="BL19" s="114"/>
      <c r="BM19" s="114"/>
      <c r="BN19" s="114"/>
      <c r="BO19" s="114"/>
      <c r="BP19" s="114"/>
      <c r="BQ19" s="114"/>
      <c r="BR19" s="114"/>
      <c r="BS19" s="114"/>
      <c r="BT19" s="114"/>
      <c r="BU19" s="114"/>
      <c r="BV19" s="114"/>
      <c r="BW19" s="114"/>
      <c r="BX19" s="114"/>
      <c r="BY19" s="114"/>
      <c r="BZ19" s="114"/>
      <c r="CA19" s="114"/>
      <c r="CB19" s="114"/>
      <c r="CC19" s="114"/>
      <c r="CD19" s="114"/>
      <c r="CE19" s="114"/>
      <c r="CF19" s="114"/>
      <c r="CG19" s="114"/>
      <c r="CH19" s="114"/>
      <c r="CI19" s="114"/>
      <c r="CJ19" s="114"/>
      <c r="CK19" s="114"/>
      <c r="CL19" s="114"/>
      <c r="CM19" s="114"/>
      <c r="CN19" s="114"/>
      <c r="CO19" s="114"/>
      <c r="CP19" s="114"/>
      <c r="CQ19" s="114"/>
      <c r="CR19" s="114"/>
      <c r="CS19" s="114"/>
      <c r="CT19" s="114"/>
      <c r="CU19" s="114"/>
      <c r="CV19" s="114"/>
      <c r="CW19" s="114"/>
      <c r="CX19" s="114"/>
      <c r="CY19" s="114"/>
      <c r="CZ19" s="114"/>
      <c r="DA19" s="114"/>
      <c r="DB19" s="114"/>
      <c r="DC19" s="114"/>
      <c r="DD19" s="114"/>
      <c r="DE19" s="114"/>
      <c r="DF19" s="114"/>
      <c r="DG19" s="114"/>
      <c r="DH19" s="114"/>
      <c r="DI19" s="114"/>
      <c r="DJ19" s="114"/>
      <c r="DK19" s="114"/>
      <c r="DL19" s="114"/>
      <c r="DM19" s="114"/>
      <c r="DN19" s="114"/>
      <c r="DO19" s="114"/>
      <c r="DP19" s="114"/>
      <c r="DQ19" s="114"/>
      <c r="DR19" s="114"/>
      <c r="DS19" s="114"/>
      <c r="DT19" s="114"/>
      <c r="DU19" s="114"/>
      <c r="DV19" s="114"/>
      <c r="DW19" s="114"/>
      <c r="DX19" s="114"/>
      <c r="DY19" s="114"/>
      <c r="DZ19" s="114"/>
      <c r="EA19" s="114"/>
      <c r="EB19" s="114"/>
      <c r="EC19" s="114"/>
      <c r="ED19" s="114"/>
      <c r="EE19" s="114"/>
      <c r="EF19" s="114"/>
      <c r="EG19" s="114"/>
      <c r="EH19" s="114"/>
      <c r="EI19" s="114"/>
      <c r="EJ19" s="114"/>
      <c r="EK19" s="114"/>
      <c r="EL19" s="114"/>
      <c r="EM19" s="114"/>
      <c r="EN19" s="114"/>
      <c r="EO19" s="114"/>
      <c r="EP19" s="114"/>
      <c r="EQ19" s="114"/>
      <c r="ER19" s="114"/>
      <c r="ES19" s="114"/>
      <c r="ET19" s="114"/>
      <c r="EU19" s="114"/>
      <c r="EV19" s="114"/>
      <c r="EW19" s="114"/>
      <c r="EX19" s="114"/>
      <c r="EY19" s="114"/>
      <c r="EZ19" s="114"/>
      <c r="FA19" s="114"/>
      <c r="FB19" s="114"/>
      <c r="FC19" s="114"/>
      <c r="FD19" s="114"/>
      <c r="FE19" s="114"/>
      <c r="FF19" s="114"/>
      <c r="FG19" s="114"/>
      <c r="FH19" s="114"/>
      <c r="FI19" s="114"/>
      <c r="FJ19" s="114"/>
      <c r="FK19" s="114"/>
      <c r="FL19" s="114"/>
      <c r="FM19" s="114"/>
      <c r="FN19" s="114"/>
      <c r="FO19" s="114"/>
      <c r="FP19" s="114"/>
      <c r="FQ19" s="114"/>
      <c r="FR19" s="114"/>
      <c r="FS19" s="114"/>
      <c r="FT19" s="114"/>
      <c r="FU19" s="114"/>
      <c r="FV19" s="114"/>
      <c r="FW19" s="114"/>
      <c r="FX19" s="114"/>
      <c r="FY19" s="114"/>
      <c r="FZ19" s="114"/>
      <c r="GA19" s="114"/>
      <c r="GB19" s="114"/>
      <c r="GC19" s="114"/>
      <c r="GD19" s="114"/>
      <c r="GE19" s="114"/>
      <c r="GF19" s="114"/>
      <c r="GG19" s="114"/>
      <c r="GH19" s="114"/>
      <c r="GI19" s="114"/>
      <c r="GJ19" s="114"/>
      <c r="GK19" s="114"/>
      <c r="GL19" s="114"/>
      <c r="GM19" s="114"/>
      <c r="GN19" s="114"/>
      <c r="GO19" s="114"/>
      <c r="GP19" s="114"/>
      <c r="GQ19" s="114"/>
      <c r="GR19" s="114"/>
      <c r="GS19" s="114"/>
      <c r="GT19" s="114"/>
      <c r="GU19" s="114"/>
      <c r="GV19" s="114"/>
      <c r="GW19" s="114"/>
      <c r="GX19" s="114"/>
      <c r="GY19" s="114"/>
      <c r="GZ19" s="114"/>
      <c r="HA19" s="114"/>
      <c r="HB19" s="114"/>
      <c r="HC19" s="114"/>
      <c r="HD19" s="114"/>
      <c r="HE19" s="114"/>
      <c r="HF19" s="114"/>
      <c r="HG19" s="114"/>
      <c r="HH19" s="114"/>
      <c r="HI19" s="114"/>
      <c r="HJ19" s="114"/>
      <c r="HK19" s="114"/>
      <c r="HL19" s="114"/>
      <c r="HM19" s="114"/>
      <c r="HN19" s="114"/>
      <c r="HO19" s="114"/>
      <c r="HP19" s="114"/>
      <c r="HQ19" s="114"/>
      <c r="HR19" s="114"/>
      <c r="HS19" s="114"/>
      <c r="HT19" s="114"/>
      <c r="HU19" s="114"/>
      <c r="HV19" s="114"/>
      <c r="HW19" s="114"/>
      <c r="HX19" s="114"/>
      <c r="HY19" s="114"/>
      <c r="HZ19" s="114"/>
      <c r="IA19" s="114"/>
      <c r="IB19" s="114"/>
      <c r="IC19" s="114"/>
      <c r="ID19" s="114"/>
      <c r="IE19" s="114"/>
      <c r="IF19" s="114"/>
      <c r="IG19" s="114"/>
      <c r="IH19" s="114"/>
      <c r="II19" s="114"/>
      <c r="IJ19" s="114"/>
      <c r="IK19" s="114"/>
      <c r="IL19" s="114"/>
      <c r="IM19" s="114"/>
      <c r="IN19" s="114"/>
      <c r="IO19" s="114"/>
      <c r="IP19" s="114"/>
      <c r="IQ19" s="114"/>
      <c r="IR19" s="114"/>
      <c r="IS19" s="114"/>
      <c r="IT19" s="114"/>
      <c r="IU19" s="114"/>
      <c r="IV19" s="114"/>
      <c r="IW19" s="114"/>
      <c r="IX19" s="114"/>
      <c r="IY19" s="114"/>
      <c r="IZ19" s="114"/>
      <c r="JA19" s="114"/>
      <c r="JB19" s="114"/>
      <c r="JC19" s="114"/>
      <c r="JD19" s="114"/>
      <c r="JE19" s="114"/>
      <c r="JF19" s="114"/>
      <c r="JG19" s="114"/>
      <c r="JH19" s="114"/>
      <c r="JI19" s="114"/>
      <c r="JJ19" s="114"/>
      <c r="JK19" s="114"/>
      <c r="JL19" s="114"/>
      <c r="JM19" s="114"/>
      <c r="JN19" s="114"/>
      <c r="JO19" s="114"/>
      <c r="JP19" s="114"/>
      <c r="JQ19" s="114"/>
      <c r="JR19" s="114"/>
      <c r="JS19" s="114"/>
      <c r="JT19" s="114"/>
      <c r="JU19" s="114"/>
      <c r="JV19" s="114"/>
      <c r="JW19" s="114"/>
      <c r="JX19" s="114"/>
      <c r="JY19" s="114"/>
      <c r="JZ19" s="114"/>
      <c r="KA19" s="114"/>
      <c r="KB19" s="114"/>
      <c r="KC19" s="114"/>
      <c r="KD19" s="114"/>
      <c r="KE19" s="114"/>
      <c r="KF19" s="114"/>
      <c r="KG19" s="114"/>
      <c r="KH19" s="114"/>
      <c r="KI19" s="114"/>
      <c r="KJ19" s="114"/>
      <c r="KK19" s="114"/>
      <c r="KL19" s="114"/>
      <c r="KM19" s="114"/>
      <c r="KN19" s="114"/>
      <c r="KO19" s="114"/>
      <c r="KP19" s="114"/>
      <c r="KQ19" s="114"/>
      <c r="KR19" s="114"/>
      <c r="KS19" s="114"/>
      <c r="KT19" s="114"/>
      <c r="KU19" s="114"/>
      <c r="KV19" s="114"/>
      <c r="KW19" s="114"/>
      <c r="KX19" s="114"/>
      <c r="KY19" s="114"/>
      <c r="KZ19" s="114"/>
      <c r="LA19" s="114"/>
      <c r="LB19" s="114"/>
      <c r="LC19" s="114"/>
      <c r="LD19" s="114"/>
      <c r="LE19" s="114"/>
      <c r="LF19" s="114"/>
      <c r="LG19" s="114"/>
      <c r="LH19" s="114"/>
      <c r="LI19" s="114"/>
      <c r="LJ19" s="114"/>
      <c r="LK19" s="114"/>
      <c r="LL19" s="114"/>
      <c r="LM19" s="114"/>
      <c r="LN19" s="114"/>
      <c r="LO19" s="114"/>
      <c r="LP19" s="114"/>
      <c r="LQ19" s="114"/>
      <c r="LR19" s="114"/>
      <c r="LS19" s="114"/>
      <c r="LT19" s="114"/>
      <c r="LU19" s="114"/>
      <c r="LV19" s="114"/>
      <c r="LW19" s="114"/>
      <c r="LX19" s="114"/>
      <c r="LY19" s="114"/>
      <c r="LZ19" s="114"/>
      <c r="MA19" s="114"/>
      <c r="MB19" s="114"/>
      <c r="MC19" s="114"/>
      <c r="MD19" s="114"/>
      <c r="ME19" s="114"/>
      <c r="MF19" s="114"/>
      <c r="MG19" s="114"/>
      <c r="MH19" s="114"/>
      <c r="MI19" s="114"/>
      <c r="MJ19" s="114"/>
      <c r="MK19" s="114"/>
      <c r="ML19" s="114"/>
      <c r="MM19" s="114"/>
      <c r="MN19" s="114"/>
      <c r="MO19" s="114"/>
      <c r="MP19" s="114"/>
      <c r="MQ19" s="114"/>
      <c r="MR19" s="114"/>
      <c r="MS19" s="114"/>
      <c r="MT19" s="114"/>
      <c r="MU19" s="114"/>
      <c r="MV19" s="114"/>
      <c r="MW19" s="114"/>
      <c r="MX19" s="114"/>
      <c r="MY19" s="114"/>
      <c r="MZ19" s="114"/>
      <c r="NA19" s="114"/>
      <c r="NB19" s="114"/>
      <c r="NC19" s="114"/>
      <c r="ND19" s="114"/>
      <c r="NE19" s="114"/>
      <c r="NF19" s="114"/>
      <c r="NG19" s="114"/>
      <c r="NH19" s="114"/>
      <c r="NI19" s="114"/>
      <c r="NJ19" s="114"/>
      <c r="NK19" s="114"/>
      <c r="NL19" s="114"/>
      <c r="NM19" s="114"/>
      <c r="NN19" s="114"/>
      <c r="NO19" s="114"/>
      <c r="NP19" s="114"/>
      <c r="NQ19" s="114"/>
      <c r="NR19" s="114"/>
      <c r="NS19" s="114"/>
      <c r="NT19" s="114"/>
      <c r="NU19" s="114"/>
      <c r="NV19" s="114"/>
      <c r="NW19" s="114"/>
      <c r="NX19" s="114"/>
      <c r="NY19" s="114"/>
      <c r="NZ19" s="114"/>
      <c r="OA19" s="114"/>
      <c r="OB19" s="114"/>
      <c r="OC19" s="114"/>
      <c r="OD19" s="114"/>
      <c r="OE19" s="114"/>
      <c r="OF19" s="114"/>
      <c r="OG19" s="114"/>
      <c r="OH19" s="114"/>
      <c r="OI19" s="114"/>
      <c r="OJ19" s="114"/>
      <c r="OK19" s="114"/>
      <c r="OL19" s="114"/>
      <c r="OM19" s="114"/>
      <c r="ON19" s="114"/>
      <c r="OO19" s="114"/>
      <c r="OP19" s="114"/>
      <c r="OQ19" s="114"/>
      <c r="OR19" s="114"/>
      <c r="OS19" s="114"/>
      <c r="OT19" s="114"/>
      <c r="OU19" s="114"/>
      <c r="OV19" s="114"/>
      <c r="OW19" s="114"/>
      <c r="OX19" s="114"/>
      <c r="OY19" s="114"/>
      <c r="OZ19" s="114"/>
      <c r="PA19" s="114"/>
      <c r="PB19" s="114"/>
      <c r="PC19" s="114"/>
      <c r="PD19" s="114"/>
      <c r="PE19" s="114"/>
      <c r="PF19" s="114"/>
      <c r="PG19" s="114"/>
      <c r="PH19" s="114"/>
      <c r="PI19" s="114"/>
      <c r="PJ19" s="114"/>
      <c r="PK19" s="114"/>
      <c r="PL19" s="114"/>
      <c r="PM19" s="114"/>
      <c r="PN19" s="114"/>
      <c r="PO19" s="114"/>
      <c r="PP19" s="114"/>
      <c r="PQ19" s="114"/>
      <c r="PR19" s="114"/>
      <c r="PS19" s="114"/>
      <c r="PT19" s="114"/>
      <c r="PU19" s="114"/>
      <c r="PV19" s="114"/>
      <c r="PW19" s="114"/>
      <c r="PX19" s="114"/>
      <c r="PY19" s="114"/>
      <c r="PZ19" s="114"/>
      <c r="QA19" s="114"/>
      <c r="QB19" s="114"/>
      <c r="QC19" s="114"/>
      <c r="QD19" s="114"/>
      <c r="QE19" s="114"/>
      <c r="QF19" s="114"/>
      <c r="QG19" s="114"/>
      <c r="QH19" s="114"/>
      <c r="QI19" s="114"/>
      <c r="QJ19" s="114"/>
      <c r="QK19" s="114"/>
      <c r="QL19" s="114"/>
      <c r="QM19" s="114"/>
      <c r="QN19" s="114"/>
      <c r="QO19" s="114"/>
      <c r="QP19" s="114"/>
      <c r="QQ19" s="114"/>
      <c r="QR19" s="114"/>
      <c r="QS19" s="114"/>
      <c r="QT19" s="114"/>
      <c r="QU19" s="114"/>
      <c r="QV19" s="114"/>
      <c r="QW19" s="114"/>
      <c r="QX19" s="114"/>
      <c r="QY19" s="114"/>
      <c r="QZ19" s="114"/>
      <c r="RA19" s="114"/>
      <c r="RB19" s="114"/>
      <c r="RC19" s="114"/>
      <c r="RD19" s="114"/>
      <c r="RE19" s="114"/>
      <c r="RF19" s="114"/>
      <c r="RG19" s="114"/>
      <c r="RH19" s="114"/>
      <c r="RI19" s="114"/>
      <c r="RJ19" s="114"/>
      <c r="RK19" s="114"/>
      <c r="RL19" s="114"/>
      <c r="RM19" s="114"/>
      <c r="RN19" s="114"/>
      <c r="RO19" s="114"/>
      <c r="RP19" s="114"/>
      <c r="RQ19" s="114"/>
      <c r="RR19" s="114"/>
      <c r="RS19" s="114"/>
      <c r="RT19" s="114"/>
      <c r="RU19" s="114"/>
      <c r="RV19" s="114"/>
      <c r="RW19" s="114"/>
      <c r="RX19" s="114"/>
      <c r="RY19" s="114"/>
      <c r="RZ19" s="114"/>
      <c r="SA19" s="114"/>
      <c r="SB19" s="114"/>
      <c r="SC19" s="114"/>
      <c r="SD19" s="114"/>
      <c r="SE19" s="114"/>
      <c r="SF19" s="114"/>
      <c r="SG19" s="114"/>
      <c r="SH19" s="114"/>
      <c r="SI19" s="114"/>
      <c r="SJ19" s="114"/>
      <c r="SK19" s="114"/>
      <c r="SL19" s="114"/>
      <c r="SM19" s="114"/>
      <c r="SN19" s="114"/>
      <c r="SO19" s="114"/>
      <c r="SP19" s="114"/>
      <c r="SQ19" s="114"/>
      <c r="SR19" s="114"/>
      <c r="SS19" s="114"/>
      <c r="ST19" s="114"/>
      <c r="SU19" s="114"/>
      <c r="SV19" s="114"/>
      <c r="SW19" s="114"/>
      <c r="SX19" s="114"/>
      <c r="SY19" s="114"/>
      <c r="SZ19" s="114"/>
      <c r="TA19" s="114"/>
      <c r="TB19" s="114"/>
      <c r="TC19" s="114"/>
      <c r="TD19" s="114"/>
      <c r="TE19" s="114"/>
      <c r="TF19" s="114"/>
      <c r="TG19" s="114"/>
      <c r="TH19" s="114"/>
      <c r="TI19" s="114"/>
      <c r="TJ19" s="114"/>
      <c r="TK19" s="114"/>
      <c r="TL19" s="114"/>
      <c r="TM19" s="114"/>
      <c r="TN19" s="114"/>
      <c r="TO19" s="114"/>
      <c r="TP19" s="114"/>
      <c r="TQ19" s="114"/>
      <c r="TR19" s="114"/>
      <c r="TS19" s="114"/>
      <c r="TT19" s="114"/>
      <c r="TU19" s="114"/>
      <c r="TV19" s="114"/>
      <c r="TW19" s="114"/>
      <c r="TX19" s="114"/>
      <c r="TY19" s="114"/>
      <c r="TZ19" s="114"/>
      <c r="UA19" s="114"/>
      <c r="UB19" s="114"/>
      <c r="UC19" s="114"/>
      <c r="UD19" s="114"/>
      <c r="UE19" s="114"/>
      <c r="UF19" s="114"/>
      <c r="UG19" s="114"/>
      <c r="UH19" s="114"/>
      <c r="UI19" s="114"/>
      <c r="UJ19" s="114"/>
      <c r="UK19" s="114"/>
      <c r="UL19" s="114"/>
      <c r="UM19" s="114"/>
      <c r="UN19" s="114"/>
      <c r="UO19" s="114"/>
      <c r="UP19" s="114"/>
      <c r="UQ19" s="114"/>
      <c r="UR19" s="114"/>
      <c r="US19" s="114"/>
      <c r="UT19" s="114"/>
      <c r="UU19" s="114"/>
      <c r="UV19" s="114"/>
      <c r="UW19" s="114"/>
      <c r="UX19" s="114"/>
      <c r="UY19" s="114"/>
      <c r="UZ19" s="114"/>
      <c r="VA19" s="114"/>
      <c r="VB19" s="114"/>
      <c r="VC19" s="114"/>
      <c r="VD19" s="114"/>
      <c r="VE19" s="114"/>
      <c r="VF19" s="114"/>
      <c r="VG19" s="114"/>
      <c r="VH19" s="114"/>
      <c r="VI19" s="114"/>
      <c r="VJ19" s="114"/>
      <c r="VK19" s="114"/>
      <c r="VL19" s="114"/>
      <c r="VM19" s="114"/>
      <c r="VN19" s="114"/>
      <c r="VO19" s="114"/>
      <c r="VP19" s="114"/>
      <c r="VQ19" s="114"/>
      <c r="VR19" s="114"/>
      <c r="VS19" s="114"/>
      <c r="VT19" s="114"/>
      <c r="VU19" s="114"/>
      <c r="VV19" s="114"/>
      <c r="VW19" s="114"/>
      <c r="VX19" s="114"/>
      <c r="VY19" s="114"/>
      <c r="VZ19" s="114"/>
      <c r="WA19" s="114"/>
      <c r="WB19" s="114"/>
      <c r="WC19" s="114"/>
      <c r="WD19" s="114"/>
      <c r="WE19" s="114"/>
      <c r="WF19" s="114"/>
      <c r="WG19" s="114"/>
      <c r="WH19" s="114"/>
      <c r="WI19" s="114"/>
      <c r="WJ19" s="114"/>
      <c r="WK19" s="114"/>
      <c r="WL19" s="114"/>
      <c r="WM19" s="114"/>
      <c r="WN19" s="114"/>
      <c r="WO19" s="114"/>
      <c r="WP19" s="114"/>
      <c r="WQ19" s="114"/>
      <c r="WR19" s="114"/>
      <c r="WS19" s="114"/>
      <c r="WT19" s="114"/>
      <c r="WU19" s="114"/>
      <c r="WV19" s="114"/>
      <c r="WW19" s="114"/>
      <c r="WX19" s="114"/>
      <c r="WY19" s="114"/>
      <c r="WZ19" s="114"/>
      <c r="XA19" s="114"/>
      <c r="XB19" s="114"/>
      <c r="XC19" s="114"/>
      <c r="XD19" s="114"/>
      <c r="XE19" s="114"/>
      <c r="XF19" s="114"/>
      <c r="XG19" s="114"/>
      <c r="XH19" s="114"/>
      <c r="XI19" s="114"/>
      <c r="XJ19" s="114"/>
      <c r="XK19" s="114"/>
      <c r="XL19" s="114"/>
      <c r="XM19" s="114"/>
      <c r="XN19" s="114"/>
      <c r="XO19" s="114"/>
      <c r="XP19" s="114"/>
      <c r="XQ19" s="114"/>
      <c r="XR19" s="114"/>
      <c r="XS19" s="114"/>
      <c r="XT19" s="114"/>
      <c r="XU19" s="114"/>
      <c r="XV19" s="114"/>
      <c r="XW19" s="114"/>
      <c r="XX19" s="114"/>
      <c r="XY19" s="114"/>
      <c r="XZ19" s="114"/>
      <c r="YA19" s="114"/>
      <c r="YB19" s="114"/>
      <c r="YC19" s="114"/>
      <c r="YD19" s="114"/>
      <c r="YE19" s="114"/>
      <c r="YF19" s="114"/>
      <c r="YG19" s="114"/>
      <c r="YH19" s="114"/>
      <c r="YI19" s="114"/>
      <c r="YJ19" s="114"/>
      <c r="YK19" s="114"/>
      <c r="YL19" s="114"/>
      <c r="YM19" s="114"/>
      <c r="YN19" s="114"/>
      <c r="YO19" s="114"/>
      <c r="YP19" s="114"/>
      <c r="YQ19" s="114"/>
      <c r="YR19" s="114"/>
      <c r="YS19" s="114"/>
      <c r="YT19" s="114"/>
      <c r="YU19" s="114"/>
      <c r="YV19" s="114"/>
      <c r="YW19" s="114"/>
      <c r="YX19" s="114"/>
      <c r="YY19" s="114"/>
      <c r="YZ19" s="114"/>
      <c r="ZA19" s="114"/>
      <c r="ZB19" s="114"/>
      <c r="ZC19" s="114"/>
      <c r="ZD19" s="114"/>
      <c r="ZE19" s="114"/>
      <c r="ZF19" s="114"/>
      <c r="ZG19" s="114"/>
      <c r="ZH19" s="114"/>
      <c r="ZI19" s="114"/>
      <c r="ZJ19" s="114"/>
      <c r="ZK19" s="114"/>
      <c r="ZL19" s="114"/>
      <c r="ZM19" s="114"/>
      <c r="ZN19" s="114"/>
      <c r="ZO19" s="114"/>
      <c r="ZP19" s="114"/>
      <c r="ZQ19" s="114"/>
      <c r="ZR19" s="114"/>
      <c r="ZS19" s="114"/>
      <c r="ZT19" s="114"/>
      <c r="ZU19" s="114"/>
      <c r="ZV19" s="114"/>
      <c r="ZW19" s="114"/>
      <c r="ZX19" s="114"/>
      <c r="ZY19" s="114"/>
      <c r="ZZ19" s="114"/>
      <c r="AAA19" s="114"/>
      <c r="AAB19" s="114"/>
      <c r="AAC19" s="114"/>
      <c r="AAD19" s="114"/>
      <c r="AAE19" s="114"/>
      <c r="AAF19" s="114"/>
      <c r="AAG19" s="114"/>
      <c r="AAH19" s="114"/>
      <c r="AAI19" s="114"/>
      <c r="AAJ19" s="114"/>
      <c r="AAK19" s="114"/>
      <c r="AAL19" s="114"/>
      <c r="AAM19" s="114"/>
      <c r="AAN19" s="114"/>
      <c r="AAO19" s="114"/>
      <c r="AAP19" s="114"/>
      <c r="AAQ19" s="114"/>
      <c r="AAR19" s="114"/>
      <c r="AAS19" s="114"/>
      <c r="AAT19" s="114"/>
      <c r="AAU19" s="114"/>
      <c r="AAV19" s="114"/>
      <c r="AAW19" s="114"/>
      <c r="AAX19" s="114"/>
      <c r="AAY19" s="114"/>
      <c r="AAZ19" s="114"/>
      <c r="ABA19" s="114"/>
      <c r="ABB19" s="114"/>
      <c r="ABC19" s="114"/>
      <c r="ABD19" s="114"/>
      <c r="ABE19" s="114"/>
      <c r="ABF19" s="114"/>
      <c r="ABG19" s="114"/>
      <c r="ABH19" s="114"/>
      <c r="ABI19" s="114"/>
      <c r="ABJ19" s="114"/>
      <c r="ABK19" s="114"/>
      <c r="ABL19" s="114"/>
      <c r="ABM19" s="114"/>
      <c r="ABN19" s="114"/>
      <c r="ABO19" s="114"/>
      <c r="ABP19" s="114"/>
      <c r="ABQ19" s="114"/>
      <c r="ABR19" s="114"/>
      <c r="ABS19" s="114"/>
      <c r="ABT19" s="114"/>
      <c r="ABU19" s="114"/>
      <c r="ABV19" s="114"/>
      <c r="ABW19" s="114"/>
      <c r="ABX19" s="114"/>
      <c r="ABY19" s="114"/>
      <c r="ABZ19" s="114"/>
      <c r="ACA19" s="114"/>
      <c r="ACB19" s="114"/>
      <c r="ACC19" s="114"/>
      <c r="ACD19" s="114"/>
      <c r="ACE19" s="114"/>
      <c r="ACF19" s="114"/>
      <c r="ACG19" s="114"/>
      <c r="ACH19" s="114"/>
      <c r="ACI19" s="114"/>
      <c r="ACJ19" s="114"/>
      <c r="ACK19" s="114"/>
      <c r="ACL19" s="114"/>
      <c r="ACM19" s="114"/>
      <c r="ACN19" s="114"/>
      <c r="ACO19" s="114"/>
      <c r="ACP19" s="114"/>
      <c r="ACQ19" s="114"/>
      <c r="ACR19" s="114"/>
      <c r="ACS19" s="114"/>
      <c r="ACT19" s="114"/>
      <c r="ACU19" s="114"/>
      <c r="ACV19" s="114"/>
      <c r="ACW19" s="114"/>
      <c r="ACX19" s="114"/>
      <c r="ACY19" s="114"/>
      <c r="ACZ19" s="114"/>
      <c r="ADA19" s="114"/>
      <c r="ADB19" s="114"/>
      <c r="ADC19" s="114"/>
      <c r="ADD19" s="114"/>
      <c r="ADE19" s="114"/>
      <c r="ADF19" s="114"/>
      <c r="ADG19" s="114"/>
      <c r="ADH19" s="114"/>
      <c r="ADI19" s="114"/>
      <c r="ADJ19" s="114"/>
      <c r="ADK19" s="114"/>
      <c r="ADL19" s="114"/>
      <c r="ADM19" s="114"/>
      <c r="ADN19" s="114"/>
      <c r="ADO19" s="114"/>
      <c r="ADP19" s="114"/>
      <c r="ADQ19" s="114"/>
      <c r="ADR19" s="114"/>
      <c r="ADS19" s="114"/>
      <c r="ADT19" s="114"/>
      <c r="ADU19" s="114"/>
      <c r="ADV19" s="114"/>
      <c r="ADW19" s="114"/>
      <c r="ADX19" s="114"/>
      <c r="ADY19" s="114"/>
      <c r="ADZ19" s="114"/>
      <c r="AEA19" s="114"/>
      <c r="AEB19" s="114"/>
      <c r="AEC19" s="114"/>
      <c r="AED19" s="114"/>
      <c r="AEE19" s="114"/>
      <c r="AEF19" s="114"/>
      <c r="AEG19" s="114"/>
      <c r="AEH19" s="114"/>
      <c r="AEI19" s="114"/>
      <c r="AEJ19" s="114"/>
      <c r="AEK19" s="114"/>
      <c r="AEL19" s="114"/>
      <c r="AEM19" s="114"/>
      <c r="AEN19" s="114"/>
      <c r="AEO19" s="114"/>
      <c r="AEP19" s="114"/>
      <c r="AEQ19" s="114"/>
      <c r="AER19" s="114"/>
      <c r="AES19" s="114"/>
      <c r="AET19" s="114"/>
      <c r="AEU19" s="114"/>
      <c r="AEV19" s="114"/>
      <c r="AEW19" s="114"/>
      <c r="AEX19" s="114"/>
      <c r="AEY19" s="114"/>
      <c r="AEZ19" s="114"/>
      <c r="AFA19" s="114"/>
      <c r="AFB19" s="114"/>
      <c r="AFC19" s="114"/>
      <c r="AFD19" s="114"/>
      <c r="AFE19" s="114"/>
      <c r="AFF19" s="114"/>
      <c r="AFG19" s="114"/>
      <c r="AFH19" s="114"/>
      <c r="AFI19" s="114"/>
      <c r="AFJ19" s="114"/>
      <c r="AFK19" s="114"/>
      <c r="AFL19" s="114"/>
      <c r="AFM19" s="114"/>
      <c r="AFN19" s="114"/>
      <c r="AFO19" s="114"/>
      <c r="AFP19" s="114"/>
      <c r="AFQ19" s="114"/>
      <c r="AFR19" s="114"/>
      <c r="AFS19" s="114"/>
      <c r="AFT19" s="114"/>
      <c r="AFU19" s="114"/>
      <c r="AFV19" s="114"/>
      <c r="AFW19" s="114"/>
      <c r="AFX19" s="114"/>
      <c r="AFY19" s="114"/>
      <c r="AFZ19" s="114"/>
      <c r="AGA19" s="114"/>
      <c r="AGB19" s="114"/>
      <c r="AGC19" s="114"/>
      <c r="AGD19" s="114"/>
      <c r="AGE19" s="114"/>
      <c r="AGF19" s="114"/>
      <c r="AGG19" s="114"/>
      <c r="AGH19" s="114"/>
      <c r="AGI19" s="114"/>
      <c r="AGJ19" s="114"/>
      <c r="AGK19" s="114"/>
      <c r="AGL19" s="114"/>
      <c r="AGM19" s="114"/>
      <c r="AGN19" s="114"/>
      <c r="AGO19" s="114"/>
      <c r="AGP19" s="114"/>
      <c r="AGQ19" s="114"/>
      <c r="AGR19" s="114"/>
      <c r="AGS19" s="114"/>
      <c r="AGT19" s="114"/>
      <c r="AGU19" s="114"/>
      <c r="AGV19" s="114"/>
      <c r="AGW19" s="114"/>
      <c r="AGX19" s="114"/>
      <c r="AGY19" s="114"/>
      <c r="AGZ19" s="114"/>
      <c r="AHA19" s="114"/>
      <c r="AHB19" s="114"/>
      <c r="AHC19" s="114"/>
      <c r="AHD19" s="114"/>
      <c r="AHE19" s="114"/>
      <c r="AHF19" s="114"/>
      <c r="AHG19" s="114"/>
      <c r="AHH19" s="114"/>
      <c r="AHI19" s="114"/>
      <c r="AHJ19" s="114"/>
      <c r="AHK19" s="114"/>
      <c r="AHL19" s="114"/>
      <c r="AHM19" s="114"/>
      <c r="AHN19" s="114"/>
      <c r="AHO19" s="114"/>
      <c r="AHP19" s="114"/>
      <c r="AHQ19" s="114"/>
      <c r="AHR19" s="114"/>
      <c r="AHS19" s="114"/>
      <c r="AHT19" s="114"/>
      <c r="AHU19" s="114"/>
      <c r="AHV19" s="114"/>
      <c r="AHW19" s="114"/>
      <c r="AHX19" s="114"/>
      <c r="AHY19" s="114"/>
      <c r="AHZ19" s="114"/>
      <c r="AIA19" s="114"/>
      <c r="AIB19" s="114"/>
      <c r="AIC19" s="114"/>
      <c r="AID19" s="114"/>
      <c r="AIE19" s="114"/>
      <c r="AIF19" s="114"/>
      <c r="AIG19" s="114"/>
      <c r="AIH19" s="114"/>
      <c r="AII19" s="114"/>
      <c r="AIJ19" s="114"/>
      <c r="AIK19" s="114"/>
      <c r="AIL19" s="114"/>
      <c r="AIM19" s="114"/>
      <c r="AIN19" s="114"/>
      <c r="AIO19" s="114"/>
      <c r="AIP19" s="114"/>
      <c r="AIQ19" s="114"/>
      <c r="AIR19" s="114"/>
      <c r="AIS19" s="114"/>
      <c r="AIT19" s="114"/>
      <c r="AIU19" s="114"/>
      <c r="AIV19" s="114"/>
      <c r="AIW19" s="114"/>
      <c r="AIX19" s="114"/>
      <c r="AIY19" s="114"/>
      <c r="AIZ19" s="114"/>
      <c r="AJA19" s="114"/>
      <c r="AJB19" s="114"/>
      <c r="AJC19" s="114"/>
      <c r="AJD19" s="114"/>
      <c r="AJE19" s="114"/>
      <c r="AJF19" s="114"/>
      <c r="AJG19" s="114"/>
      <c r="AJH19" s="114"/>
      <c r="AJI19" s="114"/>
      <c r="AJJ19" s="114"/>
      <c r="AJK19" s="114"/>
      <c r="AJL19" s="114"/>
      <c r="AJM19" s="114"/>
      <c r="AJN19" s="114"/>
      <c r="AJO19" s="114"/>
      <c r="AJP19" s="114"/>
      <c r="AJQ19" s="114"/>
      <c r="AJR19" s="114"/>
      <c r="AJS19" s="114"/>
      <c r="AJT19" s="114"/>
      <c r="AJU19" s="114"/>
      <c r="AJV19" s="114"/>
      <c r="AJW19" s="114"/>
      <c r="AJX19" s="114"/>
      <c r="AJY19" s="114"/>
      <c r="AJZ19" s="114"/>
      <c r="AKA19" s="114"/>
      <c r="AKB19" s="114"/>
      <c r="AKC19" s="114"/>
      <c r="AKD19" s="114"/>
      <c r="AKE19" s="114"/>
      <c r="AKF19" s="114"/>
      <c r="AKG19" s="114"/>
      <c r="AKH19" s="114"/>
      <c r="AKI19" s="114"/>
      <c r="AKJ19" s="114"/>
      <c r="AKK19" s="114"/>
      <c r="AKL19" s="114"/>
    </row>
    <row r="20" spans="1:974" ht="15" customHeight="1" x14ac:dyDescent="0.3">
      <c r="A20" s="116"/>
      <c r="B20" s="117"/>
      <c r="C20" s="462"/>
      <c r="D20" s="118" t="s">
        <v>3075</v>
      </c>
      <c r="E20" s="119">
        <v>88</v>
      </c>
      <c r="F20" s="120">
        <v>500</v>
      </c>
      <c r="G20" s="121">
        <f>E20*F20</f>
        <v>44000</v>
      </c>
    </row>
    <row r="21" spans="1:974" ht="15" customHeight="1" x14ac:dyDescent="0.3">
      <c r="A21" s="158"/>
      <c r="B21" s="159"/>
      <c r="C21" s="463"/>
      <c r="D21" s="464" t="s">
        <v>2828</v>
      </c>
      <c r="E21" s="465"/>
      <c r="F21" s="466"/>
      <c r="G21" s="127">
        <f>SUM(G19:G20)</f>
        <v>84000</v>
      </c>
    </row>
    <row r="22" spans="1:974" s="115" customFormat="1" ht="15" customHeight="1" x14ac:dyDescent="0.3">
      <c r="A22" s="116">
        <v>8470230</v>
      </c>
      <c r="B22" s="117">
        <v>428090</v>
      </c>
      <c r="C22" s="461" t="s">
        <v>3076</v>
      </c>
      <c r="D22" s="130" t="s">
        <v>3077</v>
      </c>
      <c r="E22" s="131">
        <v>2</v>
      </c>
      <c r="F22" s="132">
        <v>17000</v>
      </c>
      <c r="G22" s="133">
        <f>E22*F22</f>
        <v>34000</v>
      </c>
      <c r="H22" s="114"/>
      <c r="I22" s="114"/>
      <c r="J22" s="114"/>
      <c r="K22" s="114"/>
      <c r="L22" s="114"/>
      <c r="M22" s="114"/>
      <c r="N22" s="114"/>
      <c r="O22" s="114"/>
      <c r="P22" s="114"/>
      <c r="Q22" s="114"/>
      <c r="R22" s="114"/>
      <c r="S22" s="114"/>
      <c r="T22" s="114"/>
      <c r="U22" s="114"/>
      <c r="V22" s="114"/>
      <c r="W22" s="114"/>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4"/>
      <c r="AY22" s="114"/>
      <c r="AZ22" s="114"/>
      <c r="BA22" s="114"/>
      <c r="BB22" s="114"/>
      <c r="BC22" s="114"/>
      <c r="BD22" s="114"/>
      <c r="BE22" s="114"/>
      <c r="BF22" s="114"/>
      <c r="BG22" s="114"/>
      <c r="BH22" s="114"/>
      <c r="BI22" s="114"/>
      <c r="BJ22" s="114"/>
      <c r="BK22" s="114"/>
      <c r="BL22" s="114"/>
      <c r="BM22" s="114"/>
      <c r="BN22" s="114"/>
      <c r="BO22" s="114"/>
      <c r="BP22" s="114"/>
      <c r="BQ22" s="114"/>
      <c r="BR22" s="114"/>
      <c r="BS22" s="114"/>
      <c r="BT22" s="114"/>
      <c r="BU22" s="114"/>
      <c r="BV22" s="114"/>
      <c r="BW22" s="114"/>
      <c r="BX22" s="114"/>
      <c r="BY22" s="114"/>
      <c r="BZ22" s="114"/>
      <c r="CA22" s="114"/>
      <c r="CB22" s="114"/>
      <c r="CC22" s="114"/>
      <c r="CD22" s="114"/>
      <c r="CE22" s="114"/>
      <c r="CF22" s="114"/>
      <c r="CG22" s="114"/>
      <c r="CH22" s="114"/>
      <c r="CI22" s="114"/>
      <c r="CJ22" s="114"/>
      <c r="CK22" s="114"/>
      <c r="CL22" s="114"/>
      <c r="CM22" s="114"/>
      <c r="CN22" s="114"/>
      <c r="CO22" s="114"/>
      <c r="CP22" s="114"/>
      <c r="CQ22" s="114"/>
      <c r="CR22" s="114"/>
      <c r="CS22" s="114"/>
      <c r="CT22" s="114"/>
      <c r="CU22" s="114"/>
      <c r="CV22" s="114"/>
      <c r="CW22" s="114"/>
      <c r="CX22" s="114"/>
      <c r="CY22" s="114"/>
      <c r="CZ22" s="114"/>
      <c r="DA22" s="114"/>
      <c r="DB22" s="114"/>
      <c r="DC22" s="114"/>
      <c r="DD22" s="114"/>
      <c r="DE22" s="114"/>
      <c r="DF22" s="114"/>
      <c r="DG22" s="114"/>
      <c r="DH22" s="114"/>
      <c r="DI22" s="114"/>
      <c r="DJ22" s="114"/>
      <c r="DK22" s="114"/>
      <c r="DL22" s="114"/>
      <c r="DM22" s="114"/>
      <c r="DN22" s="114"/>
      <c r="DO22" s="114"/>
      <c r="DP22" s="114"/>
      <c r="DQ22" s="114"/>
      <c r="DR22" s="114"/>
      <c r="DS22" s="114"/>
      <c r="DT22" s="114"/>
      <c r="DU22" s="114"/>
      <c r="DV22" s="114"/>
      <c r="DW22" s="114"/>
      <c r="DX22" s="114"/>
      <c r="DY22" s="114"/>
      <c r="DZ22" s="114"/>
      <c r="EA22" s="114"/>
      <c r="EB22" s="114"/>
      <c r="EC22" s="114"/>
      <c r="ED22" s="114"/>
      <c r="EE22" s="114"/>
      <c r="EF22" s="114"/>
      <c r="EG22" s="114"/>
      <c r="EH22" s="114"/>
      <c r="EI22" s="114"/>
      <c r="EJ22" s="114"/>
      <c r="EK22" s="114"/>
      <c r="EL22" s="114"/>
      <c r="EM22" s="114"/>
      <c r="EN22" s="114"/>
      <c r="EO22" s="114"/>
      <c r="EP22" s="114"/>
      <c r="EQ22" s="114"/>
      <c r="ER22" s="114"/>
      <c r="ES22" s="114"/>
      <c r="ET22" s="114"/>
      <c r="EU22" s="114"/>
      <c r="EV22" s="114"/>
      <c r="EW22" s="114"/>
      <c r="EX22" s="114"/>
      <c r="EY22" s="114"/>
      <c r="EZ22" s="114"/>
      <c r="FA22" s="114"/>
      <c r="FB22" s="114"/>
      <c r="FC22" s="114"/>
      <c r="FD22" s="114"/>
      <c r="FE22" s="114"/>
      <c r="FF22" s="114"/>
      <c r="FG22" s="114"/>
      <c r="FH22" s="114"/>
      <c r="FI22" s="114"/>
      <c r="FJ22" s="114"/>
      <c r="FK22" s="114"/>
      <c r="FL22" s="114"/>
      <c r="FM22" s="114"/>
      <c r="FN22" s="114"/>
      <c r="FO22" s="114"/>
      <c r="FP22" s="114"/>
      <c r="FQ22" s="114"/>
      <c r="FR22" s="114"/>
      <c r="FS22" s="114"/>
      <c r="FT22" s="114"/>
      <c r="FU22" s="114"/>
      <c r="FV22" s="114"/>
      <c r="FW22" s="114"/>
      <c r="FX22" s="114"/>
      <c r="FY22" s="114"/>
      <c r="FZ22" s="114"/>
      <c r="GA22" s="114"/>
      <c r="GB22" s="114"/>
      <c r="GC22" s="114"/>
      <c r="GD22" s="114"/>
      <c r="GE22" s="114"/>
      <c r="GF22" s="114"/>
      <c r="GG22" s="114"/>
      <c r="GH22" s="114"/>
      <c r="GI22" s="114"/>
      <c r="GJ22" s="114"/>
      <c r="GK22" s="114"/>
      <c r="GL22" s="114"/>
      <c r="GM22" s="114"/>
      <c r="GN22" s="114"/>
      <c r="GO22" s="114"/>
      <c r="GP22" s="114"/>
      <c r="GQ22" s="114"/>
      <c r="GR22" s="114"/>
      <c r="GS22" s="114"/>
      <c r="GT22" s="114"/>
      <c r="GU22" s="114"/>
      <c r="GV22" s="114"/>
      <c r="GW22" s="114"/>
      <c r="GX22" s="114"/>
      <c r="GY22" s="114"/>
      <c r="GZ22" s="114"/>
      <c r="HA22" s="114"/>
      <c r="HB22" s="114"/>
      <c r="HC22" s="114"/>
      <c r="HD22" s="114"/>
      <c r="HE22" s="114"/>
      <c r="HF22" s="114"/>
      <c r="HG22" s="114"/>
      <c r="HH22" s="114"/>
      <c r="HI22" s="114"/>
      <c r="HJ22" s="114"/>
      <c r="HK22" s="114"/>
      <c r="HL22" s="114"/>
      <c r="HM22" s="114"/>
      <c r="HN22" s="114"/>
      <c r="HO22" s="114"/>
      <c r="HP22" s="114"/>
      <c r="HQ22" s="114"/>
      <c r="HR22" s="114"/>
      <c r="HS22" s="114"/>
      <c r="HT22" s="114"/>
      <c r="HU22" s="114"/>
      <c r="HV22" s="114"/>
      <c r="HW22" s="114"/>
      <c r="HX22" s="114"/>
      <c r="HY22" s="114"/>
      <c r="HZ22" s="114"/>
      <c r="IA22" s="114"/>
      <c r="IB22" s="114"/>
      <c r="IC22" s="114"/>
      <c r="ID22" s="114"/>
      <c r="IE22" s="114"/>
      <c r="IF22" s="114"/>
      <c r="IG22" s="114"/>
      <c r="IH22" s="114"/>
      <c r="II22" s="114"/>
      <c r="IJ22" s="114"/>
      <c r="IK22" s="114"/>
      <c r="IL22" s="114"/>
      <c r="IM22" s="114"/>
      <c r="IN22" s="114"/>
      <c r="IO22" s="114"/>
      <c r="IP22" s="114"/>
      <c r="IQ22" s="114"/>
      <c r="IR22" s="114"/>
      <c r="IS22" s="114"/>
      <c r="IT22" s="114"/>
      <c r="IU22" s="114"/>
      <c r="IV22" s="114"/>
      <c r="IW22" s="114"/>
      <c r="IX22" s="114"/>
      <c r="IY22" s="114"/>
      <c r="IZ22" s="114"/>
      <c r="JA22" s="114"/>
      <c r="JB22" s="114"/>
      <c r="JC22" s="114"/>
      <c r="JD22" s="114"/>
      <c r="JE22" s="114"/>
      <c r="JF22" s="114"/>
      <c r="JG22" s="114"/>
      <c r="JH22" s="114"/>
      <c r="JI22" s="114"/>
      <c r="JJ22" s="114"/>
      <c r="JK22" s="114"/>
      <c r="JL22" s="114"/>
      <c r="JM22" s="114"/>
      <c r="JN22" s="114"/>
      <c r="JO22" s="114"/>
      <c r="JP22" s="114"/>
      <c r="JQ22" s="114"/>
      <c r="JR22" s="114"/>
      <c r="JS22" s="114"/>
      <c r="JT22" s="114"/>
      <c r="JU22" s="114"/>
      <c r="JV22" s="114"/>
      <c r="JW22" s="114"/>
      <c r="JX22" s="114"/>
      <c r="JY22" s="114"/>
      <c r="JZ22" s="114"/>
      <c r="KA22" s="114"/>
      <c r="KB22" s="114"/>
      <c r="KC22" s="114"/>
      <c r="KD22" s="114"/>
      <c r="KE22" s="114"/>
      <c r="KF22" s="114"/>
      <c r="KG22" s="114"/>
      <c r="KH22" s="114"/>
      <c r="KI22" s="114"/>
      <c r="KJ22" s="114"/>
      <c r="KK22" s="114"/>
      <c r="KL22" s="114"/>
      <c r="KM22" s="114"/>
      <c r="KN22" s="114"/>
      <c r="KO22" s="114"/>
      <c r="KP22" s="114"/>
      <c r="KQ22" s="114"/>
      <c r="KR22" s="114"/>
      <c r="KS22" s="114"/>
      <c r="KT22" s="114"/>
      <c r="KU22" s="114"/>
      <c r="KV22" s="114"/>
      <c r="KW22" s="114"/>
      <c r="KX22" s="114"/>
      <c r="KY22" s="114"/>
      <c r="KZ22" s="114"/>
      <c r="LA22" s="114"/>
      <c r="LB22" s="114"/>
      <c r="LC22" s="114"/>
      <c r="LD22" s="114"/>
      <c r="LE22" s="114"/>
      <c r="LF22" s="114"/>
      <c r="LG22" s="114"/>
      <c r="LH22" s="114"/>
      <c r="LI22" s="114"/>
      <c r="LJ22" s="114"/>
      <c r="LK22" s="114"/>
      <c r="LL22" s="114"/>
      <c r="LM22" s="114"/>
      <c r="LN22" s="114"/>
      <c r="LO22" s="114"/>
      <c r="LP22" s="114"/>
      <c r="LQ22" s="114"/>
      <c r="LR22" s="114"/>
      <c r="LS22" s="114"/>
      <c r="LT22" s="114"/>
      <c r="LU22" s="114"/>
      <c r="LV22" s="114"/>
      <c r="LW22" s="114"/>
      <c r="LX22" s="114"/>
      <c r="LY22" s="114"/>
      <c r="LZ22" s="114"/>
      <c r="MA22" s="114"/>
      <c r="MB22" s="114"/>
      <c r="MC22" s="114"/>
      <c r="MD22" s="114"/>
      <c r="ME22" s="114"/>
      <c r="MF22" s="114"/>
      <c r="MG22" s="114"/>
      <c r="MH22" s="114"/>
      <c r="MI22" s="114"/>
      <c r="MJ22" s="114"/>
      <c r="MK22" s="114"/>
      <c r="ML22" s="114"/>
      <c r="MM22" s="114"/>
      <c r="MN22" s="114"/>
      <c r="MO22" s="114"/>
      <c r="MP22" s="114"/>
      <c r="MQ22" s="114"/>
      <c r="MR22" s="114"/>
      <c r="MS22" s="114"/>
      <c r="MT22" s="114"/>
      <c r="MU22" s="114"/>
      <c r="MV22" s="114"/>
      <c r="MW22" s="114"/>
      <c r="MX22" s="114"/>
      <c r="MY22" s="114"/>
      <c r="MZ22" s="114"/>
      <c r="NA22" s="114"/>
      <c r="NB22" s="114"/>
      <c r="NC22" s="114"/>
      <c r="ND22" s="114"/>
      <c r="NE22" s="114"/>
      <c r="NF22" s="114"/>
      <c r="NG22" s="114"/>
      <c r="NH22" s="114"/>
      <c r="NI22" s="114"/>
      <c r="NJ22" s="114"/>
      <c r="NK22" s="114"/>
      <c r="NL22" s="114"/>
      <c r="NM22" s="114"/>
      <c r="NN22" s="114"/>
      <c r="NO22" s="114"/>
      <c r="NP22" s="114"/>
      <c r="NQ22" s="114"/>
      <c r="NR22" s="114"/>
      <c r="NS22" s="114"/>
      <c r="NT22" s="114"/>
      <c r="NU22" s="114"/>
      <c r="NV22" s="114"/>
      <c r="NW22" s="114"/>
      <c r="NX22" s="114"/>
      <c r="NY22" s="114"/>
      <c r="NZ22" s="114"/>
      <c r="OA22" s="114"/>
      <c r="OB22" s="114"/>
      <c r="OC22" s="114"/>
      <c r="OD22" s="114"/>
      <c r="OE22" s="114"/>
      <c r="OF22" s="114"/>
      <c r="OG22" s="114"/>
      <c r="OH22" s="114"/>
      <c r="OI22" s="114"/>
      <c r="OJ22" s="114"/>
      <c r="OK22" s="114"/>
      <c r="OL22" s="114"/>
      <c r="OM22" s="114"/>
      <c r="ON22" s="114"/>
      <c r="OO22" s="114"/>
      <c r="OP22" s="114"/>
      <c r="OQ22" s="114"/>
      <c r="OR22" s="114"/>
      <c r="OS22" s="114"/>
      <c r="OT22" s="114"/>
      <c r="OU22" s="114"/>
      <c r="OV22" s="114"/>
      <c r="OW22" s="114"/>
      <c r="OX22" s="114"/>
      <c r="OY22" s="114"/>
      <c r="OZ22" s="114"/>
      <c r="PA22" s="114"/>
      <c r="PB22" s="114"/>
      <c r="PC22" s="114"/>
      <c r="PD22" s="114"/>
      <c r="PE22" s="114"/>
      <c r="PF22" s="114"/>
      <c r="PG22" s="114"/>
      <c r="PH22" s="114"/>
      <c r="PI22" s="114"/>
      <c r="PJ22" s="114"/>
      <c r="PK22" s="114"/>
      <c r="PL22" s="114"/>
      <c r="PM22" s="114"/>
      <c r="PN22" s="114"/>
      <c r="PO22" s="114"/>
      <c r="PP22" s="114"/>
      <c r="PQ22" s="114"/>
      <c r="PR22" s="114"/>
      <c r="PS22" s="114"/>
      <c r="PT22" s="114"/>
      <c r="PU22" s="114"/>
      <c r="PV22" s="114"/>
      <c r="PW22" s="114"/>
      <c r="PX22" s="114"/>
      <c r="PY22" s="114"/>
      <c r="PZ22" s="114"/>
      <c r="QA22" s="114"/>
      <c r="QB22" s="114"/>
      <c r="QC22" s="114"/>
      <c r="QD22" s="114"/>
      <c r="QE22" s="114"/>
      <c r="QF22" s="114"/>
      <c r="QG22" s="114"/>
      <c r="QH22" s="114"/>
      <c r="QI22" s="114"/>
      <c r="QJ22" s="114"/>
      <c r="QK22" s="114"/>
      <c r="QL22" s="114"/>
      <c r="QM22" s="114"/>
      <c r="QN22" s="114"/>
      <c r="QO22" s="114"/>
      <c r="QP22" s="114"/>
      <c r="QQ22" s="114"/>
      <c r="QR22" s="114"/>
      <c r="QS22" s="114"/>
      <c r="QT22" s="114"/>
      <c r="QU22" s="114"/>
      <c r="QV22" s="114"/>
      <c r="QW22" s="114"/>
      <c r="QX22" s="114"/>
      <c r="QY22" s="114"/>
      <c r="QZ22" s="114"/>
      <c r="RA22" s="114"/>
      <c r="RB22" s="114"/>
      <c r="RC22" s="114"/>
      <c r="RD22" s="114"/>
      <c r="RE22" s="114"/>
      <c r="RF22" s="114"/>
      <c r="RG22" s="114"/>
      <c r="RH22" s="114"/>
      <c r="RI22" s="114"/>
      <c r="RJ22" s="114"/>
      <c r="RK22" s="114"/>
      <c r="RL22" s="114"/>
      <c r="RM22" s="114"/>
      <c r="RN22" s="114"/>
      <c r="RO22" s="114"/>
      <c r="RP22" s="114"/>
      <c r="RQ22" s="114"/>
      <c r="RR22" s="114"/>
      <c r="RS22" s="114"/>
      <c r="RT22" s="114"/>
      <c r="RU22" s="114"/>
      <c r="RV22" s="114"/>
      <c r="RW22" s="114"/>
      <c r="RX22" s="114"/>
      <c r="RY22" s="114"/>
      <c r="RZ22" s="114"/>
      <c r="SA22" s="114"/>
      <c r="SB22" s="114"/>
      <c r="SC22" s="114"/>
      <c r="SD22" s="114"/>
      <c r="SE22" s="114"/>
      <c r="SF22" s="114"/>
      <c r="SG22" s="114"/>
      <c r="SH22" s="114"/>
      <c r="SI22" s="114"/>
      <c r="SJ22" s="114"/>
      <c r="SK22" s="114"/>
      <c r="SL22" s="114"/>
      <c r="SM22" s="114"/>
      <c r="SN22" s="114"/>
      <c r="SO22" s="114"/>
      <c r="SP22" s="114"/>
      <c r="SQ22" s="114"/>
      <c r="SR22" s="114"/>
      <c r="SS22" s="114"/>
      <c r="ST22" s="114"/>
      <c r="SU22" s="114"/>
      <c r="SV22" s="114"/>
      <c r="SW22" s="114"/>
      <c r="SX22" s="114"/>
      <c r="SY22" s="114"/>
      <c r="SZ22" s="114"/>
      <c r="TA22" s="114"/>
      <c r="TB22" s="114"/>
      <c r="TC22" s="114"/>
      <c r="TD22" s="114"/>
      <c r="TE22" s="114"/>
      <c r="TF22" s="114"/>
      <c r="TG22" s="114"/>
      <c r="TH22" s="114"/>
      <c r="TI22" s="114"/>
      <c r="TJ22" s="114"/>
      <c r="TK22" s="114"/>
      <c r="TL22" s="114"/>
      <c r="TM22" s="114"/>
      <c r="TN22" s="114"/>
      <c r="TO22" s="114"/>
      <c r="TP22" s="114"/>
      <c r="TQ22" s="114"/>
      <c r="TR22" s="114"/>
      <c r="TS22" s="114"/>
      <c r="TT22" s="114"/>
      <c r="TU22" s="114"/>
      <c r="TV22" s="114"/>
      <c r="TW22" s="114"/>
      <c r="TX22" s="114"/>
      <c r="TY22" s="114"/>
      <c r="TZ22" s="114"/>
      <c r="UA22" s="114"/>
      <c r="UB22" s="114"/>
      <c r="UC22" s="114"/>
      <c r="UD22" s="114"/>
      <c r="UE22" s="114"/>
      <c r="UF22" s="114"/>
      <c r="UG22" s="114"/>
      <c r="UH22" s="114"/>
      <c r="UI22" s="114"/>
      <c r="UJ22" s="114"/>
      <c r="UK22" s="114"/>
      <c r="UL22" s="114"/>
      <c r="UM22" s="114"/>
      <c r="UN22" s="114"/>
      <c r="UO22" s="114"/>
      <c r="UP22" s="114"/>
      <c r="UQ22" s="114"/>
      <c r="UR22" s="114"/>
      <c r="US22" s="114"/>
      <c r="UT22" s="114"/>
      <c r="UU22" s="114"/>
      <c r="UV22" s="114"/>
      <c r="UW22" s="114"/>
      <c r="UX22" s="114"/>
      <c r="UY22" s="114"/>
      <c r="UZ22" s="114"/>
      <c r="VA22" s="114"/>
      <c r="VB22" s="114"/>
      <c r="VC22" s="114"/>
      <c r="VD22" s="114"/>
      <c r="VE22" s="114"/>
      <c r="VF22" s="114"/>
      <c r="VG22" s="114"/>
      <c r="VH22" s="114"/>
      <c r="VI22" s="114"/>
      <c r="VJ22" s="114"/>
      <c r="VK22" s="114"/>
      <c r="VL22" s="114"/>
      <c r="VM22" s="114"/>
      <c r="VN22" s="114"/>
      <c r="VO22" s="114"/>
      <c r="VP22" s="114"/>
      <c r="VQ22" s="114"/>
      <c r="VR22" s="114"/>
      <c r="VS22" s="114"/>
      <c r="VT22" s="114"/>
      <c r="VU22" s="114"/>
      <c r="VV22" s="114"/>
      <c r="VW22" s="114"/>
      <c r="VX22" s="114"/>
      <c r="VY22" s="114"/>
      <c r="VZ22" s="114"/>
      <c r="WA22" s="114"/>
      <c r="WB22" s="114"/>
      <c r="WC22" s="114"/>
      <c r="WD22" s="114"/>
      <c r="WE22" s="114"/>
      <c r="WF22" s="114"/>
      <c r="WG22" s="114"/>
      <c r="WH22" s="114"/>
      <c r="WI22" s="114"/>
      <c r="WJ22" s="114"/>
      <c r="WK22" s="114"/>
      <c r="WL22" s="114"/>
      <c r="WM22" s="114"/>
      <c r="WN22" s="114"/>
      <c r="WO22" s="114"/>
      <c r="WP22" s="114"/>
      <c r="WQ22" s="114"/>
      <c r="WR22" s="114"/>
      <c r="WS22" s="114"/>
      <c r="WT22" s="114"/>
      <c r="WU22" s="114"/>
      <c r="WV22" s="114"/>
      <c r="WW22" s="114"/>
      <c r="WX22" s="114"/>
      <c r="WY22" s="114"/>
      <c r="WZ22" s="114"/>
      <c r="XA22" s="114"/>
      <c r="XB22" s="114"/>
      <c r="XC22" s="114"/>
      <c r="XD22" s="114"/>
      <c r="XE22" s="114"/>
      <c r="XF22" s="114"/>
      <c r="XG22" s="114"/>
      <c r="XH22" s="114"/>
      <c r="XI22" s="114"/>
      <c r="XJ22" s="114"/>
      <c r="XK22" s="114"/>
      <c r="XL22" s="114"/>
      <c r="XM22" s="114"/>
      <c r="XN22" s="114"/>
      <c r="XO22" s="114"/>
      <c r="XP22" s="114"/>
      <c r="XQ22" s="114"/>
      <c r="XR22" s="114"/>
      <c r="XS22" s="114"/>
      <c r="XT22" s="114"/>
      <c r="XU22" s="114"/>
      <c r="XV22" s="114"/>
      <c r="XW22" s="114"/>
      <c r="XX22" s="114"/>
      <c r="XY22" s="114"/>
      <c r="XZ22" s="114"/>
      <c r="YA22" s="114"/>
      <c r="YB22" s="114"/>
      <c r="YC22" s="114"/>
      <c r="YD22" s="114"/>
      <c r="YE22" s="114"/>
      <c r="YF22" s="114"/>
      <c r="YG22" s="114"/>
      <c r="YH22" s="114"/>
      <c r="YI22" s="114"/>
      <c r="YJ22" s="114"/>
      <c r="YK22" s="114"/>
      <c r="YL22" s="114"/>
      <c r="YM22" s="114"/>
      <c r="YN22" s="114"/>
      <c r="YO22" s="114"/>
      <c r="YP22" s="114"/>
      <c r="YQ22" s="114"/>
      <c r="YR22" s="114"/>
      <c r="YS22" s="114"/>
      <c r="YT22" s="114"/>
      <c r="YU22" s="114"/>
      <c r="YV22" s="114"/>
      <c r="YW22" s="114"/>
      <c r="YX22" s="114"/>
      <c r="YY22" s="114"/>
      <c r="YZ22" s="114"/>
      <c r="ZA22" s="114"/>
      <c r="ZB22" s="114"/>
      <c r="ZC22" s="114"/>
      <c r="ZD22" s="114"/>
      <c r="ZE22" s="114"/>
      <c r="ZF22" s="114"/>
      <c r="ZG22" s="114"/>
      <c r="ZH22" s="114"/>
      <c r="ZI22" s="114"/>
      <c r="ZJ22" s="114"/>
      <c r="ZK22" s="114"/>
      <c r="ZL22" s="114"/>
      <c r="ZM22" s="114"/>
      <c r="ZN22" s="114"/>
      <c r="ZO22" s="114"/>
      <c r="ZP22" s="114"/>
      <c r="ZQ22" s="114"/>
      <c r="ZR22" s="114"/>
      <c r="ZS22" s="114"/>
      <c r="ZT22" s="114"/>
      <c r="ZU22" s="114"/>
      <c r="ZV22" s="114"/>
      <c r="ZW22" s="114"/>
      <c r="ZX22" s="114"/>
      <c r="ZY22" s="114"/>
      <c r="ZZ22" s="114"/>
      <c r="AAA22" s="114"/>
      <c r="AAB22" s="114"/>
      <c r="AAC22" s="114"/>
      <c r="AAD22" s="114"/>
      <c r="AAE22" s="114"/>
      <c r="AAF22" s="114"/>
      <c r="AAG22" s="114"/>
      <c r="AAH22" s="114"/>
      <c r="AAI22" s="114"/>
      <c r="AAJ22" s="114"/>
      <c r="AAK22" s="114"/>
      <c r="AAL22" s="114"/>
      <c r="AAM22" s="114"/>
      <c r="AAN22" s="114"/>
      <c r="AAO22" s="114"/>
      <c r="AAP22" s="114"/>
      <c r="AAQ22" s="114"/>
      <c r="AAR22" s="114"/>
      <c r="AAS22" s="114"/>
      <c r="AAT22" s="114"/>
      <c r="AAU22" s="114"/>
      <c r="AAV22" s="114"/>
      <c r="AAW22" s="114"/>
      <c r="AAX22" s="114"/>
      <c r="AAY22" s="114"/>
      <c r="AAZ22" s="114"/>
      <c r="ABA22" s="114"/>
      <c r="ABB22" s="114"/>
      <c r="ABC22" s="114"/>
      <c r="ABD22" s="114"/>
      <c r="ABE22" s="114"/>
      <c r="ABF22" s="114"/>
      <c r="ABG22" s="114"/>
      <c r="ABH22" s="114"/>
      <c r="ABI22" s="114"/>
      <c r="ABJ22" s="114"/>
      <c r="ABK22" s="114"/>
      <c r="ABL22" s="114"/>
      <c r="ABM22" s="114"/>
      <c r="ABN22" s="114"/>
      <c r="ABO22" s="114"/>
      <c r="ABP22" s="114"/>
      <c r="ABQ22" s="114"/>
      <c r="ABR22" s="114"/>
      <c r="ABS22" s="114"/>
      <c r="ABT22" s="114"/>
      <c r="ABU22" s="114"/>
      <c r="ABV22" s="114"/>
      <c r="ABW22" s="114"/>
      <c r="ABX22" s="114"/>
      <c r="ABY22" s="114"/>
      <c r="ABZ22" s="114"/>
      <c r="ACA22" s="114"/>
      <c r="ACB22" s="114"/>
      <c r="ACC22" s="114"/>
      <c r="ACD22" s="114"/>
      <c r="ACE22" s="114"/>
      <c r="ACF22" s="114"/>
      <c r="ACG22" s="114"/>
      <c r="ACH22" s="114"/>
      <c r="ACI22" s="114"/>
      <c r="ACJ22" s="114"/>
      <c r="ACK22" s="114"/>
      <c r="ACL22" s="114"/>
      <c r="ACM22" s="114"/>
      <c r="ACN22" s="114"/>
      <c r="ACO22" s="114"/>
      <c r="ACP22" s="114"/>
      <c r="ACQ22" s="114"/>
      <c r="ACR22" s="114"/>
      <c r="ACS22" s="114"/>
      <c r="ACT22" s="114"/>
      <c r="ACU22" s="114"/>
      <c r="ACV22" s="114"/>
      <c r="ACW22" s="114"/>
      <c r="ACX22" s="114"/>
      <c r="ACY22" s="114"/>
      <c r="ACZ22" s="114"/>
      <c r="ADA22" s="114"/>
      <c r="ADB22" s="114"/>
      <c r="ADC22" s="114"/>
      <c r="ADD22" s="114"/>
      <c r="ADE22" s="114"/>
      <c r="ADF22" s="114"/>
      <c r="ADG22" s="114"/>
      <c r="ADH22" s="114"/>
      <c r="ADI22" s="114"/>
      <c r="ADJ22" s="114"/>
      <c r="ADK22" s="114"/>
      <c r="ADL22" s="114"/>
      <c r="ADM22" s="114"/>
      <c r="ADN22" s="114"/>
      <c r="ADO22" s="114"/>
      <c r="ADP22" s="114"/>
      <c r="ADQ22" s="114"/>
      <c r="ADR22" s="114"/>
      <c r="ADS22" s="114"/>
      <c r="ADT22" s="114"/>
      <c r="ADU22" s="114"/>
      <c r="ADV22" s="114"/>
      <c r="ADW22" s="114"/>
      <c r="ADX22" s="114"/>
      <c r="ADY22" s="114"/>
      <c r="ADZ22" s="114"/>
      <c r="AEA22" s="114"/>
      <c r="AEB22" s="114"/>
      <c r="AEC22" s="114"/>
      <c r="AED22" s="114"/>
      <c r="AEE22" s="114"/>
      <c r="AEF22" s="114"/>
      <c r="AEG22" s="114"/>
      <c r="AEH22" s="114"/>
      <c r="AEI22" s="114"/>
      <c r="AEJ22" s="114"/>
      <c r="AEK22" s="114"/>
      <c r="AEL22" s="114"/>
      <c r="AEM22" s="114"/>
      <c r="AEN22" s="114"/>
      <c r="AEO22" s="114"/>
      <c r="AEP22" s="114"/>
      <c r="AEQ22" s="114"/>
      <c r="AER22" s="114"/>
      <c r="AES22" s="114"/>
      <c r="AET22" s="114"/>
      <c r="AEU22" s="114"/>
      <c r="AEV22" s="114"/>
      <c r="AEW22" s="114"/>
      <c r="AEX22" s="114"/>
      <c r="AEY22" s="114"/>
      <c r="AEZ22" s="114"/>
      <c r="AFA22" s="114"/>
      <c r="AFB22" s="114"/>
      <c r="AFC22" s="114"/>
      <c r="AFD22" s="114"/>
      <c r="AFE22" s="114"/>
      <c r="AFF22" s="114"/>
      <c r="AFG22" s="114"/>
      <c r="AFH22" s="114"/>
      <c r="AFI22" s="114"/>
      <c r="AFJ22" s="114"/>
      <c r="AFK22" s="114"/>
      <c r="AFL22" s="114"/>
      <c r="AFM22" s="114"/>
      <c r="AFN22" s="114"/>
      <c r="AFO22" s="114"/>
      <c r="AFP22" s="114"/>
      <c r="AFQ22" s="114"/>
      <c r="AFR22" s="114"/>
      <c r="AFS22" s="114"/>
      <c r="AFT22" s="114"/>
      <c r="AFU22" s="114"/>
      <c r="AFV22" s="114"/>
      <c r="AFW22" s="114"/>
      <c r="AFX22" s="114"/>
      <c r="AFY22" s="114"/>
      <c r="AFZ22" s="114"/>
      <c r="AGA22" s="114"/>
      <c r="AGB22" s="114"/>
      <c r="AGC22" s="114"/>
      <c r="AGD22" s="114"/>
      <c r="AGE22" s="114"/>
      <c r="AGF22" s="114"/>
      <c r="AGG22" s="114"/>
      <c r="AGH22" s="114"/>
      <c r="AGI22" s="114"/>
      <c r="AGJ22" s="114"/>
      <c r="AGK22" s="114"/>
      <c r="AGL22" s="114"/>
      <c r="AGM22" s="114"/>
      <c r="AGN22" s="114"/>
      <c r="AGO22" s="114"/>
      <c r="AGP22" s="114"/>
      <c r="AGQ22" s="114"/>
      <c r="AGR22" s="114"/>
      <c r="AGS22" s="114"/>
      <c r="AGT22" s="114"/>
      <c r="AGU22" s="114"/>
      <c r="AGV22" s="114"/>
      <c r="AGW22" s="114"/>
      <c r="AGX22" s="114"/>
      <c r="AGY22" s="114"/>
      <c r="AGZ22" s="114"/>
      <c r="AHA22" s="114"/>
      <c r="AHB22" s="114"/>
      <c r="AHC22" s="114"/>
      <c r="AHD22" s="114"/>
      <c r="AHE22" s="114"/>
      <c r="AHF22" s="114"/>
      <c r="AHG22" s="114"/>
      <c r="AHH22" s="114"/>
      <c r="AHI22" s="114"/>
      <c r="AHJ22" s="114"/>
      <c r="AHK22" s="114"/>
      <c r="AHL22" s="114"/>
      <c r="AHM22" s="114"/>
      <c r="AHN22" s="114"/>
      <c r="AHO22" s="114"/>
      <c r="AHP22" s="114"/>
      <c r="AHQ22" s="114"/>
      <c r="AHR22" s="114"/>
      <c r="AHS22" s="114"/>
      <c r="AHT22" s="114"/>
      <c r="AHU22" s="114"/>
      <c r="AHV22" s="114"/>
      <c r="AHW22" s="114"/>
      <c r="AHX22" s="114"/>
      <c r="AHY22" s="114"/>
      <c r="AHZ22" s="114"/>
      <c r="AIA22" s="114"/>
      <c r="AIB22" s="114"/>
      <c r="AIC22" s="114"/>
      <c r="AID22" s="114"/>
      <c r="AIE22" s="114"/>
      <c r="AIF22" s="114"/>
      <c r="AIG22" s="114"/>
      <c r="AIH22" s="114"/>
      <c r="AII22" s="114"/>
      <c r="AIJ22" s="114"/>
      <c r="AIK22" s="114"/>
      <c r="AIL22" s="114"/>
      <c r="AIM22" s="114"/>
      <c r="AIN22" s="114"/>
      <c r="AIO22" s="114"/>
      <c r="AIP22" s="114"/>
      <c r="AIQ22" s="114"/>
      <c r="AIR22" s="114"/>
      <c r="AIS22" s="114"/>
      <c r="AIT22" s="114"/>
      <c r="AIU22" s="114"/>
      <c r="AIV22" s="114"/>
      <c r="AIW22" s="114"/>
      <c r="AIX22" s="114"/>
      <c r="AIY22" s="114"/>
      <c r="AIZ22" s="114"/>
      <c r="AJA22" s="114"/>
      <c r="AJB22" s="114"/>
      <c r="AJC22" s="114"/>
      <c r="AJD22" s="114"/>
      <c r="AJE22" s="114"/>
      <c r="AJF22" s="114"/>
      <c r="AJG22" s="114"/>
      <c r="AJH22" s="114"/>
      <c r="AJI22" s="114"/>
      <c r="AJJ22" s="114"/>
      <c r="AJK22" s="114"/>
      <c r="AJL22" s="114"/>
      <c r="AJM22" s="114"/>
      <c r="AJN22" s="114"/>
      <c r="AJO22" s="114"/>
      <c r="AJP22" s="114"/>
      <c r="AJQ22" s="114"/>
      <c r="AJR22" s="114"/>
      <c r="AJS22" s="114"/>
      <c r="AJT22" s="114"/>
      <c r="AJU22" s="114"/>
      <c r="AJV22" s="114"/>
      <c r="AJW22" s="114"/>
      <c r="AJX22" s="114"/>
      <c r="AJY22" s="114"/>
      <c r="AJZ22" s="114"/>
      <c r="AKA22" s="114"/>
      <c r="AKB22" s="114"/>
      <c r="AKC22" s="114"/>
      <c r="AKD22" s="114"/>
      <c r="AKE22" s="114"/>
      <c r="AKF22" s="114"/>
      <c r="AKG22" s="114"/>
      <c r="AKH22" s="114"/>
      <c r="AKI22" s="114"/>
      <c r="AKJ22" s="114"/>
      <c r="AKK22" s="114"/>
      <c r="AKL22" s="114"/>
    </row>
    <row r="23" spans="1:974" ht="15" customHeight="1" x14ac:dyDescent="0.3">
      <c r="A23" s="116"/>
      <c r="B23" s="117"/>
      <c r="C23" s="462"/>
      <c r="D23" s="138" t="s">
        <v>3078</v>
      </c>
      <c r="E23" s="139">
        <v>2</v>
      </c>
      <c r="F23" s="140">
        <v>9000</v>
      </c>
      <c r="G23" s="141">
        <f>E23*F23</f>
        <v>18000</v>
      </c>
    </row>
    <row r="24" spans="1:974" ht="15" customHeight="1" x14ac:dyDescent="0.3">
      <c r="A24" s="116"/>
      <c r="B24" s="117"/>
      <c r="C24" s="462"/>
      <c r="D24" s="138" t="s">
        <v>3079</v>
      </c>
      <c r="E24" s="139">
        <v>3</v>
      </c>
      <c r="F24" s="140">
        <v>8000</v>
      </c>
      <c r="G24" s="141">
        <f>E24*F24</f>
        <v>24000</v>
      </c>
    </row>
    <row r="25" spans="1:974" ht="15" customHeight="1" x14ac:dyDescent="0.3">
      <c r="A25" s="116"/>
      <c r="B25" s="117"/>
      <c r="C25" s="462"/>
      <c r="D25" s="118" t="s">
        <v>3080</v>
      </c>
      <c r="E25" s="119">
        <v>3</v>
      </c>
      <c r="F25" s="120">
        <v>6600</v>
      </c>
      <c r="G25" s="121">
        <f>E25*F25</f>
        <v>19800</v>
      </c>
    </row>
    <row r="26" spans="1:974" ht="15" customHeight="1" x14ac:dyDescent="0.3">
      <c r="A26" s="116"/>
      <c r="B26" s="117"/>
      <c r="C26" s="463"/>
      <c r="D26" s="464" t="s">
        <v>2827</v>
      </c>
      <c r="E26" s="465"/>
      <c r="F26" s="466"/>
      <c r="G26" s="127">
        <f>SUM(G22:G25)</f>
        <v>95800</v>
      </c>
    </row>
    <row r="27" spans="1:974" s="115" customFormat="1" ht="15" customHeight="1" x14ac:dyDescent="0.3">
      <c r="A27" s="103">
        <v>8470230</v>
      </c>
      <c r="B27" s="104">
        <v>425510</v>
      </c>
      <c r="C27" s="461" t="s">
        <v>3081</v>
      </c>
      <c r="D27" s="130" t="s">
        <v>3082</v>
      </c>
      <c r="E27" s="131">
        <v>15</v>
      </c>
      <c r="F27" s="132">
        <v>1000</v>
      </c>
      <c r="G27" s="133">
        <f t="shared" si="0"/>
        <v>15000</v>
      </c>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14"/>
      <c r="AG27" s="114"/>
      <c r="AH27" s="114"/>
      <c r="AI27" s="114"/>
      <c r="AJ27" s="114"/>
      <c r="AK27" s="114"/>
      <c r="AL27" s="114"/>
      <c r="AM27" s="114"/>
      <c r="AN27" s="114"/>
      <c r="AO27" s="114"/>
      <c r="AP27" s="114"/>
      <c r="AQ27" s="114"/>
      <c r="AR27" s="114"/>
      <c r="AS27" s="114"/>
      <c r="AT27" s="114"/>
      <c r="AU27" s="114"/>
      <c r="AV27" s="114"/>
      <c r="AW27" s="114"/>
      <c r="AX27" s="114"/>
      <c r="AY27" s="114"/>
      <c r="AZ27" s="114"/>
      <c r="BA27" s="114"/>
      <c r="BB27" s="114"/>
      <c r="BC27" s="114"/>
      <c r="BD27" s="114"/>
      <c r="BE27" s="114"/>
      <c r="BF27" s="114"/>
      <c r="BG27" s="114"/>
      <c r="BH27" s="114"/>
      <c r="BI27" s="114"/>
      <c r="BJ27" s="114"/>
      <c r="BK27" s="114"/>
      <c r="BL27" s="114"/>
      <c r="BM27" s="114"/>
      <c r="BN27" s="114"/>
      <c r="BO27" s="114"/>
      <c r="BP27" s="114"/>
      <c r="BQ27" s="114"/>
      <c r="BR27" s="114"/>
      <c r="BS27" s="114"/>
      <c r="BT27" s="114"/>
      <c r="BU27" s="114"/>
      <c r="BV27" s="114"/>
      <c r="BW27" s="114"/>
      <c r="BX27" s="114"/>
      <c r="BY27" s="114"/>
      <c r="BZ27" s="114"/>
      <c r="CA27" s="114"/>
      <c r="CB27" s="114"/>
      <c r="CC27" s="114"/>
      <c r="CD27" s="114"/>
      <c r="CE27" s="114"/>
      <c r="CF27" s="114"/>
      <c r="CG27" s="114"/>
      <c r="CH27" s="114"/>
      <c r="CI27" s="114"/>
      <c r="CJ27" s="114"/>
      <c r="CK27" s="114"/>
      <c r="CL27" s="114"/>
      <c r="CM27" s="114"/>
      <c r="CN27" s="114"/>
      <c r="CO27" s="114"/>
      <c r="CP27" s="114"/>
      <c r="CQ27" s="114"/>
      <c r="CR27" s="114"/>
      <c r="CS27" s="114"/>
      <c r="CT27" s="114"/>
      <c r="CU27" s="114"/>
      <c r="CV27" s="114"/>
      <c r="CW27" s="114"/>
      <c r="CX27" s="114"/>
      <c r="CY27" s="114"/>
      <c r="CZ27" s="114"/>
      <c r="DA27" s="114"/>
      <c r="DB27" s="114"/>
      <c r="DC27" s="114"/>
      <c r="DD27" s="114"/>
      <c r="DE27" s="114"/>
      <c r="DF27" s="114"/>
      <c r="DG27" s="114"/>
      <c r="DH27" s="114"/>
      <c r="DI27" s="114"/>
      <c r="DJ27" s="114"/>
      <c r="DK27" s="114"/>
      <c r="DL27" s="114"/>
      <c r="DM27" s="114"/>
      <c r="DN27" s="114"/>
      <c r="DO27" s="114"/>
      <c r="DP27" s="114"/>
      <c r="DQ27" s="114"/>
      <c r="DR27" s="114"/>
      <c r="DS27" s="114"/>
      <c r="DT27" s="114"/>
      <c r="DU27" s="114"/>
      <c r="DV27" s="114"/>
      <c r="DW27" s="114"/>
      <c r="DX27" s="114"/>
      <c r="DY27" s="114"/>
      <c r="DZ27" s="114"/>
      <c r="EA27" s="114"/>
      <c r="EB27" s="114"/>
      <c r="EC27" s="114"/>
      <c r="ED27" s="114"/>
      <c r="EE27" s="114"/>
      <c r="EF27" s="114"/>
      <c r="EG27" s="114"/>
      <c r="EH27" s="114"/>
      <c r="EI27" s="114"/>
      <c r="EJ27" s="114"/>
      <c r="EK27" s="114"/>
      <c r="EL27" s="114"/>
      <c r="EM27" s="114"/>
      <c r="EN27" s="114"/>
      <c r="EO27" s="114"/>
      <c r="EP27" s="114"/>
      <c r="EQ27" s="114"/>
      <c r="ER27" s="114"/>
      <c r="ES27" s="114"/>
      <c r="ET27" s="114"/>
      <c r="EU27" s="114"/>
      <c r="EV27" s="114"/>
      <c r="EW27" s="114"/>
      <c r="EX27" s="114"/>
      <c r="EY27" s="114"/>
      <c r="EZ27" s="114"/>
      <c r="FA27" s="114"/>
      <c r="FB27" s="114"/>
      <c r="FC27" s="114"/>
      <c r="FD27" s="114"/>
      <c r="FE27" s="114"/>
      <c r="FF27" s="114"/>
      <c r="FG27" s="114"/>
      <c r="FH27" s="114"/>
      <c r="FI27" s="114"/>
      <c r="FJ27" s="114"/>
      <c r="FK27" s="114"/>
      <c r="FL27" s="114"/>
      <c r="FM27" s="114"/>
      <c r="FN27" s="114"/>
      <c r="FO27" s="114"/>
      <c r="FP27" s="114"/>
      <c r="FQ27" s="114"/>
      <c r="FR27" s="114"/>
      <c r="FS27" s="114"/>
      <c r="FT27" s="114"/>
      <c r="FU27" s="114"/>
      <c r="FV27" s="114"/>
      <c r="FW27" s="114"/>
      <c r="FX27" s="114"/>
      <c r="FY27" s="114"/>
      <c r="FZ27" s="114"/>
      <c r="GA27" s="114"/>
      <c r="GB27" s="114"/>
      <c r="GC27" s="114"/>
      <c r="GD27" s="114"/>
      <c r="GE27" s="114"/>
      <c r="GF27" s="114"/>
      <c r="GG27" s="114"/>
      <c r="GH27" s="114"/>
      <c r="GI27" s="114"/>
      <c r="GJ27" s="114"/>
      <c r="GK27" s="114"/>
      <c r="GL27" s="114"/>
      <c r="GM27" s="114"/>
      <c r="GN27" s="114"/>
      <c r="GO27" s="114"/>
      <c r="GP27" s="114"/>
      <c r="GQ27" s="114"/>
      <c r="GR27" s="114"/>
      <c r="GS27" s="114"/>
      <c r="GT27" s="114"/>
      <c r="GU27" s="114"/>
      <c r="GV27" s="114"/>
      <c r="GW27" s="114"/>
      <c r="GX27" s="114"/>
      <c r="GY27" s="114"/>
      <c r="GZ27" s="114"/>
      <c r="HA27" s="114"/>
      <c r="HB27" s="114"/>
      <c r="HC27" s="114"/>
      <c r="HD27" s="114"/>
      <c r="HE27" s="114"/>
      <c r="HF27" s="114"/>
      <c r="HG27" s="114"/>
      <c r="HH27" s="114"/>
      <c r="HI27" s="114"/>
      <c r="HJ27" s="114"/>
      <c r="HK27" s="114"/>
      <c r="HL27" s="114"/>
      <c r="HM27" s="114"/>
      <c r="HN27" s="114"/>
      <c r="HO27" s="114"/>
      <c r="HP27" s="114"/>
      <c r="HQ27" s="114"/>
      <c r="HR27" s="114"/>
      <c r="HS27" s="114"/>
      <c r="HT27" s="114"/>
      <c r="HU27" s="114"/>
      <c r="HV27" s="114"/>
      <c r="HW27" s="114"/>
      <c r="HX27" s="114"/>
      <c r="HY27" s="114"/>
      <c r="HZ27" s="114"/>
      <c r="IA27" s="114"/>
      <c r="IB27" s="114"/>
      <c r="IC27" s="114"/>
      <c r="ID27" s="114"/>
      <c r="IE27" s="114"/>
      <c r="IF27" s="114"/>
      <c r="IG27" s="114"/>
      <c r="IH27" s="114"/>
      <c r="II27" s="114"/>
      <c r="IJ27" s="114"/>
      <c r="IK27" s="114"/>
      <c r="IL27" s="114"/>
      <c r="IM27" s="114"/>
      <c r="IN27" s="114"/>
      <c r="IO27" s="114"/>
      <c r="IP27" s="114"/>
      <c r="IQ27" s="114"/>
      <c r="IR27" s="114"/>
      <c r="IS27" s="114"/>
      <c r="IT27" s="114"/>
      <c r="IU27" s="114"/>
      <c r="IV27" s="114"/>
      <c r="IW27" s="114"/>
      <c r="IX27" s="114"/>
      <c r="IY27" s="114"/>
      <c r="IZ27" s="114"/>
      <c r="JA27" s="114"/>
      <c r="JB27" s="114"/>
      <c r="JC27" s="114"/>
      <c r="JD27" s="114"/>
      <c r="JE27" s="114"/>
      <c r="JF27" s="114"/>
      <c r="JG27" s="114"/>
      <c r="JH27" s="114"/>
      <c r="JI27" s="114"/>
      <c r="JJ27" s="114"/>
      <c r="JK27" s="114"/>
      <c r="JL27" s="114"/>
      <c r="JM27" s="114"/>
      <c r="JN27" s="114"/>
      <c r="JO27" s="114"/>
      <c r="JP27" s="114"/>
      <c r="JQ27" s="114"/>
      <c r="JR27" s="114"/>
      <c r="JS27" s="114"/>
      <c r="JT27" s="114"/>
      <c r="JU27" s="114"/>
      <c r="JV27" s="114"/>
      <c r="JW27" s="114"/>
      <c r="JX27" s="114"/>
      <c r="JY27" s="114"/>
      <c r="JZ27" s="114"/>
      <c r="KA27" s="114"/>
      <c r="KB27" s="114"/>
      <c r="KC27" s="114"/>
      <c r="KD27" s="114"/>
      <c r="KE27" s="114"/>
      <c r="KF27" s="114"/>
      <c r="KG27" s="114"/>
      <c r="KH27" s="114"/>
      <c r="KI27" s="114"/>
      <c r="KJ27" s="114"/>
      <c r="KK27" s="114"/>
      <c r="KL27" s="114"/>
      <c r="KM27" s="114"/>
      <c r="KN27" s="114"/>
      <c r="KO27" s="114"/>
      <c r="KP27" s="114"/>
      <c r="KQ27" s="114"/>
      <c r="KR27" s="114"/>
      <c r="KS27" s="114"/>
      <c r="KT27" s="114"/>
      <c r="KU27" s="114"/>
      <c r="KV27" s="114"/>
      <c r="KW27" s="114"/>
      <c r="KX27" s="114"/>
      <c r="KY27" s="114"/>
      <c r="KZ27" s="114"/>
      <c r="LA27" s="114"/>
      <c r="LB27" s="114"/>
      <c r="LC27" s="114"/>
      <c r="LD27" s="114"/>
      <c r="LE27" s="114"/>
      <c r="LF27" s="114"/>
      <c r="LG27" s="114"/>
      <c r="LH27" s="114"/>
      <c r="LI27" s="114"/>
      <c r="LJ27" s="114"/>
      <c r="LK27" s="114"/>
      <c r="LL27" s="114"/>
      <c r="LM27" s="114"/>
      <c r="LN27" s="114"/>
      <c r="LO27" s="114"/>
      <c r="LP27" s="114"/>
      <c r="LQ27" s="114"/>
      <c r="LR27" s="114"/>
      <c r="LS27" s="114"/>
      <c r="LT27" s="114"/>
      <c r="LU27" s="114"/>
      <c r="LV27" s="114"/>
      <c r="LW27" s="114"/>
      <c r="LX27" s="114"/>
      <c r="LY27" s="114"/>
      <c r="LZ27" s="114"/>
      <c r="MA27" s="114"/>
      <c r="MB27" s="114"/>
      <c r="MC27" s="114"/>
      <c r="MD27" s="114"/>
      <c r="ME27" s="114"/>
      <c r="MF27" s="114"/>
      <c r="MG27" s="114"/>
      <c r="MH27" s="114"/>
      <c r="MI27" s="114"/>
      <c r="MJ27" s="114"/>
      <c r="MK27" s="114"/>
      <c r="ML27" s="114"/>
      <c r="MM27" s="114"/>
      <c r="MN27" s="114"/>
      <c r="MO27" s="114"/>
      <c r="MP27" s="114"/>
      <c r="MQ27" s="114"/>
      <c r="MR27" s="114"/>
      <c r="MS27" s="114"/>
      <c r="MT27" s="114"/>
      <c r="MU27" s="114"/>
      <c r="MV27" s="114"/>
      <c r="MW27" s="114"/>
      <c r="MX27" s="114"/>
      <c r="MY27" s="114"/>
      <c r="MZ27" s="114"/>
      <c r="NA27" s="114"/>
      <c r="NB27" s="114"/>
      <c r="NC27" s="114"/>
      <c r="ND27" s="114"/>
      <c r="NE27" s="114"/>
      <c r="NF27" s="114"/>
      <c r="NG27" s="114"/>
      <c r="NH27" s="114"/>
      <c r="NI27" s="114"/>
      <c r="NJ27" s="114"/>
      <c r="NK27" s="114"/>
      <c r="NL27" s="114"/>
      <c r="NM27" s="114"/>
      <c r="NN27" s="114"/>
      <c r="NO27" s="114"/>
      <c r="NP27" s="114"/>
      <c r="NQ27" s="114"/>
      <c r="NR27" s="114"/>
      <c r="NS27" s="114"/>
      <c r="NT27" s="114"/>
      <c r="NU27" s="114"/>
      <c r="NV27" s="114"/>
      <c r="NW27" s="114"/>
      <c r="NX27" s="114"/>
      <c r="NY27" s="114"/>
      <c r="NZ27" s="114"/>
      <c r="OA27" s="114"/>
      <c r="OB27" s="114"/>
      <c r="OC27" s="114"/>
      <c r="OD27" s="114"/>
      <c r="OE27" s="114"/>
      <c r="OF27" s="114"/>
      <c r="OG27" s="114"/>
      <c r="OH27" s="114"/>
      <c r="OI27" s="114"/>
      <c r="OJ27" s="114"/>
      <c r="OK27" s="114"/>
      <c r="OL27" s="114"/>
      <c r="OM27" s="114"/>
      <c r="ON27" s="114"/>
      <c r="OO27" s="114"/>
      <c r="OP27" s="114"/>
      <c r="OQ27" s="114"/>
      <c r="OR27" s="114"/>
      <c r="OS27" s="114"/>
      <c r="OT27" s="114"/>
      <c r="OU27" s="114"/>
      <c r="OV27" s="114"/>
      <c r="OW27" s="114"/>
      <c r="OX27" s="114"/>
      <c r="OY27" s="114"/>
      <c r="OZ27" s="114"/>
      <c r="PA27" s="114"/>
      <c r="PB27" s="114"/>
      <c r="PC27" s="114"/>
      <c r="PD27" s="114"/>
      <c r="PE27" s="114"/>
      <c r="PF27" s="114"/>
      <c r="PG27" s="114"/>
      <c r="PH27" s="114"/>
      <c r="PI27" s="114"/>
      <c r="PJ27" s="114"/>
      <c r="PK27" s="114"/>
      <c r="PL27" s="114"/>
      <c r="PM27" s="114"/>
      <c r="PN27" s="114"/>
      <c r="PO27" s="114"/>
      <c r="PP27" s="114"/>
      <c r="PQ27" s="114"/>
      <c r="PR27" s="114"/>
      <c r="PS27" s="114"/>
      <c r="PT27" s="114"/>
      <c r="PU27" s="114"/>
      <c r="PV27" s="114"/>
      <c r="PW27" s="114"/>
      <c r="PX27" s="114"/>
      <c r="PY27" s="114"/>
      <c r="PZ27" s="114"/>
      <c r="QA27" s="114"/>
      <c r="QB27" s="114"/>
      <c r="QC27" s="114"/>
      <c r="QD27" s="114"/>
      <c r="QE27" s="114"/>
      <c r="QF27" s="114"/>
      <c r="QG27" s="114"/>
      <c r="QH27" s="114"/>
      <c r="QI27" s="114"/>
      <c r="QJ27" s="114"/>
      <c r="QK27" s="114"/>
      <c r="QL27" s="114"/>
      <c r="QM27" s="114"/>
      <c r="QN27" s="114"/>
      <c r="QO27" s="114"/>
      <c r="QP27" s="114"/>
      <c r="QQ27" s="114"/>
      <c r="QR27" s="114"/>
      <c r="QS27" s="114"/>
      <c r="QT27" s="114"/>
      <c r="QU27" s="114"/>
      <c r="QV27" s="114"/>
      <c r="QW27" s="114"/>
      <c r="QX27" s="114"/>
      <c r="QY27" s="114"/>
      <c r="QZ27" s="114"/>
      <c r="RA27" s="114"/>
      <c r="RB27" s="114"/>
      <c r="RC27" s="114"/>
      <c r="RD27" s="114"/>
      <c r="RE27" s="114"/>
      <c r="RF27" s="114"/>
      <c r="RG27" s="114"/>
      <c r="RH27" s="114"/>
      <c r="RI27" s="114"/>
      <c r="RJ27" s="114"/>
      <c r="RK27" s="114"/>
      <c r="RL27" s="114"/>
      <c r="RM27" s="114"/>
      <c r="RN27" s="114"/>
      <c r="RO27" s="114"/>
      <c r="RP27" s="114"/>
      <c r="RQ27" s="114"/>
      <c r="RR27" s="114"/>
      <c r="RS27" s="114"/>
      <c r="RT27" s="114"/>
      <c r="RU27" s="114"/>
      <c r="RV27" s="114"/>
      <c r="RW27" s="114"/>
      <c r="RX27" s="114"/>
      <c r="RY27" s="114"/>
      <c r="RZ27" s="114"/>
      <c r="SA27" s="114"/>
      <c r="SB27" s="114"/>
      <c r="SC27" s="114"/>
      <c r="SD27" s="114"/>
      <c r="SE27" s="114"/>
      <c r="SF27" s="114"/>
      <c r="SG27" s="114"/>
      <c r="SH27" s="114"/>
      <c r="SI27" s="114"/>
      <c r="SJ27" s="114"/>
      <c r="SK27" s="114"/>
      <c r="SL27" s="114"/>
      <c r="SM27" s="114"/>
      <c r="SN27" s="114"/>
      <c r="SO27" s="114"/>
      <c r="SP27" s="114"/>
      <c r="SQ27" s="114"/>
      <c r="SR27" s="114"/>
      <c r="SS27" s="114"/>
      <c r="ST27" s="114"/>
      <c r="SU27" s="114"/>
      <c r="SV27" s="114"/>
      <c r="SW27" s="114"/>
      <c r="SX27" s="114"/>
      <c r="SY27" s="114"/>
      <c r="SZ27" s="114"/>
      <c r="TA27" s="114"/>
      <c r="TB27" s="114"/>
      <c r="TC27" s="114"/>
      <c r="TD27" s="114"/>
      <c r="TE27" s="114"/>
      <c r="TF27" s="114"/>
      <c r="TG27" s="114"/>
      <c r="TH27" s="114"/>
      <c r="TI27" s="114"/>
      <c r="TJ27" s="114"/>
      <c r="TK27" s="114"/>
      <c r="TL27" s="114"/>
      <c r="TM27" s="114"/>
      <c r="TN27" s="114"/>
      <c r="TO27" s="114"/>
      <c r="TP27" s="114"/>
      <c r="TQ27" s="114"/>
      <c r="TR27" s="114"/>
      <c r="TS27" s="114"/>
      <c r="TT27" s="114"/>
      <c r="TU27" s="114"/>
      <c r="TV27" s="114"/>
      <c r="TW27" s="114"/>
      <c r="TX27" s="114"/>
      <c r="TY27" s="114"/>
      <c r="TZ27" s="114"/>
      <c r="UA27" s="114"/>
      <c r="UB27" s="114"/>
      <c r="UC27" s="114"/>
      <c r="UD27" s="114"/>
      <c r="UE27" s="114"/>
      <c r="UF27" s="114"/>
      <c r="UG27" s="114"/>
      <c r="UH27" s="114"/>
      <c r="UI27" s="114"/>
      <c r="UJ27" s="114"/>
      <c r="UK27" s="114"/>
      <c r="UL27" s="114"/>
      <c r="UM27" s="114"/>
      <c r="UN27" s="114"/>
      <c r="UO27" s="114"/>
      <c r="UP27" s="114"/>
      <c r="UQ27" s="114"/>
      <c r="UR27" s="114"/>
      <c r="US27" s="114"/>
      <c r="UT27" s="114"/>
      <c r="UU27" s="114"/>
      <c r="UV27" s="114"/>
      <c r="UW27" s="114"/>
      <c r="UX27" s="114"/>
      <c r="UY27" s="114"/>
      <c r="UZ27" s="114"/>
      <c r="VA27" s="114"/>
      <c r="VB27" s="114"/>
      <c r="VC27" s="114"/>
      <c r="VD27" s="114"/>
      <c r="VE27" s="114"/>
      <c r="VF27" s="114"/>
      <c r="VG27" s="114"/>
      <c r="VH27" s="114"/>
      <c r="VI27" s="114"/>
      <c r="VJ27" s="114"/>
      <c r="VK27" s="114"/>
      <c r="VL27" s="114"/>
      <c r="VM27" s="114"/>
      <c r="VN27" s="114"/>
      <c r="VO27" s="114"/>
      <c r="VP27" s="114"/>
      <c r="VQ27" s="114"/>
      <c r="VR27" s="114"/>
      <c r="VS27" s="114"/>
      <c r="VT27" s="114"/>
      <c r="VU27" s="114"/>
      <c r="VV27" s="114"/>
      <c r="VW27" s="114"/>
      <c r="VX27" s="114"/>
      <c r="VY27" s="114"/>
      <c r="VZ27" s="114"/>
      <c r="WA27" s="114"/>
      <c r="WB27" s="114"/>
      <c r="WC27" s="114"/>
      <c r="WD27" s="114"/>
      <c r="WE27" s="114"/>
      <c r="WF27" s="114"/>
      <c r="WG27" s="114"/>
      <c r="WH27" s="114"/>
      <c r="WI27" s="114"/>
      <c r="WJ27" s="114"/>
      <c r="WK27" s="114"/>
      <c r="WL27" s="114"/>
      <c r="WM27" s="114"/>
      <c r="WN27" s="114"/>
      <c r="WO27" s="114"/>
      <c r="WP27" s="114"/>
      <c r="WQ27" s="114"/>
      <c r="WR27" s="114"/>
      <c r="WS27" s="114"/>
      <c r="WT27" s="114"/>
      <c r="WU27" s="114"/>
      <c r="WV27" s="114"/>
      <c r="WW27" s="114"/>
      <c r="WX27" s="114"/>
      <c r="WY27" s="114"/>
      <c r="WZ27" s="114"/>
      <c r="XA27" s="114"/>
      <c r="XB27" s="114"/>
      <c r="XC27" s="114"/>
      <c r="XD27" s="114"/>
      <c r="XE27" s="114"/>
      <c r="XF27" s="114"/>
      <c r="XG27" s="114"/>
      <c r="XH27" s="114"/>
      <c r="XI27" s="114"/>
      <c r="XJ27" s="114"/>
      <c r="XK27" s="114"/>
      <c r="XL27" s="114"/>
      <c r="XM27" s="114"/>
      <c r="XN27" s="114"/>
      <c r="XO27" s="114"/>
      <c r="XP27" s="114"/>
      <c r="XQ27" s="114"/>
      <c r="XR27" s="114"/>
      <c r="XS27" s="114"/>
      <c r="XT27" s="114"/>
      <c r="XU27" s="114"/>
      <c r="XV27" s="114"/>
      <c r="XW27" s="114"/>
      <c r="XX27" s="114"/>
      <c r="XY27" s="114"/>
      <c r="XZ27" s="114"/>
      <c r="YA27" s="114"/>
      <c r="YB27" s="114"/>
      <c r="YC27" s="114"/>
      <c r="YD27" s="114"/>
      <c r="YE27" s="114"/>
      <c r="YF27" s="114"/>
      <c r="YG27" s="114"/>
      <c r="YH27" s="114"/>
      <c r="YI27" s="114"/>
      <c r="YJ27" s="114"/>
      <c r="YK27" s="114"/>
      <c r="YL27" s="114"/>
      <c r="YM27" s="114"/>
      <c r="YN27" s="114"/>
      <c r="YO27" s="114"/>
      <c r="YP27" s="114"/>
      <c r="YQ27" s="114"/>
      <c r="YR27" s="114"/>
      <c r="YS27" s="114"/>
      <c r="YT27" s="114"/>
      <c r="YU27" s="114"/>
      <c r="YV27" s="114"/>
      <c r="YW27" s="114"/>
      <c r="YX27" s="114"/>
      <c r="YY27" s="114"/>
      <c r="YZ27" s="114"/>
      <c r="ZA27" s="114"/>
      <c r="ZB27" s="114"/>
      <c r="ZC27" s="114"/>
      <c r="ZD27" s="114"/>
      <c r="ZE27" s="114"/>
      <c r="ZF27" s="114"/>
      <c r="ZG27" s="114"/>
      <c r="ZH27" s="114"/>
      <c r="ZI27" s="114"/>
      <c r="ZJ27" s="114"/>
      <c r="ZK27" s="114"/>
      <c r="ZL27" s="114"/>
      <c r="ZM27" s="114"/>
      <c r="ZN27" s="114"/>
      <c r="ZO27" s="114"/>
      <c r="ZP27" s="114"/>
      <c r="ZQ27" s="114"/>
      <c r="ZR27" s="114"/>
      <c r="ZS27" s="114"/>
      <c r="ZT27" s="114"/>
      <c r="ZU27" s="114"/>
      <c r="ZV27" s="114"/>
      <c r="ZW27" s="114"/>
      <c r="ZX27" s="114"/>
      <c r="ZY27" s="114"/>
      <c r="ZZ27" s="114"/>
      <c r="AAA27" s="114"/>
      <c r="AAB27" s="114"/>
      <c r="AAC27" s="114"/>
      <c r="AAD27" s="114"/>
      <c r="AAE27" s="114"/>
      <c r="AAF27" s="114"/>
      <c r="AAG27" s="114"/>
      <c r="AAH27" s="114"/>
      <c r="AAI27" s="114"/>
      <c r="AAJ27" s="114"/>
      <c r="AAK27" s="114"/>
      <c r="AAL27" s="114"/>
      <c r="AAM27" s="114"/>
      <c r="AAN27" s="114"/>
      <c r="AAO27" s="114"/>
      <c r="AAP27" s="114"/>
      <c r="AAQ27" s="114"/>
      <c r="AAR27" s="114"/>
      <c r="AAS27" s="114"/>
      <c r="AAT27" s="114"/>
      <c r="AAU27" s="114"/>
      <c r="AAV27" s="114"/>
      <c r="AAW27" s="114"/>
      <c r="AAX27" s="114"/>
      <c r="AAY27" s="114"/>
      <c r="AAZ27" s="114"/>
      <c r="ABA27" s="114"/>
      <c r="ABB27" s="114"/>
      <c r="ABC27" s="114"/>
      <c r="ABD27" s="114"/>
      <c r="ABE27" s="114"/>
      <c r="ABF27" s="114"/>
      <c r="ABG27" s="114"/>
      <c r="ABH27" s="114"/>
      <c r="ABI27" s="114"/>
      <c r="ABJ27" s="114"/>
      <c r="ABK27" s="114"/>
      <c r="ABL27" s="114"/>
      <c r="ABM27" s="114"/>
      <c r="ABN27" s="114"/>
      <c r="ABO27" s="114"/>
      <c r="ABP27" s="114"/>
      <c r="ABQ27" s="114"/>
      <c r="ABR27" s="114"/>
      <c r="ABS27" s="114"/>
      <c r="ABT27" s="114"/>
      <c r="ABU27" s="114"/>
      <c r="ABV27" s="114"/>
      <c r="ABW27" s="114"/>
      <c r="ABX27" s="114"/>
      <c r="ABY27" s="114"/>
      <c r="ABZ27" s="114"/>
      <c r="ACA27" s="114"/>
      <c r="ACB27" s="114"/>
      <c r="ACC27" s="114"/>
      <c r="ACD27" s="114"/>
      <c r="ACE27" s="114"/>
      <c r="ACF27" s="114"/>
      <c r="ACG27" s="114"/>
      <c r="ACH27" s="114"/>
      <c r="ACI27" s="114"/>
      <c r="ACJ27" s="114"/>
      <c r="ACK27" s="114"/>
      <c r="ACL27" s="114"/>
      <c r="ACM27" s="114"/>
      <c r="ACN27" s="114"/>
      <c r="ACO27" s="114"/>
      <c r="ACP27" s="114"/>
      <c r="ACQ27" s="114"/>
      <c r="ACR27" s="114"/>
      <c r="ACS27" s="114"/>
      <c r="ACT27" s="114"/>
      <c r="ACU27" s="114"/>
      <c r="ACV27" s="114"/>
      <c r="ACW27" s="114"/>
      <c r="ACX27" s="114"/>
      <c r="ACY27" s="114"/>
      <c r="ACZ27" s="114"/>
      <c r="ADA27" s="114"/>
      <c r="ADB27" s="114"/>
      <c r="ADC27" s="114"/>
      <c r="ADD27" s="114"/>
      <c r="ADE27" s="114"/>
      <c r="ADF27" s="114"/>
      <c r="ADG27" s="114"/>
      <c r="ADH27" s="114"/>
      <c r="ADI27" s="114"/>
      <c r="ADJ27" s="114"/>
      <c r="ADK27" s="114"/>
      <c r="ADL27" s="114"/>
      <c r="ADM27" s="114"/>
      <c r="ADN27" s="114"/>
      <c r="ADO27" s="114"/>
      <c r="ADP27" s="114"/>
      <c r="ADQ27" s="114"/>
      <c r="ADR27" s="114"/>
      <c r="ADS27" s="114"/>
      <c r="ADT27" s="114"/>
      <c r="ADU27" s="114"/>
      <c r="ADV27" s="114"/>
      <c r="ADW27" s="114"/>
      <c r="ADX27" s="114"/>
      <c r="ADY27" s="114"/>
      <c r="ADZ27" s="114"/>
      <c r="AEA27" s="114"/>
      <c r="AEB27" s="114"/>
      <c r="AEC27" s="114"/>
      <c r="AED27" s="114"/>
      <c r="AEE27" s="114"/>
      <c r="AEF27" s="114"/>
      <c r="AEG27" s="114"/>
      <c r="AEH27" s="114"/>
      <c r="AEI27" s="114"/>
      <c r="AEJ27" s="114"/>
      <c r="AEK27" s="114"/>
      <c r="AEL27" s="114"/>
      <c r="AEM27" s="114"/>
      <c r="AEN27" s="114"/>
      <c r="AEO27" s="114"/>
      <c r="AEP27" s="114"/>
      <c r="AEQ27" s="114"/>
      <c r="AER27" s="114"/>
      <c r="AES27" s="114"/>
      <c r="AET27" s="114"/>
      <c r="AEU27" s="114"/>
      <c r="AEV27" s="114"/>
      <c r="AEW27" s="114"/>
      <c r="AEX27" s="114"/>
      <c r="AEY27" s="114"/>
      <c r="AEZ27" s="114"/>
      <c r="AFA27" s="114"/>
      <c r="AFB27" s="114"/>
      <c r="AFC27" s="114"/>
      <c r="AFD27" s="114"/>
      <c r="AFE27" s="114"/>
      <c r="AFF27" s="114"/>
      <c r="AFG27" s="114"/>
      <c r="AFH27" s="114"/>
      <c r="AFI27" s="114"/>
      <c r="AFJ27" s="114"/>
      <c r="AFK27" s="114"/>
      <c r="AFL27" s="114"/>
      <c r="AFM27" s="114"/>
      <c r="AFN27" s="114"/>
      <c r="AFO27" s="114"/>
      <c r="AFP27" s="114"/>
      <c r="AFQ27" s="114"/>
      <c r="AFR27" s="114"/>
      <c r="AFS27" s="114"/>
      <c r="AFT27" s="114"/>
      <c r="AFU27" s="114"/>
      <c r="AFV27" s="114"/>
      <c r="AFW27" s="114"/>
      <c r="AFX27" s="114"/>
      <c r="AFY27" s="114"/>
      <c r="AFZ27" s="114"/>
      <c r="AGA27" s="114"/>
      <c r="AGB27" s="114"/>
      <c r="AGC27" s="114"/>
      <c r="AGD27" s="114"/>
      <c r="AGE27" s="114"/>
      <c r="AGF27" s="114"/>
      <c r="AGG27" s="114"/>
      <c r="AGH27" s="114"/>
      <c r="AGI27" s="114"/>
      <c r="AGJ27" s="114"/>
      <c r="AGK27" s="114"/>
      <c r="AGL27" s="114"/>
      <c r="AGM27" s="114"/>
      <c r="AGN27" s="114"/>
      <c r="AGO27" s="114"/>
      <c r="AGP27" s="114"/>
      <c r="AGQ27" s="114"/>
      <c r="AGR27" s="114"/>
      <c r="AGS27" s="114"/>
      <c r="AGT27" s="114"/>
      <c r="AGU27" s="114"/>
      <c r="AGV27" s="114"/>
      <c r="AGW27" s="114"/>
      <c r="AGX27" s="114"/>
      <c r="AGY27" s="114"/>
      <c r="AGZ27" s="114"/>
      <c r="AHA27" s="114"/>
      <c r="AHB27" s="114"/>
      <c r="AHC27" s="114"/>
      <c r="AHD27" s="114"/>
      <c r="AHE27" s="114"/>
      <c r="AHF27" s="114"/>
      <c r="AHG27" s="114"/>
      <c r="AHH27" s="114"/>
      <c r="AHI27" s="114"/>
      <c r="AHJ27" s="114"/>
      <c r="AHK27" s="114"/>
      <c r="AHL27" s="114"/>
      <c r="AHM27" s="114"/>
      <c r="AHN27" s="114"/>
      <c r="AHO27" s="114"/>
      <c r="AHP27" s="114"/>
      <c r="AHQ27" s="114"/>
      <c r="AHR27" s="114"/>
      <c r="AHS27" s="114"/>
      <c r="AHT27" s="114"/>
      <c r="AHU27" s="114"/>
      <c r="AHV27" s="114"/>
      <c r="AHW27" s="114"/>
      <c r="AHX27" s="114"/>
      <c r="AHY27" s="114"/>
      <c r="AHZ27" s="114"/>
      <c r="AIA27" s="114"/>
      <c r="AIB27" s="114"/>
      <c r="AIC27" s="114"/>
      <c r="AID27" s="114"/>
      <c r="AIE27" s="114"/>
      <c r="AIF27" s="114"/>
      <c r="AIG27" s="114"/>
      <c r="AIH27" s="114"/>
      <c r="AII27" s="114"/>
      <c r="AIJ27" s="114"/>
      <c r="AIK27" s="114"/>
      <c r="AIL27" s="114"/>
      <c r="AIM27" s="114"/>
      <c r="AIN27" s="114"/>
      <c r="AIO27" s="114"/>
      <c r="AIP27" s="114"/>
      <c r="AIQ27" s="114"/>
      <c r="AIR27" s="114"/>
      <c r="AIS27" s="114"/>
      <c r="AIT27" s="114"/>
      <c r="AIU27" s="114"/>
      <c r="AIV27" s="114"/>
      <c r="AIW27" s="114"/>
      <c r="AIX27" s="114"/>
      <c r="AIY27" s="114"/>
      <c r="AIZ27" s="114"/>
      <c r="AJA27" s="114"/>
      <c r="AJB27" s="114"/>
      <c r="AJC27" s="114"/>
      <c r="AJD27" s="114"/>
      <c r="AJE27" s="114"/>
      <c r="AJF27" s="114"/>
      <c r="AJG27" s="114"/>
      <c r="AJH27" s="114"/>
      <c r="AJI27" s="114"/>
      <c r="AJJ27" s="114"/>
      <c r="AJK27" s="114"/>
      <c r="AJL27" s="114"/>
      <c r="AJM27" s="114"/>
      <c r="AJN27" s="114"/>
      <c r="AJO27" s="114"/>
      <c r="AJP27" s="114"/>
      <c r="AJQ27" s="114"/>
      <c r="AJR27" s="114"/>
      <c r="AJS27" s="114"/>
      <c r="AJT27" s="114"/>
      <c r="AJU27" s="114"/>
      <c r="AJV27" s="114"/>
      <c r="AJW27" s="114"/>
      <c r="AJX27" s="114"/>
      <c r="AJY27" s="114"/>
      <c r="AJZ27" s="114"/>
      <c r="AKA27" s="114"/>
      <c r="AKB27" s="114"/>
      <c r="AKC27" s="114"/>
      <c r="AKD27" s="114"/>
      <c r="AKE27" s="114"/>
      <c r="AKF27" s="114"/>
      <c r="AKG27" s="114"/>
      <c r="AKH27" s="114"/>
      <c r="AKI27" s="114"/>
      <c r="AKJ27" s="114"/>
      <c r="AKK27" s="114"/>
      <c r="AKL27" s="114"/>
    </row>
    <row r="28" spans="1:974" ht="15" customHeight="1" x14ac:dyDescent="0.3">
      <c r="A28" s="116"/>
      <c r="B28" s="117"/>
      <c r="C28" s="462"/>
      <c r="D28" s="138" t="s">
        <v>3083</v>
      </c>
      <c r="E28" s="139">
        <v>15</v>
      </c>
      <c r="F28" s="140">
        <v>2200</v>
      </c>
      <c r="G28" s="141">
        <f t="shared" si="0"/>
        <v>33000</v>
      </c>
    </row>
    <row r="29" spans="1:974" ht="15" customHeight="1" x14ac:dyDescent="0.3">
      <c r="A29" s="116"/>
      <c r="B29" s="117"/>
      <c r="C29" s="463"/>
      <c r="D29" s="464" t="s">
        <v>2824</v>
      </c>
      <c r="E29" s="465"/>
      <c r="F29" s="466"/>
      <c r="G29" s="127">
        <f>SUM(G27:G28)</f>
        <v>48000</v>
      </c>
    </row>
    <row r="30" spans="1:974" s="115" customFormat="1" ht="15" customHeight="1" x14ac:dyDescent="0.3">
      <c r="A30" s="103">
        <v>8470230</v>
      </c>
      <c r="B30" s="104">
        <v>425550</v>
      </c>
      <c r="C30" s="461" t="s">
        <v>3084</v>
      </c>
      <c r="D30" s="130" t="s">
        <v>3082</v>
      </c>
      <c r="E30" s="131">
        <v>30</v>
      </c>
      <c r="F30" s="132">
        <v>1100</v>
      </c>
      <c r="G30" s="133">
        <f t="shared" si="0"/>
        <v>33000</v>
      </c>
      <c r="H30" s="114"/>
      <c r="I30" s="114"/>
      <c r="J30" s="114"/>
      <c r="K30" s="114"/>
      <c r="L30" s="114"/>
      <c r="M30" s="114"/>
      <c r="N30" s="114"/>
      <c r="O30" s="114"/>
      <c r="P30" s="114"/>
      <c r="Q30" s="114"/>
      <c r="R30" s="114"/>
      <c r="S30" s="114"/>
      <c r="T30" s="114"/>
      <c r="U30" s="114"/>
      <c r="V30" s="114"/>
      <c r="W30" s="114"/>
      <c r="X30" s="114"/>
      <c r="Y30" s="114"/>
      <c r="Z30" s="114"/>
      <c r="AA30" s="114"/>
      <c r="AB30" s="114"/>
      <c r="AC30" s="114"/>
      <c r="AD30" s="114"/>
      <c r="AE30" s="114"/>
      <c r="AF30" s="114"/>
      <c r="AG30" s="114"/>
      <c r="AH30" s="114"/>
      <c r="AI30" s="114"/>
      <c r="AJ30" s="114"/>
      <c r="AK30" s="114"/>
      <c r="AL30" s="114"/>
      <c r="AM30" s="114"/>
      <c r="AN30" s="114"/>
      <c r="AO30" s="114"/>
      <c r="AP30" s="114"/>
      <c r="AQ30" s="114"/>
      <c r="AR30" s="114"/>
      <c r="AS30" s="114"/>
      <c r="AT30" s="114"/>
      <c r="AU30" s="114"/>
      <c r="AV30" s="114"/>
      <c r="AW30" s="114"/>
      <c r="AX30" s="114"/>
      <c r="AY30" s="114"/>
      <c r="AZ30" s="114"/>
      <c r="BA30" s="114"/>
      <c r="BB30" s="114"/>
      <c r="BC30" s="114"/>
      <c r="BD30" s="114"/>
      <c r="BE30" s="114"/>
      <c r="BF30" s="114"/>
      <c r="BG30" s="114"/>
      <c r="BH30" s="114"/>
      <c r="BI30" s="114"/>
      <c r="BJ30" s="114"/>
      <c r="BK30" s="114"/>
      <c r="BL30" s="114"/>
      <c r="BM30" s="114"/>
      <c r="BN30" s="114"/>
      <c r="BO30" s="114"/>
      <c r="BP30" s="114"/>
      <c r="BQ30" s="114"/>
      <c r="BR30" s="114"/>
      <c r="BS30" s="114"/>
      <c r="BT30" s="114"/>
      <c r="BU30" s="114"/>
      <c r="BV30" s="114"/>
      <c r="BW30" s="114"/>
      <c r="BX30" s="114"/>
      <c r="BY30" s="114"/>
      <c r="BZ30" s="114"/>
      <c r="CA30" s="114"/>
      <c r="CB30" s="114"/>
      <c r="CC30" s="114"/>
      <c r="CD30" s="114"/>
      <c r="CE30" s="114"/>
      <c r="CF30" s="114"/>
      <c r="CG30" s="114"/>
      <c r="CH30" s="114"/>
      <c r="CI30" s="114"/>
      <c r="CJ30" s="114"/>
      <c r="CK30" s="114"/>
      <c r="CL30" s="114"/>
      <c r="CM30" s="114"/>
      <c r="CN30" s="114"/>
      <c r="CO30" s="114"/>
      <c r="CP30" s="114"/>
      <c r="CQ30" s="114"/>
      <c r="CR30" s="114"/>
      <c r="CS30" s="114"/>
      <c r="CT30" s="114"/>
      <c r="CU30" s="114"/>
      <c r="CV30" s="114"/>
      <c r="CW30" s="114"/>
      <c r="CX30" s="114"/>
      <c r="CY30" s="114"/>
      <c r="CZ30" s="114"/>
      <c r="DA30" s="114"/>
      <c r="DB30" s="114"/>
      <c r="DC30" s="114"/>
      <c r="DD30" s="114"/>
      <c r="DE30" s="114"/>
      <c r="DF30" s="114"/>
      <c r="DG30" s="114"/>
      <c r="DH30" s="114"/>
      <c r="DI30" s="114"/>
      <c r="DJ30" s="114"/>
      <c r="DK30" s="114"/>
      <c r="DL30" s="114"/>
      <c r="DM30" s="114"/>
      <c r="DN30" s="114"/>
      <c r="DO30" s="114"/>
      <c r="DP30" s="114"/>
      <c r="DQ30" s="114"/>
      <c r="DR30" s="114"/>
      <c r="DS30" s="114"/>
      <c r="DT30" s="114"/>
      <c r="DU30" s="114"/>
      <c r="DV30" s="114"/>
      <c r="DW30" s="114"/>
      <c r="DX30" s="114"/>
      <c r="DY30" s="114"/>
      <c r="DZ30" s="114"/>
      <c r="EA30" s="114"/>
      <c r="EB30" s="114"/>
      <c r="EC30" s="114"/>
      <c r="ED30" s="114"/>
      <c r="EE30" s="114"/>
      <c r="EF30" s="114"/>
      <c r="EG30" s="114"/>
      <c r="EH30" s="114"/>
      <c r="EI30" s="114"/>
      <c r="EJ30" s="114"/>
      <c r="EK30" s="114"/>
      <c r="EL30" s="114"/>
      <c r="EM30" s="114"/>
      <c r="EN30" s="114"/>
      <c r="EO30" s="114"/>
      <c r="EP30" s="114"/>
      <c r="EQ30" s="114"/>
      <c r="ER30" s="114"/>
      <c r="ES30" s="114"/>
      <c r="ET30" s="114"/>
      <c r="EU30" s="114"/>
      <c r="EV30" s="114"/>
      <c r="EW30" s="114"/>
      <c r="EX30" s="114"/>
      <c r="EY30" s="114"/>
      <c r="EZ30" s="114"/>
      <c r="FA30" s="114"/>
      <c r="FB30" s="114"/>
      <c r="FC30" s="114"/>
      <c r="FD30" s="114"/>
      <c r="FE30" s="114"/>
      <c r="FF30" s="114"/>
      <c r="FG30" s="114"/>
      <c r="FH30" s="114"/>
      <c r="FI30" s="114"/>
      <c r="FJ30" s="114"/>
      <c r="FK30" s="114"/>
      <c r="FL30" s="114"/>
      <c r="FM30" s="114"/>
      <c r="FN30" s="114"/>
      <c r="FO30" s="114"/>
      <c r="FP30" s="114"/>
      <c r="FQ30" s="114"/>
      <c r="FR30" s="114"/>
      <c r="FS30" s="114"/>
      <c r="FT30" s="114"/>
      <c r="FU30" s="114"/>
      <c r="FV30" s="114"/>
      <c r="FW30" s="114"/>
      <c r="FX30" s="114"/>
      <c r="FY30" s="114"/>
      <c r="FZ30" s="114"/>
      <c r="GA30" s="114"/>
      <c r="GB30" s="114"/>
      <c r="GC30" s="114"/>
      <c r="GD30" s="114"/>
      <c r="GE30" s="114"/>
      <c r="GF30" s="114"/>
      <c r="GG30" s="114"/>
      <c r="GH30" s="114"/>
      <c r="GI30" s="114"/>
      <c r="GJ30" s="114"/>
      <c r="GK30" s="114"/>
      <c r="GL30" s="114"/>
      <c r="GM30" s="114"/>
      <c r="GN30" s="114"/>
      <c r="GO30" s="114"/>
      <c r="GP30" s="114"/>
      <c r="GQ30" s="114"/>
      <c r="GR30" s="114"/>
      <c r="GS30" s="114"/>
      <c r="GT30" s="114"/>
      <c r="GU30" s="114"/>
      <c r="GV30" s="114"/>
      <c r="GW30" s="114"/>
      <c r="GX30" s="114"/>
      <c r="GY30" s="114"/>
      <c r="GZ30" s="114"/>
      <c r="HA30" s="114"/>
      <c r="HB30" s="114"/>
      <c r="HC30" s="114"/>
      <c r="HD30" s="114"/>
      <c r="HE30" s="114"/>
      <c r="HF30" s="114"/>
      <c r="HG30" s="114"/>
      <c r="HH30" s="114"/>
      <c r="HI30" s="114"/>
      <c r="HJ30" s="114"/>
      <c r="HK30" s="114"/>
      <c r="HL30" s="114"/>
      <c r="HM30" s="114"/>
      <c r="HN30" s="114"/>
      <c r="HO30" s="114"/>
      <c r="HP30" s="114"/>
      <c r="HQ30" s="114"/>
      <c r="HR30" s="114"/>
      <c r="HS30" s="114"/>
      <c r="HT30" s="114"/>
      <c r="HU30" s="114"/>
      <c r="HV30" s="114"/>
      <c r="HW30" s="114"/>
      <c r="HX30" s="114"/>
      <c r="HY30" s="114"/>
      <c r="HZ30" s="114"/>
      <c r="IA30" s="114"/>
      <c r="IB30" s="114"/>
      <c r="IC30" s="114"/>
      <c r="ID30" s="114"/>
      <c r="IE30" s="114"/>
      <c r="IF30" s="114"/>
      <c r="IG30" s="114"/>
      <c r="IH30" s="114"/>
      <c r="II30" s="114"/>
      <c r="IJ30" s="114"/>
      <c r="IK30" s="114"/>
      <c r="IL30" s="114"/>
      <c r="IM30" s="114"/>
      <c r="IN30" s="114"/>
      <c r="IO30" s="114"/>
      <c r="IP30" s="114"/>
      <c r="IQ30" s="114"/>
      <c r="IR30" s="114"/>
      <c r="IS30" s="114"/>
      <c r="IT30" s="114"/>
      <c r="IU30" s="114"/>
      <c r="IV30" s="114"/>
      <c r="IW30" s="114"/>
      <c r="IX30" s="114"/>
      <c r="IY30" s="114"/>
      <c r="IZ30" s="114"/>
      <c r="JA30" s="114"/>
      <c r="JB30" s="114"/>
      <c r="JC30" s="114"/>
      <c r="JD30" s="114"/>
      <c r="JE30" s="114"/>
      <c r="JF30" s="114"/>
      <c r="JG30" s="114"/>
      <c r="JH30" s="114"/>
      <c r="JI30" s="114"/>
      <c r="JJ30" s="114"/>
      <c r="JK30" s="114"/>
      <c r="JL30" s="114"/>
      <c r="JM30" s="114"/>
      <c r="JN30" s="114"/>
      <c r="JO30" s="114"/>
      <c r="JP30" s="114"/>
      <c r="JQ30" s="114"/>
      <c r="JR30" s="114"/>
      <c r="JS30" s="114"/>
      <c r="JT30" s="114"/>
      <c r="JU30" s="114"/>
      <c r="JV30" s="114"/>
      <c r="JW30" s="114"/>
      <c r="JX30" s="114"/>
      <c r="JY30" s="114"/>
      <c r="JZ30" s="114"/>
      <c r="KA30" s="114"/>
      <c r="KB30" s="114"/>
      <c r="KC30" s="114"/>
      <c r="KD30" s="114"/>
      <c r="KE30" s="114"/>
      <c r="KF30" s="114"/>
      <c r="KG30" s="114"/>
      <c r="KH30" s="114"/>
      <c r="KI30" s="114"/>
      <c r="KJ30" s="114"/>
      <c r="KK30" s="114"/>
      <c r="KL30" s="114"/>
      <c r="KM30" s="114"/>
      <c r="KN30" s="114"/>
      <c r="KO30" s="114"/>
      <c r="KP30" s="114"/>
      <c r="KQ30" s="114"/>
      <c r="KR30" s="114"/>
      <c r="KS30" s="114"/>
      <c r="KT30" s="114"/>
      <c r="KU30" s="114"/>
      <c r="KV30" s="114"/>
      <c r="KW30" s="114"/>
      <c r="KX30" s="114"/>
      <c r="KY30" s="114"/>
      <c r="KZ30" s="114"/>
      <c r="LA30" s="114"/>
      <c r="LB30" s="114"/>
      <c r="LC30" s="114"/>
      <c r="LD30" s="114"/>
      <c r="LE30" s="114"/>
      <c r="LF30" s="114"/>
      <c r="LG30" s="114"/>
      <c r="LH30" s="114"/>
      <c r="LI30" s="114"/>
      <c r="LJ30" s="114"/>
      <c r="LK30" s="114"/>
      <c r="LL30" s="114"/>
      <c r="LM30" s="114"/>
      <c r="LN30" s="114"/>
      <c r="LO30" s="114"/>
      <c r="LP30" s="114"/>
      <c r="LQ30" s="114"/>
      <c r="LR30" s="114"/>
      <c r="LS30" s="114"/>
      <c r="LT30" s="114"/>
      <c r="LU30" s="114"/>
      <c r="LV30" s="114"/>
      <c r="LW30" s="114"/>
      <c r="LX30" s="114"/>
      <c r="LY30" s="114"/>
      <c r="LZ30" s="114"/>
      <c r="MA30" s="114"/>
      <c r="MB30" s="114"/>
      <c r="MC30" s="114"/>
      <c r="MD30" s="114"/>
      <c r="ME30" s="114"/>
      <c r="MF30" s="114"/>
      <c r="MG30" s="114"/>
      <c r="MH30" s="114"/>
      <c r="MI30" s="114"/>
      <c r="MJ30" s="114"/>
      <c r="MK30" s="114"/>
      <c r="ML30" s="114"/>
      <c r="MM30" s="114"/>
      <c r="MN30" s="114"/>
      <c r="MO30" s="114"/>
      <c r="MP30" s="114"/>
      <c r="MQ30" s="114"/>
      <c r="MR30" s="114"/>
      <c r="MS30" s="114"/>
      <c r="MT30" s="114"/>
      <c r="MU30" s="114"/>
      <c r="MV30" s="114"/>
      <c r="MW30" s="114"/>
      <c r="MX30" s="114"/>
      <c r="MY30" s="114"/>
      <c r="MZ30" s="114"/>
      <c r="NA30" s="114"/>
      <c r="NB30" s="114"/>
      <c r="NC30" s="114"/>
      <c r="ND30" s="114"/>
      <c r="NE30" s="114"/>
      <c r="NF30" s="114"/>
      <c r="NG30" s="114"/>
      <c r="NH30" s="114"/>
      <c r="NI30" s="114"/>
      <c r="NJ30" s="114"/>
      <c r="NK30" s="114"/>
      <c r="NL30" s="114"/>
      <c r="NM30" s="114"/>
      <c r="NN30" s="114"/>
      <c r="NO30" s="114"/>
      <c r="NP30" s="114"/>
      <c r="NQ30" s="114"/>
      <c r="NR30" s="114"/>
      <c r="NS30" s="114"/>
      <c r="NT30" s="114"/>
      <c r="NU30" s="114"/>
      <c r="NV30" s="114"/>
      <c r="NW30" s="114"/>
      <c r="NX30" s="114"/>
      <c r="NY30" s="114"/>
      <c r="NZ30" s="114"/>
      <c r="OA30" s="114"/>
      <c r="OB30" s="114"/>
      <c r="OC30" s="114"/>
      <c r="OD30" s="114"/>
      <c r="OE30" s="114"/>
      <c r="OF30" s="114"/>
      <c r="OG30" s="114"/>
      <c r="OH30" s="114"/>
      <c r="OI30" s="114"/>
      <c r="OJ30" s="114"/>
      <c r="OK30" s="114"/>
      <c r="OL30" s="114"/>
      <c r="OM30" s="114"/>
      <c r="ON30" s="114"/>
      <c r="OO30" s="114"/>
      <c r="OP30" s="114"/>
      <c r="OQ30" s="114"/>
      <c r="OR30" s="114"/>
      <c r="OS30" s="114"/>
      <c r="OT30" s="114"/>
      <c r="OU30" s="114"/>
      <c r="OV30" s="114"/>
      <c r="OW30" s="114"/>
      <c r="OX30" s="114"/>
      <c r="OY30" s="114"/>
      <c r="OZ30" s="114"/>
      <c r="PA30" s="114"/>
      <c r="PB30" s="114"/>
      <c r="PC30" s="114"/>
      <c r="PD30" s="114"/>
      <c r="PE30" s="114"/>
      <c r="PF30" s="114"/>
      <c r="PG30" s="114"/>
      <c r="PH30" s="114"/>
      <c r="PI30" s="114"/>
      <c r="PJ30" s="114"/>
      <c r="PK30" s="114"/>
      <c r="PL30" s="114"/>
      <c r="PM30" s="114"/>
      <c r="PN30" s="114"/>
      <c r="PO30" s="114"/>
      <c r="PP30" s="114"/>
      <c r="PQ30" s="114"/>
      <c r="PR30" s="114"/>
      <c r="PS30" s="114"/>
      <c r="PT30" s="114"/>
      <c r="PU30" s="114"/>
      <c r="PV30" s="114"/>
      <c r="PW30" s="114"/>
      <c r="PX30" s="114"/>
      <c r="PY30" s="114"/>
      <c r="PZ30" s="114"/>
      <c r="QA30" s="114"/>
      <c r="QB30" s="114"/>
      <c r="QC30" s="114"/>
      <c r="QD30" s="114"/>
      <c r="QE30" s="114"/>
      <c r="QF30" s="114"/>
      <c r="QG30" s="114"/>
      <c r="QH30" s="114"/>
      <c r="QI30" s="114"/>
      <c r="QJ30" s="114"/>
      <c r="QK30" s="114"/>
      <c r="QL30" s="114"/>
      <c r="QM30" s="114"/>
      <c r="QN30" s="114"/>
      <c r="QO30" s="114"/>
      <c r="QP30" s="114"/>
      <c r="QQ30" s="114"/>
      <c r="QR30" s="114"/>
      <c r="QS30" s="114"/>
      <c r="QT30" s="114"/>
      <c r="QU30" s="114"/>
      <c r="QV30" s="114"/>
      <c r="QW30" s="114"/>
      <c r="QX30" s="114"/>
      <c r="QY30" s="114"/>
      <c r="QZ30" s="114"/>
      <c r="RA30" s="114"/>
      <c r="RB30" s="114"/>
      <c r="RC30" s="114"/>
      <c r="RD30" s="114"/>
      <c r="RE30" s="114"/>
      <c r="RF30" s="114"/>
      <c r="RG30" s="114"/>
      <c r="RH30" s="114"/>
      <c r="RI30" s="114"/>
      <c r="RJ30" s="114"/>
      <c r="RK30" s="114"/>
      <c r="RL30" s="114"/>
      <c r="RM30" s="114"/>
      <c r="RN30" s="114"/>
      <c r="RO30" s="114"/>
      <c r="RP30" s="114"/>
      <c r="RQ30" s="114"/>
      <c r="RR30" s="114"/>
      <c r="RS30" s="114"/>
      <c r="RT30" s="114"/>
      <c r="RU30" s="114"/>
      <c r="RV30" s="114"/>
      <c r="RW30" s="114"/>
      <c r="RX30" s="114"/>
      <c r="RY30" s="114"/>
      <c r="RZ30" s="114"/>
      <c r="SA30" s="114"/>
      <c r="SB30" s="114"/>
      <c r="SC30" s="114"/>
      <c r="SD30" s="114"/>
      <c r="SE30" s="114"/>
      <c r="SF30" s="114"/>
      <c r="SG30" s="114"/>
      <c r="SH30" s="114"/>
      <c r="SI30" s="114"/>
      <c r="SJ30" s="114"/>
      <c r="SK30" s="114"/>
      <c r="SL30" s="114"/>
      <c r="SM30" s="114"/>
      <c r="SN30" s="114"/>
      <c r="SO30" s="114"/>
      <c r="SP30" s="114"/>
      <c r="SQ30" s="114"/>
      <c r="SR30" s="114"/>
      <c r="SS30" s="114"/>
      <c r="ST30" s="114"/>
      <c r="SU30" s="114"/>
      <c r="SV30" s="114"/>
      <c r="SW30" s="114"/>
      <c r="SX30" s="114"/>
      <c r="SY30" s="114"/>
      <c r="SZ30" s="114"/>
      <c r="TA30" s="114"/>
      <c r="TB30" s="114"/>
      <c r="TC30" s="114"/>
      <c r="TD30" s="114"/>
      <c r="TE30" s="114"/>
      <c r="TF30" s="114"/>
      <c r="TG30" s="114"/>
      <c r="TH30" s="114"/>
      <c r="TI30" s="114"/>
      <c r="TJ30" s="114"/>
      <c r="TK30" s="114"/>
      <c r="TL30" s="114"/>
      <c r="TM30" s="114"/>
      <c r="TN30" s="114"/>
      <c r="TO30" s="114"/>
      <c r="TP30" s="114"/>
      <c r="TQ30" s="114"/>
      <c r="TR30" s="114"/>
      <c r="TS30" s="114"/>
      <c r="TT30" s="114"/>
      <c r="TU30" s="114"/>
      <c r="TV30" s="114"/>
      <c r="TW30" s="114"/>
      <c r="TX30" s="114"/>
      <c r="TY30" s="114"/>
      <c r="TZ30" s="114"/>
      <c r="UA30" s="114"/>
      <c r="UB30" s="114"/>
      <c r="UC30" s="114"/>
      <c r="UD30" s="114"/>
      <c r="UE30" s="114"/>
      <c r="UF30" s="114"/>
      <c r="UG30" s="114"/>
      <c r="UH30" s="114"/>
      <c r="UI30" s="114"/>
      <c r="UJ30" s="114"/>
      <c r="UK30" s="114"/>
      <c r="UL30" s="114"/>
      <c r="UM30" s="114"/>
      <c r="UN30" s="114"/>
      <c r="UO30" s="114"/>
      <c r="UP30" s="114"/>
      <c r="UQ30" s="114"/>
      <c r="UR30" s="114"/>
      <c r="US30" s="114"/>
      <c r="UT30" s="114"/>
      <c r="UU30" s="114"/>
      <c r="UV30" s="114"/>
      <c r="UW30" s="114"/>
      <c r="UX30" s="114"/>
      <c r="UY30" s="114"/>
      <c r="UZ30" s="114"/>
      <c r="VA30" s="114"/>
      <c r="VB30" s="114"/>
      <c r="VC30" s="114"/>
      <c r="VD30" s="114"/>
      <c r="VE30" s="114"/>
      <c r="VF30" s="114"/>
      <c r="VG30" s="114"/>
      <c r="VH30" s="114"/>
      <c r="VI30" s="114"/>
      <c r="VJ30" s="114"/>
      <c r="VK30" s="114"/>
      <c r="VL30" s="114"/>
      <c r="VM30" s="114"/>
      <c r="VN30" s="114"/>
      <c r="VO30" s="114"/>
      <c r="VP30" s="114"/>
      <c r="VQ30" s="114"/>
      <c r="VR30" s="114"/>
      <c r="VS30" s="114"/>
      <c r="VT30" s="114"/>
      <c r="VU30" s="114"/>
      <c r="VV30" s="114"/>
      <c r="VW30" s="114"/>
      <c r="VX30" s="114"/>
      <c r="VY30" s="114"/>
      <c r="VZ30" s="114"/>
      <c r="WA30" s="114"/>
      <c r="WB30" s="114"/>
      <c r="WC30" s="114"/>
      <c r="WD30" s="114"/>
      <c r="WE30" s="114"/>
      <c r="WF30" s="114"/>
      <c r="WG30" s="114"/>
      <c r="WH30" s="114"/>
      <c r="WI30" s="114"/>
      <c r="WJ30" s="114"/>
      <c r="WK30" s="114"/>
      <c r="WL30" s="114"/>
      <c r="WM30" s="114"/>
      <c r="WN30" s="114"/>
      <c r="WO30" s="114"/>
      <c r="WP30" s="114"/>
      <c r="WQ30" s="114"/>
      <c r="WR30" s="114"/>
      <c r="WS30" s="114"/>
      <c r="WT30" s="114"/>
      <c r="WU30" s="114"/>
      <c r="WV30" s="114"/>
      <c r="WW30" s="114"/>
      <c r="WX30" s="114"/>
      <c r="WY30" s="114"/>
      <c r="WZ30" s="114"/>
      <c r="XA30" s="114"/>
      <c r="XB30" s="114"/>
      <c r="XC30" s="114"/>
      <c r="XD30" s="114"/>
      <c r="XE30" s="114"/>
      <c r="XF30" s="114"/>
      <c r="XG30" s="114"/>
      <c r="XH30" s="114"/>
      <c r="XI30" s="114"/>
      <c r="XJ30" s="114"/>
      <c r="XK30" s="114"/>
      <c r="XL30" s="114"/>
      <c r="XM30" s="114"/>
      <c r="XN30" s="114"/>
      <c r="XO30" s="114"/>
      <c r="XP30" s="114"/>
      <c r="XQ30" s="114"/>
      <c r="XR30" s="114"/>
      <c r="XS30" s="114"/>
      <c r="XT30" s="114"/>
      <c r="XU30" s="114"/>
      <c r="XV30" s="114"/>
      <c r="XW30" s="114"/>
      <c r="XX30" s="114"/>
      <c r="XY30" s="114"/>
      <c r="XZ30" s="114"/>
      <c r="YA30" s="114"/>
      <c r="YB30" s="114"/>
      <c r="YC30" s="114"/>
      <c r="YD30" s="114"/>
      <c r="YE30" s="114"/>
      <c r="YF30" s="114"/>
      <c r="YG30" s="114"/>
      <c r="YH30" s="114"/>
      <c r="YI30" s="114"/>
      <c r="YJ30" s="114"/>
      <c r="YK30" s="114"/>
      <c r="YL30" s="114"/>
      <c r="YM30" s="114"/>
      <c r="YN30" s="114"/>
      <c r="YO30" s="114"/>
      <c r="YP30" s="114"/>
      <c r="YQ30" s="114"/>
      <c r="YR30" s="114"/>
      <c r="YS30" s="114"/>
      <c r="YT30" s="114"/>
      <c r="YU30" s="114"/>
      <c r="YV30" s="114"/>
      <c r="YW30" s="114"/>
      <c r="YX30" s="114"/>
      <c r="YY30" s="114"/>
      <c r="YZ30" s="114"/>
      <c r="ZA30" s="114"/>
      <c r="ZB30" s="114"/>
      <c r="ZC30" s="114"/>
      <c r="ZD30" s="114"/>
      <c r="ZE30" s="114"/>
      <c r="ZF30" s="114"/>
      <c r="ZG30" s="114"/>
      <c r="ZH30" s="114"/>
      <c r="ZI30" s="114"/>
      <c r="ZJ30" s="114"/>
      <c r="ZK30" s="114"/>
      <c r="ZL30" s="114"/>
      <c r="ZM30" s="114"/>
      <c r="ZN30" s="114"/>
      <c r="ZO30" s="114"/>
      <c r="ZP30" s="114"/>
      <c r="ZQ30" s="114"/>
      <c r="ZR30" s="114"/>
      <c r="ZS30" s="114"/>
      <c r="ZT30" s="114"/>
      <c r="ZU30" s="114"/>
      <c r="ZV30" s="114"/>
      <c r="ZW30" s="114"/>
      <c r="ZX30" s="114"/>
      <c r="ZY30" s="114"/>
      <c r="ZZ30" s="114"/>
      <c r="AAA30" s="114"/>
      <c r="AAB30" s="114"/>
      <c r="AAC30" s="114"/>
      <c r="AAD30" s="114"/>
      <c r="AAE30" s="114"/>
      <c r="AAF30" s="114"/>
      <c r="AAG30" s="114"/>
      <c r="AAH30" s="114"/>
      <c r="AAI30" s="114"/>
      <c r="AAJ30" s="114"/>
      <c r="AAK30" s="114"/>
      <c r="AAL30" s="114"/>
      <c r="AAM30" s="114"/>
      <c r="AAN30" s="114"/>
      <c r="AAO30" s="114"/>
      <c r="AAP30" s="114"/>
      <c r="AAQ30" s="114"/>
      <c r="AAR30" s="114"/>
      <c r="AAS30" s="114"/>
      <c r="AAT30" s="114"/>
      <c r="AAU30" s="114"/>
      <c r="AAV30" s="114"/>
      <c r="AAW30" s="114"/>
      <c r="AAX30" s="114"/>
      <c r="AAY30" s="114"/>
      <c r="AAZ30" s="114"/>
      <c r="ABA30" s="114"/>
      <c r="ABB30" s="114"/>
      <c r="ABC30" s="114"/>
      <c r="ABD30" s="114"/>
      <c r="ABE30" s="114"/>
      <c r="ABF30" s="114"/>
      <c r="ABG30" s="114"/>
      <c r="ABH30" s="114"/>
      <c r="ABI30" s="114"/>
      <c r="ABJ30" s="114"/>
      <c r="ABK30" s="114"/>
      <c r="ABL30" s="114"/>
      <c r="ABM30" s="114"/>
      <c r="ABN30" s="114"/>
      <c r="ABO30" s="114"/>
      <c r="ABP30" s="114"/>
      <c r="ABQ30" s="114"/>
      <c r="ABR30" s="114"/>
      <c r="ABS30" s="114"/>
      <c r="ABT30" s="114"/>
      <c r="ABU30" s="114"/>
      <c r="ABV30" s="114"/>
      <c r="ABW30" s="114"/>
      <c r="ABX30" s="114"/>
      <c r="ABY30" s="114"/>
      <c r="ABZ30" s="114"/>
      <c r="ACA30" s="114"/>
      <c r="ACB30" s="114"/>
      <c r="ACC30" s="114"/>
      <c r="ACD30" s="114"/>
      <c r="ACE30" s="114"/>
      <c r="ACF30" s="114"/>
      <c r="ACG30" s="114"/>
      <c r="ACH30" s="114"/>
      <c r="ACI30" s="114"/>
      <c r="ACJ30" s="114"/>
      <c r="ACK30" s="114"/>
      <c r="ACL30" s="114"/>
      <c r="ACM30" s="114"/>
      <c r="ACN30" s="114"/>
      <c r="ACO30" s="114"/>
      <c r="ACP30" s="114"/>
      <c r="ACQ30" s="114"/>
      <c r="ACR30" s="114"/>
      <c r="ACS30" s="114"/>
      <c r="ACT30" s="114"/>
      <c r="ACU30" s="114"/>
      <c r="ACV30" s="114"/>
      <c r="ACW30" s="114"/>
      <c r="ACX30" s="114"/>
      <c r="ACY30" s="114"/>
      <c r="ACZ30" s="114"/>
      <c r="ADA30" s="114"/>
      <c r="ADB30" s="114"/>
      <c r="ADC30" s="114"/>
      <c r="ADD30" s="114"/>
      <c r="ADE30" s="114"/>
      <c r="ADF30" s="114"/>
      <c r="ADG30" s="114"/>
      <c r="ADH30" s="114"/>
      <c r="ADI30" s="114"/>
      <c r="ADJ30" s="114"/>
      <c r="ADK30" s="114"/>
      <c r="ADL30" s="114"/>
      <c r="ADM30" s="114"/>
      <c r="ADN30" s="114"/>
      <c r="ADO30" s="114"/>
      <c r="ADP30" s="114"/>
      <c r="ADQ30" s="114"/>
      <c r="ADR30" s="114"/>
      <c r="ADS30" s="114"/>
      <c r="ADT30" s="114"/>
      <c r="ADU30" s="114"/>
      <c r="ADV30" s="114"/>
      <c r="ADW30" s="114"/>
      <c r="ADX30" s="114"/>
      <c r="ADY30" s="114"/>
      <c r="ADZ30" s="114"/>
      <c r="AEA30" s="114"/>
      <c r="AEB30" s="114"/>
      <c r="AEC30" s="114"/>
      <c r="AED30" s="114"/>
      <c r="AEE30" s="114"/>
      <c r="AEF30" s="114"/>
      <c r="AEG30" s="114"/>
      <c r="AEH30" s="114"/>
      <c r="AEI30" s="114"/>
      <c r="AEJ30" s="114"/>
      <c r="AEK30" s="114"/>
      <c r="AEL30" s="114"/>
      <c r="AEM30" s="114"/>
      <c r="AEN30" s="114"/>
      <c r="AEO30" s="114"/>
      <c r="AEP30" s="114"/>
      <c r="AEQ30" s="114"/>
      <c r="AER30" s="114"/>
      <c r="AES30" s="114"/>
      <c r="AET30" s="114"/>
      <c r="AEU30" s="114"/>
      <c r="AEV30" s="114"/>
      <c r="AEW30" s="114"/>
      <c r="AEX30" s="114"/>
      <c r="AEY30" s="114"/>
      <c r="AEZ30" s="114"/>
      <c r="AFA30" s="114"/>
      <c r="AFB30" s="114"/>
      <c r="AFC30" s="114"/>
      <c r="AFD30" s="114"/>
      <c r="AFE30" s="114"/>
      <c r="AFF30" s="114"/>
      <c r="AFG30" s="114"/>
      <c r="AFH30" s="114"/>
      <c r="AFI30" s="114"/>
      <c r="AFJ30" s="114"/>
      <c r="AFK30" s="114"/>
      <c r="AFL30" s="114"/>
      <c r="AFM30" s="114"/>
      <c r="AFN30" s="114"/>
      <c r="AFO30" s="114"/>
      <c r="AFP30" s="114"/>
      <c r="AFQ30" s="114"/>
      <c r="AFR30" s="114"/>
      <c r="AFS30" s="114"/>
      <c r="AFT30" s="114"/>
      <c r="AFU30" s="114"/>
      <c r="AFV30" s="114"/>
      <c r="AFW30" s="114"/>
      <c r="AFX30" s="114"/>
      <c r="AFY30" s="114"/>
      <c r="AFZ30" s="114"/>
      <c r="AGA30" s="114"/>
      <c r="AGB30" s="114"/>
      <c r="AGC30" s="114"/>
      <c r="AGD30" s="114"/>
      <c r="AGE30" s="114"/>
      <c r="AGF30" s="114"/>
      <c r="AGG30" s="114"/>
      <c r="AGH30" s="114"/>
      <c r="AGI30" s="114"/>
      <c r="AGJ30" s="114"/>
      <c r="AGK30" s="114"/>
      <c r="AGL30" s="114"/>
      <c r="AGM30" s="114"/>
      <c r="AGN30" s="114"/>
      <c r="AGO30" s="114"/>
      <c r="AGP30" s="114"/>
      <c r="AGQ30" s="114"/>
      <c r="AGR30" s="114"/>
      <c r="AGS30" s="114"/>
      <c r="AGT30" s="114"/>
      <c r="AGU30" s="114"/>
      <c r="AGV30" s="114"/>
      <c r="AGW30" s="114"/>
      <c r="AGX30" s="114"/>
      <c r="AGY30" s="114"/>
      <c r="AGZ30" s="114"/>
      <c r="AHA30" s="114"/>
      <c r="AHB30" s="114"/>
      <c r="AHC30" s="114"/>
      <c r="AHD30" s="114"/>
      <c r="AHE30" s="114"/>
      <c r="AHF30" s="114"/>
      <c r="AHG30" s="114"/>
      <c r="AHH30" s="114"/>
      <c r="AHI30" s="114"/>
      <c r="AHJ30" s="114"/>
      <c r="AHK30" s="114"/>
      <c r="AHL30" s="114"/>
      <c r="AHM30" s="114"/>
      <c r="AHN30" s="114"/>
      <c r="AHO30" s="114"/>
      <c r="AHP30" s="114"/>
      <c r="AHQ30" s="114"/>
      <c r="AHR30" s="114"/>
      <c r="AHS30" s="114"/>
      <c r="AHT30" s="114"/>
      <c r="AHU30" s="114"/>
      <c r="AHV30" s="114"/>
      <c r="AHW30" s="114"/>
      <c r="AHX30" s="114"/>
      <c r="AHY30" s="114"/>
      <c r="AHZ30" s="114"/>
      <c r="AIA30" s="114"/>
      <c r="AIB30" s="114"/>
      <c r="AIC30" s="114"/>
      <c r="AID30" s="114"/>
      <c r="AIE30" s="114"/>
      <c r="AIF30" s="114"/>
      <c r="AIG30" s="114"/>
      <c r="AIH30" s="114"/>
      <c r="AII30" s="114"/>
      <c r="AIJ30" s="114"/>
      <c r="AIK30" s="114"/>
      <c r="AIL30" s="114"/>
      <c r="AIM30" s="114"/>
      <c r="AIN30" s="114"/>
      <c r="AIO30" s="114"/>
      <c r="AIP30" s="114"/>
      <c r="AIQ30" s="114"/>
      <c r="AIR30" s="114"/>
      <c r="AIS30" s="114"/>
      <c r="AIT30" s="114"/>
      <c r="AIU30" s="114"/>
      <c r="AIV30" s="114"/>
      <c r="AIW30" s="114"/>
      <c r="AIX30" s="114"/>
      <c r="AIY30" s="114"/>
      <c r="AIZ30" s="114"/>
      <c r="AJA30" s="114"/>
      <c r="AJB30" s="114"/>
      <c r="AJC30" s="114"/>
      <c r="AJD30" s="114"/>
      <c r="AJE30" s="114"/>
      <c r="AJF30" s="114"/>
      <c r="AJG30" s="114"/>
      <c r="AJH30" s="114"/>
      <c r="AJI30" s="114"/>
      <c r="AJJ30" s="114"/>
      <c r="AJK30" s="114"/>
      <c r="AJL30" s="114"/>
      <c r="AJM30" s="114"/>
      <c r="AJN30" s="114"/>
      <c r="AJO30" s="114"/>
      <c r="AJP30" s="114"/>
      <c r="AJQ30" s="114"/>
      <c r="AJR30" s="114"/>
      <c r="AJS30" s="114"/>
      <c r="AJT30" s="114"/>
      <c r="AJU30" s="114"/>
      <c r="AJV30" s="114"/>
      <c r="AJW30" s="114"/>
      <c r="AJX30" s="114"/>
      <c r="AJY30" s="114"/>
      <c r="AJZ30" s="114"/>
      <c r="AKA30" s="114"/>
      <c r="AKB30" s="114"/>
      <c r="AKC30" s="114"/>
      <c r="AKD30" s="114"/>
      <c r="AKE30" s="114"/>
      <c r="AKF30" s="114"/>
      <c r="AKG30" s="114"/>
      <c r="AKH30" s="114"/>
      <c r="AKI30" s="114"/>
      <c r="AKJ30" s="114"/>
      <c r="AKK30" s="114"/>
      <c r="AKL30" s="114"/>
    </row>
    <row r="31" spans="1:974" ht="15" customHeight="1" x14ac:dyDescent="0.3">
      <c r="A31" s="116"/>
      <c r="B31" s="117"/>
      <c r="C31" s="462"/>
      <c r="D31" s="138" t="s">
        <v>3086</v>
      </c>
      <c r="E31" s="139">
        <v>30</v>
      </c>
      <c r="F31" s="140">
        <v>7700</v>
      </c>
      <c r="G31" s="141">
        <f t="shared" si="0"/>
        <v>231000</v>
      </c>
    </row>
    <row r="32" spans="1:974" ht="15" customHeight="1" x14ac:dyDescent="0.3">
      <c r="A32" s="116"/>
      <c r="B32" s="117"/>
      <c r="C32" s="462"/>
      <c r="D32" s="118" t="s">
        <v>3087</v>
      </c>
      <c r="E32" s="119">
        <v>30</v>
      </c>
      <c r="F32" s="120">
        <v>6000</v>
      </c>
      <c r="G32" s="121">
        <f t="shared" si="0"/>
        <v>180000</v>
      </c>
    </row>
    <row r="33" spans="1:974" ht="15" customHeight="1" x14ac:dyDescent="0.3">
      <c r="A33" s="116"/>
      <c r="B33" s="117"/>
      <c r="C33" s="462"/>
      <c r="D33" s="464" t="s">
        <v>2825</v>
      </c>
      <c r="E33" s="465"/>
      <c r="F33" s="466"/>
      <c r="G33" s="127">
        <f>SUM(G30:G32)</f>
        <v>444000</v>
      </c>
    </row>
    <row r="34" spans="1:974" s="182" customFormat="1" ht="15" customHeight="1" x14ac:dyDescent="0.3">
      <c r="A34" s="103">
        <v>8470230</v>
      </c>
      <c r="B34" s="104">
        <v>425761</v>
      </c>
      <c r="C34" s="461" t="s">
        <v>3088</v>
      </c>
      <c r="D34" s="151" t="s">
        <v>3089</v>
      </c>
      <c r="E34" s="152">
        <v>15</v>
      </c>
      <c r="F34" s="153">
        <v>15000</v>
      </c>
      <c r="G34" s="141">
        <f>E34*F34</f>
        <v>225000</v>
      </c>
      <c r="H34" s="181"/>
      <c r="I34" s="181"/>
      <c r="J34" s="181"/>
      <c r="K34" s="181"/>
      <c r="L34" s="181"/>
      <c r="M34" s="181"/>
      <c r="N34" s="181"/>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c r="CY34" s="181"/>
      <c r="CZ34" s="181"/>
      <c r="DA34" s="181"/>
      <c r="DB34" s="181"/>
      <c r="DC34" s="181"/>
      <c r="DD34" s="181"/>
      <c r="DE34" s="181"/>
      <c r="DF34" s="181"/>
      <c r="DG34" s="181"/>
      <c r="DH34" s="181"/>
      <c r="DI34" s="181"/>
      <c r="DJ34" s="181"/>
      <c r="DK34" s="181"/>
      <c r="DL34" s="181"/>
      <c r="DM34" s="181"/>
      <c r="DN34" s="181"/>
      <c r="DO34" s="181"/>
      <c r="DP34" s="181"/>
      <c r="DQ34" s="181"/>
      <c r="DR34" s="181"/>
      <c r="DS34" s="181"/>
      <c r="DT34" s="181"/>
      <c r="DU34" s="181"/>
      <c r="DV34" s="181"/>
      <c r="DW34" s="181"/>
      <c r="DX34" s="181"/>
      <c r="DY34" s="181"/>
      <c r="DZ34" s="181"/>
      <c r="EA34" s="181"/>
      <c r="EB34" s="181"/>
      <c r="EC34" s="181"/>
      <c r="ED34" s="181"/>
      <c r="EE34" s="181"/>
      <c r="EF34" s="181"/>
      <c r="EG34" s="181"/>
      <c r="EH34" s="181"/>
      <c r="EI34" s="181"/>
      <c r="EJ34" s="181"/>
      <c r="EK34" s="181"/>
      <c r="EL34" s="181"/>
      <c r="EM34" s="181"/>
      <c r="EN34" s="181"/>
      <c r="EO34" s="181"/>
      <c r="EP34" s="181"/>
      <c r="EQ34" s="181"/>
      <c r="ER34" s="181"/>
      <c r="ES34" s="181"/>
      <c r="ET34" s="181"/>
      <c r="EU34" s="181"/>
      <c r="EV34" s="181"/>
      <c r="EW34" s="181"/>
      <c r="EX34" s="181"/>
      <c r="EY34" s="181"/>
      <c r="EZ34" s="181"/>
      <c r="FA34" s="181"/>
      <c r="FB34" s="181"/>
      <c r="FC34" s="181"/>
      <c r="FD34" s="181"/>
      <c r="FE34" s="181"/>
      <c r="FF34" s="181"/>
      <c r="FG34" s="181"/>
      <c r="FH34" s="181"/>
      <c r="FI34" s="181"/>
      <c r="FJ34" s="181"/>
      <c r="FK34" s="181"/>
      <c r="FL34" s="181"/>
      <c r="FM34" s="181"/>
      <c r="FN34" s="181"/>
      <c r="FO34" s="181"/>
      <c r="FP34" s="181"/>
      <c r="FQ34" s="181"/>
      <c r="FR34" s="181"/>
      <c r="FS34" s="181"/>
      <c r="FT34" s="181"/>
      <c r="FU34" s="181"/>
      <c r="FV34" s="181"/>
      <c r="FW34" s="181"/>
      <c r="FX34" s="181"/>
      <c r="FY34" s="181"/>
      <c r="FZ34" s="181"/>
      <c r="GA34" s="181"/>
      <c r="GB34" s="181"/>
      <c r="GC34" s="181"/>
      <c r="GD34" s="181"/>
      <c r="GE34" s="181"/>
      <c r="GF34" s="181"/>
      <c r="GG34" s="181"/>
      <c r="GH34" s="181"/>
      <c r="GI34" s="181"/>
      <c r="GJ34" s="181"/>
      <c r="GK34" s="181"/>
      <c r="GL34" s="181"/>
      <c r="GM34" s="181"/>
      <c r="GN34" s="181"/>
      <c r="GO34" s="181"/>
      <c r="GP34" s="181"/>
      <c r="GQ34" s="181"/>
      <c r="GR34" s="181"/>
      <c r="GS34" s="181"/>
      <c r="GT34" s="181"/>
      <c r="GU34" s="181"/>
      <c r="GV34" s="181"/>
      <c r="GW34" s="181"/>
      <c r="GX34" s="181"/>
      <c r="GY34" s="181"/>
      <c r="GZ34" s="181"/>
      <c r="HA34" s="181"/>
      <c r="HB34" s="181"/>
      <c r="HC34" s="181"/>
      <c r="HD34" s="181"/>
      <c r="HE34" s="181"/>
      <c r="HF34" s="181"/>
      <c r="HG34" s="181"/>
      <c r="HH34" s="181"/>
      <c r="HI34" s="181"/>
      <c r="HJ34" s="181"/>
      <c r="HK34" s="181"/>
      <c r="HL34" s="181"/>
      <c r="HM34" s="181"/>
      <c r="HN34" s="181"/>
      <c r="HO34" s="181"/>
      <c r="HP34" s="181"/>
      <c r="HQ34" s="181"/>
      <c r="HR34" s="181"/>
      <c r="HS34" s="181"/>
      <c r="HT34" s="181"/>
      <c r="HU34" s="181"/>
      <c r="HV34" s="181"/>
      <c r="HW34" s="181"/>
      <c r="HX34" s="181"/>
      <c r="HY34" s="181"/>
      <c r="HZ34" s="181"/>
      <c r="IA34" s="181"/>
      <c r="IB34" s="181"/>
      <c r="IC34" s="181"/>
      <c r="ID34" s="181"/>
      <c r="IE34" s="181"/>
      <c r="IF34" s="181"/>
      <c r="IG34" s="181"/>
      <c r="IH34" s="181"/>
      <c r="II34" s="181"/>
      <c r="IJ34" s="181"/>
      <c r="IK34" s="181"/>
      <c r="IL34" s="181"/>
      <c r="IM34" s="181"/>
      <c r="IN34" s="181"/>
      <c r="IO34" s="181"/>
      <c r="IP34" s="181"/>
      <c r="IQ34" s="181"/>
      <c r="IR34" s="181"/>
      <c r="IS34" s="181"/>
      <c r="IT34" s="181"/>
      <c r="IU34" s="181"/>
      <c r="IV34" s="181"/>
      <c r="IW34" s="181"/>
      <c r="IX34" s="181"/>
      <c r="IY34" s="181"/>
      <c r="IZ34" s="181"/>
      <c r="JA34" s="181"/>
      <c r="JB34" s="181"/>
      <c r="JC34" s="181"/>
      <c r="JD34" s="181"/>
      <c r="JE34" s="181"/>
      <c r="JF34" s="181"/>
      <c r="JG34" s="181"/>
      <c r="JH34" s="181"/>
      <c r="JI34" s="181"/>
      <c r="JJ34" s="181"/>
      <c r="JK34" s="181"/>
      <c r="JL34" s="181"/>
      <c r="JM34" s="181"/>
      <c r="JN34" s="181"/>
      <c r="JO34" s="181"/>
      <c r="JP34" s="181"/>
      <c r="JQ34" s="181"/>
      <c r="JR34" s="181"/>
      <c r="JS34" s="181"/>
      <c r="JT34" s="181"/>
      <c r="JU34" s="181"/>
      <c r="JV34" s="181"/>
      <c r="JW34" s="181"/>
      <c r="JX34" s="181"/>
      <c r="JY34" s="181"/>
      <c r="JZ34" s="181"/>
      <c r="KA34" s="181"/>
      <c r="KB34" s="181"/>
      <c r="KC34" s="181"/>
      <c r="KD34" s="181"/>
      <c r="KE34" s="181"/>
      <c r="KF34" s="181"/>
      <c r="KG34" s="181"/>
      <c r="KH34" s="181"/>
      <c r="KI34" s="181"/>
      <c r="KJ34" s="181"/>
      <c r="KK34" s="181"/>
      <c r="KL34" s="181"/>
      <c r="KM34" s="181"/>
      <c r="KN34" s="181"/>
      <c r="KO34" s="181"/>
      <c r="KP34" s="181"/>
      <c r="KQ34" s="181"/>
      <c r="KR34" s="181"/>
      <c r="KS34" s="181"/>
      <c r="KT34" s="181"/>
      <c r="KU34" s="181"/>
      <c r="KV34" s="181"/>
      <c r="KW34" s="181"/>
      <c r="KX34" s="181"/>
      <c r="KY34" s="181"/>
      <c r="KZ34" s="181"/>
      <c r="LA34" s="181"/>
      <c r="LB34" s="181"/>
      <c r="LC34" s="181"/>
      <c r="LD34" s="181"/>
      <c r="LE34" s="181"/>
      <c r="LF34" s="181"/>
      <c r="LG34" s="181"/>
      <c r="LH34" s="181"/>
      <c r="LI34" s="181"/>
      <c r="LJ34" s="181"/>
      <c r="LK34" s="181"/>
      <c r="LL34" s="181"/>
      <c r="LM34" s="181"/>
      <c r="LN34" s="181"/>
      <c r="LO34" s="181"/>
      <c r="LP34" s="181"/>
      <c r="LQ34" s="181"/>
      <c r="LR34" s="181"/>
      <c r="LS34" s="181"/>
      <c r="LT34" s="181"/>
      <c r="LU34" s="181"/>
      <c r="LV34" s="181"/>
      <c r="LW34" s="181"/>
      <c r="LX34" s="181"/>
      <c r="LY34" s="181"/>
      <c r="LZ34" s="181"/>
      <c r="MA34" s="181"/>
      <c r="MB34" s="181"/>
      <c r="MC34" s="181"/>
      <c r="MD34" s="181"/>
      <c r="ME34" s="181"/>
      <c r="MF34" s="181"/>
      <c r="MG34" s="181"/>
      <c r="MH34" s="181"/>
      <c r="MI34" s="181"/>
      <c r="MJ34" s="181"/>
      <c r="MK34" s="181"/>
      <c r="ML34" s="181"/>
      <c r="MM34" s="181"/>
      <c r="MN34" s="181"/>
      <c r="MO34" s="181"/>
      <c r="MP34" s="181"/>
      <c r="MQ34" s="181"/>
      <c r="MR34" s="181"/>
      <c r="MS34" s="181"/>
      <c r="MT34" s="181"/>
      <c r="MU34" s="181"/>
      <c r="MV34" s="181"/>
      <c r="MW34" s="181"/>
      <c r="MX34" s="181"/>
      <c r="MY34" s="181"/>
      <c r="MZ34" s="181"/>
      <c r="NA34" s="181"/>
      <c r="NB34" s="181"/>
      <c r="NC34" s="181"/>
      <c r="ND34" s="181"/>
      <c r="NE34" s="181"/>
      <c r="NF34" s="181"/>
      <c r="NG34" s="181"/>
      <c r="NH34" s="181"/>
      <c r="NI34" s="181"/>
      <c r="NJ34" s="181"/>
      <c r="NK34" s="181"/>
      <c r="NL34" s="181"/>
      <c r="NM34" s="181"/>
      <c r="NN34" s="181"/>
      <c r="NO34" s="181"/>
      <c r="NP34" s="181"/>
      <c r="NQ34" s="181"/>
      <c r="NR34" s="181"/>
      <c r="NS34" s="181"/>
      <c r="NT34" s="181"/>
      <c r="NU34" s="181"/>
      <c r="NV34" s="181"/>
      <c r="NW34" s="181"/>
      <c r="NX34" s="181"/>
      <c r="NY34" s="181"/>
      <c r="NZ34" s="181"/>
      <c r="OA34" s="181"/>
      <c r="OB34" s="181"/>
      <c r="OC34" s="181"/>
      <c r="OD34" s="181"/>
      <c r="OE34" s="181"/>
      <c r="OF34" s="181"/>
      <c r="OG34" s="181"/>
      <c r="OH34" s="181"/>
      <c r="OI34" s="181"/>
      <c r="OJ34" s="181"/>
      <c r="OK34" s="181"/>
      <c r="OL34" s="181"/>
      <c r="OM34" s="181"/>
      <c r="ON34" s="181"/>
      <c r="OO34" s="181"/>
      <c r="OP34" s="181"/>
      <c r="OQ34" s="181"/>
      <c r="OR34" s="181"/>
      <c r="OS34" s="181"/>
      <c r="OT34" s="181"/>
      <c r="OU34" s="181"/>
      <c r="OV34" s="181"/>
      <c r="OW34" s="181"/>
      <c r="OX34" s="181"/>
      <c r="OY34" s="181"/>
      <c r="OZ34" s="181"/>
      <c r="PA34" s="181"/>
      <c r="PB34" s="181"/>
      <c r="PC34" s="181"/>
      <c r="PD34" s="181"/>
      <c r="PE34" s="181"/>
      <c r="PF34" s="181"/>
      <c r="PG34" s="181"/>
      <c r="PH34" s="181"/>
      <c r="PI34" s="181"/>
      <c r="PJ34" s="181"/>
      <c r="PK34" s="181"/>
      <c r="PL34" s="181"/>
      <c r="PM34" s="181"/>
      <c r="PN34" s="181"/>
      <c r="PO34" s="181"/>
      <c r="PP34" s="181"/>
      <c r="PQ34" s="181"/>
      <c r="PR34" s="181"/>
      <c r="PS34" s="181"/>
      <c r="PT34" s="181"/>
      <c r="PU34" s="181"/>
      <c r="PV34" s="181"/>
      <c r="PW34" s="181"/>
      <c r="PX34" s="181"/>
      <c r="PY34" s="181"/>
      <c r="PZ34" s="181"/>
      <c r="QA34" s="181"/>
      <c r="QB34" s="181"/>
      <c r="QC34" s="181"/>
      <c r="QD34" s="181"/>
      <c r="QE34" s="181"/>
      <c r="QF34" s="181"/>
      <c r="QG34" s="181"/>
      <c r="QH34" s="181"/>
      <c r="QI34" s="181"/>
      <c r="QJ34" s="181"/>
      <c r="QK34" s="181"/>
      <c r="QL34" s="181"/>
      <c r="QM34" s="181"/>
      <c r="QN34" s="181"/>
      <c r="QO34" s="181"/>
      <c r="QP34" s="181"/>
      <c r="QQ34" s="181"/>
      <c r="QR34" s="181"/>
      <c r="QS34" s="181"/>
      <c r="QT34" s="181"/>
      <c r="QU34" s="181"/>
      <c r="QV34" s="181"/>
      <c r="QW34" s="181"/>
      <c r="QX34" s="181"/>
      <c r="QY34" s="181"/>
      <c r="QZ34" s="181"/>
      <c r="RA34" s="181"/>
      <c r="RB34" s="181"/>
      <c r="RC34" s="181"/>
      <c r="RD34" s="181"/>
      <c r="RE34" s="181"/>
      <c r="RF34" s="181"/>
      <c r="RG34" s="181"/>
      <c r="RH34" s="181"/>
      <c r="RI34" s="181"/>
      <c r="RJ34" s="181"/>
      <c r="RK34" s="181"/>
      <c r="RL34" s="181"/>
      <c r="RM34" s="181"/>
      <c r="RN34" s="181"/>
      <c r="RO34" s="181"/>
      <c r="RP34" s="181"/>
      <c r="RQ34" s="181"/>
      <c r="RR34" s="181"/>
      <c r="RS34" s="181"/>
      <c r="RT34" s="181"/>
      <c r="RU34" s="181"/>
      <c r="RV34" s="181"/>
      <c r="RW34" s="181"/>
      <c r="RX34" s="181"/>
      <c r="RY34" s="181"/>
      <c r="RZ34" s="181"/>
      <c r="SA34" s="181"/>
      <c r="SB34" s="181"/>
      <c r="SC34" s="181"/>
      <c r="SD34" s="181"/>
      <c r="SE34" s="181"/>
      <c r="SF34" s="181"/>
      <c r="SG34" s="181"/>
      <c r="SH34" s="181"/>
      <c r="SI34" s="181"/>
      <c r="SJ34" s="181"/>
      <c r="SK34" s="181"/>
      <c r="SL34" s="181"/>
      <c r="SM34" s="181"/>
      <c r="SN34" s="181"/>
      <c r="SO34" s="181"/>
      <c r="SP34" s="181"/>
      <c r="SQ34" s="181"/>
      <c r="SR34" s="181"/>
      <c r="SS34" s="181"/>
      <c r="ST34" s="181"/>
      <c r="SU34" s="181"/>
      <c r="SV34" s="181"/>
      <c r="SW34" s="181"/>
      <c r="SX34" s="181"/>
      <c r="SY34" s="181"/>
      <c r="SZ34" s="181"/>
      <c r="TA34" s="181"/>
      <c r="TB34" s="181"/>
      <c r="TC34" s="181"/>
      <c r="TD34" s="181"/>
      <c r="TE34" s="181"/>
      <c r="TF34" s="181"/>
      <c r="TG34" s="181"/>
      <c r="TH34" s="181"/>
      <c r="TI34" s="181"/>
      <c r="TJ34" s="181"/>
      <c r="TK34" s="181"/>
      <c r="TL34" s="181"/>
      <c r="TM34" s="181"/>
      <c r="TN34" s="181"/>
      <c r="TO34" s="181"/>
      <c r="TP34" s="181"/>
      <c r="TQ34" s="181"/>
      <c r="TR34" s="181"/>
      <c r="TS34" s="181"/>
      <c r="TT34" s="181"/>
      <c r="TU34" s="181"/>
      <c r="TV34" s="181"/>
      <c r="TW34" s="181"/>
      <c r="TX34" s="181"/>
      <c r="TY34" s="181"/>
      <c r="TZ34" s="181"/>
      <c r="UA34" s="181"/>
      <c r="UB34" s="181"/>
      <c r="UC34" s="181"/>
      <c r="UD34" s="181"/>
      <c r="UE34" s="181"/>
      <c r="UF34" s="181"/>
      <c r="UG34" s="181"/>
      <c r="UH34" s="181"/>
      <c r="UI34" s="181"/>
      <c r="UJ34" s="181"/>
      <c r="UK34" s="181"/>
      <c r="UL34" s="181"/>
      <c r="UM34" s="181"/>
      <c r="UN34" s="181"/>
      <c r="UO34" s="181"/>
      <c r="UP34" s="181"/>
      <c r="UQ34" s="181"/>
      <c r="UR34" s="181"/>
      <c r="US34" s="181"/>
      <c r="UT34" s="181"/>
      <c r="UU34" s="181"/>
      <c r="UV34" s="181"/>
      <c r="UW34" s="181"/>
      <c r="UX34" s="181"/>
      <c r="UY34" s="181"/>
      <c r="UZ34" s="181"/>
      <c r="VA34" s="181"/>
      <c r="VB34" s="181"/>
      <c r="VC34" s="181"/>
      <c r="VD34" s="181"/>
      <c r="VE34" s="181"/>
      <c r="VF34" s="181"/>
      <c r="VG34" s="181"/>
      <c r="VH34" s="181"/>
      <c r="VI34" s="181"/>
      <c r="VJ34" s="181"/>
      <c r="VK34" s="181"/>
      <c r="VL34" s="181"/>
      <c r="VM34" s="181"/>
      <c r="VN34" s="181"/>
      <c r="VO34" s="181"/>
      <c r="VP34" s="181"/>
      <c r="VQ34" s="181"/>
      <c r="VR34" s="181"/>
      <c r="VS34" s="181"/>
      <c r="VT34" s="181"/>
      <c r="VU34" s="181"/>
      <c r="VV34" s="181"/>
      <c r="VW34" s="181"/>
      <c r="VX34" s="181"/>
      <c r="VY34" s="181"/>
      <c r="VZ34" s="181"/>
      <c r="WA34" s="181"/>
      <c r="WB34" s="181"/>
      <c r="WC34" s="181"/>
      <c r="WD34" s="181"/>
      <c r="WE34" s="181"/>
      <c r="WF34" s="181"/>
      <c r="WG34" s="181"/>
      <c r="WH34" s="181"/>
      <c r="WI34" s="181"/>
      <c r="WJ34" s="181"/>
      <c r="WK34" s="181"/>
      <c r="WL34" s="181"/>
      <c r="WM34" s="181"/>
      <c r="WN34" s="181"/>
      <c r="WO34" s="181"/>
      <c r="WP34" s="181"/>
      <c r="WQ34" s="181"/>
      <c r="WR34" s="181"/>
      <c r="WS34" s="181"/>
      <c r="WT34" s="181"/>
      <c r="WU34" s="181"/>
      <c r="WV34" s="181"/>
      <c r="WW34" s="181"/>
      <c r="WX34" s="181"/>
      <c r="WY34" s="181"/>
      <c r="WZ34" s="181"/>
      <c r="XA34" s="181"/>
      <c r="XB34" s="181"/>
      <c r="XC34" s="181"/>
      <c r="XD34" s="181"/>
      <c r="XE34" s="181"/>
      <c r="XF34" s="181"/>
      <c r="XG34" s="181"/>
      <c r="XH34" s="181"/>
      <c r="XI34" s="181"/>
      <c r="XJ34" s="181"/>
      <c r="XK34" s="181"/>
      <c r="XL34" s="181"/>
      <c r="XM34" s="181"/>
      <c r="XN34" s="181"/>
      <c r="XO34" s="181"/>
      <c r="XP34" s="181"/>
      <c r="XQ34" s="181"/>
      <c r="XR34" s="181"/>
      <c r="XS34" s="181"/>
      <c r="XT34" s="181"/>
      <c r="XU34" s="181"/>
      <c r="XV34" s="181"/>
      <c r="XW34" s="181"/>
      <c r="XX34" s="181"/>
      <c r="XY34" s="181"/>
      <c r="XZ34" s="181"/>
      <c r="YA34" s="181"/>
      <c r="YB34" s="181"/>
      <c r="YC34" s="181"/>
      <c r="YD34" s="181"/>
      <c r="YE34" s="181"/>
      <c r="YF34" s="181"/>
      <c r="YG34" s="181"/>
      <c r="YH34" s="181"/>
      <c r="YI34" s="181"/>
      <c r="YJ34" s="181"/>
      <c r="YK34" s="181"/>
      <c r="YL34" s="181"/>
      <c r="YM34" s="181"/>
      <c r="YN34" s="181"/>
      <c r="YO34" s="181"/>
      <c r="YP34" s="181"/>
      <c r="YQ34" s="181"/>
      <c r="YR34" s="181"/>
      <c r="YS34" s="181"/>
      <c r="YT34" s="181"/>
      <c r="YU34" s="181"/>
      <c r="YV34" s="181"/>
      <c r="YW34" s="181"/>
      <c r="YX34" s="181"/>
      <c r="YY34" s="181"/>
      <c r="YZ34" s="181"/>
      <c r="ZA34" s="181"/>
      <c r="ZB34" s="181"/>
      <c r="ZC34" s="181"/>
      <c r="ZD34" s="181"/>
      <c r="ZE34" s="181"/>
      <c r="ZF34" s="181"/>
      <c r="ZG34" s="181"/>
      <c r="ZH34" s="181"/>
      <c r="ZI34" s="181"/>
      <c r="ZJ34" s="181"/>
      <c r="ZK34" s="181"/>
      <c r="ZL34" s="181"/>
      <c r="ZM34" s="181"/>
      <c r="ZN34" s="181"/>
      <c r="ZO34" s="181"/>
      <c r="ZP34" s="181"/>
      <c r="ZQ34" s="181"/>
      <c r="ZR34" s="181"/>
      <c r="ZS34" s="181"/>
      <c r="ZT34" s="181"/>
      <c r="ZU34" s="181"/>
      <c r="ZV34" s="181"/>
      <c r="ZW34" s="181"/>
      <c r="ZX34" s="181"/>
      <c r="ZY34" s="181"/>
      <c r="ZZ34" s="181"/>
      <c r="AAA34" s="181"/>
      <c r="AAB34" s="181"/>
      <c r="AAC34" s="181"/>
      <c r="AAD34" s="181"/>
      <c r="AAE34" s="181"/>
      <c r="AAF34" s="181"/>
      <c r="AAG34" s="181"/>
      <c r="AAH34" s="181"/>
      <c r="AAI34" s="181"/>
      <c r="AAJ34" s="181"/>
      <c r="AAK34" s="181"/>
      <c r="AAL34" s="181"/>
      <c r="AAM34" s="181"/>
      <c r="AAN34" s="181"/>
      <c r="AAO34" s="181"/>
      <c r="AAP34" s="181"/>
      <c r="AAQ34" s="181"/>
      <c r="AAR34" s="181"/>
      <c r="AAS34" s="181"/>
      <c r="AAT34" s="181"/>
      <c r="AAU34" s="181"/>
      <c r="AAV34" s="181"/>
      <c r="AAW34" s="181"/>
      <c r="AAX34" s="181"/>
      <c r="AAY34" s="181"/>
      <c r="AAZ34" s="181"/>
      <c r="ABA34" s="181"/>
      <c r="ABB34" s="181"/>
      <c r="ABC34" s="181"/>
      <c r="ABD34" s="181"/>
      <c r="ABE34" s="181"/>
      <c r="ABF34" s="181"/>
      <c r="ABG34" s="181"/>
      <c r="ABH34" s="181"/>
      <c r="ABI34" s="181"/>
      <c r="ABJ34" s="181"/>
      <c r="ABK34" s="181"/>
      <c r="ABL34" s="181"/>
      <c r="ABM34" s="181"/>
      <c r="ABN34" s="181"/>
      <c r="ABO34" s="181"/>
      <c r="ABP34" s="181"/>
      <c r="ABQ34" s="181"/>
      <c r="ABR34" s="181"/>
      <c r="ABS34" s="181"/>
      <c r="ABT34" s="181"/>
      <c r="ABU34" s="181"/>
      <c r="ABV34" s="181"/>
      <c r="ABW34" s="181"/>
      <c r="ABX34" s="181"/>
      <c r="ABY34" s="181"/>
      <c r="ABZ34" s="181"/>
      <c r="ACA34" s="181"/>
      <c r="ACB34" s="181"/>
      <c r="ACC34" s="181"/>
      <c r="ACD34" s="181"/>
      <c r="ACE34" s="181"/>
      <c r="ACF34" s="181"/>
      <c r="ACG34" s="181"/>
      <c r="ACH34" s="181"/>
      <c r="ACI34" s="181"/>
      <c r="ACJ34" s="181"/>
      <c r="ACK34" s="181"/>
      <c r="ACL34" s="181"/>
      <c r="ACM34" s="181"/>
      <c r="ACN34" s="181"/>
      <c r="ACO34" s="181"/>
      <c r="ACP34" s="181"/>
      <c r="ACQ34" s="181"/>
      <c r="ACR34" s="181"/>
      <c r="ACS34" s="181"/>
      <c r="ACT34" s="181"/>
      <c r="ACU34" s="181"/>
      <c r="ACV34" s="181"/>
      <c r="ACW34" s="181"/>
      <c r="ACX34" s="181"/>
      <c r="ACY34" s="181"/>
      <c r="ACZ34" s="181"/>
      <c r="ADA34" s="181"/>
      <c r="ADB34" s="181"/>
      <c r="ADC34" s="181"/>
      <c r="ADD34" s="181"/>
      <c r="ADE34" s="181"/>
      <c r="ADF34" s="181"/>
      <c r="ADG34" s="181"/>
      <c r="ADH34" s="181"/>
      <c r="ADI34" s="181"/>
      <c r="ADJ34" s="181"/>
      <c r="ADK34" s="181"/>
      <c r="ADL34" s="181"/>
      <c r="ADM34" s="181"/>
      <c r="ADN34" s="181"/>
      <c r="ADO34" s="181"/>
      <c r="ADP34" s="181"/>
      <c r="ADQ34" s="181"/>
      <c r="ADR34" s="181"/>
      <c r="ADS34" s="181"/>
      <c r="ADT34" s="181"/>
      <c r="ADU34" s="181"/>
      <c r="ADV34" s="181"/>
      <c r="ADW34" s="181"/>
      <c r="ADX34" s="181"/>
      <c r="ADY34" s="181"/>
      <c r="ADZ34" s="181"/>
      <c r="AEA34" s="181"/>
      <c r="AEB34" s="181"/>
      <c r="AEC34" s="181"/>
      <c r="AED34" s="181"/>
      <c r="AEE34" s="181"/>
      <c r="AEF34" s="181"/>
      <c r="AEG34" s="181"/>
      <c r="AEH34" s="181"/>
      <c r="AEI34" s="181"/>
      <c r="AEJ34" s="181"/>
      <c r="AEK34" s="181"/>
      <c r="AEL34" s="181"/>
      <c r="AEM34" s="181"/>
      <c r="AEN34" s="181"/>
      <c r="AEO34" s="181"/>
      <c r="AEP34" s="181"/>
      <c r="AEQ34" s="181"/>
      <c r="AER34" s="181"/>
      <c r="AES34" s="181"/>
      <c r="AET34" s="181"/>
      <c r="AEU34" s="181"/>
      <c r="AEV34" s="181"/>
      <c r="AEW34" s="181"/>
      <c r="AEX34" s="181"/>
      <c r="AEY34" s="181"/>
      <c r="AEZ34" s="181"/>
      <c r="AFA34" s="181"/>
      <c r="AFB34" s="181"/>
      <c r="AFC34" s="181"/>
      <c r="AFD34" s="181"/>
      <c r="AFE34" s="181"/>
      <c r="AFF34" s="181"/>
      <c r="AFG34" s="181"/>
      <c r="AFH34" s="181"/>
      <c r="AFI34" s="181"/>
      <c r="AFJ34" s="181"/>
      <c r="AFK34" s="181"/>
      <c r="AFL34" s="181"/>
      <c r="AFM34" s="181"/>
      <c r="AFN34" s="181"/>
      <c r="AFO34" s="181"/>
      <c r="AFP34" s="181"/>
      <c r="AFQ34" s="181"/>
      <c r="AFR34" s="181"/>
      <c r="AFS34" s="181"/>
      <c r="AFT34" s="181"/>
      <c r="AFU34" s="181"/>
      <c r="AFV34" s="181"/>
      <c r="AFW34" s="181"/>
      <c r="AFX34" s="181"/>
      <c r="AFY34" s="181"/>
      <c r="AFZ34" s="181"/>
      <c r="AGA34" s="181"/>
      <c r="AGB34" s="181"/>
      <c r="AGC34" s="181"/>
      <c r="AGD34" s="181"/>
      <c r="AGE34" s="181"/>
      <c r="AGF34" s="181"/>
      <c r="AGG34" s="181"/>
      <c r="AGH34" s="181"/>
      <c r="AGI34" s="181"/>
      <c r="AGJ34" s="181"/>
      <c r="AGK34" s="181"/>
      <c r="AGL34" s="181"/>
      <c r="AGM34" s="181"/>
      <c r="AGN34" s="181"/>
      <c r="AGO34" s="181"/>
      <c r="AGP34" s="181"/>
      <c r="AGQ34" s="181"/>
      <c r="AGR34" s="181"/>
      <c r="AGS34" s="181"/>
      <c r="AGT34" s="181"/>
      <c r="AGU34" s="181"/>
      <c r="AGV34" s="181"/>
      <c r="AGW34" s="181"/>
      <c r="AGX34" s="181"/>
      <c r="AGY34" s="181"/>
      <c r="AGZ34" s="181"/>
      <c r="AHA34" s="181"/>
      <c r="AHB34" s="181"/>
      <c r="AHC34" s="181"/>
      <c r="AHD34" s="181"/>
      <c r="AHE34" s="181"/>
      <c r="AHF34" s="181"/>
      <c r="AHG34" s="181"/>
      <c r="AHH34" s="181"/>
      <c r="AHI34" s="181"/>
      <c r="AHJ34" s="181"/>
      <c r="AHK34" s="181"/>
      <c r="AHL34" s="181"/>
      <c r="AHM34" s="181"/>
      <c r="AHN34" s="181"/>
      <c r="AHO34" s="181"/>
      <c r="AHP34" s="181"/>
      <c r="AHQ34" s="181"/>
      <c r="AHR34" s="181"/>
      <c r="AHS34" s="181"/>
      <c r="AHT34" s="181"/>
      <c r="AHU34" s="181"/>
      <c r="AHV34" s="181"/>
      <c r="AHW34" s="181"/>
      <c r="AHX34" s="181"/>
      <c r="AHY34" s="181"/>
      <c r="AHZ34" s="181"/>
      <c r="AIA34" s="181"/>
      <c r="AIB34" s="181"/>
      <c r="AIC34" s="181"/>
      <c r="AID34" s="181"/>
      <c r="AIE34" s="181"/>
      <c r="AIF34" s="181"/>
      <c r="AIG34" s="181"/>
      <c r="AIH34" s="181"/>
      <c r="AII34" s="181"/>
      <c r="AIJ34" s="181"/>
      <c r="AIK34" s="181"/>
      <c r="AIL34" s="181"/>
      <c r="AIM34" s="181"/>
      <c r="AIN34" s="181"/>
      <c r="AIO34" s="181"/>
      <c r="AIP34" s="181"/>
      <c r="AIQ34" s="181"/>
      <c r="AIR34" s="181"/>
      <c r="AIS34" s="181"/>
      <c r="AIT34" s="181"/>
      <c r="AIU34" s="181"/>
      <c r="AIV34" s="181"/>
      <c r="AIW34" s="181"/>
      <c r="AIX34" s="181"/>
      <c r="AIY34" s="181"/>
      <c r="AIZ34" s="181"/>
      <c r="AJA34" s="181"/>
      <c r="AJB34" s="181"/>
      <c r="AJC34" s="181"/>
      <c r="AJD34" s="181"/>
      <c r="AJE34" s="181"/>
      <c r="AJF34" s="181"/>
      <c r="AJG34" s="181"/>
      <c r="AJH34" s="181"/>
      <c r="AJI34" s="181"/>
      <c r="AJJ34" s="181"/>
      <c r="AJK34" s="181"/>
      <c r="AJL34" s="181"/>
      <c r="AJM34" s="181"/>
      <c r="AJN34" s="181"/>
      <c r="AJO34" s="181"/>
      <c r="AJP34" s="181"/>
      <c r="AJQ34" s="181"/>
      <c r="AJR34" s="181"/>
      <c r="AJS34" s="181"/>
      <c r="AJT34" s="181"/>
      <c r="AJU34" s="181"/>
      <c r="AJV34" s="181"/>
      <c r="AJW34" s="181"/>
      <c r="AJX34" s="181"/>
      <c r="AJY34" s="181"/>
      <c r="AJZ34" s="181"/>
      <c r="AKA34" s="181"/>
      <c r="AKB34" s="181"/>
      <c r="AKC34" s="181"/>
      <c r="AKD34" s="181"/>
      <c r="AKE34" s="181"/>
      <c r="AKF34" s="181"/>
      <c r="AKG34" s="181"/>
      <c r="AKH34" s="181"/>
      <c r="AKI34" s="181"/>
      <c r="AKJ34" s="181"/>
      <c r="AKK34" s="181"/>
      <c r="AKL34" s="181"/>
    </row>
    <row r="35" spans="1:974" s="182" customFormat="1" ht="15" customHeight="1" x14ac:dyDescent="0.3">
      <c r="A35" s="158"/>
      <c r="B35" s="159"/>
      <c r="C35" s="463"/>
      <c r="D35" s="464" t="s">
        <v>2835</v>
      </c>
      <c r="E35" s="465"/>
      <c r="F35" s="466"/>
      <c r="G35" s="127">
        <f>SUM(G34)</f>
        <v>225000</v>
      </c>
      <c r="H35" s="181"/>
      <c r="I35" s="181"/>
      <c r="J35" s="181"/>
      <c r="K35" s="181"/>
      <c r="L35" s="181"/>
      <c r="M35" s="181"/>
      <c r="N35" s="181"/>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c r="CY35" s="181"/>
      <c r="CZ35" s="181"/>
      <c r="DA35" s="181"/>
      <c r="DB35" s="181"/>
      <c r="DC35" s="181"/>
      <c r="DD35" s="181"/>
      <c r="DE35" s="181"/>
      <c r="DF35" s="181"/>
      <c r="DG35" s="181"/>
      <c r="DH35" s="181"/>
      <c r="DI35" s="181"/>
      <c r="DJ35" s="181"/>
      <c r="DK35" s="181"/>
      <c r="DL35" s="181"/>
      <c r="DM35" s="181"/>
      <c r="DN35" s="181"/>
      <c r="DO35" s="181"/>
      <c r="DP35" s="181"/>
      <c r="DQ35" s="181"/>
      <c r="DR35" s="181"/>
      <c r="DS35" s="181"/>
      <c r="DT35" s="181"/>
      <c r="DU35" s="181"/>
      <c r="DV35" s="181"/>
      <c r="DW35" s="181"/>
      <c r="DX35" s="181"/>
      <c r="DY35" s="181"/>
      <c r="DZ35" s="181"/>
      <c r="EA35" s="181"/>
      <c r="EB35" s="181"/>
      <c r="EC35" s="181"/>
      <c r="ED35" s="181"/>
      <c r="EE35" s="181"/>
      <c r="EF35" s="181"/>
      <c r="EG35" s="181"/>
      <c r="EH35" s="181"/>
      <c r="EI35" s="181"/>
      <c r="EJ35" s="181"/>
      <c r="EK35" s="181"/>
      <c r="EL35" s="181"/>
      <c r="EM35" s="181"/>
      <c r="EN35" s="181"/>
      <c r="EO35" s="181"/>
      <c r="EP35" s="181"/>
      <c r="EQ35" s="181"/>
      <c r="ER35" s="181"/>
      <c r="ES35" s="181"/>
      <c r="ET35" s="181"/>
      <c r="EU35" s="181"/>
      <c r="EV35" s="181"/>
      <c r="EW35" s="181"/>
      <c r="EX35" s="181"/>
      <c r="EY35" s="181"/>
      <c r="EZ35" s="181"/>
      <c r="FA35" s="181"/>
      <c r="FB35" s="181"/>
      <c r="FC35" s="181"/>
      <c r="FD35" s="181"/>
      <c r="FE35" s="181"/>
      <c r="FF35" s="181"/>
      <c r="FG35" s="181"/>
      <c r="FH35" s="181"/>
      <c r="FI35" s="181"/>
      <c r="FJ35" s="181"/>
      <c r="FK35" s="181"/>
      <c r="FL35" s="181"/>
      <c r="FM35" s="181"/>
      <c r="FN35" s="181"/>
      <c r="FO35" s="181"/>
      <c r="FP35" s="181"/>
      <c r="FQ35" s="181"/>
      <c r="FR35" s="181"/>
      <c r="FS35" s="181"/>
      <c r="FT35" s="181"/>
      <c r="FU35" s="181"/>
      <c r="FV35" s="181"/>
      <c r="FW35" s="181"/>
      <c r="FX35" s="181"/>
      <c r="FY35" s="181"/>
      <c r="FZ35" s="181"/>
      <c r="GA35" s="181"/>
      <c r="GB35" s="181"/>
      <c r="GC35" s="181"/>
      <c r="GD35" s="181"/>
      <c r="GE35" s="181"/>
      <c r="GF35" s="181"/>
      <c r="GG35" s="181"/>
      <c r="GH35" s="181"/>
      <c r="GI35" s="181"/>
      <c r="GJ35" s="181"/>
      <c r="GK35" s="181"/>
      <c r="GL35" s="181"/>
      <c r="GM35" s="181"/>
      <c r="GN35" s="181"/>
      <c r="GO35" s="181"/>
      <c r="GP35" s="181"/>
      <c r="GQ35" s="181"/>
      <c r="GR35" s="181"/>
      <c r="GS35" s="181"/>
      <c r="GT35" s="181"/>
      <c r="GU35" s="181"/>
      <c r="GV35" s="181"/>
      <c r="GW35" s="181"/>
      <c r="GX35" s="181"/>
      <c r="GY35" s="181"/>
      <c r="GZ35" s="181"/>
      <c r="HA35" s="181"/>
      <c r="HB35" s="181"/>
      <c r="HC35" s="181"/>
      <c r="HD35" s="181"/>
      <c r="HE35" s="181"/>
      <c r="HF35" s="181"/>
      <c r="HG35" s="181"/>
      <c r="HH35" s="181"/>
      <c r="HI35" s="181"/>
      <c r="HJ35" s="181"/>
      <c r="HK35" s="181"/>
      <c r="HL35" s="181"/>
      <c r="HM35" s="181"/>
      <c r="HN35" s="181"/>
      <c r="HO35" s="181"/>
      <c r="HP35" s="181"/>
      <c r="HQ35" s="181"/>
      <c r="HR35" s="181"/>
      <c r="HS35" s="181"/>
      <c r="HT35" s="181"/>
      <c r="HU35" s="181"/>
      <c r="HV35" s="181"/>
      <c r="HW35" s="181"/>
      <c r="HX35" s="181"/>
      <c r="HY35" s="181"/>
      <c r="HZ35" s="181"/>
      <c r="IA35" s="181"/>
      <c r="IB35" s="181"/>
      <c r="IC35" s="181"/>
      <c r="ID35" s="181"/>
      <c r="IE35" s="181"/>
      <c r="IF35" s="181"/>
      <c r="IG35" s="181"/>
      <c r="IH35" s="181"/>
      <c r="II35" s="181"/>
      <c r="IJ35" s="181"/>
      <c r="IK35" s="181"/>
      <c r="IL35" s="181"/>
      <c r="IM35" s="181"/>
      <c r="IN35" s="181"/>
      <c r="IO35" s="181"/>
      <c r="IP35" s="181"/>
      <c r="IQ35" s="181"/>
      <c r="IR35" s="181"/>
      <c r="IS35" s="181"/>
      <c r="IT35" s="181"/>
      <c r="IU35" s="181"/>
      <c r="IV35" s="181"/>
      <c r="IW35" s="181"/>
      <c r="IX35" s="181"/>
      <c r="IY35" s="181"/>
      <c r="IZ35" s="181"/>
      <c r="JA35" s="181"/>
      <c r="JB35" s="181"/>
      <c r="JC35" s="181"/>
      <c r="JD35" s="181"/>
      <c r="JE35" s="181"/>
      <c r="JF35" s="181"/>
      <c r="JG35" s="181"/>
      <c r="JH35" s="181"/>
      <c r="JI35" s="181"/>
      <c r="JJ35" s="181"/>
      <c r="JK35" s="181"/>
      <c r="JL35" s="181"/>
      <c r="JM35" s="181"/>
      <c r="JN35" s="181"/>
      <c r="JO35" s="181"/>
      <c r="JP35" s="181"/>
      <c r="JQ35" s="181"/>
      <c r="JR35" s="181"/>
      <c r="JS35" s="181"/>
      <c r="JT35" s="181"/>
      <c r="JU35" s="181"/>
      <c r="JV35" s="181"/>
      <c r="JW35" s="181"/>
      <c r="JX35" s="181"/>
      <c r="JY35" s="181"/>
      <c r="JZ35" s="181"/>
      <c r="KA35" s="181"/>
      <c r="KB35" s="181"/>
      <c r="KC35" s="181"/>
      <c r="KD35" s="181"/>
      <c r="KE35" s="181"/>
      <c r="KF35" s="181"/>
      <c r="KG35" s="181"/>
      <c r="KH35" s="181"/>
      <c r="KI35" s="181"/>
      <c r="KJ35" s="181"/>
      <c r="KK35" s="181"/>
      <c r="KL35" s="181"/>
      <c r="KM35" s="181"/>
      <c r="KN35" s="181"/>
      <c r="KO35" s="181"/>
      <c r="KP35" s="181"/>
      <c r="KQ35" s="181"/>
      <c r="KR35" s="181"/>
      <c r="KS35" s="181"/>
      <c r="KT35" s="181"/>
      <c r="KU35" s="181"/>
      <c r="KV35" s="181"/>
      <c r="KW35" s="181"/>
      <c r="KX35" s="181"/>
      <c r="KY35" s="181"/>
      <c r="KZ35" s="181"/>
      <c r="LA35" s="181"/>
      <c r="LB35" s="181"/>
      <c r="LC35" s="181"/>
      <c r="LD35" s="181"/>
      <c r="LE35" s="181"/>
      <c r="LF35" s="181"/>
      <c r="LG35" s="181"/>
      <c r="LH35" s="181"/>
      <c r="LI35" s="181"/>
      <c r="LJ35" s="181"/>
      <c r="LK35" s="181"/>
      <c r="LL35" s="181"/>
      <c r="LM35" s="181"/>
      <c r="LN35" s="181"/>
      <c r="LO35" s="181"/>
      <c r="LP35" s="181"/>
      <c r="LQ35" s="181"/>
      <c r="LR35" s="181"/>
      <c r="LS35" s="181"/>
      <c r="LT35" s="181"/>
      <c r="LU35" s="181"/>
      <c r="LV35" s="181"/>
      <c r="LW35" s="181"/>
      <c r="LX35" s="181"/>
      <c r="LY35" s="181"/>
      <c r="LZ35" s="181"/>
      <c r="MA35" s="181"/>
      <c r="MB35" s="181"/>
      <c r="MC35" s="181"/>
      <c r="MD35" s="181"/>
      <c r="ME35" s="181"/>
      <c r="MF35" s="181"/>
      <c r="MG35" s="181"/>
      <c r="MH35" s="181"/>
      <c r="MI35" s="181"/>
      <c r="MJ35" s="181"/>
      <c r="MK35" s="181"/>
      <c r="ML35" s="181"/>
      <c r="MM35" s="181"/>
      <c r="MN35" s="181"/>
      <c r="MO35" s="181"/>
      <c r="MP35" s="181"/>
      <c r="MQ35" s="181"/>
      <c r="MR35" s="181"/>
      <c r="MS35" s="181"/>
      <c r="MT35" s="181"/>
      <c r="MU35" s="181"/>
      <c r="MV35" s="181"/>
      <c r="MW35" s="181"/>
      <c r="MX35" s="181"/>
      <c r="MY35" s="181"/>
      <c r="MZ35" s="181"/>
      <c r="NA35" s="181"/>
      <c r="NB35" s="181"/>
      <c r="NC35" s="181"/>
      <c r="ND35" s="181"/>
      <c r="NE35" s="181"/>
      <c r="NF35" s="181"/>
      <c r="NG35" s="181"/>
      <c r="NH35" s="181"/>
      <c r="NI35" s="181"/>
      <c r="NJ35" s="181"/>
      <c r="NK35" s="181"/>
      <c r="NL35" s="181"/>
      <c r="NM35" s="181"/>
      <c r="NN35" s="181"/>
      <c r="NO35" s="181"/>
      <c r="NP35" s="181"/>
      <c r="NQ35" s="181"/>
      <c r="NR35" s="181"/>
      <c r="NS35" s="181"/>
      <c r="NT35" s="181"/>
      <c r="NU35" s="181"/>
      <c r="NV35" s="181"/>
      <c r="NW35" s="181"/>
      <c r="NX35" s="181"/>
      <c r="NY35" s="181"/>
      <c r="NZ35" s="181"/>
      <c r="OA35" s="181"/>
      <c r="OB35" s="181"/>
      <c r="OC35" s="181"/>
      <c r="OD35" s="181"/>
      <c r="OE35" s="181"/>
      <c r="OF35" s="181"/>
      <c r="OG35" s="181"/>
      <c r="OH35" s="181"/>
      <c r="OI35" s="181"/>
      <c r="OJ35" s="181"/>
      <c r="OK35" s="181"/>
      <c r="OL35" s="181"/>
      <c r="OM35" s="181"/>
      <c r="ON35" s="181"/>
      <c r="OO35" s="181"/>
      <c r="OP35" s="181"/>
      <c r="OQ35" s="181"/>
      <c r="OR35" s="181"/>
      <c r="OS35" s="181"/>
      <c r="OT35" s="181"/>
      <c r="OU35" s="181"/>
      <c r="OV35" s="181"/>
      <c r="OW35" s="181"/>
      <c r="OX35" s="181"/>
      <c r="OY35" s="181"/>
      <c r="OZ35" s="181"/>
      <c r="PA35" s="181"/>
      <c r="PB35" s="181"/>
      <c r="PC35" s="181"/>
      <c r="PD35" s="181"/>
      <c r="PE35" s="181"/>
      <c r="PF35" s="181"/>
      <c r="PG35" s="181"/>
      <c r="PH35" s="181"/>
      <c r="PI35" s="181"/>
      <c r="PJ35" s="181"/>
      <c r="PK35" s="181"/>
      <c r="PL35" s="181"/>
      <c r="PM35" s="181"/>
      <c r="PN35" s="181"/>
      <c r="PO35" s="181"/>
      <c r="PP35" s="181"/>
      <c r="PQ35" s="181"/>
      <c r="PR35" s="181"/>
      <c r="PS35" s="181"/>
      <c r="PT35" s="181"/>
      <c r="PU35" s="181"/>
      <c r="PV35" s="181"/>
      <c r="PW35" s="181"/>
      <c r="PX35" s="181"/>
      <c r="PY35" s="181"/>
      <c r="PZ35" s="181"/>
      <c r="QA35" s="181"/>
      <c r="QB35" s="181"/>
      <c r="QC35" s="181"/>
      <c r="QD35" s="181"/>
      <c r="QE35" s="181"/>
      <c r="QF35" s="181"/>
      <c r="QG35" s="181"/>
      <c r="QH35" s="181"/>
      <c r="QI35" s="181"/>
      <c r="QJ35" s="181"/>
      <c r="QK35" s="181"/>
      <c r="QL35" s="181"/>
      <c r="QM35" s="181"/>
      <c r="QN35" s="181"/>
      <c r="QO35" s="181"/>
      <c r="QP35" s="181"/>
      <c r="QQ35" s="181"/>
      <c r="QR35" s="181"/>
      <c r="QS35" s="181"/>
      <c r="QT35" s="181"/>
      <c r="QU35" s="181"/>
      <c r="QV35" s="181"/>
      <c r="QW35" s="181"/>
      <c r="QX35" s="181"/>
      <c r="QY35" s="181"/>
      <c r="QZ35" s="181"/>
      <c r="RA35" s="181"/>
      <c r="RB35" s="181"/>
      <c r="RC35" s="181"/>
      <c r="RD35" s="181"/>
      <c r="RE35" s="181"/>
      <c r="RF35" s="181"/>
      <c r="RG35" s="181"/>
      <c r="RH35" s="181"/>
      <c r="RI35" s="181"/>
      <c r="RJ35" s="181"/>
      <c r="RK35" s="181"/>
      <c r="RL35" s="181"/>
      <c r="RM35" s="181"/>
      <c r="RN35" s="181"/>
      <c r="RO35" s="181"/>
      <c r="RP35" s="181"/>
      <c r="RQ35" s="181"/>
      <c r="RR35" s="181"/>
      <c r="RS35" s="181"/>
      <c r="RT35" s="181"/>
      <c r="RU35" s="181"/>
      <c r="RV35" s="181"/>
      <c r="RW35" s="181"/>
      <c r="RX35" s="181"/>
      <c r="RY35" s="181"/>
      <c r="RZ35" s="181"/>
      <c r="SA35" s="181"/>
      <c r="SB35" s="181"/>
      <c r="SC35" s="181"/>
      <c r="SD35" s="181"/>
      <c r="SE35" s="181"/>
      <c r="SF35" s="181"/>
      <c r="SG35" s="181"/>
      <c r="SH35" s="181"/>
      <c r="SI35" s="181"/>
      <c r="SJ35" s="181"/>
      <c r="SK35" s="181"/>
      <c r="SL35" s="181"/>
      <c r="SM35" s="181"/>
      <c r="SN35" s="181"/>
      <c r="SO35" s="181"/>
      <c r="SP35" s="181"/>
      <c r="SQ35" s="181"/>
      <c r="SR35" s="181"/>
      <c r="SS35" s="181"/>
      <c r="ST35" s="181"/>
      <c r="SU35" s="181"/>
      <c r="SV35" s="181"/>
      <c r="SW35" s="181"/>
      <c r="SX35" s="181"/>
      <c r="SY35" s="181"/>
      <c r="SZ35" s="181"/>
      <c r="TA35" s="181"/>
      <c r="TB35" s="181"/>
      <c r="TC35" s="181"/>
      <c r="TD35" s="181"/>
      <c r="TE35" s="181"/>
      <c r="TF35" s="181"/>
      <c r="TG35" s="181"/>
      <c r="TH35" s="181"/>
      <c r="TI35" s="181"/>
      <c r="TJ35" s="181"/>
      <c r="TK35" s="181"/>
      <c r="TL35" s="181"/>
      <c r="TM35" s="181"/>
      <c r="TN35" s="181"/>
      <c r="TO35" s="181"/>
      <c r="TP35" s="181"/>
      <c r="TQ35" s="181"/>
      <c r="TR35" s="181"/>
      <c r="TS35" s="181"/>
      <c r="TT35" s="181"/>
      <c r="TU35" s="181"/>
      <c r="TV35" s="181"/>
      <c r="TW35" s="181"/>
      <c r="TX35" s="181"/>
      <c r="TY35" s="181"/>
      <c r="TZ35" s="181"/>
      <c r="UA35" s="181"/>
      <c r="UB35" s="181"/>
      <c r="UC35" s="181"/>
      <c r="UD35" s="181"/>
      <c r="UE35" s="181"/>
      <c r="UF35" s="181"/>
      <c r="UG35" s="181"/>
      <c r="UH35" s="181"/>
      <c r="UI35" s="181"/>
      <c r="UJ35" s="181"/>
      <c r="UK35" s="181"/>
      <c r="UL35" s="181"/>
      <c r="UM35" s="181"/>
      <c r="UN35" s="181"/>
      <c r="UO35" s="181"/>
      <c r="UP35" s="181"/>
      <c r="UQ35" s="181"/>
      <c r="UR35" s="181"/>
      <c r="US35" s="181"/>
      <c r="UT35" s="181"/>
      <c r="UU35" s="181"/>
      <c r="UV35" s="181"/>
      <c r="UW35" s="181"/>
      <c r="UX35" s="181"/>
      <c r="UY35" s="181"/>
      <c r="UZ35" s="181"/>
      <c r="VA35" s="181"/>
      <c r="VB35" s="181"/>
      <c r="VC35" s="181"/>
      <c r="VD35" s="181"/>
      <c r="VE35" s="181"/>
      <c r="VF35" s="181"/>
      <c r="VG35" s="181"/>
      <c r="VH35" s="181"/>
      <c r="VI35" s="181"/>
      <c r="VJ35" s="181"/>
      <c r="VK35" s="181"/>
      <c r="VL35" s="181"/>
      <c r="VM35" s="181"/>
      <c r="VN35" s="181"/>
      <c r="VO35" s="181"/>
      <c r="VP35" s="181"/>
      <c r="VQ35" s="181"/>
      <c r="VR35" s="181"/>
      <c r="VS35" s="181"/>
      <c r="VT35" s="181"/>
      <c r="VU35" s="181"/>
      <c r="VV35" s="181"/>
      <c r="VW35" s="181"/>
      <c r="VX35" s="181"/>
      <c r="VY35" s="181"/>
      <c r="VZ35" s="181"/>
      <c r="WA35" s="181"/>
      <c r="WB35" s="181"/>
      <c r="WC35" s="181"/>
      <c r="WD35" s="181"/>
      <c r="WE35" s="181"/>
      <c r="WF35" s="181"/>
      <c r="WG35" s="181"/>
      <c r="WH35" s="181"/>
      <c r="WI35" s="181"/>
      <c r="WJ35" s="181"/>
      <c r="WK35" s="181"/>
      <c r="WL35" s="181"/>
      <c r="WM35" s="181"/>
      <c r="WN35" s="181"/>
      <c r="WO35" s="181"/>
      <c r="WP35" s="181"/>
      <c r="WQ35" s="181"/>
      <c r="WR35" s="181"/>
      <c r="WS35" s="181"/>
      <c r="WT35" s="181"/>
      <c r="WU35" s="181"/>
      <c r="WV35" s="181"/>
      <c r="WW35" s="181"/>
      <c r="WX35" s="181"/>
      <c r="WY35" s="181"/>
      <c r="WZ35" s="181"/>
      <c r="XA35" s="181"/>
      <c r="XB35" s="181"/>
      <c r="XC35" s="181"/>
      <c r="XD35" s="181"/>
      <c r="XE35" s="181"/>
      <c r="XF35" s="181"/>
      <c r="XG35" s="181"/>
      <c r="XH35" s="181"/>
      <c r="XI35" s="181"/>
      <c r="XJ35" s="181"/>
      <c r="XK35" s="181"/>
      <c r="XL35" s="181"/>
      <c r="XM35" s="181"/>
      <c r="XN35" s="181"/>
      <c r="XO35" s="181"/>
      <c r="XP35" s="181"/>
      <c r="XQ35" s="181"/>
      <c r="XR35" s="181"/>
      <c r="XS35" s="181"/>
      <c r="XT35" s="181"/>
      <c r="XU35" s="181"/>
      <c r="XV35" s="181"/>
      <c r="XW35" s="181"/>
      <c r="XX35" s="181"/>
      <c r="XY35" s="181"/>
      <c r="XZ35" s="181"/>
      <c r="YA35" s="181"/>
      <c r="YB35" s="181"/>
      <c r="YC35" s="181"/>
      <c r="YD35" s="181"/>
      <c r="YE35" s="181"/>
      <c r="YF35" s="181"/>
      <c r="YG35" s="181"/>
      <c r="YH35" s="181"/>
      <c r="YI35" s="181"/>
      <c r="YJ35" s="181"/>
      <c r="YK35" s="181"/>
      <c r="YL35" s="181"/>
      <c r="YM35" s="181"/>
      <c r="YN35" s="181"/>
      <c r="YO35" s="181"/>
      <c r="YP35" s="181"/>
      <c r="YQ35" s="181"/>
      <c r="YR35" s="181"/>
      <c r="YS35" s="181"/>
      <c r="YT35" s="181"/>
      <c r="YU35" s="181"/>
      <c r="YV35" s="181"/>
      <c r="YW35" s="181"/>
      <c r="YX35" s="181"/>
      <c r="YY35" s="181"/>
      <c r="YZ35" s="181"/>
      <c r="ZA35" s="181"/>
      <c r="ZB35" s="181"/>
      <c r="ZC35" s="181"/>
      <c r="ZD35" s="181"/>
      <c r="ZE35" s="181"/>
      <c r="ZF35" s="181"/>
      <c r="ZG35" s="181"/>
      <c r="ZH35" s="181"/>
      <c r="ZI35" s="181"/>
      <c r="ZJ35" s="181"/>
      <c r="ZK35" s="181"/>
      <c r="ZL35" s="181"/>
      <c r="ZM35" s="181"/>
      <c r="ZN35" s="181"/>
      <c r="ZO35" s="181"/>
      <c r="ZP35" s="181"/>
      <c r="ZQ35" s="181"/>
      <c r="ZR35" s="181"/>
      <c r="ZS35" s="181"/>
      <c r="ZT35" s="181"/>
      <c r="ZU35" s="181"/>
      <c r="ZV35" s="181"/>
      <c r="ZW35" s="181"/>
      <c r="ZX35" s="181"/>
      <c r="ZY35" s="181"/>
      <c r="ZZ35" s="181"/>
      <c r="AAA35" s="181"/>
      <c r="AAB35" s="181"/>
      <c r="AAC35" s="181"/>
      <c r="AAD35" s="181"/>
      <c r="AAE35" s="181"/>
      <c r="AAF35" s="181"/>
      <c r="AAG35" s="181"/>
      <c r="AAH35" s="181"/>
      <c r="AAI35" s="181"/>
      <c r="AAJ35" s="181"/>
      <c r="AAK35" s="181"/>
      <c r="AAL35" s="181"/>
      <c r="AAM35" s="181"/>
      <c r="AAN35" s="181"/>
      <c r="AAO35" s="181"/>
      <c r="AAP35" s="181"/>
      <c r="AAQ35" s="181"/>
      <c r="AAR35" s="181"/>
      <c r="AAS35" s="181"/>
      <c r="AAT35" s="181"/>
      <c r="AAU35" s="181"/>
      <c r="AAV35" s="181"/>
      <c r="AAW35" s="181"/>
      <c r="AAX35" s="181"/>
      <c r="AAY35" s="181"/>
      <c r="AAZ35" s="181"/>
      <c r="ABA35" s="181"/>
      <c r="ABB35" s="181"/>
      <c r="ABC35" s="181"/>
      <c r="ABD35" s="181"/>
      <c r="ABE35" s="181"/>
      <c r="ABF35" s="181"/>
      <c r="ABG35" s="181"/>
      <c r="ABH35" s="181"/>
      <c r="ABI35" s="181"/>
      <c r="ABJ35" s="181"/>
      <c r="ABK35" s="181"/>
      <c r="ABL35" s="181"/>
      <c r="ABM35" s="181"/>
      <c r="ABN35" s="181"/>
      <c r="ABO35" s="181"/>
      <c r="ABP35" s="181"/>
      <c r="ABQ35" s="181"/>
      <c r="ABR35" s="181"/>
      <c r="ABS35" s="181"/>
      <c r="ABT35" s="181"/>
      <c r="ABU35" s="181"/>
      <c r="ABV35" s="181"/>
      <c r="ABW35" s="181"/>
      <c r="ABX35" s="181"/>
      <c r="ABY35" s="181"/>
      <c r="ABZ35" s="181"/>
      <c r="ACA35" s="181"/>
      <c r="ACB35" s="181"/>
      <c r="ACC35" s="181"/>
      <c r="ACD35" s="181"/>
      <c r="ACE35" s="181"/>
      <c r="ACF35" s="181"/>
      <c r="ACG35" s="181"/>
      <c r="ACH35" s="181"/>
      <c r="ACI35" s="181"/>
      <c r="ACJ35" s="181"/>
      <c r="ACK35" s="181"/>
      <c r="ACL35" s="181"/>
      <c r="ACM35" s="181"/>
      <c r="ACN35" s="181"/>
      <c r="ACO35" s="181"/>
      <c r="ACP35" s="181"/>
      <c r="ACQ35" s="181"/>
      <c r="ACR35" s="181"/>
      <c r="ACS35" s="181"/>
      <c r="ACT35" s="181"/>
      <c r="ACU35" s="181"/>
      <c r="ACV35" s="181"/>
      <c r="ACW35" s="181"/>
      <c r="ACX35" s="181"/>
      <c r="ACY35" s="181"/>
      <c r="ACZ35" s="181"/>
      <c r="ADA35" s="181"/>
      <c r="ADB35" s="181"/>
      <c r="ADC35" s="181"/>
      <c r="ADD35" s="181"/>
      <c r="ADE35" s="181"/>
      <c r="ADF35" s="181"/>
      <c r="ADG35" s="181"/>
      <c r="ADH35" s="181"/>
      <c r="ADI35" s="181"/>
      <c r="ADJ35" s="181"/>
      <c r="ADK35" s="181"/>
      <c r="ADL35" s="181"/>
      <c r="ADM35" s="181"/>
      <c r="ADN35" s="181"/>
      <c r="ADO35" s="181"/>
      <c r="ADP35" s="181"/>
      <c r="ADQ35" s="181"/>
      <c r="ADR35" s="181"/>
      <c r="ADS35" s="181"/>
      <c r="ADT35" s="181"/>
      <c r="ADU35" s="181"/>
      <c r="ADV35" s="181"/>
      <c r="ADW35" s="181"/>
      <c r="ADX35" s="181"/>
      <c r="ADY35" s="181"/>
      <c r="ADZ35" s="181"/>
      <c r="AEA35" s="181"/>
      <c r="AEB35" s="181"/>
      <c r="AEC35" s="181"/>
      <c r="AED35" s="181"/>
      <c r="AEE35" s="181"/>
      <c r="AEF35" s="181"/>
      <c r="AEG35" s="181"/>
      <c r="AEH35" s="181"/>
      <c r="AEI35" s="181"/>
      <c r="AEJ35" s="181"/>
      <c r="AEK35" s="181"/>
      <c r="AEL35" s="181"/>
      <c r="AEM35" s="181"/>
      <c r="AEN35" s="181"/>
      <c r="AEO35" s="181"/>
      <c r="AEP35" s="181"/>
      <c r="AEQ35" s="181"/>
      <c r="AER35" s="181"/>
      <c r="AES35" s="181"/>
      <c r="AET35" s="181"/>
      <c r="AEU35" s="181"/>
      <c r="AEV35" s="181"/>
      <c r="AEW35" s="181"/>
      <c r="AEX35" s="181"/>
      <c r="AEY35" s="181"/>
      <c r="AEZ35" s="181"/>
      <c r="AFA35" s="181"/>
      <c r="AFB35" s="181"/>
      <c r="AFC35" s="181"/>
      <c r="AFD35" s="181"/>
      <c r="AFE35" s="181"/>
      <c r="AFF35" s="181"/>
      <c r="AFG35" s="181"/>
      <c r="AFH35" s="181"/>
      <c r="AFI35" s="181"/>
      <c r="AFJ35" s="181"/>
      <c r="AFK35" s="181"/>
      <c r="AFL35" s="181"/>
      <c r="AFM35" s="181"/>
      <c r="AFN35" s="181"/>
      <c r="AFO35" s="181"/>
      <c r="AFP35" s="181"/>
      <c r="AFQ35" s="181"/>
      <c r="AFR35" s="181"/>
      <c r="AFS35" s="181"/>
      <c r="AFT35" s="181"/>
      <c r="AFU35" s="181"/>
      <c r="AFV35" s="181"/>
      <c r="AFW35" s="181"/>
      <c r="AFX35" s="181"/>
      <c r="AFY35" s="181"/>
      <c r="AFZ35" s="181"/>
      <c r="AGA35" s="181"/>
      <c r="AGB35" s="181"/>
      <c r="AGC35" s="181"/>
      <c r="AGD35" s="181"/>
      <c r="AGE35" s="181"/>
      <c r="AGF35" s="181"/>
      <c r="AGG35" s="181"/>
      <c r="AGH35" s="181"/>
      <c r="AGI35" s="181"/>
      <c r="AGJ35" s="181"/>
      <c r="AGK35" s="181"/>
      <c r="AGL35" s="181"/>
      <c r="AGM35" s="181"/>
      <c r="AGN35" s="181"/>
      <c r="AGO35" s="181"/>
      <c r="AGP35" s="181"/>
      <c r="AGQ35" s="181"/>
      <c r="AGR35" s="181"/>
      <c r="AGS35" s="181"/>
      <c r="AGT35" s="181"/>
      <c r="AGU35" s="181"/>
      <c r="AGV35" s="181"/>
      <c r="AGW35" s="181"/>
      <c r="AGX35" s="181"/>
      <c r="AGY35" s="181"/>
      <c r="AGZ35" s="181"/>
      <c r="AHA35" s="181"/>
      <c r="AHB35" s="181"/>
      <c r="AHC35" s="181"/>
      <c r="AHD35" s="181"/>
      <c r="AHE35" s="181"/>
      <c r="AHF35" s="181"/>
      <c r="AHG35" s="181"/>
      <c r="AHH35" s="181"/>
      <c r="AHI35" s="181"/>
      <c r="AHJ35" s="181"/>
      <c r="AHK35" s="181"/>
      <c r="AHL35" s="181"/>
      <c r="AHM35" s="181"/>
      <c r="AHN35" s="181"/>
      <c r="AHO35" s="181"/>
      <c r="AHP35" s="181"/>
      <c r="AHQ35" s="181"/>
      <c r="AHR35" s="181"/>
      <c r="AHS35" s="181"/>
      <c r="AHT35" s="181"/>
      <c r="AHU35" s="181"/>
      <c r="AHV35" s="181"/>
      <c r="AHW35" s="181"/>
      <c r="AHX35" s="181"/>
      <c r="AHY35" s="181"/>
      <c r="AHZ35" s="181"/>
      <c r="AIA35" s="181"/>
      <c r="AIB35" s="181"/>
      <c r="AIC35" s="181"/>
      <c r="AID35" s="181"/>
      <c r="AIE35" s="181"/>
      <c r="AIF35" s="181"/>
      <c r="AIG35" s="181"/>
      <c r="AIH35" s="181"/>
      <c r="AII35" s="181"/>
      <c r="AIJ35" s="181"/>
      <c r="AIK35" s="181"/>
      <c r="AIL35" s="181"/>
      <c r="AIM35" s="181"/>
      <c r="AIN35" s="181"/>
      <c r="AIO35" s="181"/>
      <c r="AIP35" s="181"/>
      <c r="AIQ35" s="181"/>
      <c r="AIR35" s="181"/>
      <c r="AIS35" s="181"/>
      <c r="AIT35" s="181"/>
      <c r="AIU35" s="181"/>
      <c r="AIV35" s="181"/>
      <c r="AIW35" s="181"/>
      <c r="AIX35" s="181"/>
      <c r="AIY35" s="181"/>
      <c r="AIZ35" s="181"/>
      <c r="AJA35" s="181"/>
      <c r="AJB35" s="181"/>
      <c r="AJC35" s="181"/>
      <c r="AJD35" s="181"/>
      <c r="AJE35" s="181"/>
      <c r="AJF35" s="181"/>
      <c r="AJG35" s="181"/>
      <c r="AJH35" s="181"/>
      <c r="AJI35" s="181"/>
      <c r="AJJ35" s="181"/>
      <c r="AJK35" s="181"/>
      <c r="AJL35" s="181"/>
      <c r="AJM35" s="181"/>
      <c r="AJN35" s="181"/>
      <c r="AJO35" s="181"/>
      <c r="AJP35" s="181"/>
      <c r="AJQ35" s="181"/>
      <c r="AJR35" s="181"/>
      <c r="AJS35" s="181"/>
      <c r="AJT35" s="181"/>
      <c r="AJU35" s="181"/>
      <c r="AJV35" s="181"/>
      <c r="AJW35" s="181"/>
      <c r="AJX35" s="181"/>
      <c r="AJY35" s="181"/>
      <c r="AJZ35" s="181"/>
      <c r="AKA35" s="181"/>
      <c r="AKB35" s="181"/>
      <c r="AKC35" s="181"/>
      <c r="AKD35" s="181"/>
      <c r="AKE35" s="181"/>
      <c r="AKF35" s="181"/>
      <c r="AKG35" s="181"/>
      <c r="AKH35" s="181"/>
      <c r="AKI35" s="181"/>
      <c r="AKJ35" s="181"/>
      <c r="AKK35" s="181"/>
      <c r="AKL35" s="181"/>
    </row>
    <row r="36" spans="1:974" s="115" customFormat="1" ht="15" customHeight="1" x14ac:dyDescent="0.3">
      <c r="A36" s="116">
        <v>8470230</v>
      </c>
      <c r="B36" s="117">
        <v>425762</v>
      </c>
      <c r="C36" s="462" t="s">
        <v>3090</v>
      </c>
      <c r="D36" s="151" t="s">
        <v>3091</v>
      </c>
      <c r="E36" s="152">
        <v>15</v>
      </c>
      <c r="F36" s="153">
        <v>15000</v>
      </c>
      <c r="G36" s="154">
        <f>E36*F36</f>
        <v>225000</v>
      </c>
      <c r="H36" s="114"/>
      <c r="I36" s="114"/>
      <c r="J36" s="114"/>
      <c r="K36" s="114"/>
      <c r="L36" s="114"/>
      <c r="M36" s="114"/>
      <c r="N36" s="114"/>
      <c r="O36" s="114"/>
      <c r="P36" s="114"/>
      <c r="Q36" s="114"/>
      <c r="R36" s="114"/>
      <c r="S36" s="114"/>
      <c r="T36" s="114"/>
      <c r="U36" s="114"/>
      <c r="V36" s="114"/>
      <c r="W36" s="114"/>
      <c r="X36" s="114"/>
      <c r="Y36" s="114"/>
      <c r="Z36" s="114"/>
      <c r="AA36" s="114"/>
      <c r="AB36" s="114"/>
      <c r="AC36" s="114"/>
      <c r="AD36" s="114"/>
      <c r="AE36" s="114"/>
      <c r="AF36" s="114"/>
      <c r="AG36" s="114"/>
      <c r="AH36" s="114"/>
      <c r="AI36" s="114"/>
      <c r="AJ36" s="114"/>
      <c r="AK36" s="114"/>
      <c r="AL36" s="114"/>
      <c r="AM36" s="114"/>
      <c r="AN36" s="114"/>
      <c r="AO36" s="114"/>
      <c r="AP36" s="114"/>
      <c r="AQ36" s="114"/>
      <c r="AR36" s="114"/>
      <c r="AS36" s="114"/>
      <c r="AT36" s="114"/>
      <c r="AU36" s="114"/>
      <c r="AV36" s="114"/>
      <c r="AW36" s="114"/>
      <c r="AX36" s="114"/>
      <c r="AY36" s="114"/>
      <c r="AZ36" s="114"/>
      <c r="BA36" s="114"/>
      <c r="BB36" s="114"/>
      <c r="BC36" s="114"/>
      <c r="BD36" s="114"/>
      <c r="BE36" s="114"/>
      <c r="BF36" s="114"/>
      <c r="BG36" s="114"/>
      <c r="BH36" s="114"/>
      <c r="BI36" s="114"/>
      <c r="BJ36" s="114"/>
      <c r="BK36" s="114"/>
      <c r="BL36" s="114"/>
      <c r="BM36" s="114"/>
      <c r="BN36" s="114"/>
      <c r="BO36" s="114"/>
      <c r="BP36" s="114"/>
      <c r="BQ36" s="114"/>
      <c r="BR36" s="114"/>
      <c r="BS36" s="114"/>
      <c r="BT36" s="114"/>
      <c r="BU36" s="114"/>
      <c r="BV36" s="114"/>
      <c r="BW36" s="114"/>
      <c r="BX36" s="114"/>
      <c r="BY36" s="114"/>
      <c r="BZ36" s="114"/>
      <c r="CA36" s="114"/>
      <c r="CB36" s="114"/>
      <c r="CC36" s="114"/>
      <c r="CD36" s="114"/>
      <c r="CE36" s="114"/>
      <c r="CF36" s="114"/>
      <c r="CG36" s="114"/>
      <c r="CH36" s="114"/>
      <c r="CI36" s="114"/>
      <c r="CJ36" s="114"/>
      <c r="CK36" s="114"/>
      <c r="CL36" s="114"/>
      <c r="CM36" s="114"/>
      <c r="CN36" s="114"/>
      <c r="CO36" s="114"/>
      <c r="CP36" s="114"/>
      <c r="CQ36" s="114"/>
      <c r="CR36" s="114"/>
      <c r="CS36" s="114"/>
      <c r="CT36" s="114"/>
      <c r="CU36" s="114"/>
      <c r="CV36" s="114"/>
      <c r="CW36" s="114"/>
      <c r="CX36" s="114"/>
      <c r="CY36" s="114"/>
      <c r="CZ36" s="114"/>
      <c r="DA36" s="114"/>
      <c r="DB36" s="114"/>
      <c r="DC36" s="114"/>
      <c r="DD36" s="114"/>
      <c r="DE36" s="114"/>
      <c r="DF36" s="114"/>
      <c r="DG36" s="114"/>
      <c r="DH36" s="114"/>
      <c r="DI36" s="114"/>
      <c r="DJ36" s="114"/>
      <c r="DK36" s="114"/>
      <c r="DL36" s="114"/>
      <c r="DM36" s="114"/>
      <c r="DN36" s="114"/>
      <c r="DO36" s="114"/>
      <c r="DP36" s="114"/>
      <c r="DQ36" s="114"/>
      <c r="DR36" s="114"/>
      <c r="DS36" s="114"/>
      <c r="DT36" s="114"/>
      <c r="DU36" s="114"/>
      <c r="DV36" s="114"/>
      <c r="DW36" s="114"/>
      <c r="DX36" s="114"/>
      <c r="DY36" s="114"/>
      <c r="DZ36" s="114"/>
      <c r="EA36" s="114"/>
      <c r="EB36" s="114"/>
      <c r="EC36" s="114"/>
      <c r="ED36" s="114"/>
      <c r="EE36" s="114"/>
      <c r="EF36" s="114"/>
      <c r="EG36" s="114"/>
      <c r="EH36" s="114"/>
      <c r="EI36" s="114"/>
      <c r="EJ36" s="114"/>
      <c r="EK36" s="114"/>
      <c r="EL36" s="114"/>
      <c r="EM36" s="114"/>
      <c r="EN36" s="114"/>
      <c r="EO36" s="114"/>
      <c r="EP36" s="114"/>
      <c r="EQ36" s="114"/>
      <c r="ER36" s="114"/>
      <c r="ES36" s="114"/>
      <c r="ET36" s="114"/>
      <c r="EU36" s="114"/>
      <c r="EV36" s="114"/>
      <c r="EW36" s="114"/>
      <c r="EX36" s="114"/>
      <c r="EY36" s="114"/>
      <c r="EZ36" s="114"/>
      <c r="FA36" s="114"/>
      <c r="FB36" s="114"/>
      <c r="FC36" s="114"/>
      <c r="FD36" s="114"/>
      <c r="FE36" s="114"/>
      <c r="FF36" s="114"/>
      <c r="FG36" s="114"/>
      <c r="FH36" s="114"/>
      <c r="FI36" s="114"/>
      <c r="FJ36" s="114"/>
      <c r="FK36" s="114"/>
      <c r="FL36" s="114"/>
      <c r="FM36" s="114"/>
      <c r="FN36" s="114"/>
      <c r="FO36" s="114"/>
      <c r="FP36" s="114"/>
      <c r="FQ36" s="114"/>
      <c r="FR36" s="114"/>
      <c r="FS36" s="114"/>
      <c r="FT36" s="114"/>
      <c r="FU36" s="114"/>
      <c r="FV36" s="114"/>
      <c r="FW36" s="114"/>
      <c r="FX36" s="114"/>
      <c r="FY36" s="114"/>
      <c r="FZ36" s="114"/>
      <c r="GA36" s="114"/>
      <c r="GB36" s="114"/>
      <c r="GC36" s="114"/>
      <c r="GD36" s="114"/>
      <c r="GE36" s="114"/>
      <c r="GF36" s="114"/>
      <c r="GG36" s="114"/>
      <c r="GH36" s="114"/>
      <c r="GI36" s="114"/>
      <c r="GJ36" s="114"/>
      <c r="GK36" s="114"/>
      <c r="GL36" s="114"/>
      <c r="GM36" s="114"/>
      <c r="GN36" s="114"/>
      <c r="GO36" s="114"/>
      <c r="GP36" s="114"/>
      <c r="GQ36" s="114"/>
      <c r="GR36" s="114"/>
      <c r="GS36" s="114"/>
      <c r="GT36" s="114"/>
      <c r="GU36" s="114"/>
      <c r="GV36" s="114"/>
      <c r="GW36" s="114"/>
      <c r="GX36" s="114"/>
      <c r="GY36" s="114"/>
      <c r="GZ36" s="114"/>
      <c r="HA36" s="114"/>
      <c r="HB36" s="114"/>
      <c r="HC36" s="114"/>
      <c r="HD36" s="114"/>
      <c r="HE36" s="114"/>
      <c r="HF36" s="114"/>
      <c r="HG36" s="114"/>
      <c r="HH36" s="114"/>
      <c r="HI36" s="114"/>
      <c r="HJ36" s="114"/>
      <c r="HK36" s="114"/>
      <c r="HL36" s="114"/>
      <c r="HM36" s="114"/>
      <c r="HN36" s="114"/>
      <c r="HO36" s="114"/>
      <c r="HP36" s="114"/>
      <c r="HQ36" s="114"/>
      <c r="HR36" s="114"/>
      <c r="HS36" s="114"/>
      <c r="HT36" s="114"/>
      <c r="HU36" s="114"/>
      <c r="HV36" s="114"/>
      <c r="HW36" s="114"/>
      <c r="HX36" s="114"/>
      <c r="HY36" s="114"/>
      <c r="HZ36" s="114"/>
      <c r="IA36" s="114"/>
      <c r="IB36" s="114"/>
      <c r="IC36" s="114"/>
      <c r="ID36" s="114"/>
      <c r="IE36" s="114"/>
      <c r="IF36" s="114"/>
      <c r="IG36" s="114"/>
      <c r="IH36" s="114"/>
      <c r="II36" s="114"/>
      <c r="IJ36" s="114"/>
      <c r="IK36" s="114"/>
      <c r="IL36" s="114"/>
      <c r="IM36" s="114"/>
      <c r="IN36" s="114"/>
      <c r="IO36" s="114"/>
      <c r="IP36" s="114"/>
      <c r="IQ36" s="114"/>
      <c r="IR36" s="114"/>
      <c r="IS36" s="114"/>
      <c r="IT36" s="114"/>
      <c r="IU36" s="114"/>
      <c r="IV36" s="114"/>
      <c r="IW36" s="114"/>
      <c r="IX36" s="114"/>
      <c r="IY36" s="114"/>
      <c r="IZ36" s="114"/>
      <c r="JA36" s="114"/>
      <c r="JB36" s="114"/>
      <c r="JC36" s="114"/>
      <c r="JD36" s="114"/>
      <c r="JE36" s="114"/>
      <c r="JF36" s="114"/>
      <c r="JG36" s="114"/>
      <c r="JH36" s="114"/>
      <c r="JI36" s="114"/>
      <c r="JJ36" s="114"/>
      <c r="JK36" s="114"/>
      <c r="JL36" s="114"/>
      <c r="JM36" s="114"/>
      <c r="JN36" s="114"/>
      <c r="JO36" s="114"/>
      <c r="JP36" s="114"/>
      <c r="JQ36" s="114"/>
      <c r="JR36" s="114"/>
      <c r="JS36" s="114"/>
      <c r="JT36" s="114"/>
      <c r="JU36" s="114"/>
      <c r="JV36" s="114"/>
      <c r="JW36" s="114"/>
      <c r="JX36" s="114"/>
      <c r="JY36" s="114"/>
      <c r="JZ36" s="114"/>
      <c r="KA36" s="114"/>
      <c r="KB36" s="114"/>
      <c r="KC36" s="114"/>
      <c r="KD36" s="114"/>
      <c r="KE36" s="114"/>
      <c r="KF36" s="114"/>
      <c r="KG36" s="114"/>
      <c r="KH36" s="114"/>
      <c r="KI36" s="114"/>
      <c r="KJ36" s="114"/>
      <c r="KK36" s="114"/>
      <c r="KL36" s="114"/>
      <c r="KM36" s="114"/>
      <c r="KN36" s="114"/>
      <c r="KO36" s="114"/>
      <c r="KP36" s="114"/>
      <c r="KQ36" s="114"/>
      <c r="KR36" s="114"/>
      <c r="KS36" s="114"/>
      <c r="KT36" s="114"/>
      <c r="KU36" s="114"/>
      <c r="KV36" s="114"/>
      <c r="KW36" s="114"/>
      <c r="KX36" s="114"/>
      <c r="KY36" s="114"/>
      <c r="KZ36" s="114"/>
      <c r="LA36" s="114"/>
      <c r="LB36" s="114"/>
      <c r="LC36" s="114"/>
      <c r="LD36" s="114"/>
      <c r="LE36" s="114"/>
      <c r="LF36" s="114"/>
      <c r="LG36" s="114"/>
      <c r="LH36" s="114"/>
      <c r="LI36" s="114"/>
      <c r="LJ36" s="114"/>
      <c r="LK36" s="114"/>
      <c r="LL36" s="114"/>
      <c r="LM36" s="114"/>
      <c r="LN36" s="114"/>
      <c r="LO36" s="114"/>
      <c r="LP36" s="114"/>
      <c r="LQ36" s="114"/>
      <c r="LR36" s="114"/>
      <c r="LS36" s="114"/>
      <c r="LT36" s="114"/>
      <c r="LU36" s="114"/>
      <c r="LV36" s="114"/>
      <c r="LW36" s="114"/>
      <c r="LX36" s="114"/>
      <c r="LY36" s="114"/>
      <c r="LZ36" s="114"/>
      <c r="MA36" s="114"/>
      <c r="MB36" s="114"/>
      <c r="MC36" s="114"/>
      <c r="MD36" s="114"/>
      <c r="ME36" s="114"/>
      <c r="MF36" s="114"/>
      <c r="MG36" s="114"/>
      <c r="MH36" s="114"/>
      <c r="MI36" s="114"/>
      <c r="MJ36" s="114"/>
      <c r="MK36" s="114"/>
      <c r="ML36" s="114"/>
      <c r="MM36" s="114"/>
      <c r="MN36" s="114"/>
      <c r="MO36" s="114"/>
      <c r="MP36" s="114"/>
      <c r="MQ36" s="114"/>
      <c r="MR36" s="114"/>
      <c r="MS36" s="114"/>
      <c r="MT36" s="114"/>
      <c r="MU36" s="114"/>
      <c r="MV36" s="114"/>
      <c r="MW36" s="114"/>
      <c r="MX36" s="114"/>
      <c r="MY36" s="114"/>
      <c r="MZ36" s="114"/>
      <c r="NA36" s="114"/>
      <c r="NB36" s="114"/>
      <c r="NC36" s="114"/>
      <c r="ND36" s="114"/>
      <c r="NE36" s="114"/>
      <c r="NF36" s="114"/>
      <c r="NG36" s="114"/>
      <c r="NH36" s="114"/>
      <c r="NI36" s="114"/>
      <c r="NJ36" s="114"/>
      <c r="NK36" s="114"/>
      <c r="NL36" s="114"/>
      <c r="NM36" s="114"/>
      <c r="NN36" s="114"/>
      <c r="NO36" s="114"/>
      <c r="NP36" s="114"/>
      <c r="NQ36" s="114"/>
      <c r="NR36" s="114"/>
      <c r="NS36" s="114"/>
      <c r="NT36" s="114"/>
      <c r="NU36" s="114"/>
      <c r="NV36" s="114"/>
      <c r="NW36" s="114"/>
      <c r="NX36" s="114"/>
      <c r="NY36" s="114"/>
      <c r="NZ36" s="114"/>
      <c r="OA36" s="114"/>
      <c r="OB36" s="114"/>
      <c r="OC36" s="114"/>
      <c r="OD36" s="114"/>
      <c r="OE36" s="114"/>
      <c r="OF36" s="114"/>
      <c r="OG36" s="114"/>
      <c r="OH36" s="114"/>
      <c r="OI36" s="114"/>
      <c r="OJ36" s="114"/>
      <c r="OK36" s="114"/>
      <c r="OL36" s="114"/>
      <c r="OM36" s="114"/>
      <c r="ON36" s="114"/>
      <c r="OO36" s="114"/>
      <c r="OP36" s="114"/>
      <c r="OQ36" s="114"/>
      <c r="OR36" s="114"/>
      <c r="OS36" s="114"/>
      <c r="OT36" s="114"/>
      <c r="OU36" s="114"/>
      <c r="OV36" s="114"/>
      <c r="OW36" s="114"/>
      <c r="OX36" s="114"/>
      <c r="OY36" s="114"/>
      <c r="OZ36" s="114"/>
      <c r="PA36" s="114"/>
      <c r="PB36" s="114"/>
      <c r="PC36" s="114"/>
      <c r="PD36" s="114"/>
      <c r="PE36" s="114"/>
      <c r="PF36" s="114"/>
      <c r="PG36" s="114"/>
      <c r="PH36" s="114"/>
      <c r="PI36" s="114"/>
      <c r="PJ36" s="114"/>
      <c r="PK36" s="114"/>
      <c r="PL36" s="114"/>
      <c r="PM36" s="114"/>
      <c r="PN36" s="114"/>
      <c r="PO36" s="114"/>
      <c r="PP36" s="114"/>
      <c r="PQ36" s="114"/>
      <c r="PR36" s="114"/>
      <c r="PS36" s="114"/>
      <c r="PT36" s="114"/>
      <c r="PU36" s="114"/>
      <c r="PV36" s="114"/>
      <c r="PW36" s="114"/>
      <c r="PX36" s="114"/>
      <c r="PY36" s="114"/>
      <c r="PZ36" s="114"/>
      <c r="QA36" s="114"/>
      <c r="QB36" s="114"/>
      <c r="QC36" s="114"/>
      <c r="QD36" s="114"/>
      <c r="QE36" s="114"/>
      <c r="QF36" s="114"/>
      <c r="QG36" s="114"/>
      <c r="QH36" s="114"/>
      <c r="QI36" s="114"/>
      <c r="QJ36" s="114"/>
      <c r="QK36" s="114"/>
      <c r="QL36" s="114"/>
      <c r="QM36" s="114"/>
      <c r="QN36" s="114"/>
      <c r="QO36" s="114"/>
      <c r="QP36" s="114"/>
      <c r="QQ36" s="114"/>
      <c r="QR36" s="114"/>
      <c r="QS36" s="114"/>
      <c r="QT36" s="114"/>
      <c r="QU36" s="114"/>
      <c r="QV36" s="114"/>
      <c r="QW36" s="114"/>
      <c r="QX36" s="114"/>
      <c r="QY36" s="114"/>
      <c r="QZ36" s="114"/>
      <c r="RA36" s="114"/>
      <c r="RB36" s="114"/>
      <c r="RC36" s="114"/>
      <c r="RD36" s="114"/>
      <c r="RE36" s="114"/>
      <c r="RF36" s="114"/>
      <c r="RG36" s="114"/>
      <c r="RH36" s="114"/>
      <c r="RI36" s="114"/>
      <c r="RJ36" s="114"/>
      <c r="RK36" s="114"/>
      <c r="RL36" s="114"/>
      <c r="RM36" s="114"/>
      <c r="RN36" s="114"/>
      <c r="RO36" s="114"/>
      <c r="RP36" s="114"/>
      <c r="RQ36" s="114"/>
      <c r="RR36" s="114"/>
      <c r="RS36" s="114"/>
      <c r="RT36" s="114"/>
      <c r="RU36" s="114"/>
      <c r="RV36" s="114"/>
      <c r="RW36" s="114"/>
      <c r="RX36" s="114"/>
      <c r="RY36" s="114"/>
      <c r="RZ36" s="114"/>
      <c r="SA36" s="114"/>
      <c r="SB36" s="114"/>
      <c r="SC36" s="114"/>
      <c r="SD36" s="114"/>
      <c r="SE36" s="114"/>
      <c r="SF36" s="114"/>
      <c r="SG36" s="114"/>
      <c r="SH36" s="114"/>
      <c r="SI36" s="114"/>
      <c r="SJ36" s="114"/>
      <c r="SK36" s="114"/>
      <c r="SL36" s="114"/>
      <c r="SM36" s="114"/>
      <c r="SN36" s="114"/>
      <c r="SO36" s="114"/>
      <c r="SP36" s="114"/>
      <c r="SQ36" s="114"/>
      <c r="SR36" s="114"/>
      <c r="SS36" s="114"/>
      <c r="ST36" s="114"/>
      <c r="SU36" s="114"/>
      <c r="SV36" s="114"/>
      <c r="SW36" s="114"/>
      <c r="SX36" s="114"/>
      <c r="SY36" s="114"/>
      <c r="SZ36" s="114"/>
      <c r="TA36" s="114"/>
      <c r="TB36" s="114"/>
      <c r="TC36" s="114"/>
      <c r="TD36" s="114"/>
      <c r="TE36" s="114"/>
      <c r="TF36" s="114"/>
      <c r="TG36" s="114"/>
      <c r="TH36" s="114"/>
      <c r="TI36" s="114"/>
      <c r="TJ36" s="114"/>
      <c r="TK36" s="114"/>
      <c r="TL36" s="114"/>
      <c r="TM36" s="114"/>
      <c r="TN36" s="114"/>
      <c r="TO36" s="114"/>
      <c r="TP36" s="114"/>
      <c r="TQ36" s="114"/>
      <c r="TR36" s="114"/>
      <c r="TS36" s="114"/>
      <c r="TT36" s="114"/>
      <c r="TU36" s="114"/>
      <c r="TV36" s="114"/>
      <c r="TW36" s="114"/>
      <c r="TX36" s="114"/>
      <c r="TY36" s="114"/>
      <c r="TZ36" s="114"/>
      <c r="UA36" s="114"/>
      <c r="UB36" s="114"/>
      <c r="UC36" s="114"/>
      <c r="UD36" s="114"/>
      <c r="UE36" s="114"/>
      <c r="UF36" s="114"/>
      <c r="UG36" s="114"/>
      <c r="UH36" s="114"/>
      <c r="UI36" s="114"/>
      <c r="UJ36" s="114"/>
      <c r="UK36" s="114"/>
      <c r="UL36" s="114"/>
      <c r="UM36" s="114"/>
      <c r="UN36" s="114"/>
      <c r="UO36" s="114"/>
      <c r="UP36" s="114"/>
      <c r="UQ36" s="114"/>
      <c r="UR36" s="114"/>
      <c r="US36" s="114"/>
      <c r="UT36" s="114"/>
      <c r="UU36" s="114"/>
      <c r="UV36" s="114"/>
      <c r="UW36" s="114"/>
      <c r="UX36" s="114"/>
      <c r="UY36" s="114"/>
      <c r="UZ36" s="114"/>
      <c r="VA36" s="114"/>
      <c r="VB36" s="114"/>
      <c r="VC36" s="114"/>
      <c r="VD36" s="114"/>
      <c r="VE36" s="114"/>
      <c r="VF36" s="114"/>
      <c r="VG36" s="114"/>
      <c r="VH36" s="114"/>
      <c r="VI36" s="114"/>
      <c r="VJ36" s="114"/>
      <c r="VK36" s="114"/>
      <c r="VL36" s="114"/>
      <c r="VM36" s="114"/>
      <c r="VN36" s="114"/>
      <c r="VO36" s="114"/>
      <c r="VP36" s="114"/>
      <c r="VQ36" s="114"/>
      <c r="VR36" s="114"/>
      <c r="VS36" s="114"/>
      <c r="VT36" s="114"/>
      <c r="VU36" s="114"/>
      <c r="VV36" s="114"/>
      <c r="VW36" s="114"/>
      <c r="VX36" s="114"/>
      <c r="VY36" s="114"/>
      <c r="VZ36" s="114"/>
      <c r="WA36" s="114"/>
      <c r="WB36" s="114"/>
      <c r="WC36" s="114"/>
      <c r="WD36" s="114"/>
      <c r="WE36" s="114"/>
      <c r="WF36" s="114"/>
      <c r="WG36" s="114"/>
      <c r="WH36" s="114"/>
      <c r="WI36" s="114"/>
      <c r="WJ36" s="114"/>
      <c r="WK36" s="114"/>
      <c r="WL36" s="114"/>
      <c r="WM36" s="114"/>
      <c r="WN36" s="114"/>
      <c r="WO36" s="114"/>
      <c r="WP36" s="114"/>
      <c r="WQ36" s="114"/>
      <c r="WR36" s="114"/>
      <c r="WS36" s="114"/>
      <c r="WT36" s="114"/>
      <c r="WU36" s="114"/>
      <c r="WV36" s="114"/>
      <c r="WW36" s="114"/>
      <c r="WX36" s="114"/>
      <c r="WY36" s="114"/>
      <c r="WZ36" s="114"/>
      <c r="XA36" s="114"/>
      <c r="XB36" s="114"/>
      <c r="XC36" s="114"/>
      <c r="XD36" s="114"/>
      <c r="XE36" s="114"/>
      <c r="XF36" s="114"/>
      <c r="XG36" s="114"/>
      <c r="XH36" s="114"/>
      <c r="XI36" s="114"/>
      <c r="XJ36" s="114"/>
      <c r="XK36" s="114"/>
      <c r="XL36" s="114"/>
      <c r="XM36" s="114"/>
      <c r="XN36" s="114"/>
      <c r="XO36" s="114"/>
      <c r="XP36" s="114"/>
      <c r="XQ36" s="114"/>
      <c r="XR36" s="114"/>
      <c r="XS36" s="114"/>
      <c r="XT36" s="114"/>
      <c r="XU36" s="114"/>
      <c r="XV36" s="114"/>
      <c r="XW36" s="114"/>
      <c r="XX36" s="114"/>
      <c r="XY36" s="114"/>
      <c r="XZ36" s="114"/>
      <c r="YA36" s="114"/>
      <c r="YB36" s="114"/>
      <c r="YC36" s="114"/>
      <c r="YD36" s="114"/>
      <c r="YE36" s="114"/>
      <c r="YF36" s="114"/>
      <c r="YG36" s="114"/>
      <c r="YH36" s="114"/>
      <c r="YI36" s="114"/>
      <c r="YJ36" s="114"/>
      <c r="YK36" s="114"/>
      <c r="YL36" s="114"/>
      <c r="YM36" s="114"/>
      <c r="YN36" s="114"/>
      <c r="YO36" s="114"/>
      <c r="YP36" s="114"/>
      <c r="YQ36" s="114"/>
      <c r="YR36" s="114"/>
      <c r="YS36" s="114"/>
      <c r="YT36" s="114"/>
      <c r="YU36" s="114"/>
      <c r="YV36" s="114"/>
      <c r="YW36" s="114"/>
      <c r="YX36" s="114"/>
      <c r="YY36" s="114"/>
      <c r="YZ36" s="114"/>
      <c r="ZA36" s="114"/>
      <c r="ZB36" s="114"/>
      <c r="ZC36" s="114"/>
      <c r="ZD36" s="114"/>
      <c r="ZE36" s="114"/>
      <c r="ZF36" s="114"/>
      <c r="ZG36" s="114"/>
      <c r="ZH36" s="114"/>
      <c r="ZI36" s="114"/>
      <c r="ZJ36" s="114"/>
      <c r="ZK36" s="114"/>
      <c r="ZL36" s="114"/>
      <c r="ZM36" s="114"/>
      <c r="ZN36" s="114"/>
      <c r="ZO36" s="114"/>
      <c r="ZP36" s="114"/>
      <c r="ZQ36" s="114"/>
      <c r="ZR36" s="114"/>
      <c r="ZS36" s="114"/>
      <c r="ZT36" s="114"/>
      <c r="ZU36" s="114"/>
      <c r="ZV36" s="114"/>
      <c r="ZW36" s="114"/>
      <c r="ZX36" s="114"/>
      <c r="ZY36" s="114"/>
      <c r="ZZ36" s="114"/>
      <c r="AAA36" s="114"/>
      <c r="AAB36" s="114"/>
      <c r="AAC36" s="114"/>
      <c r="AAD36" s="114"/>
      <c r="AAE36" s="114"/>
      <c r="AAF36" s="114"/>
      <c r="AAG36" s="114"/>
      <c r="AAH36" s="114"/>
      <c r="AAI36" s="114"/>
      <c r="AAJ36" s="114"/>
      <c r="AAK36" s="114"/>
      <c r="AAL36" s="114"/>
      <c r="AAM36" s="114"/>
      <c r="AAN36" s="114"/>
      <c r="AAO36" s="114"/>
      <c r="AAP36" s="114"/>
      <c r="AAQ36" s="114"/>
      <c r="AAR36" s="114"/>
      <c r="AAS36" s="114"/>
      <c r="AAT36" s="114"/>
      <c r="AAU36" s="114"/>
      <c r="AAV36" s="114"/>
      <c r="AAW36" s="114"/>
      <c r="AAX36" s="114"/>
      <c r="AAY36" s="114"/>
      <c r="AAZ36" s="114"/>
      <c r="ABA36" s="114"/>
      <c r="ABB36" s="114"/>
      <c r="ABC36" s="114"/>
      <c r="ABD36" s="114"/>
      <c r="ABE36" s="114"/>
      <c r="ABF36" s="114"/>
      <c r="ABG36" s="114"/>
      <c r="ABH36" s="114"/>
      <c r="ABI36" s="114"/>
      <c r="ABJ36" s="114"/>
      <c r="ABK36" s="114"/>
      <c r="ABL36" s="114"/>
      <c r="ABM36" s="114"/>
      <c r="ABN36" s="114"/>
      <c r="ABO36" s="114"/>
      <c r="ABP36" s="114"/>
      <c r="ABQ36" s="114"/>
      <c r="ABR36" s="114"/>
      <c r="ABS36" s="114"/>
      <c r="ABT36" s="114"/>
      <c r="ABU36" s="114"/>
      <c r="ABV36" s="114"/>
      <c r="ABW36" s="114"/>
      <c r="ABX36" s="114"/>
      <c r="ABY36" s="114"/>
      <c r="ABZ36" s="114"/>
      <c r="ACA36" s="114"/>
      <c r="ACB36" s="114"/>
      <c r="ACC36" s="114"/>
      <c r="ACD36" s="114"/>
      <c r="ACE36" s="114"/>
      <c r="ACF36" s="114"/>
      <c r="ACG36" s="114"/>
      <c r="ACH36" s="114"/>
      <c r="ACI36" s="114"/>
      <c r="ACJ36" s="114"/>
      <c r="ACK36" s="114"/>
      <c r="ACL36" s="114"/>
      <c r="ACM36" s="114"/>
      <c r="ACN36" s="114"/>
      <c r="ACO36" s="114"/>
      <c r="ACP36" s="114"/>
      <c r="ACQ36" s="114"/>
      <c r="ACR36" s="114"/>
      <c r="ACS36" s="114"/>
      <c r="ACT36" s="114"/>
      <c r="ACU36" s="114"/>
      <c r="ACV36" s="114"/>
      <c r="ACW36" s="114"/>
      <c r="ACX36" s="114"/>
      <c r="ACY36" s="114"/>
      <c r="ACZ36" s="114"/>
      <c r="ADA36" s="114"/>
      <c r="ADB36" s="114"/>
      <c r="ADC36" s="114"/>
      <c r="ADD36" s="114"/>
      <c r="ADE36" s="114"/>
      <c r="ADF36" s="114"/>
      <c r="ADG36" s="114"/>
      <c r="ADH36" s="114"/>
      <c r="ADI36" s="114"/>
      <c r="ADJ36" s="114"/>
      <c r="ADK36" s="114"/>
      <c r="ADL36" s="114"/>
      <c r="ADM36" s="114"/>
      <c r="ADN36" s="114"/>
      <c r="ADO36" s="114"/>
      <c r="ADP36" s="114"/>
      <c r="ADQ36" s="114"/>
      <c r="ADR36" s="114"/>
      <c r="ADS36" s="114"/>
      <c r="ADT36" s="114"/>
      <c r="ADU36" s="114"/>
      <c r="ADV36" s="114"/>
      <c r="ADW36" s="114"/>
      <c r="ADX36" s="114"/>
      <c r="ADY36" s="114"/>
      <c r="ADZ36" s="114"/>
      <c r="AEA36" s="114"/>
      <c r="AEB36" s="114"/>
      <c r="AEC36" s="114"/>
      <c r="AED36" s="114"/>
      <c r="AEE36" s="114"/>
      <c r="AEF36" s="114"/>
      <c r="AEG36" s="114"/>
      <c r="AEH36" s="114"/>
      <c r="AEI36" s="114"/>
      <c r="AEJ36" s="114"/>
      <c r="AEK36" s="114"/>
      <c r="AEL36" s="114"/>
      <c r="AEM36" s="114"/>
      <c r="AEN36" s="114"/>
      <c r="AEO36" s="114"/>
      <c r="AEP36" s="114"/>
      <c r="AEQ36" s="114"/>
      <c r="AER36" s="114"/>
      <c r="AES36" s="114"/>
      <c r="AET36" s="114"/>
      <c r="AEU36" s="114"/>
      <c r="AEV36" s="114"/>
      <c r="AEW36" s="114"/>
      <c r="AEX36" s="114"/>
      <c r="AEY36" s="114"/>
      <c r="AEZ36" s="114"/>
      <c r="AFA36" s="114"/>
      <c r="AFB36" s="114"/>
      <c r="AFC36" s="114"/>
      <c r="AFD36" s="114"/>
      <c r="AFE36" s="114"/>
      <c r="AFF36" s="114"/>
      <c r="AFG36" s="114"/>
      <c r="AFH36" s="114"/>
      <c r="AFI36" s="114"/>
      <c r="AFJ36" s="114"/>
      <c r="AFK36" s="114"/>
      <c r="AFL36" s="114"/>
      <c r="AFM36" s="114"/>
      <c r="AFN36" s="114"/>
      <c r="AFO36" s="114"/>
      <c r="AFP36" s="114"/>
      <c r="AFQ36" s="114"/>
      <c r="AFR36" s="114"/>
      <c r="AFS36" s="114"/>
      <c r="AFT36" s="114"/>
      <c r="AFU36" s="114"/>
      <c r="AFV36" s="114"/>
      <c r="AFW36" s="114"/>
      <c r="AFX36" s="114"/>
      <c r="AFY36" s="114"/>
      <c r="AFZ36" s="114"/>
      <c r="AGA36" s="114"/>
      <c r="AGB36" s="114"/>
      <c r="AGC36" s="114"/>
      <c r="AGD36" s="114"/>
      <c r="AGE36" s="114"/>
      <c r="AGF36" s="114"/>
      <c r="AGG36" s="114"/>
      <c r="AGH36" s="114"/>
      <c r="AGI36" s="114"/>
      <c r="AGJ36" s="114"/>
      <c r="AGK36" s="114"/>
      <c r="AGL36" s="114"/>
      <c r="AGM36" s="114"/>
      <c r="AGN36" s="114"/>
      <c r="AGO36" s="114"/>
      <c r="AGP36" s="114"/>
      <c r="AGQ36" s="114"/>
      <c r="AGR36" s="114"/>
      <c r="AGS36" s="114"/>
      <c r="AGT36" s="114"/>
      <c r="AGU36" s="114"/>
      <c r="AGV36" s="114"/>
      <c r="AGW36" s="114"/>
      <c r="AGX36" s="114"/>
      <c r="AGY36" s="114"/>
      <c r="AGZ36" s="114"/>
      <c r="AHA36" s="114"/>
      <c r="AHB36" s="114"/>
      <c r="AHC36" s="114"/>
      <c r="AHD36" s="114"/>
      <c r="AHE36" s="114"/>
      <c r="AHF36" s="114"/>
      <c r="AHG36" s="114"/>
      <c r="AHH36" s="114"/>
      <c r="AHI36" s="114"/>
      <c r="AHJ36" s="114"/>
      <c r="AHK36" s="114"/>
      <c r="AHL36" s="114"/>
      <c r="AHM36" s="114"/>
      <c r="AHN36" s="114"/>
      <c r="AHO36" s="114"/>
      <c r="AHP36" s="114"/>
      <c r="AHQ36" s="114"/>
      <c r="AHR36" s="114"/>
      <c r="AHS36" s="114"/>
      <c r="AHT36" s="114"/>
      <c r="AHU36" s="114"/>
      <c r="AHV36" s="114"/>
      <c r="AHW36" s="114"/>
      <c r="AHX36" s="114"/>
      <c r="AHY36" s="114"/>
      <c r="AHZ36" s="114"/>
      <c r="AIA36" s="114"/>
      <c r="AIB36" s="114"/>
      <c r="AIC36" s="114"/>
      <c r="AID36" s="114"/>
      <c r="AIE36" s="114"/>
      <c r="AIF36" s="114"/>
      <c r="AIG36" s="114"/>
      <c r="AIH36" s="114"/>
      <c r="AII36" s="114"/>
      <c r="AIJ36" s="114"/>
      <c r="AIK36" s="114"/>
      <c r="AIL36" s="114"/>
      <c r="AIM36" s="114"/>
      <c r="AIN36" s="114"/>
      <c r="AIO36" s="114"/>
      <c r="AIP36" s="114"/>
      <c r="AIQ36" s="114"/>
      <c r="AIR36" s="114"/>
      <c r="AIS36" s="114"/>
      <c r="AIT36" s="114"/>
      <c r="AIU36" s="114"/>
      <c r="AIV36" s="114"/>
      <c r="AIW36" s="114"/>
      <c r="AIX36" s="114"/>
      <c r="AIY36" s="114"/>
      <c r="AIZ36" s="114"/>
      <c r="AJA36" s="114"/>
      <c r="AJB36" s="114"/>
      <c r="AJC36" s="114"/>
      <c r="AJD36" s="114"/>
      <c r="AJE36" s="114"/>
      <c r="AJF36" s="114"/>
      <c r="AJG36" s="114"/>
      <c r="AJH36" s="114"/>
      <c r="AJI36" s="114"/>
      <c r="AJJ36" s="114"/>
      <c r="AJK36" s="114"/>
      <c r="AJL36" s="114"/>
      <c r="AJM36" s="114"/>
      <c r="AJN36" s="114"/>
      <c r="AJO36" s="114"/>
      <c r="AJP36" s="114"/>
      <c r="AJQ36" s="114"/>
      <c r="AJR36" s="114"/>
      <c r="AJS36" s="114"/>
      <c r="AJT36" s="114"/>
      <c r="AJU36" s="114"/>
      <c r="AJV36" s="114"/>
      <c r="AJW36" s="114"/>
      <c r="AJX36" s="114"/>
      <c r="AJY36" s="114"/>
      <c r="AJZ36" s="114"/>
      <c r="AKA36" s="114"/>
      <c r="AKB36" s="114"/>
      <c r="AKC36" s="114"/>
      <c r="AKD36" s="114"/>
      <c r="AKE36" s="114"/>
      <c r="AKF36" s="114"/>
      <c r="AKG36" s="114"/>
      <c r="AKH36" s="114"/>
      <c r="AKI36" s="114"/>
      <c r="AKJ36" s="114"/>
      <c r="AKK36" s="114"/>
      <c r="AKL36" s="114"/>
    </row>
    <row r="37" spans="1:974" s="115" customFormat="1" ht="15" customHeight="1" x14ac:dyDescent="0.3">
      <c r="A37" s="158"/>
      <c r="B37" s="159"/>
      <c r="C37" s="463"/>
      <c r="D37" s="464" t="s">
        <v>2836</v>
      </c>
      <c r="E37" s="465"/>
      <c r="F37" s="466"/>
      <c r="G37" s="127">
        <f>SUM(G36)</f>
        <v>225000</v>
      </c>
      <c r="H37" s="114"/>
      <c r="I37" s="114"/>
      <c r="J37" s="114"/>
      <c r="K37" s="114"/>
      <c r="L37" s="114"/>
      <c r="M37" s="114"/>
      <c r="N37" s="114"/>
      <c r="O37" s="114"/>
      <c r="P37" s="114"/>
      <c r="Q37" s="114"/>
      <c r="R37" s="114"/>
      <c r="S37" s="114"/>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4"/>
      <c r="AX37" s="114"/>
      <c r="AY37" s="114"/>
      <c r="AZ37" s="114"/>
      <c r="BA37" s="114"/>
      <c r="BB37" s="114"/>
      <c r="BC37" s="114"/>
      <c r="BD37" s="114"/>
      <c r="BE37" s="114"/>
      <c r="BF37" s="114"/>
      <c r="BG37" s="114"/>
      <c r="BH37" s="114"/>
      <c r="BI37" s="114"/>
      <c r="BJ37" s="114"/>
      <c r="BK37" s="114"/>
      <c r="BL37" s="114"/>
      <c r="BM37" s="114"/>
      <c r="BN37" s="114"/>
      <c r="BO37" s="114"/>
      <c r="BP37" s="114"/>
      <c r="BQ37" s="114"/>
      <c r="BR37" s="114"/>
      <c r="BS37" s="114"/>
      <c r="BT37" s="114"/>
      <c r="BU37" s="114"/>
      <c r="BV37" s="114"/>
      <c r="BW37" s="114"/>
      <c r="BX37" s="114"/>
      <c r="BY37" s="114"/>
      <c r="BZ37" s="114"/>
      <c r="CA37" s="114"/>
      <c r="CB37" s="114"/>
      <c r="CC37" s="114"/>
      <c r="CD37" s="114"/>
      <c r="CE37" s="114"/>
      <c r="CF37" s="114"/>
      <c r="CG37" s="114"/>
      <c r="CH37" s="114"/>
      <c r="CI37" s="114"/>
      <c r="CJ37" s="114"/>
      <c r="CK37" s="114"/>
      <c r="CL37" s="114"/>
      <c r="CM37" s="114"/>
      <c r="CN37" s="114"/>
      <c r="CO37" s="114"/>
      <c r="CP37" s="114"/>
      <c r="CQ37" s="114"/>
      <c r="CR37" s="114"/>
      <c r="CS37" s="114"/>
      <c r="CT37" s="114"/>
      <c r="CU37" s="114"/>
      <c r="CV37" s="114"/>
      <c r="CW37" s="114"/>
      <c r="CX37" s="114"/>
      <c r="CY37" s="114"/>
      <c r="CZ37" s="114"/>
      <c r="DA37" s="114"/>
      <c r="DB37" s="114"/>
      <c r="DC37" s="114"/>
      <c r="DD37" s="114"/>
      <c r="DE37" s="114"/>
      <c r="DF37" s="114"/>
      <c r="DG37" s="114"/>
      <c r="DH37" s="114"/>
      <c r="DI37" s="114"/>
      <c r="DJ37" s="114"/>
      <c r="DK37" s="114"/>
      <c r="DL37" s="114"/>
      <c r="DM37" s="114"/>
      <c r="DN37" s="114"/>
      <c r="DO37" s="114"/>
      <c r="DP37" s="114"/>
      <c r="DQ37" s="114"/>
      <c r="DR37" s="114"/>
      <c r="DS37" s="114"/>
      <c r="DT37" s="114"/>
      <c r="DU37" s="114"/>
      <c r="DV37" s="114"/>
      <c r="DW37" s="114"/>
      <c r="DX37" s="114"/>
      <c r="DY37" s="114"/>
      <c r="DZ37" s="114"/>
      <c r="EA37" s="114"/>
      <c r="EB37" s="114"/>
      <c r="EC37" s="114"/>
      <c r="ED37" s="114"/>
      <c r="EE37" s="114"/>
      <c r="EF37" s="114"/>
      <c r="EG37" s="114"/>
      <c r="EH37" s="114"/>
      <c r="EI37" s="114"/>
      <c r="EJ37" s="114"/>
      <c r="EK37" s="114"/>
      <c r="EL37" s="114"/>
      <c r="EM37" s="114"/>
      <c r="EN37" s="114"/>
      <c r="EO37" s="114"/>
      <c r="EP37" s="114"/>
      <c r="EQ37" s="114"/>
      <c r="ER37" s="114"/>
      <c r="ES37" s="114"/>
      <c r="ET37" s="114"/>
      <c r="EU37" s="114"/>
      <c r="EV37" s="114"/>
      <c r="EW37" s="114"/>
      <c r="EX37" s="114"/>
      <c r="EY37" s="114"/>
      <c r="EZ37" s="114"/>
      <c r="FA37" s="114"/>
      <c r="FB37" s="114"/>
      <c r="FC37" s="114"/>
      <c r="FD37" s="114"/>
      <c r="FE37" s="114"/>
      <c r="FF37" s="114"/>
      <c r="FG37" s="114"/>
      <c r="FH37" s="114"/>
      <c r="FI37" s="114"/>
      <c r="FJ37" s="114"/>
      <c r="FK37" s="114"/>
      <c r="FL37" s="114"/>
      <c r="FM37" s="114"/>
      <c r="FN37" s="114"/>
      <c r="FO37" s="114"/>
      <c r="FP37" s="114"/>
      <c r="FQ37" s="114"/>
      <c r="FR37" s="114"/>
      <c r="FS37" s="114"/>
      <c r="FT37" s="114"/>
      <c r="FU37" s="114"/>
      <c r="FV37" s="114"/>
      <c r="FW37" s="114"/>
      <c r="FX37" s="114"/>
      <c r="FY37" s="114"/>
      <c r="FZ37" s="114"/>
      <c r="GA37" s="114"/>
      <c r="GB37" s="114"/>
      <c r="GC37" s="114"/>
      <c r="GD37" s="114"/>
      <c r="GE37" s="114"/>
      <c r="GF37" s="114"/>
      <c r="GG37" s="114"/>
      <c r="GH37" s="114"/>
      <c r="GI37" s="114"/>
      <c r="GJ37" s="114"/>
      <c r="GK37" s="114"/>
      <c r="GL37" s="114"/>
      <c r="GM37" s="114"/>
      <c r="GN37" s="114"/>
      <c r="GO37" s="114"/>
      <c r="GP37" s="114"/>
      <c r="GQ37" s="114"/>
      <c r="GR37" s="114"/>
      <c r="GS37" s="114"/>
      <c r="GT37" s="114"/>
      <c r="GU37" s="114"/>
      <c r="GV37" s="114"/>
      <c r="GW37" s="114"/>
      <c r="GX37" s="114"/>
      <c r="GY37" s="114"/>
      <c r="GZ37" s="114"/>
      <c r="HA37" s="114"/>
      <c r="HB37" s="114"/>
      <c r="HC37" s="114"/>
      <c r="HD37" s="114"/>
      <c r="HE37" s="114"/>
      <c r="HF37" s="114"/>
      <c r="HG37" s="114"/>
      <c r="HH37" s="114"/>
      <c r="HI37" s="114"/>
      <c r="HJ37" s="114"/>
      <c r="HK37" s="114"/>
      <c r="HL37" s="114"/>
      <c r="HM37" s="114"/>
      <c r="HN37" s="114"/>
      <c r="HO37" s="114"/>
      <c r="HP37" s="114"/>
      <c r="HQ37" s="114"/>
      <c r="HR37" s="114"/>
      <c r="HS37" s="114"/>
      <c r="HT37" s="114"/>
      <c r="HU37" s="114"/>
      <c r="HV37" s="114"/>
      <c r="HW37" s="114"/>
      <c r="HX37" s="114"/>
      <c r="HY37" s="114"/>
      <c r="HZ37" s="114"/>
      <c r="IA37" s="114"/>
      <c r="IB37" s="114"/>
      <c r="IC37" s="114"/>
      <c r="ID37" s="114"/>
      <c r="IE37" s="114"/>
      <c r="IF37" s="114"/>
      <c r="IG37" s="114"/>
      <c r="IH37" s="114"/>
      <c r="II37" s="114"/>
      <c r="IJ37" s="114"/>
      <c r="IK37" s="114"/>
      <c r="IL37" s="114"/>
      <c r="IM37" s="114"/>
      <c r="IN37" s="114"/>
      <c r="IO37" s="114"/>
      <c r="IP37" s="114"/>
      <c r="IQ37" s="114"/>
      <c r="IR37" s="114"/>
      <c r="IS37" s="114"/>
      <c r="IT37" s="114"/>
      <c r="IU37" s="114"/>
      <c r="IV37" s="114"/>
      <c r="IW37" s="114"/>
      <c r="IX37" s="114"/>
      <c r="IY37" s="114"/>
      <c r="IZ37" s="114"/>
      <c r="JA37" s="114"/>
      <c r="JB37" s="114"/>
      <c r="JC37" s="114"/>
      <c r="JD37" s="114"/>
      <c r="JE37" s="114"/>
      <c r="JF37" s="114"/>
      <c r="JG37" s="114"/>
      <c r="JH37" s="114"/>
      <c r="JI37" s="114"/>
      <c r="JJ37" s="114"/>
      <c r="JK37" s="114"/>
      <c r="JL37" s="114"/>
      <c r="JM37" s="114"/>
      <c r="JN37" s="114"/>
      <c r="JO37" s="114"/>
      <c r="JP37" s="114"/>
      <c r="JQ37" s="114"/>
      <c r="JR37" s="114"/>
      <c r="JS37" s="114"/>
      <c r="JT37" s="114"/>
      <c r="JU37" s="114"/>
      <c r="JV37" s="114"/>
      <c r="JW37" s="114"/>
      <c r="JX37" s="114"/>
      <c r="JY37" s="114"/>
      <c r="JZ37" s="114"/>
      <c r="KA37" s="114"/>
      <c r="KB37" s="114"/>
      <c r="KC37" s="114"/>
      <c r="KD37" s="114"/>
      <c r="KE37" s="114"/>
      <c r="KF37" s="114"/>
      <c r="KG37" s="114"/>
      <c r="KH37" s="114"/>
      <c r="KI37" s="114"/>
      <c r="KJ37" s="114"/>
      <c r="KK37" s="114"/>
      <c r="KL37" s="114"/>
      <c r="KM37" s="114"/>
      <c r="KN37" s="114"/>
      <c r="KO37" s="114"/>
      <c r="KP37" s="114"/>
      <c r="KQ37" s="114"/>
      <c r="KR37" s="114"/>
      <c r="KS37" s="114"/>
      <c r="KT37" s="114"/>
      <c r="KU37" s="114"/>
      <c r="KV37" s="114"/>
      <c r="KW37" s="114"/>
      <c r="KX37" s="114"/>
      <c r="KY37" s="114"/>
      <c r="KZ37" s="114"/>
      <c r="LA37" s="114"/>
      <c r="LB37" s="114"/>
      <c r="LC37" s="114"/>
      <c r="LD37" s="114"/>
      <c r="LE37" s="114"/>
      <c r="LF37" s="114"/>
      <c r="LG37" s="114"/>
      <c r="LH37" s="114"/>
      <c r="LI37" s="114"/>
      <c r="LJ37" s="114"/>
      <c r="LK37" s="114"/>
      <c r="LL37" s="114"/>
      <c r="LM37" s="114"/>
      <c r="LN37" s="114"/>
      <c r="LO37" s="114"/>
      <c r="LP37" s="114"/>
      <c r="LQ37" s="114"/>
      <c r="LR37" s="114"/>
      <c r="LS37" s="114"/>
      <c r="LT37" s="114"/>
      <c r="LU37" s="114"/>
      <c r="LV37" s="114"/>
      <c r="LW37" s="114"/>
      <c r="LX37" s="114"/>
      <c r="LY37" s="114"/>
      <c r="LZ37" s="114"/>
      <c r="MA37" s="114"/>
      <c r="MB37" s="114"/>
      <c r="MC37" s="114"/>
      <c r="MD37" s="114"/>
      <c r="ME37" s="114"/>
      <c r="MF37" s="114"/>
      <c r="MG37" s="114"/>
      <c r="MH37" s="114"/>
      <c r="MI37" s="114"/>
      <c r="MJ37" s="114"/>
      <c r="MK37" s="114"/>
      <c r="ML37" s="114"/>
      <c r="MM37" s="114"/>
      <c r="MN37" s="114"/>
      <c r="MO37" s="114"/>
      <c r="MP37" s="114"/>
      <c r="MQ37" s="114"/>
      <c r="MR37" s="114"/>
      <c r="MS37" s="114"/>
      <c r="MT37" s="114"/>
      <c r="MU37" s="114"/>
      <c r="MV37" s="114"/>
      <c r="MW37" s="114"/>
      <c r="MX37" s="114"/>
      <c r="MY37" s="114"/>
      <c r="MZ37" s="114"/>
      <c r="NA37" s="114"/>
      <c r="NB37" s="114"/>
      <c r="NC37" s="114"/>
      <c r="ND37" s="114"/>
      <c r="NE37" s="114"/>
      <c r="NF37" s="114"/>
      <c r="NG37" s="114"/>
      <c r="NH37" s="114"/>
      <c r="NI37" s="114"/>
      <c r="NJ37" s="114"/>
      <c r="NK37" s="114"/>
      <c r="NL37" s="114"/>
      <c r="NM37" s="114"/>
      <c r="NN37" s="114"/>
      <c r="NO37" s="114"/>
      <c r="NP37" s="114"/>
      <c r="NQ37" s="114"/>
      <c r="NR37" s="114"/>
      <c r="NS37" s="114"/>
      <c r="NT37" s="114"/>
      <c r="NU37" s="114"/>
      <c r="NV37" s="114"/>
      <c r="NW37" s="114"/>
      <c r="NX37" s="114"/>
      <c r="NY37" s="114"/>
      <c r="NZ37" s="114"/>
      <c r="OA37" s="114"/>
      <c r="OB37" s="114"/>
      <c r="OC37" s="114"/>
      <c r="OD37" s="114"/>
      <c r="OE37" s="114"/>
      <c r="OF37" s="114"/>
      <c r="OG37" s="114"/>
      <c r="OH37" s="114"/>
      <c r="OI37" s="114"/>
      <c r="OJ37" s="114"/>
      <c r="OK37" s="114"/>
      <c r="OL37" s="114"/>
      <c r="OM37" s="114"/>
      <c r="ON37" s="114"/>
      <c r="OO37" s="114"/>
      <c r="OP37" s="114"/>
      <c r="OQ37" s="114"/>
      <c r="OR37" s="114"/>
      <c r="OS37" s="114"/>
      <c r="OT37" s="114"/>
      <c r="OU37" s="114"/>
      <c r="OV37" s="114"/>
      <c r="OW37" s="114"/>
      <c r="OX37" s="114"/>
      <c r="OY37" s="114"/>
      <c r="OZ37" s="114"/>
      <c r="PA37" s="114"/>
      <c r="PB37" s="114"/>
      <c r="PC37" s="114"/>
      <c r="PD37" s="114"/>
      <c r="PE37" s="114"/>
      <c r="PF37" s="114"/>
      <c r="PG37" s="114"/>
      <c r="PH37" s="114"/>
      <c r="PI37" s="114"/>
      <c r="PJ37" s="114"/>
      <c r="PK37" s="114"/>
      <c r="PL37" s="114"/>
      <c r="PM37" s="114"/>
      <c r="PN37" s="114"/>
      <c r="PO37" s="114"/>
      <c r="PP37" s="114"/>
      <c r="PQ37" s="114"/>
      <c r="PR37" s="114"/>
      <c r="PS37" s="114"/>
      <c r="PT37" s="114"/>
      <c r="PU37" s="114"/>
      <c r="PV37" s="114"/>
      <c r="PW37" s="114"/>
      <c r="PX37" s="114"/>
      <c r="PY37" s="114"/>
      <c r="PZ37" s="114"/>
      <c r="QA37" s="114"/>
      <c r="QB37" s="114"/>
      <c r="QC37" s="114"/>
      <c r="QD37" s="114"/>
      <c r="QE37" s="114"/>
      <c r="QF37" s="114"/>
      <c r="QG37" s="114"/>
      <c r="QH37" s="114"/>
      <c r="QI37" s="114"/>
      <c r="QJ37" s="114"/>
      <c r="QK37" s="114"/>
      <c r="QL37" s="114"/>
      <c r="QM37" s="114"/>
      <c r="QN37" s="114"/>
      <c r="QO37" s="114"/>
      <c r="QP37" s="114"/>
      <c r="QQ37" s="114"/>
      <c r="QR37" s="114"/>
      <c r="QS37" s="114"/>
      <c r="QT37" s="114"/>
      <c r="QU37" s="114"/>
      <c r="QV37" s="114"/>
      <c r="QW37" s="114"/>
      <c r="QX37" s="114"/>
      <c r="QY37" s="114"/>
      <c r="QZ37" s="114"/>
      <c r="RA37" s="114"/>
      <c r="RB37" s="114"/>
      <c r="RC37" s="114"/>
      <c r="RD37" s="114"/>
      <c r="RE37" s="114"/>
      <c r="RF37" s="114"/>
      <c r="RG37" s="114"/>
      <c r="RH37" s="114"/>
      <c r="RI37" s="114"/>
      <c r="RJ37" s="114"/>
      <c r="RK37" s="114"/>
      <c r="RL37" s="114"/>
      <c r="RM37" s="114"/>
      <c r="RN37" s="114"/>
      <c r="RO37" s="114"/>
      <c r="RP37" s="114"/>
      <c r="RQ37" s="114"/>
      <c r="RR37" s="114"/>
      <c r="RS37" s="114"/>
      <c r="RT37" s="114"/>
      <c r="RU37" s="114"/>
      <c r="RV37" s="114"/>
      <c r="RW37" s="114"/>
      <c r="RX37" s="114"/>
      <c r="RY37" s="114"/>
      <c r="RZ37" s="114"/>
      <c r="SA37" s="114"/>
      <c r="SB37" s="114"/>
      <c r="SC37" s="114"/>
      <c r="SD37" s="114"/>
      <c r="SE37" s="114"/>
      <c r="SF37" s="114"/>
      <c r="SG37" s="114"/>
      <c r="SH37" s="114"/>
      <c r="SI37" s="114"/>
      <c r="SJ37" s="114"/>
      <c r="SK37" s="114"/>
      <c r="SL37" s="114"/>
      <c r="SM37" s="114"/>
      <c r="SN37" s="114"/>
      <c r="SO37" s="114"/>
      <c r="SP37" s="114"/>
      <c r="SQ37" s="114"/>
      <c r="SR37" s="114"/>
      <c r="SS37" s="114"/>
      <c r="ST37" s="114"/>
      <c r="SU37" s="114"/>
      <c r="SV37" s="114"/>
      <c r="SW37" s="114"/>
      <c r="SX37" s="114"/>
      <c r="SY37" s="114"/>
      <c r="SZ37" s="114"/>
      <c r="TA37" s="114"/>
      <c r="TB37" s="114"/>
      <c r="TC37" s="114"/>
      <c r="TD37" s="114"/>
      <c r="TE37" s="114"/>
      <c r="TF37" s="114"/>
      <c r="TG37" s="114"/>
      <c r="TH37" s="114"/>
      <c r="TI37" s="114"/>
      <c r="TJ37" s="114"/>
      <c r="TK37" s="114"/>
      <c r="TL37" s="114"/>
      <c r="TM37" s="114"/>
      <c r="TN37" s="114"/>
      <c r="TO37" s="114"/>
      <c r="TP37" s="114"/>
      <c r="TQ37" s="114"/>
      <c r="TR37" s="114"/>
      <c r="TS37" s="114"/>
      <c r="TT37" s="114"/>
      <c r="TU37" s="114"/>
      <c r="TV37" s="114"/>
      <c r="TW37" s="114"/>
      <c r="TX37" s="114"/>
      <c r="TY37" s="114"/>
      <c r="TZ37" s="114"/>
      <c r="UA37" s="114"/>
      <c r="UB37" s="114"/>
      <c r="UC37" s="114"/>
      <c r="UD37" s="114"/>
      <c r="UE37" s="114"/>
      <c r="UF37" s="114"/>
      <c r="UG37" s="114"/>
      <c r="UH37" s="114"/>
      <c r="UI37" s="114"/>
      <c r="UJ37" s="114"/>
      <c r="UK37" s="114"/>
      <c r="UL37" s="114"/>
      <c r="UM37" s="114"/>
      <c r="UN37" s="114"/>
      <c r="UO37" s="114"/>
      <c r="UP37" s="114"/>
      <c r="UQ37" s="114"/>
      <c r="UR37" s="114"/>
      <c r="US37" s="114"/>
      <c r="UT37" s="114"/>
      <c r="UU37" s="114"/>
      <c r="UV37" s="114"/>
      <c r="UW37" s="114"/>
      <c r="UX37" s="114"/>
      <c r="UY37" s="114"/>
      <c r="UZ37" s="114"/>
      <c r="VA37" s="114"/>
      <c r="VB37" s="114"/>
      <c r="VC37" s="114"/>
      <c r="VD37" s="114"/>
      <c r="VE37" s="114"/>
      <c r="VF37" s="114"/>
      <c r="VG37" s="114"/>
      <c r="VH37" s="114"/>
      <c r="VI37" s="114"/>
      <c r="VJ37" s="114"/>
      <c r="VK37" s="114"/>
      <c r="VL37" s="114"/>
      <c r="VM37" s="114"/>
      <c r="VN37" s="114"/>
      <c r="VO37" s="114"/>
      <c r="VP37" s="114"/>
      <c r="VQ37" s="114"/>
      <c r="VR37" s="114"/>
      <c r="VS37" s="114"/>
      <c r="VT37" s="114"/>
      <c r="VU37" s="114"/>
      <c r="VV37" s="114"/>
      <c r="VW37" s="114"/>
      <c r="VX37" s="114"/>
      <c r="VY37" s="114"/>
      <c r="VZ37" s="114"/>
      <c r="WA37" s="114"/>
      <c r="WB37" s="114"/>
      <c r="WC37" s="114"/>
      <c r="WD37" s="114"/>
      <c r="WE37" s="114"/>
      <c r="WF37" s="114"/>
      <c r="WG37" s="114"/>
      <c r="WH37" s="114"/>
      <c r="WI37" s="114"/>
      <c r="WJ37" s="114"/>
      <c r="WK37" s="114"/>
      <c r="WL37" s="114"/>
      <c r="WM37" s="114"/>
      <c r="WN37" s="114"/>
      <c r="WO37" s="114"/>
      <c r="WP37" s="114"/>
      <c r="WQ37" s="114"/>
      <c r="WR37" s="114"/>
      <c r="WS37" s="114"/>
      <c r="WT37" s="114"/>
      <c r="WU37" s="114"/>
      <c r="WV37" s="114"/>
      <c r="WW37" s="114"/>
      <c r="WX37" s="114"/>
      <c r="WY37" s="114"/>
      <c r="WZ37" s="114"/>
      <c r="XA37" s="114"/>
      <c r="XB37" s="114"/>
      <c r="XC37" s="114"/>
      <c r="XD37" s="114"/>
      <c r="XE37" s="114"/>
      <c r="XF37" s="114"/>
      <c r="XG37" s="114"/>
      <c r="XH37" s="114"/>
      <c r="XI37" s="114"/>
      <c r="XJ37" s="114"/>
      <c r="XK37" s="114"/>
      <c r="XL37" s="114"/>
      <c r="XM37" s="114"/>
      <c r="XN37" s="114"/>
      <c r="XO37" s="114"/>
      <c r="XP37" s="114"/>
      <c r="XQ37" s="114"/>
      <c r="XR37" s="114"/>
      <c r="XS37" s="114"/>
      <c r="XT37" s="114"/>
      <c r="XU37" s="114"/>
      <c r="XV37" s="114"/>
      <c r="XW37" s="114"/>
      <c r="XX37" s="114"/>
      <c r="XY37" s="114"/>
      <c r="XZ37" s="114"/>
      <c r="YA37" s="114"/>
      <c r="YB37" s="114"/>
      <c r="YC37" s="114"/>
      <c r="YD37" s="114"/>
      <c r="YE37" s="114"/>
      <c r="YF37" s="114"/>
      <c r="YG37" s="114"/>
      <c r="YH37" s="114"/>
      <c r="YI37" s="114"/>
      <c r="YJ37" s="114"/>
      <c r="YK37" s="114"/>
      <c r="YL37" s="114"/>
      <c r="YM37" s="114"/>
      <c r="YN37" s="114"/>
      <c r="YO37" s="114"/>
      <c r="YP37" s="114"/>
      <c r="YQ37" s="114"/>
      <c r="YR37" s="114"/>
      <c r="YS37" s="114"/>
      <c r="YT37" s="114"/>
      <c r="YU37" s="114"/>
      <c r="YV37" s="114"/>
      <c r="YW37" s="114"/>
      <c r="YX37" s="114"/>
      <c r="YY37" s="114"/>
      <c r="YZ37" s="114"/>
      <c r="ZA37" s="114"/>
      <c r="ZB37" s="114"/>
      <c r="ZC37" s="114"/>
      <c r="ZD37" s="114"/>
      <c r="ZE37" s="114"/>
      <c r="ZF37" s="114"/>
      <c r="ZG37" s="114"/>
      <c r="ZH37" s="114"/>
      <c r="ZI37" s="114"/>
      <c r="ZJ37" s="114"/>
      <c r="ZK37" s="114"/>
      <c r="ZL37" s="114"/>
      <c r="ZM37" s="114"/>
      <c r="ZN37" s="114"/>
      <c r="ZO37" s="114"/>
      <c r="ZP37" s="114"/>
      <c r="ZQ37" s="114"/>
      <c r="ZR37" s="114"/>
      <c r="ZS37" s="114"/>
      <c r="ZT37" s="114"/>
      <c r="ZU37" s="114"/>
      <c r="ZV37" s="114"/>
      <c r="ZW37" s="114"/>
      <c r="ZX37" s="114"/>
      <c r="ZY37" s="114"/>
      <c r="ZZ37" s="114"/>
      <c r="AAA37" s="114"/>
      <c r="AAB37" s="114"/>
      <c r="AAC37" s="114"/>
      <c r="AAD37" s="114"/>
      <c r="AAE37" s="114"/>
      <c r="AAF37" s="114"/>
      <c r="AAG37" s="114"/>
      <c r="AAH37" s="114"/>
      <c r="AAI37" s="114"/>
      <c r="AAJ37" s="114"/>
      <c r="AAK37" s="114"/>
      <c r="AAL37" s="114"/>
      <c r="AAM37" s="114"/>
      <c r="AAN37" s="114"/>
      <c r="AAO37" s="114"/>
      <c r="AAP37" s="114"/>
      <c r="AAQ37" s="114"/>
      <c r="AAR37" s="114"/>
      <c r="AAS37" s="114"/>
      <c r="AAT37" s="114"/>
      <c r="AAU37" s="114"/>
      <c r="AAV37" s="114"/>
      <c r="AAW37" s="114"/>
      <c r="AAX37" s="114"/>
      <c r="AAY37" s="114"/>
      <c r="AAZ37" s="114"/>
      <c r="ABA37" s="114"/>
      <c r="ABB37" s="114"/>
      <c r="ABC37" s="114"/>
      <c r="ABD37" s="114"/>
      <c r="ABE37" s="114"/>
      <c r="ABF37" s="114"/>
      <c r="ABG37" s="114"/>
      <c r="ABH37" s="114"/>
      <c r="ABI37" s="114"/>
      <c r="ABJ37" s="114"/>
      <c r="ABK37" s="114"/>
      <c r="ABL37" s="114"/>
      <c r="ABM37" s="114"/>
      <c r="ABN37" s="114"/>
      <c r="ABO37" s="114"/>
      <c r="ABP37" s="114"/>
      <c r="ABQ37" s="114"/>
      <c r="ABR37" s="114"/>
      <c r="ABS37" s="114"/>
      <c r="ABT37" s="114"/>
      <c r="ABU37" s="114"/>
      <c r="ABV37" s="114"/>
      <c r="ABW37" s="114"/>
      <c r="ABX37" s="114"/>
      <c r="ABY37" s="114"/>
      <c r="ABZ37" s="114"/>
      <c r="ACA37" s="114"/>
      <c r="ACB37" s="114"/>
      <c r="ACC37" s="114"/>
      <c r="ACD37" s="114"/>
      <c r="ACE37" s="114"/>
      <c r="ACF37" s="114"/>
      <c r="ACG37" s="114"/>
      <c r="ACH37" s="114"/>
      <c r="ACI37" s="114"/>
      <c r="ACJ37" s="114"/>
      <c r="ACK37" s="114"/>
      <c r="ACL37" s="114"/>
      <c r="ACM37" s="114"/>
      <c r="ACN37" s="114"/>
      <c r="ACO37" s="114"/>
      <c r="ACP37" s="114"/>
      <c r="ACQ37" s="114"/>
      <c r="ACR37" s="114"/>
      <c r="ACS37" s="114"/>
      <c r="ACT37" s="114"/>
      <c r="ACU37" s="114"/>
      <c r="ACV37" s="114"/>
      <c r="ACW37" s="114"/>
      <c r="ACX37" s="114"/>
      <c r="ACY37" s="114"/>
      <c r="ACZ37" s="114"/>
      <c r="ADA37" s="114"/>
      <c r="ADB37" s="114"/>
      <c r="ADC37" s="114"/>
      <c r="ADD37" s="114"/>
      <c r="ADE37" s="114"/>
      <c r="ADF37" s="114"/>
      <c r="ADG37" s="114"/>
      <c r="ADH37" s="114"/>
      <c r="ADI37" s="114"/>
      <c r="ADJ37" s="114"/>
      <c r="ADK37" s="114"/>
      <c r="ADL37" s="114"/>
      <c r="ADM37" s="114"/>
      <c r="ADN37" s="114"/>
      <c r="ADO37" s="114"/>
      <c r="ADP37" s="114"/>
      <c r="ADQ37" s="114"/>
      <c r="ADR37" s="114"/>
      <c r="ADS37" s="114"/>
      <c r="ADT37" s="114"/>
      <c r="ADU37" s="114"/>
      <c r="ADV37" s="114"/>
      <c r="ADW37" s="114"/>
      <c r="ADX37" s="114"/>
      <c r="ADY37" s="114"/>
      <c r="ADZ37" s="114"/>
      <c r="AEA37" s="114"/>
      <c r="AEB37" s="114"/>
      <c r="AEC37" s="114"/>
      <c r="AED37" s="114"/>
      <c r="AEE37" s="114"/>
      <c r="AEF37" s="114"/>
      <c r="AEG37" s="114"/>
      <c r="AEH37" s="114"/>
      <c r="AEI37" s="114"/>
      <c r="AEJ37" s="114"/>
      <c r="AEK37" s="114"/>
      <c r="AEL37" s="114"/>
      <c r="AEM37" s="114"/>
      <c r="AEN37" s="114"/>
      <c r="AEO37" s="114"/>
      <c r="AEP37" s="114"/>
      <c r="AEQ37" s="114"/>
      <c r="AER37" s="114"/>
      <c r="AES37" s="114"/>
      <c r="AET37" s="114"/>
      <c r="AEU37" s="114"/>
      <c r="AEV37" s="114"/>
      <c r="AEW37" s="114"/>
      <c r="AEX37" s="114"/>
      <c r="AEY37" s="114"/>
      <c r="AEZ37" s="114"/>
      <c r="AFA37" s="114"/>
      <c r="AFB37" s="114"/>
      <c r="AFC37" s="114"/>
      <c r="AFD37" s="114"/>
      <c r="AFE37" s="114"/>
      <c r="AFF37" s="114"/>
      <c r="AFG37" s="114"/>
      <c r="AFH37" s="114"/>
      <c r="AFI37" s="114"/>
      <c r="AFJ37" s="114"/>
      <c r="AFK37" s="114"/>
      <c r="AFL37" s="114"/>
      <c r="AFM37" s="114"/>
      <c r="AFN37" s="114"/>
      <c r="AFO37" s="114"/>
      <c r="AFP37" s="114"/>
      <c r="AFQ37" s="114"/>
      <c r="AFR37" s="114"/>
      <c r="AFS37" s="114"/>
      <c r="AFT37" s="114"/>
      <c r="AFU37" s="114"/>
      <c r="AFV37" s="114"/>
      <c r="AFW37" s="114"/>
      <c r="AFX37" s="114"/>
      <c r="AFY37" s="114"/>
      <c r="AFZ37" s="114"/>
      <c r="AGA37" s="114"/>
      <c r="AGB37" s="114"/>
      <c r="AGC37" s="114"/>
      <c r="AGD37" s="114"/>
      <c r="AGE37" s="114"/>
      <c r="AGF37" s="114"/>
      <c r="AGG37" s="114"/>
      <c r="AGH37" s="114"/>
      <c r="AGI37" s="114"/>
      <c r="AGJ37" s="114"/>
      <c r="AGK37" s="114"/>
      <c r="AGL37" s="114"/>
      <c r="AGM37" s="114"/>
      <c r="AGN37" s="114"/>
      <c r="AGO37" s="114"/>
      <c r="AGP37" s="114"/>
      <c r="AGQ37" s="114"/>
      <c r="AGR37" s="114"/>
      <c r="AGS37" s="114"/>
      <c r="AGT37" s="114"/>
      <c r="AGU37" s="114"/>
      <c r="AGV37" s="114"/>
      <c r="AGW37" s="114"/>
      <c r="AGX37" s="114"/>
      <c r="AGY37" s="114"/>
      <c r="AGZ37" s="114"/>
      <c r="AHA37" s="114"/>
      <c r="AHB37" s="114"/>
      <c r="AHC37" s="114"/>
      <c r="AHD37" s="114"/>
      <c r="AHE37" s="114"/>
      <c r="AHF37" s="114"/>
      <c r="AHG37" s="114"/>
      <c r="AHH37" s="114"/>
      <c r="AHI37" s="114"/>
      <c r="AHJ37" s="114"/>
      <c r="AHK37" s="114"/>
      <c r="AHL37" s="114"/>
      <c r="AHM37" s="114"/>
      <c r="AHN37" s="114"/>
      <c r="AHO37" s="114"/>
      <c r="AHP37" s="114"/>
      <c r="AHQ37" s="114"/>
      <c r="AHR37" s="114"/>
      <c r="AHS37" s="114"/>
      <c r="AHT37" s="114"/>
      <c r="AHU37" s="114"/>
      <c r="AHV37" s="114"/>
      <c r="AHW37" s="114"/>
      <c r="AHX37" s="114"/>
      <c r="AHY37" s="114"/>
      <c r="AHZ37" s="114"/>
      <c r="AIA37" s="114"/>
      <c r="AIB37" s="114"/>
      <c r="AIC37" s="114"/>
      <c r="AID37" s="114"/>
      <c r="AIE37" s="114"/>
      <c r="AIF37" s="114"/>
      <c r="AIG37" s="114"/>
      <c r="AIH37" s="114"/>
      <c r="AII37" s="114"/>
      <c r="AIJ37" s="114"/>
      <c r="AIK37" s="114"/>
      <c r="AIL37" s="114"/>
      <c r="AIM37" s="114"/>
      <c r="AIN37" s="114"/>
      <c r="AIO37" s="114"/>
      <c r="AIP37" s="114"/>
      <c r="AIQ37" s="114"/>
      <c r="AIR37" s="114"/>
      <c r="AIS37" s="114"/>
      <c r="AIT37" s="114"/>
      <c r="AIU37" s="114"/>
      <c r="AIV37" s="114"/>
      <c r="AIW37" s="114"/>
      <c r="AIX37" s="114"/>
      <c r="AIY37" s="114"/>
      <c r="AIZ37" s="114"/>
      <c r="AJA37" s="114"/>
      <c r="AJB37" s="114"/>
      <c r="AJC37" s="114"/>
      <c r="AJD37" s="114"/>
      <c r="AJE37" s="114"/>
      <c r="AJF37" s="114"/>
      <c r="AJG37" s="114"/>
      <c r="AJH37" s="114"/>
      <c r="AJI37" s="114"/>
      <c r="AJJ37" s="114"/>
      <c r="AJK37" s="114"/>
      <c r="AJL37" s="114"/>
      <c r="AJM37" s="114"/>
      <c r="AJN37" s="114"/>
      <c r="AJO37" s="114"/>
      <c r="AJP37" s="114"/>
      <c r="AJQ37" s="114"/>
      <c r="AJR37" s="114"/>
      <c r="AJS37" s="114"/>
      <c r="AJT37" s="114"/>
      <c r="AJU37" s="114"/>
      <c r="AJV37" s="114"/>
      <c r="AJW37" s="114"/>
      <c r="AJX37" s="114"/>
      <c r="AJY37" s="114"/>
      <c r="AJZ37" s="114"/>
      <c r="AKA37" s="114"/>
      <c r="AKB37" s="114"/>
      <c r="AKC37" s="114"/>
      <c r="AKD37" s="114"/>
      <c r="AKE37" s="114"/>
      <c r="AKF37" s="114"/>
      <c r="AKG37" s="114"/>
      <c r="AKH37" s="114"/>
      <c r="AKI37" s="114"/>
      <c r="AKJ37" s="114"/>
      <c r="AKK37" s="114"/>
      <c r="AKL37" s="114"/>
    </row>
    <row r="38" spans="1:974" s="115" customFormat="1" ht="15" customHeight="1" x14ac:dyDescent="0.3">
      <c r="A38" s="103">
        <v>8470230</v>
      </c>
      <c r="B38" s="104">
        <v>425749</v>
      </c>
      <c r="C38" s="461" t="s">
        <v>3186</v>
      </c>
      <c r="D38" s="186" t="s">
        <v>3187</v>
      </c>
      <c r="E38" s="187"/>
      <c r="F38" s="188"/>
      <c r="G38" s="189"/>
      <c r="H38" s="114"/>
      <c r="I38" s="114"/>
      <c r="J38" s="114"/>
      <c r="K38" s="114"/>
      <c r="L38" s="114"/>
      <c r="M38" s="114"/>
      <c r="N38" s="114"/>
      <c r="O38" s="114"/>
      <c r="P38" s="114"/>
      <c r="Q38" s="114"/>
      <c r="R38" s="114"/>
      <c r="S38" s="114"/>
      <c r="T38" s="114"/>
      <c r="U38" s="114"/>
      <c r="V38" s="114"/>
      <c r="W38" s="114"/>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4"/>
      <c r="AY38" s="114"/>
      <c r="AZ38" s="114"/>
      <c r="BA38" s="114"/>
      <c r="BB38" s="114"/>
      <c r="BC38" s="114"/>
      <c r="BD38" s="114"/>
      <c r="BE38" s="114"/>
      <c r="BF38" s="114"/>
      <c r="BG38" s="114"/>
      <c r="BH38" s="114"/>
      <c r="BI38" s="114"/>
      <c r="BJ38" s="114"/>
      <c r="BK38" s="114"/>
      <c r="BL38" s="114"/>
      <c r="BM38" s="114"/>
      <c r="BN38" s="114"/>
      <c r="BO38" s="114"/>
      <c r="BP38" s="114"/>
      <c r="BQ38" s="114"/>
      <c r="BR38" s="114"/>
      <c r="BS38" s="114"/>
      <c r="BT38" s="114"/>
      <c r="BU38" s="114"/>
      <c r="BV38" s="114"/>
      <c r="BW38" s="114"/>
      <c r="BX38" s="114"/>
      <c r="BY38" s="114"/>
      <c r="BZ38" s="114"/>
      <c r="CA38" s="114"/>
      <c r="CB38" s="114"/>
      <c r="CC38" s="114"/>
      <c r="CD38" s="114"/>
      <c r="CE38" s="114"/>
      <c r="CF38" s="114"/>
      <c r="CG38" s="114"/>
      <c r="CH38" s="114"/>
      <c r="CI38" s="114"/>
      <c r="CJ38" s="114"/>
      <c r="CK38" s="114"/>
      <c r="CL38" s="114"/>
      <c r="CM38" s="114"/>
      <c r="CN38" s="114"/>
      <c r="CO38" s="114"/>
      <c r="CP38" s="114"/>
      <c r="CQ38" s="114"/>
      <c r="CR38" s="114"/>
      <c r="CS38" s="114"/>
      <c r="CT38" s="114"/>
      <c r="CU38" s="114"/>
      <c r="CV38" s="114"/>
      <c r="CW38" s="114"/>
      <c r="CX38" s="114"/>
      <c r="CY38" s="114"/>
      <c r="CZ38" s="114"/>
      <c r="DA38" s="114"/>
      <c r="DB38" s="114"/>
      <c r="DC38" s="114"/>
      <c r="DD38" s="114"/>
      <c r="DE38" s="114"/>
      <c r="DF38" s="114"/>
      <c r="DG38" s="114"/>
      <c r="DH38" s="114"/>
      <c r="DI38" s="114"/>
      <c r="DJ38" s="114"/>
      <c r="DK38" s="114"/>
      <c r="DL38" s="114"/>
      <c r="DM38" s="114"/>
      <c r="DN38" s="114"/>
      <c r="DO38" s="114"/>
      <c r="DP38" s="114"/>
      <c r="DQ38" s="114"/>
      <c r="DR38" s="114"/>
      <c r="DS38" s="114"/>
      <c r="DT38" s="114"/>
      <c r="DU38" s="114"/>
      <c r="DV38" s="114"/>
      <c r="DW38" s="114"/>
      <c r="DX38" s="114"/>
      <c r="DY38" s="114"/>
      <c r="DZ38" s="114"/>
      <c r="EA38" s="114"/>
      <c r="EB38" s="114"/>
      <c r="EC38" s="114"/>
      <c r="ED38" s="114"/>
      <c r="EE38" s="114"/>
      <c r="EF38" s="114"/>
      <c r="EG38" s="114"/>
      <c r="EH38" s="114"/>
      <c r="EI38" s="114"/>
      <c r="EJ38" s="114"/>
      <c r="EK38" s="114"/>
      <c r="EL38" s="114"/>
      <c r="EM38" s="114"/>
      <c r="EN38" s="114"/>
      <c r="EO38" s="114"/>
      <c r="EP38" s="114"/>
      <c r="EQ38" s="114"/>
      <c r="ER38" s="114"/>
      <c r="ES38" s="114"/>
      <c r="ET38" s="114"/>
      <c r="EU38" s="114"/>
      <c r="EV38" s="114"/>
      <c r="EW38" s="114"/>
      <c r="EX38" s="114"/>
      <c r="EY38" s="114"/>
      <c r="EZ38" s="114"/>
      <c r="FA38" s="114"/>
      <c r="FB38" s="114"/>
      <c r="FC38" s="114"/>
      <c r="FD38" s="114"/>
      <c r="FE38" s="114"/>
      <c r="FF38" s="114"/>
      <c r="FG38" s="114"/>
      <c r="FH38" s="114"/>
      <c r="FI38" s="114"/>
      <c r="FJ38" s="114"/>
      <c r="FK38" s="114"/>
      <c r="FL38" s="114"/>
      <c r="FM38" s="114"/>
      <c r="FN38" s="114"/>
      <c r="FO38" s="114"/>
      <c r="FP38" s="114"/>
      <c r="FQ38" s="114"/>
      <c r="FR38" s="114"/>
      <c r="FS38" s="114"/>
      <c r="FT38" s="114"/>
      <c r="FU38" s="114"/>
      <c r="FV38" s="114"/>
      <c r="FW38" s="114"/>
      <c r="FX38" s="114"/>
      <c r="FY38" s="114"/>
      <c r="FZ38" s="114"/>
      <c r="GA38" s="114"/>
      <c r="GB38" s="114"/>
      <c r="GC38" s="114"/>
      <c r="GD38" s="114"/>
      <c r="GE38" s="114"/>
      <c r="GF38" s="114"/>
      <c r="GG38" s="114"/>
      <c r="GH38" s="114"/>
      <c r="GI38" s="114"/>
      <c r="GJ38" s="114"/>
      <c r="GK38" s="114"/>
      <c r="GL38" s="114"/>
      <c r="GM38" s="114"/>
      <c r="GN38" s="114"/>
      <c r="GO38" s="114"/>
      <c r="GP38" s="114"/>
      <c r="GQ38" s="114"/>
      <c r="GR38" s="114"/>
      <c r="GS38" s="114"/>
      <c r="GT38" s="114"/>
      <c r="GU38" s="114"/>
      <c r="GV38" s="114"/>
      <c r="GW38" s="114"/>
      <c r="GX38" s="114"/>
      <c r="GY38" s="114"/>
      <c r="GZ38" s="114"/>
      <c r="HA38" s="114"/>
      <c r="HB38" s="114"/>
      <c r="HC38" s="114"/>
      <c r="HD38" s="114"/>
      <c r="HE38" s="114"/>
      <c r="HF38" s="114"/>
      <c r="HG38" s="114"/>
      <c r="HH38" s="114"/>
      <c r="HI38" s="114"/>
      <c r="HJ38" s="114"/>
      <c r="HK38" s="114"/>
      <c r="HL38" s="114"/>
      <c r="HM38" s="114"/>
      <c r="HN38" s="114"/>
      <c r="HO38" s="114"/>
      <c r="HP38" s="114"/>
      <c r="HQ38" s="114"/>
      <c r="HR38" s="114"/>
      <c r="HS38" s="114"/>
      <c r="HT38" s="114"/>
      <c r="HU38" s="114"/>
      <c r="HV38" s="114"/>
      <c r="HW38" s="114"/>
      <c r="HX38" s="114"/>
      <c r="HY38" s="114"/>
      <c r="HZ38" s="114"/>
      <c r="IA38" s="114"/>
      <c r="IB38" s="114"/>
      <c r="IC38" s="114"/>
      <c r="ID38" s="114"/>
      <c r="IE38" s="114"/>
      <c r="IF38" s="114"/>
      <c r="IG38" s="114"/>
      <c r="IH38" s="114"/>
      <c r="II38" s="114"/>
      <c r="IJ38" s="114"/>
      <c r="IK38" s="114"/>
      <c r="IL38" s="114"/>
      <c r="IM38" s="114"/>
      <c r="IN38" s="114"/>
      <c r="IO38" s="114"/>
      <c r="IP38" s="114"/>
      <c r="IQ38" s="114"/>
      <c r="IR38" s="114"/>
      <c r="IS38" s="114"/>
      <c r="IT38" s="114"/>
      <c r="IU38" s="114"/>
      <c r="IV38" s="114"/>
      <c r="IW38" s="114"/>
      <c r="IX38" s="114"/>
      <c r="IY38" s="114"/>
      <c r="IZ38" s="114"/>
      <c r="JA38" s="114"/>
      <c r="JB38" s="114"/>
      <c r="JC38" s="114"/>
      <c r="JD38" s="114"/>
      <c r="JE38" s="114"/>
      <c r="JF38" s="114"/>
      <c r="JG38" s="114"/>
      <c r="JH38" s="114"/>
      <c r="JI38" s="114"/>
      <c r="JJ38" s="114"/>
      <c r="JK38" s="114"/>
      <c r="JL38" s="114"/>
      <c r="JM38" s="114"/>
      <c r="JN38" s="114"/>
      <c r="JO38" s="114"/>
      <c r="JP38" s="114"/>
      <c r="JQ38" s="114"/>
      <c r="JR38" s="114"/>
      <c r="JS38" s="114"/>
      <c r="JT38" s="114"/>
      <c r="JU38" s="114"/>
      <c r="JV38" s="114"/>
      <c r="JW38" s="114"/>
      <c r="JX38" s="114"/>
      <c r="JY38" s="114"/>
      <c r="JZ38" s="114"/>
      <c r="KA38" s="114"/>
      <c r="KB38" s="114"/>
      <c r="KC38" s="114"/>
      <c r="KD38" s="114"/>
      <c r="KE38" s="114"/>
      <c r="KF38" s="114"/>
      <c r="KG38" s="114"/>
      <c r="KH38" s="114"/>
      <c r="KI38" s="114"/>
      <c r="KJ38" s="114"/>
      <c r="KK38" s="114"/>
      <c r="KL38" s="114"/>
      <c r="KM38" s="114"/>
      <c r="KN38" s="114"/>
      <c r="KO38" s="114"/>
      <c r="KP38" s="114"/>
      <c r="KQ38" s="114"/>
      <c r="KR38" s="114"/>
      <c r="KS38" s="114"/>
      <c r="KT38" s="114"/>
      <c r="KU38" s="114"/>
      <c r="KV38" s="114"/>
      <c r="KW38" s="114"/>
      <c r="KX38" s="114"/>
      <c r="KY38" s="114"/>
      <c r="KZ38" s="114"/>
      <c r="LA38" s="114"/>
      <c r="LB38" s="114"/>
      <c r="LC38" s="114"/>
      <c r="LD38" s="114"/>
      <c r="LE38" s="114"/>
      <c r="LF38" s="114"/>
      <c r="LG38" s="114"/>
      <c r="LH38" s="114"/>
      <c r="LI38" s="114"/>
      <c r="LJ38" s="114"/>
      <c r="LK38" s="114"/>
      <c r="LL38" s="114"/>
      <c r="LM38" s="114"/>
      <c r="LN38" s="114"/>
      <c r="LO38" s="114"/>
      <c r="LP38" s="114"/>
      <c r="LQ38" s="114"/>
      <c r="LR38" s="114"/>
      <c r="LS38" s="114"/>
      <c r="LT38" s="114"/>
      <c r="LU38" s="114"/>
      <c r="LV38" s="114"/>
      <c r="LW38" s="114"/>
      <c r="LX38" s="114"/>
      <c r="LY38" s="114"/>
      <c r="LZ38" s="114"/>
      <c r="MA38" s="114"/>
      <c r="MB38" s="114"/>
      <c r="MC38" s="114"/>
      <c r="MD38" s="114"/>
      <c r="ME38" s="114"/>
      <c r="MF38" s="114"/>
      <c r="MG38" s="114"/>
      <c r="MH38" s="114"/>
      <c r="MI38" s="114"/>
      <c r="MJ38" s="114"/>
      <c r="MK38" s="114"/>
      <c r="ML38" s="114"/>
      <c r="MM38" s="114"/>
      <c r="MN38" s="114"/>
      <c r="MO38" s="114"/>
      <c r="MP38" s="114"/>
      <c r="MQ38" s="114"/>
      <c r="MR38" s="114"/>
      <c r="MS38" s="114"/>
      <c r="MT38" s="114"/>
      <c r="MU38" s="114"/>
      <c r="MV38" s="114"/>
      <c r="MW38" s="114"/>
      <c r="MX38" s="114"/>
      <c r="MY38" s="114"/>
      <c r="MZ38" s="114"/>
      <c r="NA38" s="114"/>
      <c r="NB38" s="114"/>
      <c r="NC38" s="114"/>
      <c r="ND38" s="114"/>
      <c r="NE38" s="114"/>
      <c r="NF38" s="114"/>
      <c r="NG38" s="114"/>
      <c r="NH38" s="114"/>
      <c r="NI38" s="114"/>
      <c r="NJ38" s="114"/>
      <c r="NK38" s="114"/>
      <c r="NL38" s="114"/>
      <c r="NM38" s="114"/>
      <c r="NN38" s="114"/>
      <c r="NO38" s="114"/>
      <c r="NP38" s="114"/>
      <c r="NQ38" s="114"/>
      <c r="NR38" s="114"/>
      <c r="NS38" s="114"/>
      <c r="NT38" s="114"/>
      <c r="NU38" s="114"/>
      <c r="NV38" s="114"/>
      <c r="NW38" s="114"/>
      <c r="NX38" s="114"/>
      <c r="NY38" s="114"/>
      <c r="NZ38" s="114"/>
      <c r="OA38" s="114"/>
      <c r="OB38" s="114"/>
      <c r="OC38" s="114"/>
      <c r="OD38" s="114"/>
      <c r="OE38" s="114"/>
      <c r="OF38" s="114"/>
      <c r="OG38" s="114"/>
      <c r="OH38" s="114"/>
      <c r="OI38" s="114"/>
      <c r="OJ38" s="114"/>
      <c r="OK38" s="114"/>
      <c r="OL38" s="114"/>
      <c r="OM38" s="114"/>
      <c r="ON38" s="114"/>
      <c r="OO38" s="114"/>
      <c r="OP38" s="114"/>
      <c r="OQ38" s="114"/>
      <c r="OR38" s="114"/>
      <c r="OS38" s="114"/>
      <c r="OT38" s="114"/>
      <c r="OU38" s="114"/>
      <c r="OV38" s="114"/>
      <c r="OW38" s="114"/>
      <c r="OX38" s="114"/>
      <c r="OY38" s="114"/>
      <c r="OZ38" s="114"/>
      <c r="PA38" s="114"/>
      <c r="PB38" s="114"/>
      <c r="PC38" s="114"/>
      <c r="PD38" s="114"/>
      <c r="PE38" s="114"/>
      <c r="PF38" s="114"/>
      <c r="PG38" s="114"/>
      <c r="PH38" s="114"/>
      <c r="PI38" s="114"/>
      <c r="PJ38" s="114"/>
      <c r="PK38" s="114"/>
      <c r="PL38" s="114"/>
      <c r="PM38" s="114"/>
      <c r="PN38" s="114"/>
      <c r="PO38" s="114"/>
      <c r="PP38" s="114"/>
      <c r="PQ38" s="114"/>
      <c r="PR38" s="114"/>
      <c r="PS38" s="114"/>
      <c r="PT38" s="114"/>
      <c r="PU38" s="114"/>
      <c r="PV38" s="114"/>
      <c r="PW38" s="114"/>
      <c r="PX38" s="114"/>
      <c r="PY38" s="114"/>
      <c r="PZ38" s="114"/>
      <c r="QA38" s="114"/>
      <c r="QB38" s="114"/>
      <c r="QC38" s="114"/>
      <c r="QD38" s="114"/>
      <c r="QE38" s="114"/>
      <c r="QF38" s="114"/>
      <c r="QG38" s="114"/>
      <c r="QH38" s="114"/>
      <c r="QI38" s="114"/>
      <c r="QJ38" s="114"/>
      <c r="QK38" s="114"/>
      <c r="QL38" s="114"/>
      <c r="QM38" s="114"/>
      <c r="QN38" s="114"/>
      <c r="QO38" s="114"/>
      <c r="QP38" s="114"/>
      <c r="QQ38" s="114"/>
      <c r="QR38" s="114"/>
      <c r="QS38" s="114"/>
      <c r="QT38" s="114"/>
      <c r="QU38" s="114"/>
      <c r="QV38" s="114"/>
      <c r="QW38" s="114"/>
      <c r="QX38" s="114"/>
      <c r="QY38" s="114"/>
      <c r="QZ38" s="114"/>
      <c r="RA38" s="114"/>
      <c r="RB38" s="114"/>
      <c r="RC38" s="114"/>
      <c r="RD38" s="114"/>
      <c r="RE38" s="114"/>
      <c r="RF38" s="114"/>
      <c r="RG38" s="114"/>
      <c r="RH38" s="114"/>
      <c r="RI38" s="114"/>
      <c r="RJ38" s="114"/>
      <c r="RK38" s="114"/>
      <c r="RL38" s="114"/>
      <c r="RM38" s="114"/>
      <c r="RN38" s="114"/>
      <c r="RO38" s="114"/>
      <c r="RP38" s="114"/>
      <c r="RQ38" s="114"/>
      <c r="RR38" s="114"/>
      <c r="RS38" s="114"/>
      <c r="RT38" s="114"/>
      <c r="RU38" s="114"/>
      <c r="RV38" s="114"/>
      <c r="RW38" s="114"/>
      <c r="RX38" s="114"/>
      <c r="RY38" s="114"/>
      <c r="RZ38" s="114"/>
      <c r="SA38" s="114"/>
      <c r="SB38" s="114"/>
      <c r="SC38" s="114"/>
      <c r="SD38" s="114"/>
      <c r="SE38" s="114"/>
      <c r="SF38" s="114"/>
      <c r="SG38" s="114"/>
      <c r="SH38" s="114"/>
      <c r="SI38" s="114"/>
      <c r="SJ38" s="114"/>
      <c r="SK38" s="114"/>
      <c r="SL38" s="114"/>
      <c r="SM38" s="114"/>
      <c r="SN38" s="114"/>
      <c r="SO38" s="114"/>
      <c r="SP38" s="114"/>
      <c r="SQ38" s="114"/>
      <c r="SR38" s="114"/>
      <c r="SS38" s="114"/>
      <c r="ST38" s="114"/>
      <c r="SU38" s="114"/>
      <c r="SV38" s="114"/>
      <c r="SW38" s="114"/>
      <c r="SX38" s="114"/>
      <c r="SY38" s="114"/>
      <c r="SZ38" s="114"/>
      <c r="TA38" s="114"/>
      <c r="TB38" s="114"/>
      <c r="TC38" s="114"/>
      <c r="TD38" s="114"/>
      <c r="TE38" s="114"/>
      <c r="TF38" s="114"/>
      <c r="TG38" s="114"/>
      <c r="TH38" s="114"/>
      <c r="TI38" s="114"/>
      <c r="TJ38" s="114"/>
      <c r="TK38" s="114"/>
      <c r="TL38" s="114"/>
      <c r="TM38" s="114"/>
      <c r="TN38" s="114"/>
      <c r="TO38" s="114"/>
      <c r="TP38" s="114"/>
      <c r="TQ38" s="114"/>
      <c r="TR38" s="114"/>
      <c r="TS38" s="114"/>
      <c r="TT38" s="114"/>
      <c r="TU38" s="114"/>
      <c r="TV38" s="114"/>
      <c r="TW38" s="114"/>
      <c r="TX38" s="114"/>
      <c r="TY38" s="114"/>
      <c r="TZ38" s="114"/>
      <c r="UA38" s="114"/>
      <c r="UB38" s="114"/>
      <c r="UC38" s="114"/>
      <c r="UD38" s="114"/>
      <c r="UE38" s="114"/>
      <c r="UF38" s="114"/>
      <c r="UG38" s="114"/>
      <c r="UH38" s="114"/>
      <c r="UI38" s="114"/>
      <c r="UJ38" s="114"/>
      <c r="UK38" s="114"/>
      <c r="UL38" s="114"/>
      <c r="UM38" s="114"/>
      <c r="UN38" s="114"/>
      <c r="UO38" s="114"/>
      <c r="UP38" s="114"/>
      <c r="UQ38" s="114"/>
      <c r="UR38" s="114"/>
      <c r="US38" s="114"/>
      <c r="UT38" s="114"/>
      <c r="UU38" s="114"/>
      <c r="UV38" s="114"/>
      <c r="UW38" s="114"/>
      <c r="UX38" s="114"/>
      <c r="UY38" s="114"/>
      <c r="UZ38" s="114"/>
      <c r="VA38" s="114"/>
      <c r="VB38" s="114"/>
      <c r="VC38" s="114"/>
      <c r="VD38" s="114"/>
      <c r="VE38" s="114"/>
      <c r="VF38" s="114"/>
      <c r="VG38" s="114"/>
      <c r="VH38" s="114"/>
      <c r="VI38" s="114"/>
      <c r="VJ38" s="114"/>
      <c r="VK38" s="114"/>
      <c r="VL38" s="114"/>
      <c r="VM38" s="114"/>
      <c r="VN38" s="114"/>
      <c r="VO38" s="114"/>
      <c r="VP38" s="114"/>
      <c r="VQ38" s="114"/>
      <c r="VR38" s="114"/>
      <c r="VS38" s="114"/>
      <c r="VT38" s="114"/>
      <c r="VU38" s="114"/>
      <c r="VV38" s="114"/>
      <c r="VW38" s="114"/>
      <c r="VX38" s="114"/>
      <c r="VY38" s="114"/>
      <c r="VZ38" s="114"/>
      <c r="WA38" s="114"/>
      <c r="WB38" s="114"/>
      <c r="WC38" s="114"/>
      <c r="WD38" s="114"/>
      <c r="WE38" s="114"/>
      <c r="WF38" s="114"/>
      <c r="WG38" s="114"/>
      <c r="WH38" s="114"/>
      <c r="WI38" s="114"/>
      <c r="WJ38" s="114"/>
      <c r="WK38" s="114"/>
      <c r="WL38" s="114"/>
      <c r="WM38" s="114"/>
      <c r="WN38" s="114"/>
      <c r="WO38" s="114"/>
      <c r="WP38" s="114"/>
      <c r="WQ38" s="114"/>
      <c r="WR38" s="114"/>
      <c r="WS38" s="114"/>
      <c r="WT38" s="114"/>
      <c r="WU38" s="114"/>
      <c r="WV38" s="114"/>
      <c r="WW38" s="114"/>
      <c r="WX38" s="114"/>
      <c r="WY38" s="114"/>
      <c r="WZ38" s="114"/>
      <c r="XA38" s="114"/>
      <c r="XB38" s="114"/>
      <c r="XC38" s="114"/>
      <c r="XD38" s="114"/>
      <c r="XE38" s="114"/>
      <c r="XF38" s="114"/>
      <c r="XG38" s="114"/>
      <c r="XH38" s="114"/>
      <c r="XI38" s="114"/>
      <c r="XJ38" s="114"/>
      <c r="XK38" s="114"/>
      <c r="XL38" s="114"/>
      <c r="XM38" s="114"/>
      <c r="XN38" s="114"/>
      <c r="XO38" s="114"/>
      <c r="XP38" s="114"/>
      <c r="XQ38" s="114"/>
      <c r="XR38" s="114"/>
      <c r="XS38" s="114"/>
      <c r="XT38" s="114"/>
      <c r="XU38" s="114"/>
      <c r="XV38" s="114"/>
      <c r="XW38" s="114"/>
      <c r="XX38" s="114"/>
      <c r="XY38" s="114"/>
      <c r="XZ38" s="114"/>
      <c r="YA38" s="114"/>
      <c r="YB38" s="114"/>
      <c r="YC38" s="114"/>
      <c r="YD38" s="114"/>
      <c r="YE38" s="114"/>
      <c r="YF38" s="114"/>
      <c r="YG38" s="114"/>
      <c r="YH38" s="114"/>
      <c r="YI38" s="114"/>
      <c r="YJ38" s="114"/>
      <c r="YK38" s="114"/>
      <c r="YL38" s="114"/>
      <c r="YM38" s="114"/>
      <c r="YN38" s="114"/>
      <c r="YO38" s="114"/>
      <c r="YP38" s="114"/>
      <c r="YQ38" s="114"/>
      <c r="YR38" s="114"/>
      <c r="YS38" s="114"/>
      <c r="YT38" s="114"/>
      <c r="YU38" s="114"/>
      <c r="YV38" s="114"/>
      <c r="YW38" s="114"/>
      <c r="YX38" s="114"/>
      <c r="YY38" s="114"/>
      <c r="YZ38" s="114"/>
      <c r="ZA38" s="114"/>
      <c r="ZB38" s="114"/>
      <c r="ZC38" s="114"/>
      <c r="ZD38" s="114"/>
      <c r="ZE38" s="114"/>
      <c r="ZF38" s="114"/>
      <c r="ZG38" s="114"/>
      <c r="ZH38" s="114"/>
      <c r="ZI38" s="114"/>
      <c r="ZJ38" s="114"/>
      <c r="ZK38" s="114"/>
      <c r="ZL38" s="114"/>
      <c r="ZM38" s="114"/>
      <c r="ZN38" s="114"/>
      <c r="ZO38" s="114"/>
      <c r="ZP38" s="114"/>
      <c r="ZQ38" s="114"/>
      <c r="ZR38" s="114"/>
      <c r="ZS38" s="114"/>
      <c r="ZT38" s="114"/>
      <c r="ZU38" s="114"/>
      <c r="ZV38" s="114"/>
      <c r="ZW38" s="114"/>
      <c r="ZX38" s="114"/>
      <c r="ZY38" s="114"/>
      <c r="ZZ38" s="114"/>
      <c r="AAA38" s="114"/>
      <c r="AAB38" s="114"/>
      <c r="AAC38" s="114"/>
      <c r="AAD38" s="114"/>
      <c r="AAE38" s="114"/>
      <c r="AAF38" s="114"/>
      <c r="AAG38" s="114"/>
      <c r="AAH38" s="114"/>
      <c r="AAI38" s="114"/>
      <c r="AAJ38" s="114"/>
      <c r="AAK38" s="114"/>
      <c r="AAL38" s="114"/>
      <c r="AAM38" s="114"/>
      <c r="AAN38" s="114"/>
      <c r="AAO38" s="114"/>
      <c r="AAP38" s="114"/>
      <c r="AAQ38" s="114"/>
      <c r="AAR38" s="114"/>
      <c r="AAS38" s="114"/>
      <c r="AAT38" s="114"/>
      <c r="AAU38" s="114"/>
      <c r="AAV38" s="114"/>
      <c r="AAW38" s="114"/>
      <c r="AAX38" s="114"/>
      <c r="AAY38" s="114"/>
      <c r="AAZ38" s="114"/>
      <c r="ABA38" s="114"/>
      <c r="ABB38" s="114"/>
      <c r="ABC38" s="114"/>
      <c r="ABD38" s="114"/>
      <c r="ABE38" s="114"/>
      <c r="ABF38" s="114"/>
      <c r="ABG38" s="114"/>
      <c r="ABH38" s="114"/>
      <c r="ABI38" s="114"/>
      <c r="ABJ38" s="114"/>
      <c r="ABK38" s="114"/>
      <c r="ABL38" s="114"/>
      <c r="ABM38" s="114"/>
      <c r="ABN38" s="114"/>
      <c r="ABO38" s="114"/>
      <c r="ABP38" s="114"/>
      <c r="ABQ38" s="114"/>
      <c r="ABR38" s="114"/>
      <c r="ABS38" s="114"/>
      <c r="ABT38" s="114"/>
      <c r="ABU38" s="114"/>
      <c r="ABV38" s="114"/>
      <c r="ABW38" s="114"/>
      <c r="ABX38" s="114"/>
      <c r="ABY38" s="114"/>
      <c r="ABZ38" s="114"/>
      <c r="ACA38" s="114"/>
      <c r="ACB38" s="114"/>
      <c r="ACC38" s="114"/>
      <c r="ACD38" s="114"/>
      <c r="ACE38" s="114"/>
      <c r="ACF38" s="114"/>
      <c r="ACG38" s="114"/>
      <c r="ACH38" s="114"/>
      <c r="ACI38" s="114"/>
      <c r="ACJ38" s="114"/>
      <c r="ACK38" s="114"/>
      <c r="ACL38" s="114"/>
      <c r="ACM38" s="114"/>
      <c r="ACN38" s="114"/>
      <c r="ACO38" s="114"/>
      <c r="ACP38" s="114"/>
      <c r="ACQ38" s="114"/>
      <c r="ACR38" s="114"/>
      <c r="ACS38" s="114"/>
      <c r="ACT38" s="114"/>
      <c r="ACU38" s="114"/>
      <c r="ACV38" s="114"/>
      <c r="ACW38" s="114"/>
      <c r="ACX38" s="114"/>
      <c r="ACY38" s="114"/>
      <c r="ACZ38" s="114"/>
      <c r="ADA38" s="114"/>
      <c r="ADB38" s="114"/>
      <c r="ADC38" s="114"/>
      <c r="ADD38" s="114"/>
      <c r="ADE38" s="114"/>
      <c r="ADF38" s="114"/>
      <c r="ADG38" s="114"/>
      <c r="ADH38" s="114"/>
      <c r="ADI38" s="114"/>
      <c r="ADJ38" s="114"/>
      <c r="ADK38" s="114"/>
      <c r="ADL38" s="114"/>
      <c r="ADM38" s="114"/>
      <c r="ADN38" s="114"/>
      <c r="ADO38" s="114"/>
      <c r="ADP38" s="114"/>
      <c r="ADQ38" s="114"/>
      <c r="ADR38" s="114"/>
      <c r="ADS38" s="114"/>
      <c r="ADT38" s="114"/>
      <c r="ADU38" s="114"/>
      <c r="ADV38" s="114"/>
      <c r="ADW38" s="114"/>
      <c r="ADX38" s="114"/>
      <c r="ADY38" s="114"/>
      <c r="ADZ38" s="114"/>
      <c r="AEA38" s="114"/>
      <c r="AEB38" s="114"/>
      <c r="AEC38" s="114"/>
      <c r="AED38" s="114"/>
      <c r="AEE38" s="114"/>
      <c r="AEF38" s="114"/>
      <c r="AEG38" s="114"/>
      <c r="AEH38" s="114"/>
      <c r="AEI38" s="114"/>
      <c r="AEJ38" s="114"/>
      <c r="AEK38" s="114"/>
      <c r="AEL38" s="114"/>
      <c r="AEM38" s="114"/>
      <c r="AEN38" s="114"/>
      <c r="AEO38" s="114"/>
      <c r="AEP38" s="114"/>
      <c r="AEQ38" s="114"/>
      <c r="AER38" s="114"/>
      <c r="AES38" s="114"/>
      <c r="AET38" s="114"/>
      <c r="AEU38" s="114"/>
      <c r="AEV38" s="114"/>
      <c r="AEW38" s="114"/>
      <c r="AEX38" s="114"/>
      <c r="AEY38" s="114"/>
      <c r="AEZ38" s="114"/>
      <c r="AFA38" s="114"/>
      <c r="AFB38" s="114"/>
      <c r="AFC38" s="114"/>
      <c r="AFD38" s="114"/>
      <c r="AFE38" s="114"/>
      <c r="AFF38" s="114"/>
      <c r="AFG38" s="114"/>
      <c r="AFH38" s="114"/>
      <c r="AFI38" s="114"/>
      <c r="AFJ38" s="114"/>
      <c r="AFK38" s="114"/>
      <c r="AFL38" s="114"/>
      <c r="AFM38" s="114"/>
      <c r="AFN38" s="114"/>
      <c r="AFO38" s="114"/>
      <c r="AFP38" s="114"/>
      <c r="AFQ38" s="114"/>
      <c r="AFR38" s="114"/>
      <c r="AFS38" s="114"/>
      <c r="AFT38" s="114"/>
      <c r="AFU38" s="114"/>
      <c r="AFV38" s="114"/>
      <c r="AFW38" s="114"/>
      <c r="AFX38" s="114"/>
      <c r="AFY38" s="114"/>
      <c r="AFZ38" s="114"/>
      <c r="AGA38" s="114"/>
      <c r="AGB38" s="114"/>
      <c r="AGC38" s="114"/>
      <c r="AGD38" s="114"/>
      <c r="AGE38" s="114"/>
      <c r="AGF38" s="114"/>
      <c r="AGG38" s="114"/>
      <c r="AGH38" s="114"/>
      <c r="AGI38" s="114"/>
      <c r="AGJ38" s="114"/>
      <c r="AGK38" s="114"/>
      <c r="AGL38" s="114"/>
      <c r="AGM38" s="114"/>
      <c r="AGN38" s="114"/>
      <c r="AGO38" s="114"/>
      <c r="AGP38" s="114"/>
      <c r="AGQ38" s="114"/>
      <c r="AGR38" s="114"/>
      <c r="AGS38" s="114"/>
      <c r="AGT38" s="114"/>
      <c r="AGU38" s="114"/>
      <c r="AGV38" s="114"/>
      <c r="AGW38" s="114"/>
      <c r="AGX38" s="114"/>
      <c r="AGY38" s="114"/>
      <c r="AGZ38" s="114"/>
      <c r="AHA38" s="114"/>
      <c r="AHB38" s="114"/>
      <c r="AHC38" s="114"/>
      <c r="AHD38" s="114"/>
      <c r="AHE38" s="114"/>
      <c r="AHF38" s="114"/>
      <c r="AHG38" s="114"/>
      <c r="AHH38" s="114"/>
      <c r="AHI38" s="114"/>
      <c r="AHJ38" s="114"/>
      <c r="AHK38" s="114"/>
      <c r="AHL38" s="114"/>
      <c r="AHM38" s="114"/>
      <c r="AHN38" s="114"/>
      <c r="AHO38" s="114"/>
      <c r="AHP38" s="114"/>
      <c r="AHQ38" s="114"/>
      <c r="AHR38" s="114"/>
      <c r="AHS38" s="114"/>
      <c r="AHT38" s="114"/>
      <c r="AHU38" s="114"/>
      <c r="AHV38" s="114"/>
      <c r="AHW38" s="114"/>
      <c r="AHX38" s="114"/>
      <c r="AHY38" s="114"/>
      <c r="AHZ38" s="114"/>
      <c r="AIA38" s="114"/>
      <c r="AIB38" s="114"/>
      <c r="AIC38" s="114"/>
      <c r="AID38" s="114"/>
      <c r="AIE38" s="114"/>
      <c r="AIF38" s="114"/>
      <c r="AIG38" s="114"/>
      <c r="AIH38" s="114"/>
      <c r="AII38" s="114"/>
      <c r="AIJ38" s="114"/>
      <c r="AIK38" s="114"/>
      <c r="AIL38" s="114"/>
      <c r="AIM38" s="114"/>
      <c r="AIN38" s="114"/>
      <c r="AIO38" s="114"/>
      <c r="AIP38" s="114"/>
      <c r="AIQ38" s="114"/>
      <c r="AIR38" s="114"/>
      <c r="AIS38" s="114"/>
      <c r="AIT38" s="114"/>
      <c r="AIU38" s="114"/>
      <c r="AIV38" s="114"/>
      <c r="AIW38" s="114"/>
      <c r="AIX38" s="114"/>
      <c r="AIY38" s="114"/>
      <c r="AIZ38" s="114"/>
      <c r="AJA38" s="114"/>
      <c r="AJB38" s="114"/>
      <c r="AJC38" s="114"/>
      <c r="AJD38" s="114"/>
      <c r="AJE38" s="114"/>
      <c r="AJF38" s="114"/>
      <c r="AJG38" s="114"/>
      <c r="AJH38" s="114"/>
      <c r="AJI38" s="114"/>
      <c r="AJJ38" s="114"/>
      <c r="AJK38" s="114"/>
      <c r="AJL38" s="114"/>
      <c r="AJM38" s="114"/>
      <c r="AJN38" s="114"/>
      <c r="AJO38" s="114"/>
      <c r="AJP38" s="114"/>
      <c r="AJQ38" s="114"/>
      <c r="AJR38" s="114"/>
      <c r="AJS38" s="114"/>
      <c r="AJT38" s="114"/>
      <c r="AJU38" s="114"/>
      <c r="AJV38" s="114"/>
      <c r="AJW38" s="114"/>
      <c r="AJX38" s="114"/>
      <c r="AJY38" s="114"/>
      <c r="AJZ38" s="114"/>
      <c r="AKA38" s="114"/>
      <c r="AKB38" s="114"/>
      <c r="AKC38" s="114"/>
      <c r="AKD38" s="114"/>
      <c r="AKE38" s="114"/>
      <c r="AKF38" s="114"/>
      <c r="AKG38" s="114"/>
      <c r="AKH38" s="114"/>
      <c r="AKI38" s="114"/>
      <c r="AKJ38" s="114"/>
      <c r="AKK38" s="114"/>
      <c r="AKL38" s="114"/>
    </row>
    <row r="39" spans="1:974" ht="15" customHeight="1" x14ac:dyDescent="0.3">
      <c r="A39" s="116"/>
      <c r="B39" s="117"/>
      <c r="C39" s="462"/>
      <c r="D39" s="138" t="s">
        <v>3094</v>
      </c>
      <c r="E39" s="139">
        <v>1</v>
      </c>
      <c r="F39" s="170">
        <f>26800*12</f>
        <v>321600</v>
      </c>
      <c r="G39" s="141">
        <f t="shared" ref="G39:G85" si="1">E39*F39</f>
        <v>321600</v>
      </c>
    </row>
    <row r="40" spans="1:974" ht="15" customHeight="1" x14ac:dyDescent="0.3">
      <c r="A40" s="116"/>
      <c r="B40" s="117"/>
      <c r="C40" s="462"/>
      <c r="D40" s="138" t="s">
        <v>3095</v>
      </c>
      <c r="E40" s="139">
        <v>1</v>
      </c>
      <c r="F40" s="170">
        <f>44372*12</f>
        <v>532464</v>
      </c>
      <c r="G40" s="141">
        <f t="shared" si="1"/>
        <v>532464</v>
      </c>
    </row>
    <row r="41" spans="1:974" ht="15" customHeight="1" x14ac:dyDescent="0.3">
      <c r="A41" s="116"/>
      <c r="B41" s="117"/>
      <c r="C41" s="462"/>
      <c r="D41" s="138" t="s">
        <v>3097</v>
      </c>
      <c r="E41" s="139">
        <v>1</v>
      </c>
      <c r="F41" s="170">
        <f>41000*12</f>
        <v>492000</v>
      </c>
      <c r="G41" s="141">
        <f t="shared" si="1"/>
        <v>492000</v>
      </c>
    </row>
    <row r="42" spans="1:974" ht="15" customHeight="1" x14ac:dyDescent="0.3">
      <c r="A42" s="116"/>
      <c r="B42" s="117"/>
      <c r="C42" s="462"/>
      <c r="D42" s="138" t="s">
        <v>3138</v>
      </c>
      <c r="E42" s="139">
        <v>8</v>
      </c>
      <c r="F42" s="170">
        <f>42500*12</f>
        <v>510000</v>
      </c>
      <c r="G42" s="141">
        <f t="shared" si="1"/>
        <v>4080000</v>
      </c>
    </row>
    <row r="43" spans="1:974" ht="15" customHeight="1" x14ac:dyDescent="0.3">
      <c r="A43" s="116"/>
      <c r="B43" s="117"/>
      <c r="C43" s="462"/>
      <c r="D43" s="138" t="s">
        <v>3188</v>
      </c>
      <c r="E43" s="139">
        <v>7</v>
      </c>
      <c r="F43" s="170">
        <f>37500*6</f>
        <v>225000</v>
      </c>
      <c r="G43" s="141">
        <f t="shared" si="1"/>
        <v>1575000</v>
      </c>
    </row>
    <row r="44" spans="1:974" ht="15" customHeight="1" x14ac:dyDescent="0.3">
      <c r="A44" s="116"/>
      <c r="B44" s="117"/>
      <c r="C44" s="462"/>
      <c r="D44" s="138" t="s">
        <v>3189</v>
      </c>
      <c r="E44" s="139">
        <v>70</v>
      </c>
      <c r="F44" s="170">
        <f>31500*6</f>
        <v>189000</v>
      </c>
      <c r="G44" s="141">
        <f t="shared" si="1"/>
        <v>13230000</v>
      </c>
    </row>
    <row r="45" spans="1:974" s="114" customFormat="1" ht="15" customHeight="1" x14ac:dyDescent="0.3">
      <c r="A45" s="116"/>
      <c r="B45" s="117"/>
      <c r="C45" s="462"/>
      <c r="D45" s="138" t="s">
        <v>3190</v>
      </c>
      <c r="E45" s="139">
        <v>0</v>
      </c>
      <c r="F45" s="170">
        <f>12000*6</f>
        <v>72000</v>
      </c>
      <c r="G45" s="141">
        <f t="shared" si="1"/>
        <v>0</v>
      </c>
    </row>
    <row r="46" spans="1:974" s="114" customFormat="1" ht="15" customHeight="1" x14ac:dyDescent="0.3">
      <c r="A46" s="116"/>
      <c r="B46" s="117"/>
      <c r="C46" s="462"/>
      <c r="D46" s="138" t="s">
        <v>3191</v>
      </c>
      <c r="E46" s="139">
        <v>26</v>
      </c>
      <c r="F46" s="170">
        <f>10000*6</f>
        <v>60000</v>
      </c>
      <c r="G46" s="141">
        <f t="shared" si="1"/>
        <v>1560000</v>
      </c>
    </row>
    <row r="47" spans="1:974" s="114" customFormat="1" ht="15" customHeight="1" x14ac:dyDescent="0.3">
      <c r="A47" s="116"/>
      <c r="B47" s="117"/>
      <c r="C47" s="462"/>
      <c r="D47" s="138" t="s">
        <v>3192</v>
      </c>
      <c r="E47" s="139">
        <v>61</v>
      </c>
      <c r="F47" s="170">
        <f>8000*6</f>
        <v>48000</v>
      </c>
      <c r="G47" s="141">
        <f t="shared" si="1"/>
        <v>2928000</v>
      </c>
    </row>
    <row r="48" spans="1:974" s="114" customFormat="1" ht="15" customHeight="1" x14ac:dyDescent="0.3">
      <c r="A48" s="116"/>
      <c r="B48" s="117"/>
      <c r="C48" s="462"/>
      <c r="D48" s="138" t="s">
        <v>3193</v>
      </c>
      <c r="E48" s="139">
        <v>1</v>
      </c>
      <c r="F48" s="170">
        <f>5500*6</f>
        <v>33000</v>
      </c>
      <c r="G48" s="141">
        <f t="shared" si="1"/>
        <v>33000</v>
      </c>
    </row>
    <row r="49" spans="1:7" s="114" customFormat="1" ht="15" customHeight="1" x14ac:dyDescent="0.3">
      <c r="A49" s="116"/>
      <c r="B49" s="117"/>
      <c r="C49" s="462"/>
      <c r="D49" s="138" t="s">
        <v>3194</v>
      </c>
      <c r="E49" s="139">
        <v>30</v>
      </c>
      <c r="F49" s="170">
        <f>4000*6</f>
        <v>24000</v>
      </c>
      <c r="G49" s="141">
        <f t="shared" si="1"/>
        <v>720000</v>
      </c>
    </row>
    <row r="50" spans="1:7" s="114" customFormat="1" ht="15" customHeight="1" x14ac:dyDescent="0.3">
      <c r="A50" s="116"/>
      <c r="B50" s="117"/>
      <c r="C50" s="462"/>
      <c r="D50" s="138" t="s">
        <v>3195</v>
      </c>
      <c r="E50" s="139">
        <v>4</v>
      </c>
      <c r="F50" s="170">
        <f>37500*12</f>
        <v>450000</v>
      </c>
      <c r="G50" s="141">
        <f t="shared" si="1"/>
        <v>1800000</v>
      </c>
    </row>
    <row r="51" spans="1:7" s="114" customFormat="1" ht="15" customHeight="1" x14ac:dyDescent="0.3">
      <c r="A51" s="116"/>
      <c r="B51" s="117"/>
      <c r="C51" s="462"/>
      <c r="D51" s="138" t="s">
        <v>3196</v>
      </c>
      <c r="E51" s="139">
        <v>36</v>
      </c>
      <c r="F51" s="170">
        <f>31500*12</f>
        <v>378000</v>
      </c>
      <c r="G51" s="141">
        <f t="shared" si="1"/>
        <v>13608000</v>
      </c>
    </row>
    <row r="52" spans="1:7" s="114" customFormat="1" ht="15" customHeight="1" x14ac:dyDescent="0.3">
      <c r="A52" s="116"/>
      <c r="B52" s="117"/>
      <c r="C52" s="462"/>
      <c r="D52" s="138" t="s">
        <v>3197</v>
      </c>
      <c r="E52" s="139">
        <v>38</v>
      </c>
      <c r="F52" s="170">
        <f>12000*12</f>
        <v>144000</v>
      </c>
      <c r="G52" s="141">
        <f t="shared" si="1"/>
        <v>5472000</v>
      </c>
    </row>
    <row r="53" spans="1:7" s="114" customFormat="1" ht="15" customHeight="1" x14ac:dyDescent="0.3">
      <c r="A53" s="116"/>
      <c r="B53" s="117"/>
      <c r="C53" s="462"/>
      <c r="D53" s="138" t="s">
        <v>3198</v>
      </c>
      <c r="E53" s="139">
        <v>6</v>
      </c>
      <c r="F53" s="170">
        <f>10000*12</f>
        <v>120000</v>
      </c>
      <c r="G53" s="141">
        <f t="shared" si="1"/>
        <v>720000</v>
      </c>
    </row>
    <row r="54" spans="1:7" s="114" customFormat="1" ht="15" customHeight="1" x14ac:dyDescent="0.3">
      <c r="A54" s="116"/>
      <c r="B54" s="117"/>
      <c r="C54" s="462"/>
      <c r="D54" s="138" t="s">
        <v>3199</v>
      </c>
      <c r="E54" s="139">
        <v>30</v>
      </c>
      <c r="F54" s="170">
        <f>8000*12</f>
        <v>96000</v>
      </c>
      <c r="G54" s="141">
        <f t="shared" si="1"/>
        <v>2880000</v>
      </c>
    </row>
    <row r="55" spans="1:7" s="114" customFormat="1" ht="15" customHeight="1" x14ac:dyDescent="0.3">
      <c r="A55" s="116"/>
      <c r="B55" s="117"/>
      <c r="C55" s="462"/>
      <c r="D55" s="138" t="s">
        <v>3200</v>
      </c>
      <c r="E55" s="139">
        <v>2</v>
      </c>
      <c r="F55" s="170">
        <f>5500*12</f>
        <v>66000</v>
      </c>
      <c r="G55" s="141">
        <f t="shared" si="1"/>
        <v>132000</v>
      </c>
    </row>
    <row r="56" spans="1:7" s="114" customFormat="1" ht="15" customHeight="1" x14ac:dyDescent="0.3">
      <c r="A56" s="116"/>
      <c r="B56" s="117"/>
      <c r="C56" s="462"/>
      <c r="D56" s="138" t="s">
        <v>3201</v>
      </c>
      <c r="E56" s="139">
        <v>17</v>
      </c>
      <c r="F56" s="170">
        <f>4000*12</f>
        <v>48000</v>
      </c>
      <c r="G56" s="141">
        <f t="shared" si="1"/>
        <v>816000</v>
      </c>
    </row>
    <row r="57" spans="1:7" s="114" customFormat="1" ht="15" customHeight="1" x14ac:dyDescent="0.3">
      <c r="A57" s="116"/>
      <c r="B57" s="117"/>
      <c r="C57" s="462"/>
      <c r="D57" s="138" t="s">
        <v>3202</v>
      </c>
      <c r="E57" s="139">
        <v>52</v>
      </c>
      <c r="F57" s="170">
        <f>37500*12</f>
        <v>450000</v>
      </c>
      <c r="G57" s="141">
        <f t="shared" si="1"/>
        <v>23400000</v>
      </c>
    </row>
    <row r="58" spans="1:7" s="114" customFormat="1" ht="15" customHeight="1" x14ac:dyDescent="0.3">
      <c r="A58" s="116"/>
      <c r="B58" s="117"/>
      <c r="C58" s="462"/>
      <c r="D58" s="138" t="s">
        <v>3203</v>
      </c>
      <c r="E58" s="139">
        <v>70</v>
      </c>
      <c r="F58" s="170">
        <f>31500*12</f>
        <v>378000</v>
      </c>
      <c r="G58" s="141">
        <f t="shared" si="1"/>
        <v>26460000</v>
      </c>
    </row>
    <row r="59" spans="1:7" s="114" customFormat="1" ht="15" customHeight="1" x14ac:dyDescent="0.3">
      <c r="A59" s="116"/>
      <c r="B59" s="117"/>
      <c r="C59" s="462"/>
      <c r="D59" s="138" t="s">
        <v>3204</v>
      </c>
      <c r="E59" s="139">
        <v>30</v>
      </c>
      <c r="F59" s="170">
        <f>18000*12</f>
        <v>216000</v>
      </c>
      <c r="G59" s="141">
        <f t="shared" si="1"/>
        <v>6480000</v>
      </c>
    </row>
    <row r="60" spans="1:7" s="114" customFormat="1" ht="15" customHeight="1" x14ac:dyDescent="0.3">
      <c r="A60" s="116"/>
      <c r="B60" s="117"/>
      <c r="C60" s="462"/>
      <c r="D60" s="138" t="s">
        <v>3122</v>
      </c>
      <c r="E60" s="139">
        <v>430</v>
      </c>
      <c r="F60" s="170">
        <f>12000*12</f>
        <v>144000</v>
      </c>
      <c r="G60" s="141">
        <f t="shared" si="1"/>
        <v>61920000</v>
      </c>
    </row>
    <row r="61" spans="1:7" s="114" customFormat="1" ht="15" customHeight="1" x14ac:dyDescent="0.3">
      <c r="A61" s="116"/>
      <c r="B61" s="117"/>
      <c r="C61" s="462"/>
      <c r="D61" s="138" t="s">
        <v>3123</v>
      </c>
      <c r="E61" s="139">
        <v>2</v>
      </c>
      <c r="F61" s="170">
        <f>10000*12</f>
        <v>120000</v>
      </c>
      <c r="G61" s="141">
        <f t="shared" si="1"/>
        <v>240000</v>
      </c>
    </row>
    <row r="62" spans="1:7" s="114" customFormat="1" ht="15" customHeight="1" x14ac:dyDescent="0.3">
      <c r="A62" s="116"/>
      <c r="B62" s="117"/>
      <c r="C62" s="462"/>
      <c r="D62" s="138" t="s">
        <v>3205</v>
      </c>
      <c r="E62" s="139">
        <v>10</v>
      </c>
      <c r="F62" s="170">
        <f>9200*12</f>
        <v>110400</v>
      </c>
      <c r="G62" s="141">
        <f t="shared" si="1"/>
        <v>1104000</v>
      </c>
    </row>
    <row r="63" spans="1:7" s="114" customFormat="1" ht="15" customHeight="1" x14ac:dyDescent="0.3">
      <c r="A63" s="116"/>
      <c r="B63" s="117"/>
      <c r="C63" s="462"/>
      <c r="D63" s="138" t="s">
        <v>3124</v>
      </c>
      <c r="E63" s="139">
        <v>60</v>
      </c>
      <c r="F63" s="170">
        <f>8000*12</f>
        <v>96000</v>
      </c>
      <c r="G63" s="141">
        <f t="shared" si="1"/>
        <v>5760000</v>
      </c>
    </row>
    <row r="64" spans="1:7" s="114" customFormat="1" ht="15" customHeight="1" x14ac:dyDescent="0.3">
      <c r="A64" s="116"/>
      <c r="B64" s="117"/>
      <c r="C64" s="462"/>
      <c r="D64" s="138" t="s">
        <v>3127</v>
      </c>
      <c r="E64" s="139">
        <v>30</v>
      </c>
      <c r="F64" s="170">
        <f>4000*12</f>
        <v>48000</v>
      </c>
      <c r="G64" s="141">
        <f t="shared" si="1"/>
        <v>1440000</v>
      </c>
    </row>
    <row r="65" spans="1:7" s="114" customFormat="1" ht="15" customHeight="1" x14ac:dyDescent="0.3">
      <c r="A65" s="116"/>
      <c r="B65" s="117"/>
      <c r="C65" s="462"/>
      <c r="D65" s="138" t="s">
        <v>3128</v>
      </c>
      <c r="E65" s="193">
        <f>(E45+E47+E48+E52+E54+E55+E60+E63+E59+E62)/2</f>
        <v>331</v>
      </c>
      <c r="F65" s="170">
        <f>2000*12</f>
        <v>24000</v>
      </c>
      <c r="G65" s="141">
        <f t="shared" si="1"/>
        <v>7944000</v>
      </c>
    </row>
    <row r="66" spans="1:7" s="114" customFormat="1" ht="15" customHeight="1" x14ac:dyDescent="0.3">
      <c r="A66" s="116"/>
      <c r="B66" s="117"/>
      <c r="C66" s="462"/>
      <c r="D66" s="138" t="s">
        <v>3130</v>
      </c>
      <c r="E66" s="139">
        <v>30</v>
      </c>
      <c r="F66" s="170">
        <f>39000*5</f>
        <v>195000</v>
      </c>
      <c r="G66" s="141">
        <f t="shared" si="1"/>
        <v>5850000</v>
      </c>
    </row>
    <row r="67" spans="1:7" s="114" customFormat="1" ht="15" customHeight="1" x14ac:dyDescent="0.3">
      <c r="A67" s="116"/>
      <c r="B67" s="117"/>
      <c r="C67" s="462"/>
      <c r="D67" s="194" t="s">
        <v>3206</v>
      </c>
      <c r="E67" s="195"/>
      <c r="F67" s="202"/>
      <c r="G67" s="203"/>
    </row>
    <row r="68" spans="1:7" s="114" customFormat="1" ht="15" customHeight="1" x14ac:dyDescent="0.3">
      <c r="A68" s="116"/>
      <c r="B68" s="117"/>
      <c r="C68" s="462"/>
      <c r="D68" s="130" t="s">
        <v>3132</v>
      </c>
      <c r="E68" s="131">
        <v>7</v>
      </c>
      <c r="F68" s="170">
        <f>37500*12</f>
        <v>450000</v>
      </c>
      <c r="G68" s="133">
        <f t="shared" si="1"/>
        <v>3150000</v>
      </c>
    </row>
    <row r="69" spans="1:7" s="114" customFormat="1" ht="15" customHeight="1" x14ac:dyDescent="0.3">
      <c r="A69" s="116"/>
      <c r="B69" s="117"/>
      <c r="C69" s="462"/>
      <c r="D69" s="138" t="s">
        <v>3133</v>
      </c>
      <c r="E69" s="139">
        <v>36</v>
      </c>
      <c r="F69" s="170">
        <f>31500*12</f>
        <v>378000</v>
      </c>
      <c r="G69" s="141">
        <f t="shared" si="1"/>
        <v>13608000</v>
      </c>
    </row>
    <row r="70" spans="1:7" s="114" customFormat="1" ht="15" customHeight="1" x14ac:dyDescent="0.3">
      <c r="A70" s="116"/>
      <c r="B70" s="117"/>
      <c r="C70" s="462"/>
      <c r="D70" s="138" t="s">
        <v>3140</v>
      </c>
      <c r="E70" s="139">
        <v>10</v>
      </c>
      <c r="F70" s="170">
        <f>18000*12</f>
        <v>216000</v>
      </c>
      <c r="G70" s="141">
        <f t="shared" si="1"/>
        <v>2160000</v>
      </c>
    </row>
    <row r="71" spans="1:7" s="114" customFormat="1" ht="15" customHeight="1" x14ac:dyDescent="0.3">
      <c r="A71" s="116"/>
      <c r="B71" s="117"/>
      <c r="C71" s="462"/>
      <c r="D71" s="138" t="s">
        <v>3134</v>
      </c>
      <c r="E71" s="139">
        <v>50</v>
      </c>
      <c r="F71" s="170">
        <f>12000*12</f>
        <v>144000</v>
      </c>
      <c r="G71" s="141">
        <f t="shared" si="1"/>
        <v>7200000</v>
      </c>
    </row>
    <row r="72" spans="1:7" s="114" customFormat="1" ht="15" customHeight="1" x14ac:dyDescent="0.3">
      <c r="A72" s="116"/>
      <c r="B72" s="117"/>
      <c r="C72" s="462"/>
      <c r="D72" s="138" t="s">
        <v>3136</v>
      </c>
      <c r="E72" s="139">
        <v>30</v>
      </c>
      <c r="F72" s="170">
        <f>8000*12</f>
        <v>96000</v>
      </c>
      <c r="G72" s="141">
        <f t="shared" si="1"/>
        <v>2880000</v>
      </c>
    </row>
    <row r="73" spans="1:7" s="114" customFormat="1" ht="15" customHeight="1" x14ac:dyDescent="0.3">
      <c r="A73" s="116"/>
      <c r="B73" s="117"/>
      <c r="C73" s="462"/>
      <c r="D73" s="138" t="s">
        <v>3137</v>
      </c>
      <c r="E73" s="139">
        <v>17</v>
      </c>
      <c r="F73" s="170">
        <f>4000*12</f>
        <v>48000</v>
      </c>
      <c r="G73" s="141">
        <f t="shared" si="1"/>
        <v>816000</v>
      </c>
    </row>
    <row r="74" spans="1:7" s="114" customFormat="1" ht="15" customHeight="1" x14ac:dyDescent="0.3">
      <c r="A74" s="116"/>
      <c r="B74" s="117"/>
      <c r="C74" s="462"/>
      <c r="D74" s="138" t="s">
        <v>3138</v>
      </c>
      <c r="E74" s="139">
        <v>2</v>
      </c>
      <c r="F74" s="170">
        <f>42500*12</f>
        <v>510000</v>
      </c>
      <c r="G74" s="141">
        <f t="shared" si="1"/>
        <v>1020000</v>
      </c>
    </row>
    <row r="75" spans="1:7" s="114" customFormat="1" ht="15" customHeight="1" x14ac:dyDescent="0.3">
      <c r="A75" s="116"/>
      <c r="B75" s="117"/>
      <c r="C75" s="462"/>
      <c r="D75" s="138" t="s">
        <v>3141</v>
      </c>
      <c r="E75" s="193">
        <f>(E70+E71+E72)/2</f>
        <v>45</v>
      </c>
      <c r="F75" s="200">
        <f>2000*12</f>
        <v>24000</v>
      </c>
      <c r="G75" s="141">
        <f t="shared" si="1"/>
        <v>1080000</v>
      </c>
    </row>
    <row r="76" spans="1:7" s="114" customFormat="1" ht="15" customHeight="1" x14ac:dyDescent="0.3">
      <c r="A76" s="116"/>
      <c r="B76" s="117"/>
      <c r="C76" s="462"/>
      <c r="D76" s="194" t="s">
        <v>3207</v>
      </c>
      <c r="E76" s="195"/>
      <c r="F76" s="207"/>
      <c r="G76" s="197"/>
    </row>
    <row r="77" spans="1:7" s="114" customFormat="1" ht="15" customHeight="1" x14ac:dyDescent="0.3">
      <c r="A77" s="116"/>
      <c r="B77" s="117"/>
      <c r="C77" s="462"/>
      <c r="D77" s="138" t="s">
        <v>3143</v>
      </c>
      <c r="E77" s="139">
        <v>15</v>
      </c>
      <c r="F77" s="170">
        <f>37500*5</f>
        <v>187500</v>
      </c>
      <c r="G77" s="141">
        <f t="shared" si="1"/>
        <v>2812500</v>
      </c>
    </row>
    <row r="78" spans="1:7" s="114" customFormat="1" ht="15" customHeight="1" x14ac:dyDescent="0.3">
      <c r="A78" s="116"/>
      <c r="B78" s="117"/>
      <c r="C78" s="462"/>
      <c r="D78" s="138" t="s">
        <v>3144</v>
      </c>
      <c r="E78" s="139">
        <v>70</v>
      </c>
      <c r="F78" s="170">
        <f>31500*5</f>
        <v>157500</v>
      </c>
      <c r="G78" s="141">
        <f t="shared" si="1"/>
        <v>11025000</v>
      </c>
    </row>
    <row r="79" spans="1:7" ht="15" customHeight="1" x14ac:dyDescent="0.3">
      <c r="A79" s="116"/>
      <c r="B79" s="117"/>
      <c r="C79" s="462"/>
      <c r="D79" s="138" t="s">
        <v>3145</v>
      </c>
      <c r="E79" s="139">
        <v>20</v>
      </c>
      <c r="F79" s="170">
        <f>18000*5</f>
        <v>90000</v>
      </c>
      <c r="G79" s="141">
        <f t="shared" si="1"/>
        <v>1800000</v>
      </c>
    </row>
    <row r="80" spans="1:7" ht="15" customHeight="1" x14ac:dyDescent="0.3">
      <c r="A80" s="116"/>
      <c r="B80" s="117"/>
      <c r="C80" s="462"/>
      <c r="D80" s="138" t="s">
        <v>3146</v>
      </c>
      <c r="E80" s="139">
        <v>100</v>
      </c>
      <c r="F80" s="170">
        <f>12000*5</f>
        <v>60000</v>
      </c>
      <c r="G80" s="141">
        <f t="shared" si="1"/>
        <v>6000000</v>
      </c>
    </row>
    <row r="81" spans="1:974" ht="15" customHeight="1" x14ac:dyDescent="0.3">
      <c r="A81" s="116"/>
      <c r="B81" s="117"/>
      <c r="C81" s="462"/>
      <c r="D81" s="138" t="s">
        <v>3147</v>
      </c>
      <c r="E81" s="139">
        <v>5</v>
      </c>
      <c r="F81" s="170">
        <f>9200*5</f>
        <v>46000</v>
      </c>
      <c r="G81" s="141">
        <f t="shared" si="1"/>
        <v>230000</v>
      </c>
    </row>
    <row r="82" spans="1:974" ht="15" customHeight="1" x14ac:dyDescent="0.3">
      <c r="A82" s="116"/>
      <c r="B82" s="117"/>
      <c r="C82" s="462"/>
      <c r="D82" s="138" t="s">
        <v>3148</v>
      </c>
      <c r="E82" s="139">
        <v>60</v>
      </c>
      <c r="F82" s="170">
        <f>8000*5</f>
        <v>40000</v>
      </c>
      <c r="G82" s="141">
        <f t="shared" si="1"/>
        <v>2400000</v>
      </c>
    </row>
    <row r="83" spans="1:974" ht="15" customHeight="1" x14ac:dyDescent="0.3">
      <c r="A83" s="116"/>
      <c r="B83" s="117"/>
      <c r="C83" s="462"/>
      <c r="D83" s="138" t="s">
        <v>3149</v>
      </c>
      <c r="E83" s="139">
        <v>30</v>
      </c>
      <c r="F83" s="170">
        <f>4000*5</f>
        <v>20000</v>
      </c>
      <c r="G83" s="141">
        <f t="shared" si="1"/>
        <v>600000</v>
      </c>
    </row>
    <row r="84" spans="1:974" ht="15" customHeight="1" x14ac:dyDescent="0.3">
      <c r="A84" s="116"/>
      <c r="B84" s="117"/>
      <c r="C84" s="462"/>
      <c r="D84" s="118" t="s">
        <v>3208</v>
      </c>
      <c r="E84" s="119">
        <v>3</v>
      </c>
      <c r="F84" s="170">
        <f>42500*5</f>
        <v>212500</v>
      </c>
      <c r="G84" s="121">
        <f t="shared" si="1"/>
        <v>637500</v>
      </c>
    </row>
    <row r="85" spans="1:974" ht="15" customHeight="1" x14ac:dyDescent="0.3">
      <c r="A85" s="116"/>
      <c r="B85" s="117"/>
      <c r="C85" s="462"/>
      <c r="D85" s="138" t="s">
        <v>3151</v>
      </c>
      <c r="E85" s="193">
        <f>(E79+E80+E81+E82)/2</f>
        <v>92.5</v>
      </c>
      <c r="F85" s="200">
        <f>2000*5</f>
        <v>10000</v>
      </c>
      <c r="G85" s="141">
        <f t="shared" si="1"/>
        <v>925000</v>
      </c>
    </row>
    <row r="86" spans="1:974" ht="15" customHeight="1" x14ac:dyDescent="0.3">
      <c r="A86" s="158"/>
      <c r="B86" s="159"/>
      <c r="C86" s="463"/>
      <c r="D86" s="464" t="s">
        <v>2834</v>
      </c>
      <c r="E86" s="465"/>
      <c r="F86" s="466"/>
      <c r="G86" s="127">
        <f>SUM(G39:G85)</f>
        <v>249842064</v>
      </c>
    </row>
    <row r="87" spans="1:974" s="115" customFormat="1" ht="15" customHeight="1" x14ac:dyDescent="0.3">
      <c r="A87" s="103">
        <v>8470230</v>
      </c>
      <c r="B87" s="104">
        <v>425745</v>
      </c>
      <c r="C87" s="461" t="s">
        <v>3152</v>
      </c>
      <c r="D87" s="130" t="s">
        <v>3209</v>
      </c>
      <c r="E87" s="208">
        <f>E45+E46+E47+E49</f>
        <v>117</v>
      </c>
      <c r="F87" s="132">
        <v>2500</v>
      </c>
      <c r="G87" s="133">
        <f>E87*F87</f>
        <v>292500</v>
      </c>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c r="AJ87" s="114"/>
      <c r="AK87" s="114"/>
      <c r="AL87" s="114"/>
      <c r="AM87" s="114"/>
      <c r="AN87" s="114"/>
      <c r="AO87" s="114"/>
      <c r="AP87" s="114"/>
      <c r="AQ87" s="114"/>
      <c r="AR87" s="114"/>
      <c r="AS87" s="114"/>
      <c r="AT87" s="114"/>
      <c r="AU87" s="114"/>
      <c r="AV87" s="114"/>
      <c r="AW87" s="114"/>
      <c r="AX87" s="114"/>
      <c r="AY87" s="114"/>
      <c r="AZ87" s="114"/>
      <c r="BA87" s="114"/>
      <c r="BB87" s="114"/>
      <c r="BC87" s="114"/>
      <c r="BD87" s="114"/>
      <c r="BE87" s="114"/>
      <c r="BF87" s="114"/>
      <c r="BG87" s="114"/>
      <c r="BH87" s="114"/>
      <c r="BI87" s="114"/>
      <c r="BJ87" s="114"/>
      <c r="BK87" s="114"/>
      <c r="BL87" s="114"/>
      <c r="BM87" s="114"/>
      <c r="BN87" s="114"/>
      <c r="BO87" s="114"/>
      <c r="BP87" s="114"/>
      <c r="BQ87" s="114"/>
      <c r="BR87" s="114"/>
      <c r="BS87" s="114"/>
      <c r="BT87" s="114"/>
      <c r="BU87" s="114"/>
      <c r="BV87" s="114"/>
      <c r="BW87" s="114"/>
      <c r="BX87" s="114"/>
      <c r="BY87" s="114"/>
      <c r="BZ87" s="114"/>
      <c r="CA87" s="114"/>
      <c r="CB87" s="114"/>
      <c r="CC87" s="114"/>
      <c r="CD87" s="114"/>
      <c r="CE87" s="114"/>
      <c r="CF87" s="114"/>
      <c r="CG87" s="114"/>
      <c r="CH87" s="114"/>
      <c r="CI87" s="114"/>
      <c r="CJ87" s="114"/>
      <c r="CK87" s="114"/>
      <c r="CL87" s="114"/>
      <c r="CM87" s="114"/>
      <c r="CN87" s="114"/>
      <c r="CO87" s="114"/>
      <c r="CP87" s="114"/>
      <c r="CQ87" s="114"/>
      <c r="CR87" s="114"/>
      <c r="CS87" s="114"/>
      <c r="CT87" s="114"/>
      <c r="CU87" s="114"/>
      <c r="CV87" s="114"/>
      <c r="CW87" s="114"/>
      <c r="CX87" s="114"/>
      <c r="CY87" s="114"/>
      <c r="CZ87" s="114"/>
      <c r="DA87" s="114"/>
      <c r="DB87" s="114"/>
      <c r="DC87" s="114"/>
      <c r="DD87" s="114"/>
      <c r="DE87" s="114"/>
      <c r="DF87" s="114"/>
      <c r="DG87" s="114"/>
      <c r="DH87" s="114"/>
      <c r="DI87" s="114"/>
      <c r="DJ87" s="114"/>
      <c r="DK87" s="114"/>
      <c r="DL87" s="114"/>
      <c r="DM87" s="114"/>
      <c r="DN87" s="114"/>
      <c r="DO87" s="114"/>
      <c r="DP87" s="114"/>
      <c r="DQ87" s="114"/>
      <c r="DR87" s="114"/>
      <c r="DS87" s="114"/>
      <c r="DT87" s="114"/>
      <c r="DU87" s="114"/>
      <c r="DV87" s="114"/>
      <c r="DW87" s="114"/>
      <c r="DX87" s="114"/>
      <c r="DY87" s="114"/>
      <c r="DZ87" s="114"/>
      <c r="EA87" s="114"/>
      <c r="EB87" s="114"/>
      <c r="EC87" s="114"/>
      <c r="ED87" s="114"/>
      <c r="EE87" s="114"/>
      <c r="EF87" s="114"/>
      <c r="EG87" s="114"/>
      <c r="EH87" s="114"/>
      <c r="EI87" s="114"/>
      <c r="EJ87" s="114"/>
      <c r="EK87" s="114"/>
      <c r="EL87" s="114"/>
      <c r="EM87" s="114"/>
      <c r="EN87" s="114"/>
      <c r="EO87" s="114"/>
      <c r="EP87" s="114"/>
      <c r="EQ87" s="114"/>
      <c r="ER87" s="114"/>
      <c r="ES87" s="114"/>
      <c r="ET87" s="114"/>
      <c r="EU87" s="114"/>
      <c r="EV87" s="114"/>
      <c r="EW87" s="114"/>
      <c r="EX87" s="114"/>
      <c r="EY87" s="114"/>
      <c r="EZ87" s="114"/>
      <c r="FA87" s="114"/>
      <c r="FB87" s="114"/>
      <c r="FC87" s="114"/>
      <c r="FD87" s="114"/>
      <c r="FE87" s="114"/>
      <c r="FF87" s="114"/>
      <c r="FG87" s="114"/>
      <c r="FH87" s="114"/>
      <c r="FI87" s="114"/>
      <c r="FJ87" s="114"/>
      <c r="FK87" s="114"/>
      <c r="FL87" s="114"/>
      <c r="FM87" s="114"/>
      <c r="FN87" s="114"/>
      <c r="FO87" s="114"/>
      <c r="FP87" s="114"/>
      <c r="FQ87" s="114"/>
      <c r="FR87" s="114"/>
      <c r="FS87" s="114"/>
      <c r="FT87" s="114"/>
      <c r="FU87" s="114"/>
      <c r="FV87" s="114"/>
      <c r="FW87" s="114"/>
      <c r="FX87" s="114"/>
      <c r="FY87" s="114"/>
      <c r="FZ87" s="114"/>
      <c r="GA87" s="114"/>
      <c r="GB87" s="114"/>
      <c r="GC87" s="114"/>
      <c r="GD87" s="114"/>
      <c r="GE87" s="114"/>
      <c r="GF87" s="114"/>
      <c r="GG87" s="114"/>
      <c r="GH87" s="114"/>
      <c r="GI87" s="114"/>
      <c r="GJ87" s="114"/>
      <c r="GK87" s="114"/>
      <c r="GL87" s="114"/>
      <c r="GM87" s="114"/>
      <c r="GN87" s="114"/>
      <c r="GO87" s="114"/>
      <c r="GP87" s="114"/>
      <c r="GQ87" s="114"/>
      <c r="GR87" s="114"/>
      <c r="GS87" s="114"/>
      <c r="GT87" s="114"/>
      <c r="GU87" s="114"/>
      <c r="GV87" s="114"/>
      <c r="GW87" s="114"/>
      <c r="GX87" s="114"/>
      <c r="GY87" s="114"/>
      <c r="GZ87" s="114"/>
      <c r="HA87" s="114"/>
      <c r="HB87" s="114"/>
      <c r="HC87" s="114"/>
      <c r="HD87" s="114"/>
      <c r="HE87" s="114"/>
      <c r="HF87" s="114"/>
      <c r="HG87" s="114"/>
      <c r="HH87" s="114"/>
      <c r="HI87" s="114"/>
      <c r="HJ87" s="114"/>
      <c r="HK87" s="114"/>
      <c r="HL87" s="114"/>
      <c r="HM87" s="114"/>
      <c r="HN87" s="114"/>
      <c r="HO87" s="114"/>
      <c r="HP87" s="114"/>
      <c r="HQ87" s="114"/>
      <c r="HR87" s="114"/>
      <c r="HS87" s="114"/>
      <c r="HT87" s="114"/>
      <c r="HU87" s="114"/>
      <c r="HV87" s="114"/>
      <c r="HW87" s="114"/>
      <c r="HX87" s="114"/>
      <c r="HY87" s="114"/>
      <c r="HZ87" s="114"/>
      <c r="IA87" s="114"/>
      <c r="IB87" s="114"/>
      <c r="IC87" s="114"/>
      <c r="ID87" s="114"/>
      <c r="IE87" s="114"/>
      <c r="IF87" s="114"/>
      <c r="IG87" s="114"/>
      <c r="IH87" s="114"/>
      <c r="II87" s="114"/>
      <c r="IJ87" s="114"/>
      <c r="IK87" s="114"/>
      <c r="IL87" s="114"/>
      <c r="IM87" s="114"/>
      <c r="IN87" s="114"/>
      <c r="IO87" s="114"/>
      <c r="IP87" s="114"/>
      <c r="IQ87" s="114"/>
      <c r="IR87" s="114"/>
      <c r="IS87" s="114"/>
      <c r="IT87" s="114"/>
      <c r="IU87" s="114"/>
      <c r="IV87" s="114"/>
      <c r="IW87" s="114"/>
      <c r="IX87" s="114"/>
      <c r="IY87" s="114"/>
      <c r="IZ87" s="114"/>
      <c r="JA87" s="114"/>
      <c r="JB87" s="114"/>
      <c r="JC87" s="114"/>
      <c r="JD87" s="114"/>
      <c r="JE87" s="114"/>
      <c r="JF87" s="114"/>
      <c r="JG87" s="114"/>
      <c r="JH87" s="114"/>
      <c r="JI87" s="114"/>
      <c r="JJ87" s="114"/>
      <c r="JK87" s="114"/>
      <c r="JL87" s="114"/>
      <c r="JM87" s="114"/>
      <c r="JN87" s="114"/>
      <c r="JO87" s="114"/>
      <c r="JP87" s="114"/>
      <c r="JQ87" s="114"/>
      <c r="JR87" s="114"/>
      <c r="JS87" s="114"/>
      <c r="JT87" s="114"/>
      <c r="JU87" s="114"/>
      <c r="JV87" s="114"/>
      <c r="JW87" s="114"/>
      <c r="JX87" s="114"/>
      <c r="JY87" s="114"/>
      <c r="JZ87" s="114"/>
      <c r="KA87" s="114"/>
      <c r="KB87" s="114"/>
      <c r="KC87" s="114"/>
      <c r="KD87" s="114"/>
      <c r="KE87" s="114"/>
      <c r="KF87" s="114"/>
      <c r="KG87" s="114"/>
      <c r="KH87" s="114"/>
      <c r="KI87" s="114"/>
      <c r="KJ87" s="114"/>
      <c r="KK87" s="114"/>
      <c r="KL87" s="114"/>
      <c r="KM87" s="114"/>
      <c r="KN87" s="114"/>
      <c r="KO87" s="114"/>
      <c r="KP87" s="114"/>
      <c r="KQ87" s="114"/>
      <c r="KR87" s="114"/>
      <c r="KS87" s="114"/>
      <c r="KT87" s="114"/>
      <c r="KU87" s="114"/>
      <c r="KV87" s="114"/>
      <c r="KW87" s="114"/>
      <c r="KX87" s="114"/>
      <c r="KY87" s="114"/>
      <c r="KZ87" s="114"/>
      <c r="LA87" s="114"/>
      <c r="LB87" s="114"/>
      <c r="LC87" s="114"/>
      <c r="LD87" s="114"/>
      <c r="LE87" s="114"/>
      <c r="LF87" s="114"/>
      <c r="LG87" s="114"/>
      <c r="LH87" s="114"/>
      <c r="LI87" s="114"/>
      <c r="LJ87" s="114"/>
      <c r="LK87" s="114"/>
      <c r="LL87" s="114"/>
      <c r="LM87" s="114"/>
      <c r="LN87" s="114"/>
      <c r="LO87" s="114"/>
      <c r="LP87" s="114"/>
      <c r="LQ87" s="114"/>
      <c r="LR87" s="114"/>
      <c r="LS87" s="114"/>
      <c r="LT87" s="114"/>
      <c r="LU87" s="114"/>
      <c r="LV87" s="114"/>
      <c r="LW87" s="114"/>
      <c r="LX87" s="114"/>
      <c r="LY87" s="114"/>
      <c r="LZ87" s="114"/>
      <c r="MA87" s="114"/>
      <c r="MB87" s="114"/>
      <c r="MC87" s="114"/>
      <c r="MD87" s="114"/>
      <c r="ME87" s="114"/>
      <c r="MF87" s="114"/>
      <c r="MG87" s="114"/>
      <c r="MH87" s="114"/>
      <c r="MI87" s="114"/>
      <c r="MJ87" s="114"/>
      <c r="MK87" s="114"/>
      <c r="ML87" s="114"/>
      <c r="MM87" s="114"/>
      <c r="MN87" s="114"/>
      <c r="MO87" s="114"/>
      <c r="MP87" s="114"/>
      <c r="MQ87" s="114"/>
      <c r="MR87" s="114"/>
      <c r="MS87" s="114"/>
      <c r="MT87" s="114"/>
      <c r="MU87" s="114"/>
      <c r="MV87" s="114"/>
      <c r="MW87" s="114"/>
      <c r="MX87" s="114"/>
      <c r="MY87" s="114"/>
      <c r="MZ87" s="114"/>
      <c r="NA87" s="114"/>
      <c r="NB87" s="114"/>
      <c r="NC87" s="114"/>
      <c r="ND87" s="114"/>
      <c r="NE87" s="114"/>
      <c r="NF87" s="114"/>
      <c r="NG87" s="114"/>
      <c r="NH87" s="114"/>
      <c r="NI87" s="114"/>
      <c r="NJ87" s="114"/>
      <c r="NK87" s="114"/>
      <c r="NL87" s="114"/>
      <c r="NM87" s="114"/>
      <c r="NN87" s="114"/>
      <c r="NO87" s="114"/>
      <c r="NP87" s="114"/>
      <c r="NQ87" s="114"/>
      <c r="NR87" s="114"/>
      <c r="NS87" s="114"/>
      <c r="NT87" s="114"/>
      <c r="NU87" s="114"/>
      <c r="NV87" s="114"/>
      <c r="NW87" s="114"/>
      <c r="NX87" s="114"/>
      <c r="NY87" s="114"/>
      <c r="NZ87" s="114"/>
      <c r="OA87" s="114"/>
      <c r="OB87" s="114"/>
      <c r="OC87" s="114"/>
      <c r="OD87" s="114"/>
      <c r="OE87" s="114"/>
      <c r="OF87" s="114"/>
      <c r="OG87" s="114"/>
      <c r="OH87" s="114"/>
      <c r="OI87" s="114"/>
      <c r="OJ87" s="114"/>
      <c r="OK87" s="114"/>
      <c r="OL87" s="114"/>
      <c r="OM87" s="114"/>
      <c r="ON87" s="114"/>
      <c r="OO87" s="114"/>
      <c r="OP87" s="114"/>
      <c r="OQ87" s="114"/>
      <c r="OR87" s="114"/>
      <c r="OS87" s="114"/>
      <c r="OT87" s="114"/>
      <c r="OU87" s="114"/>
      <c r="OV87" s="114"/>
      <c r="OW87" s="114"/>
      <c r="OX87" s="114"/>
      <c r="OY87" s="114"/>
      <c r="OZ87" s="114"/>
      <c r="PA87" s="114"/>
      <c r="PB87" s="114"/>
      <c r="PC87" s="114"/>
      <c r="PD87" s="114"/>
      <c r="PE87" s="114"/>
      <c r="PF87" s="114"/>
      <c r="PG87" s="114"/>
      <c r="PH87" s="114"/>
      <c r="PI87" s="114"/>
      <c r="PJ87" s="114"/>
      <c r="PK87" s="114"/>
      <c r="PL87" s="114"/>
      <c r="PM87" s="114"/>
      <c r="PN87" s="114"/>
      <c r="PO87" s="114"/>
      <c r="PP87" s="114"/>
      <c r="PQ87" s="114"/>
      <c r="PR87" s="114"/>
      <c r="PS87" s="114"/>
      <c r="PT87" s="114"/>
      <c r="PU87" s="114"/>
      <c r="PV87" s="114"/>
      <c r="PW87" s="114"/>
      <c r="PX87" s="114"/>
      <c r="PY87" s="114"/>
      <c r="PZ87" s="114"/>
      <c r="QA87" s="114"/>
      <c r="QB87" s="114"/>
      <c r="QC87" s="114"/>
      <c r="QD87" s="114"/>
      <c r="QE87" s="114"/>
      <c r="QF87" s="114"/>
      <c r="QG87" s="114"/>
      <c r="QH87" s="114"/>
      <c r="QI87" s="114"/>
      <c r="QJ87" s="114"/>
      <c r="QK87" s="114"/>
      <c r="QL87" s="114"/>
      <c r="QM87" s="114"/>
      <c r="QN87" s="114"/>
      <c r="QO87" s="114"/>
      <c r="QP87" s="114"/>
      <c r="QQ87" s="114"/>
      <c r="QR87" s="114"/>
      <c r="QS87" s="114"/>
      <c r="QT87" s="114"/>
      <c r="QU87" s="114"/>
      <c r="QV87" s="114"/>
      <c r="QW87" s="114"/>
      <c r="QX87" s="114"/>
      <c r="QY87" s="114"/>
      <c r="QZ87" s="114"/>
      <c r="RA87" s="114"/>
      <c r="RB87" s="114"/>
      <c r="RC87" s="114"/>
      <c r="RD87" s="114"/>
      <c r="RE87" s="114"/>
      <c r="RF87" s="114"/>
      <c r="RG87" s="114"/>
      <c r="RH87" s="114"/>
      <c r="RI87" s="114"/>
      <c r="RJ87" s="114"/>
      <c r="RK87" s="114"/>
      <c r="RL87" s="114"/>
      <c r="RM87" s="114"/>
      <c r="RN87" s="114"/>
      <c r="RO87" s="114"/>
      <c r="RP87" s="114"/>
      <c r="RQ87" s="114"/>
      <c r="RR87" s="114"/>
      <c r="RS87" s="114"/>
      <c r="RT87" s="114"/>
      <c r="RU87" s="114"/>
      <c r="RV87" s="114"/>
      <c r="RW87" s="114"/>
      <c r="RX87" s="114"/>
      <c r="RY87" s="114"/>
      <c r="RZ87" s="114"/>
      <c r="SA87" s="114"/>
      <c r="SB87" s="114"/>
      <c r="SC87" s="114"/>
      <c r="SD87" s="114"/>
      <c r="SE87" s="114"/>
      <c r="SF87" s="114"/>
      <c r="SG87" s="114"/>
      <c r="SH87" s="114"/>
      <c r="SI87" s="114"/>
      <c r="SJ87" s="114"/>
      <c r="SK87" s="114"/>
      <c r="SL87" s="114"/>
      <c r="SM87" s="114"/>
      <c r="SN87" s="114"/>
      <c r="SO87" s="114"/>
      <c r="SP87" s="114"/>
      <c r="SQ87" s="114"/>
      <c r="SR87" s="114"/>
      <c r="SS87" s="114"/>
      <c r="ST87" s="114"/>
      <c r="SU87" s="114"/>
      <c r="SV87" s="114"/>
      <c r="SW87" s="114"/>
      <c r="SX87" s="114"/>
      <c r="SY87" s="114"/>
      <c r="SZ87" s="114"/>
      <c r="TA87" s="114"/>
      <c r="TB87" s="114"/>
      <c r="TC87" s="114"/>
      <c r="TD87" s="114"/>
      <c r="TE87" s="114"/>
      <c r="TF87" s="114"/>
      <c r="TG87" s="114"/>
      <c r="TH87" s="114"/>
      <c r="TI87" s="114"/>
      <c r="TJ87" s="114"/>
      <c r="TK87" s="114"/>
      <c r="TL87" s="114"/>
      <c r="TM87" s="114"/>
      <c r="TN87" s="114"/>
      <c r="TO87" s="114"/>
      <c r="TP87" s="114"/>
      <c r="TQ87" s="114"/>
      <c r="TR87" s="114"/>
      <c r="TS87" s="114"/>
      <c r="TT87" s="114"/>
      <c r="TU87" s="114"/>
      <c r="TV87" s="114"/>
      <c r="TW87" s="114"/>
      <c r="TX87" s="114"/>
      <c r="TY87" s="114"/>
      <c r="TZ87" s="114"/>
      <c r="UA87" s="114"/>
      <c r="UB87" s="114"/>
      <c r="UC87" s="114"/>
      <c r="UD87" s="114"/>
      <c r="UE87" s="114"/>
      <c r="UF87" s="114"/>
      <c r="UG87" s="114"/>
      <c r="UH87" s="114"/>
      <c r="UI87" s="114"/>
      <c r="UJ87" s="114"/>
      <c r="UK87" s="114"/>
      <c r="UL87" s="114"/>
      <c r="UM87" s="114"/>
      <c r="UN87" s="114"/>
      <c r="UO87" s="114"/>
      <c r="UP87" s="114"/>
      <c r="UQ87" s="114"/>
      <c r="UR87" s="114"/>
      <c r="US87" s="114"/>
      <c r="UT87" s="114"/>
      <c r="UU87" s="114"/>
      <c r="UV87" s="114"/>
      <c r="UW87" s="114"/>
      <c r="UX87" s="114"/>
      <c r="UY87" s="114"/>
      <c r="UZ87" s="114"/>
      <c r="VA87" s="114"/>
      <c r="VB87" s="114"/>
      <c r="VC87" s="114"/>
      <c r="VD87" s="114"/>
      <c r="VE87" s="114"/>
      <c r="VF87" s="114"/>
      <c r="VG87" s="114"/>
      <c r="VH87" s="114"/>
      <c r="VI87" s="114"/>
      <c r="VJ87" s="114"/>
      <c r="VK87" s="114"/>
      <c r="VL87" s="114"/>
      <c r="VM87" s="114"/>
      <c r="VN87" s="114"/>
      <c r="VO87" s="114"/>
      <c r="VP87" s="114"/>
      <c r="VQ87" s="114"/>
      <c r="VR87" s="114"/>
      <c r="VS87" s="114"/>
      <c r="VT87" s="114"/>
      <c r="VU87" s="114"/>
      <c r="VV87" s="114"/>
      <c r="VW87" s="114"/>
      <c r="VX87" s="114"/>
      <c r="VY87" s="114"/>
      <c r="VZ87" s="114"/>
      <c r="WA87" s="114"/>
      <c r="WB87" s="114"/>
      <c r="WC87" s="114"/>
      <c r="WD87" s="114"/>
      <c r="WE87" s="114"/>
      <c r="WF87" s="114"/>
      <c r="WG87" s="114"/>
      <c r="WH87" s="114"/>
      <c r="WI87" s="114"/>
      <c r="WJ87" s="114"/>
      <c r="WK87" s="114"/>
      <c r="WL87" s="114"/>
      <c r="WM87" s="114"/>
      <c r="WN87" s="114"/>
      <c r="WO87" s="114"/>
      <c r="WP87" s="114"/>
      <c r="WQ87" s="114"/>
      <c r="WR87" s="114"/>
      <c r="WS87" s="114"/>
      <c r="WT87" s="114"/>
      <c r="WU87" s="114"/>
      <c r="WV87" s="114"/>
      <c r="WW87" s="114"/>
      <c r="WX87" s="114"/>
      <c r="WY87" s="114"/>
      <c r="WZ87" s="114"/>
      <c r="XA87" s="114"/>
      <c r="XB87" s="114"/>
      <c r="XC87" s="114"/>
      <c r="XD87" s="114"/>
      <c r="XE87" s="114"/>
      <c r="XF87" s="114"/>
      <c r="XG87" s="114"/>
      <c r="XH87" s="114"/>
      <c r="XI87" s="114"/>
      <c r="XJ87" s="114"/>
      <c r="XK87" s="114"/>
      <c r="XL87" s="114"/>
      <c r="XM87" s="114"/>
      <c r="XN87" s="114"/>
      <c r="XO87" s="114"/>
      <c r="XP87" s="114"/>
      <c r="XQ87" s="114"/>
      <c r="XR87" s="114"/>
      <c r="XS87" s="114"/>
      <c r="XT87" s="114"/>
      <c r="XU87" s="114"/>
      <c r="XV87" s="114"/>
      <c r="XW87" s="114"/>
      <c r="XX87" s="114"/>
      <c r="XY87" s="114"/>
      <c r="XZ87" s="114"/>
      <c r="YA87" s="114"/>
      <c r="YB87" s="114"/>
      <c r="YC87" s="114"/>
      <c r="YD87" s="114"/>
      <c r="YE87" s="114"/>
      <c r="YF87" s="114"/>
      <c r="YG87" s="114"/>
      <c r="YH87" s="114"/>
      <c r="YI87" s="114"/>
      <c r="YJ87" s="114"/>
      <c r="YK87" s="114"/>
      <c r="YL87" s="114"/>
      <c r="YM87" s="114"/>
      <c r="YN87" s="114"/>
      <c r="YO87" s="114"/>
      <c r="YP87" s="114"/>
      <c r="YQ87" s="114"/>
      <c r="YR87" s="114"/>
      <c r="YS87" s="114"/>
      <c r="YT87" s="114"/>
      <c r="YU87" s="114"/>
      <c r="YV87" s="114"/>
      <c r="YW87" s="114"/>
      <c r="YX87" s="114"/>
      <c r="YY87" s="114"/>
      <c r="YZ87" s="114"/>
      <c r="ZA87" s="114"/>
      <c r="ZB87" s="114"/>
      <c r="ZC87" s="114"/>
      <c r="ZD87" s="114"/>
      <c r="ZE87" s="114"/>
      <c r="ZF87" s="114"/>
      <c r="ZG87" s="114"/>
      <c r="ZH87" s="114"/>
      <c r="ZI87" s="114"/>
      <c r="ZJ87" s="114"/>
      <c r="ZK87" s="114"/>
      <c r="ZL87" s="114"/>
      <c r="ZM87" s="114"/>
      <c r="ZN87" s="114"/>
      <c r="ZO87" s="114"/>
      <c r="ZP87" s="114"/>
      <c r="ZQ87" s="114"/>
      <c r="ZR87" s="114"/>
      <c r="ZS87" s="114"/>
      <c r="ZT87" s="114"/>
      <c r="ZU87" s="114"/>
      <c r="ZV87" s="114"/>
      <c r="ZW87" s="114"/>
      <c r="ZX87" s="114"/>
      <c r="ZY87" s="114"/>
      <c r="ZZ87" s="114"/>
      <c r="AAA87" s="114"/>
      <c r="AAB87" s="114"/>
      <c r="AAC87" s="114"/>
      <c r="AAD87" s="114"/>
      <c r="AAE87" s="114"/>
      <c r="AAF87" s="114"/>
      <c r="AAG87" s="114"/>
      <c r="AAH87" s="114"/>
      <c r="AAI87" s="114"/>
      <c r="AAJ87" s="114"/>
      <c r="AAK87" s="114"/>
      <c r="AAL87" s="114"/>
      <c r="AAM87" s="114"/>
      <c r="AAN87" s="114"/>
      <c r="AAO87" s="114"/>
      <c r="AAP87" s="114"/>
      <c r="AAQ87" s="114"/>
      <c r="AAR87" s="114"/>
      <c r="AAS87" s="114"/>
      <c r="AAT87" s="114"/>
      <c r="AAU87" s="114"/>
      <c r="AAV87" s="114"/>
      <c r="AAW87" s="114"/>
      <c r="AAX87" s="114"/>
      <c r="AAY87" s="114"/>
      <c r="AAZ87" s="114"/>
      <c r="ABA87" s="114"/>
      <c r="ABB87" s="114"/>
      <c r="ABC87" s="114"/>
      <c r="ABD87" s="114"/>
      <c r="ABE87" s="114"/>
      <c r="ABF87" s="114"/>
      <c r="ABG87" s="114"/>
      <c r="ABH87" s="114"/>
      <c r="ABI87" s="114"/>
      <c r="ABJ87" s="114"/>
      <c r="ABK87" s="114"/>
      <c r="ABL87" s="114"/>
      <c r="ABM87" s="114"/>
      <c r="ABN87" s="114"/>
      <c r="ABO87" s="114"/>
      <c r="ABP87" s="114"/>
      <c r="ABQ87" s="114"/>
      <c r="ABR87" s="114"/>
      <c r="ABS87" s="114"/>
      <c r="ABT87" s="114"/>
      <c r="ABU87" s="114"/>
      <c r="ABV87" s="114"/>
      <c r="ABW87" s="114"/>
      <c r="ABX87" s="114"/>
      <c r="ABY87" s="114"/>
      <c r="ABZ87" s="114"/>
      <c r="ACA87" s="114"/>
      <c r="ACB87" s="114"/>
      <c r="ACC87" s="114"/>
      <c r="ACD87" s="114"/>
      <c r="ACE87" s="114"/>
      <c r="ACF87" s="114"/>
      <c r="ACG87" s="114"/>
      <c r="ACH87" s="114"/>
      <c r="ACI87" s="114"/>
      <c r="ACJ87" s="114"/>
      <c r="ACK87" s="114"/>
      <c r="ACL87" s="114"/>
      <c r="ACM87" s="114"/>
      <c r="ACN87" s="114"/>
      <c r="ACO87" s="114"/>
      <c r="ACP87" s="114"/>
      <c r="ACQ87" s="114"/>
      <c r="ACR87" s="114"/>
      <c r="ACS87" s="114"/>
      <c r="ACT87" s="114"/>
      <c r="ACU87" s="114"/>
      <c r="ACV87" s="114"/>
      <c r="ACW87" s="114"/>
      <c r="ACX87" s="114"/>
      <c r="ACY87" s="114"/>
      <c r="ACZ87" s="114"/>
      <c r="ADA87" s="114"/>
      <c r="ADB87" s="114"/>
      <c r="ADC87" s="114"/>
      <c r="ADD87" s="114"/>
      <c r="ADE87" s="114"/>
      <c r="ADF87" s="114"/>
      <c r="ADG87" s="114"/>
      <c r="ADH87" s="114"/>
      <c r="ADI87" s="114"/>
      <c r="ADJ87" s="114"/>
      <c r="ADK87" s="114"/>
      <c r="ADL87" s="114"/>
      <c r="ADM87" s="114"/>
      <c r="ADN87" s="114"/>
      <c r="ADO87" s="114"/>
      <c r="ADP87" s="114"/>
      <c r="ADQ87" s="114"/>
      <c r="ADR87" s="114"/>
      <c r="ADS87" s="114"/>
      <c r="ADT87" s="114"/>
      <c r="ADU87" s="114"/>
      <c r="ADV87" s="114"/>
      <c r="ADW87" s="114"/>
      <c r="ADX87" s="114"/>
      <c r="ADY87" s="114"/>
      <c r="ADZ87" s="114"/>
      <c r="AEA87" s="114"/>
      <c r="AEB87" s="114"/>
      <c r="AEC87" s="114"/>
      <c r="AED87" s="114"/>
      <c r="AEE87" s="114"/>
      <c r="AEF87" s="114"/>
      <c r="AEG87" s="114"/>
      <c r="AEH87" s="114"/>
      <c r="AEI87" s="114"/>
      <c r="AEJ87" s="114"/>
      <c r="AEK87" s="114"/>
      <c r="AEL87" s="114"/>
      <c r="AEM87" s="114"/>
      <c r="AEN87" s="114"/>
      <c r="AEO87" s="114"/>
      <c r="AEP87" s="114"/>
      <c r="AEQ87" s="114"/>
      <c r="AER87" s="114"/>
      <c r="AES87" s="114"/>
      <c r="AET87" s="114"/>
      <c r="AEU87" s="114"/>
      <c r="AEV87" s="114"/>
      <c r="AEW87" s="114"/>
      <c r="AEX87" s="114"/>
      <c r="AEY87" s="114"/>
      <c r="AEZ87" s="114"/>
      <c r="AFA87" s="114"/>
      <c r="AFB87" s="114"/>
      <c r="AFC87" s="114"/>
      <c r="AFD87" s="114"/>
      <c r="AFE87" s="114"/>
      <c r="AFF87" s="114"/>
      <c r="AFG87" s="114"/>
      <c r="AFH87" s="114"/>
      <c r="AFI87" s="114"/>
      <c r="AFJ87" s="114"/>
      <c r="AFK87" s="114"/>
      <c r="AFL87" s="114"/>
      <c r="AFM87" s="114"/>
      <c r="AFN87" s="114"/>
      <c r="AFO87" s="114"/>
      <c r="AFP87" s="114"/>
      <c r="AFQ87" s="114"/>
      <c r="AFR87" s="114"/>
      <c r="AFS87" s="114"/>
      <c r="AFT87" s="114"/>
      <c r="AFU87" s="114"/>
      <c r="AFV87" s="114"/>
      <c r="AFW87" s="114"/>
      <c r="AFX87" s="114"/>
      <c r="AFY87" s="114"/>
      <c r="AFZ87" s="114"/>
      <c r="AGA87" s="114"/>
      <c r="AGB87" s="114"/>
      <c r="AGC87" s="114"/>
      <c r="AGD87" s="114"/>
      <c r="AGE87" s="114"/>
      <c r="AGF87" s="114"/>
      <c r="AGG87" s="114"/>
      <c r="AGH87" s="114"/>
      <c r="AGI87" s="114"/>
      <c r="AGJ87" s="114"/>
      <c r="AGK87" s="114"/>
      <c r="AGL87" s="114"/>
      <c r="AGM87" s="114"/>
      <c r="AGN87" s="114"/>
      <c r="AGO87" s="114"/>
      <c r="AGP87" s="114"/>
      <c r="AGQ87" s="114"/>
      <c r="AGR87" s="114"/>
      <c r="AGS87" s="114"/>
      <c r="AGT87" s="114"/>
      <c r="AGU87" s="114"/>
      <c r="AGV87" s="114"/>
      <c r="AGW87" s="114"/>
      <c r="AGX87" s="114"/>
      <c r="AGY87" s="114"/>
      <c r="AGZ87" s="114"/>
      <c r="AHA87" s="114"/>
      <c r="AHB87" s="114"/>
      <c r="AHC87" s="114"/>
      <c r="AHD87" s="114"/>
      <c r="AHE87" s="114"/>
      <c r="AHF87" s="114"/>
      <c r="AHG87" s="114"/>
      <c r="AHH87" s="114"/>
      <c r="AHI87" s="114"/>
      <c r="AHJ87" s="114"/>
      <c r="AHK87" s="114"/>
      <c r="AHL87" s="114"/>
      <c r="AHM87" s="114"/>
      <c r="AHN87" s="114"/>
      <c r="AHO87" s="114"/>
      <c r="AHP87" s="114"/>
      <c r="AHQ87" s="114"/>
      <c r="AHR87" s="114"/>
      <c r="AHS87" s="114"/>
      <c r="AHT87" s="114"/>
      <c r="AHU87" s="114"/>
      <c r="AHV87" s="114"/>
      <c r="AHW87" s="114"/>
      <c r="AHX87" s="114"/>
      <c r="AHY87" s="114"/>
      <c r="AHZ87" s="114"/>
      <c r="AIA87" s="114"/>
      <c r="AIB87" s="114"/>
      <c r="AIC87" s="114"/>
      <c r="AID87" s="114"/>
      <c r="AIE87" s="114"/>
      <c r="AIF87" s="114"/>
      <c r="AIG87" s="114"/>
      <c r="AIH87" s="114"/>
      <c r="AII87" s="114"/>
      <c r="AIJ87" s="114"/>
      <c r="AIK87" s="114"/>
      <c r="AIL87" s="114"/>
      <c r="AIM87" s="114"/>
      <c r="AIN87" s="114"/>
      <c r="AIO87" s="114"/>
      <c r="AIP87" s="114"/>
      <c r="AIQ87" s="114"/>
      <c r="AIR87" s="114"/>
      <c r="AIS87" s="114"/>
      <c r="AIT87" s="114"/>
      <c r="AIU87" s="114"/>
      <c r="AIV87" s="114"/>
      <c r="AIW87" s="114"/>
      <c r="AIX87" s="114"/>
      <c r="AIY87" s="114"/>
      <c r="AIZ87" s="114"/>
      <c r="AJA87" s="114"/>
      <c r="AJB87" s="114"/>
      <c r="AJC87" s="114"/>
      <c r="AJD87" s="114"/>
      <c r="AJE87" s="114"/>
      <c r="AJF87" s="114"/>
      <c r="AJG87" s="114"/>
      <c r="AJH87" s="114"/>
      <c r="AJI87" s="114"/>
      <c r="AJJ87" s="114"/>
      <c r="AJK87" s="114"/>
      <c r="AJL87" s="114"/>
      <c r="AJM87" s="114"/>
      <c r="AJN87" s="114"/>
      <c r="AJO87" s="114"/>
      <c r="AJP87" s="114"/>
      <c r="AJQ87" s="114"/>
      <c r="AJR87" s="114"/>
      <c r="AJS87" s="114"/>
      <c r="AJT87" s="114"/>
      <c r="AJU87" s="114"/>
      <c r="AJV87" s="114"/>
      <c r="AJW87" s="114"/>
      <c r="AJX87" s="114"/>
      <c r="AJY87" s="114"/>
      <c r="AJZ87" s="114"/>
      <c r="AKA87" s="114"/>
      <c r="AKB87" s="114"/>
      <c r="AKC87" s="114"/>
      <c r="AKD87" s="114"/>
      <c r="AKE87" s="114"/>
      <c r="AKF87" s="114"/>
      <c r="AKG87" s="114"/>
      <c r="AKH87" s="114"/>
      <c r="AKI87" s="114"/>
      <c r="AKJ87" s="114"/>
      <c r="AKK87" s="114"/>
      <c r="AKL87" s="114"/>
    </row>
    <row r="88" spans="1:974" ht="15" customHeight="1" x14ac:dyDescent="0.3">
      <c r="A88" s="116"/>
      <c r="B88" s="117"/>
      <c r="C88" s="462"/>
      <c r="D88" s="138" t="s">
        <v>3210</v>
      </c>
      <c r="E88" s="193">
        <f>E52+E53+E54+E56</f>
        <v>91</v>
      </c>
      <c r="F88" s="140">
        <v>2500</v>
      </c>
      <c r="G88" s="141">
        <f>E88*F88</f>
        <v>227500</v>
      </c>
    </row>
    <row r="89" spans="1:974" ht="15" customHeight="1" x14ac:dyDescent="0.3">
      <c r="A89" s="116"/>
      <c r="B89" s="117"/>
      <c r="C89" s="462"/>
      <c r="D89" s="138" t="s">
        <v>3156</v>
      </c>
      <c r="E89" s="193">
        <f>E60+E61+E63+E64+E59</f>
        <v>552</v>
      </c>
      <c r="F89" s="140">
        <v>3500</v>
      </c>
      <c r="G89" s="141">
        <f>E89*F89</f>
        <v>1932000</v>
      </c>
    </row>
    <row r="90" spans="1:974" ht="15" customHeight="1" x14ac:dyDescent="0.3">
      <c r="A90" s="116"/>
      <c r="B90" s="117"/>
      <c r="C90" s="462"/>
      <c r="D90" s="138" t="s">
        <v>3158</v>
      </c>
      <c r="E90" s="139">
        <v>140</v>
      </c>
      <c r="F90" s="140">
        <v>258</v>
      </c>
      <c r="G90" s="141">
        <f t="shared" ref="G90:G100" si="2">E90*F90</f>
        <v>36120</v>
      </c>
      <c r="H90" s="215" t="s">
        <v>3211</v>
      </c>
    </row>
    <row r="91" spans="1:974" ht="15" customHeight="1" x14ac:dyDescent="0.3">
      <c r="A91" s="116"/>
      <c r="B91" s="117"/>
      <c r="C91" s="462"/>
      <c r="D91" s="138" t="s">
        <v>3160</v>
      </c>
      <c r="E91" s="139">
        <v>140</v>
      </c>
      <c r="F91" s="140">
        <v>250</v>
      </c>
      <c r="G91" s="141">
        <f t="shared" si="2"/>
        <v>35000</v>
      </c>
      <c r="H91" s="215" t="s">
        <v>3211</v>
      </c>
    </row>
    <row r="92" spans="1:974" ht="15" customHeight="1" x14ac:dyDescent="0.3">
      <c r="A92" s="116"/>
      <c r="B92" s="117"/>
      <c r="C92" s="462"/>
      <c r="D92" s="138" t="s">
        <v>3212</v>
      </c>
      <c r="E92" s="193">
        <f>E70+E71+E72+E73</f>
        <v>107</v>
      </c>
      <c r="F92" s="140">
        <v>3500</v>
      </c>
      <c r="G92" s="141">
        <f t="shared" si="2"/>
        <v>374500</v>
      </c>
    </row>
    <row r="93" spans="1:974" ht="15" customHeight="1" x14ac:dyDescent="0.3">
      <c r="A93" s="116"/>
      <c r="B93" s="117"/>
      <c r="C93" s="462"/>
      <c r="D93" s="138" t="s">
        <v>3213</v>
      </c>
      <c r="E93" s="193">
        <f>(E70+E71+E72+E73)*0.7</f>
        <v>74.899999999999991</v>
      </c>
      <c r="F93" s="140">
        <v>2500</v>
      </c>
      <c r="G93" s="141">
        <f t="shared" si="2"/>
        <v>187249.99999999997</v>
      </c>
    </row>
    <row r="94" spans="1:974" ht="15" customHeight="1" x14ac:dyDescent="0.3">
      <c r="A94" s="116"/>
      <c r="B94" s="117"/>
      <c r="C94" s="462"/>
      <c r="D94" s="138" t="s">
        <v>3214</v>
      </c>
      <c r="E94" s="193">
        <f>(E70+E71+E72+E73)*0.7</f>
        <v>74.899999999999991</v>
      </c>
      <c r="F94" s="140">
        <v>254</v>
      </c>
      <c r="G94" s="141">
        <f t="shared" si="2"/>
        <v>19024.599999999999</v>
      </c>
    </row>
    <row r="95" spans="1:974" ht="15" customHeight="1" x14ac:dyDescent="0.3">
      <c r="A95" s="116"/>
      <c r="B95" s="117"/>
      <c r="C95" s="462"/>
      <c r="D95" s="138" t="s">
        <v>3215</v>
      </c>
      <c r="E95" s="193">
        <f>(E70+E71+E72+E73)*0.7</f>
        <v>74.899999999999991</v>
      </c>
      <c r="F95" s="140">
        <v>458</v>
      </c>
      <c r="G95" s="141">
        <f t="shared" si="2"/>
        <v>34304.199999999997</v>
      </c>
    </row>
    <row r="96" spans="1:974" ht="15" customHeight="1" x14ac:dyDescent="0.3">
      <c r="A96" s="116"/>
      <c r="B96" s="117"/>
      <c r="C96" s="462"/>
      <c r="D96" s="138" t="s">
        <v>3216</v>
      </c>
      <c r="E96" s="193">
        <f>(E70+E71+E72+E73)*0.7</f>
        <v>74.899999999999991</v>
      </c>
      <c r="F96" s="140">
        <v>250</v>
      </c>
      <c r="G96" s="141">
        <f t="shared" si="2"/>
        <v>18724.999999999996</v>
      </c>
    </row>
    <row r="97" spans="1:974" ht="15" customHeight="1" x14ac:dyDescent="0.3">
      <c r="A97" s="116"/>
      <c r="B97" s="117"/>
      <c r="C97" s="462"/>
      <c r="D97" s="138" t="s">
        <v>3217</v>
      </c>
      <c r="E97" s="193">
        <f>(E79+E80+E82+E83)*0.7</f>
        <v>147</v>
      </c>
      <c r="F97" s="140">
        <v>2500</v>
      </c>
      <c r="G97" s="141">
        <f t="shared" si="2"/>
        <v>367500</v>
      </c>
    </row>
    <row r="98" spans="1:974" ht="15" customHeight="1" x14ac:dyDescent="0.3">
      <c r="A98" s="116"/>
      <c r="B98" s="117"/>
      <c r="C98" s="462"/>
      <c r="D98" s="138" t="s">
        <v>3218</v>
      </c>
      <c r="E98" s="193">
        <f>(E79+E80+E82+E83)*0.7</f>
        <v>147</v>
      </c>
      <c r="F98" s="140">
        <v>254</v>
      </c>
      <c r="G98" s="141">
        <f t="shared" si="2"/>
        <v>37338</v>
      </c>
    </row>
    <row r="99" spans="1:974" ht="15" customHeight="1" x14ac:dyDescent="0.3">
      <c r="A99" s="116"/>
      <c r="B99" s="117"/>
      <c r="C99" s="462"/>
      <c r="D99" s="138" t="s">
        <v>3219</v>
      </c>
      <c r="E99" s="193">
        <f>(E79+E80+E82+E83)*0.7</f>
        <v>147</v>
      </c>
      <c r="F99" s="140">
        <v>458</v>
      </c>
      <c r="G99" s="141">
        <f t="shared" si="2"/>
        <v>67326</v>
      </c>
    </row>
    <row r="100" spans="1:974" ht="15" customHeight="1" x14ac:dyDescent="0.3">
      <c r="A100" s="116"/>
      <c r="B100" s="117"/>
      <c r="C100" s="462"/>
      <c r="D100" s="138" t="s">
        <v>3220</v>
      </c>
      <c r="E100" s="193">
        <f>(E79+E80+E82+E83)*0.7</f>
        <v>147</v>
      </c>
      <c r="F100" s="140">
        <v>250</v>
      </c>
      <c r="G100" s="141">
        <f t="shared" si="2"/>
        <v>36750</v>
      </c>
    </row>
    <row r="101" spans="1:974" ht="15" customHeight="1" x14ac:dyDescent="0.3">
      <c r="A101" s="158"/>
      <c r="B101" s="159"/>
      <c r="C101" s="463"/>
      <c r="D101" s="464" t="s">
        <v>2833</v>
      </c>
      <c r="E101" s="465"/>
      <c r="F101" s="466"/>
      <c r="G101" s="127">
        <f>SUM(G87:G100)</f>
        <v>3665837.8000000003</v>
      </c>
    </row>
    <row r="102" spans="1:974" s="115" customFormat="1" ht="15" customHeight="1" x14ac:dyDescent="0.3">
      <c r="A102" s="103">
        <v>8470230</v>
      </c>
      <c r="B102" s="104">
        <v>425744</v>
      </c>
      <c r="C102" s="461" t="s">
        <v>3172</v>
      </c>
      <c r="D102" s="130" t="s">
        <v>3173</v>
      </c>
      <c r="E102" s="208">
        <f>SUM(E45:E49, E52:E56, E59:E64)</f>
        <v>773</v>
      </c>
      <c r="F102" s="140">
        <v>4000</v>
      </c>
      <c r="G102" s="133">
        <f>E102*F102</f>
        <v>3092000</v>
      </c>
      <c r="H102" s="114"/>
      <c r="I102" s="114"/>
      <c r="J102" s="114"/>
      <c r="K102" s="114"/>
      <c r="L102" s="114"/>
      <c r="M102" s="114"/>
      <c r="N102" s="114"/>
      <c r="O102" s="114"/>
      <c r="P102" s="114"/>
      <c r="Q102" s="114"/>
      <c r="R102" s="114"/>
      <c r="S102" s="114"/>
      <c r="T102" s="114"/>
      <c r="U102" s="114"/>
      <c r="V102" s="114"/>
      <c r="W102" s="114"/>
      <c r="X102" s="114"/>
      <c r="Y102" s="114"/>
      <c r="Z102" s="114"/>
      <c r="AA102" s="114"/>
      <c r="AB102" s="114"/>
      <c r="AC102" s="114"/>
      <c r="AD102" s="114"/>
      <c r="AE102" s="114"/>
      <c r="AF102" s="114"/>
      <c r="AG102" s="114"/>
      <c r="AH102" s="114"/>
      <c r="AI102" s="114"/>
      <c r="AJ102" s="114"/>
      <c r="AK102" s="114"/>
      <c r="AL102" s="114"/>
      <c r="AM102" s="114"/>
      <c r="AN102" s="114"/>
      <c r="AO102" s="114"/>
      <c r="AP102" s="114"/>
      <c r="AQ102" s="114"/>
      <c r="AR102" s="114"/>
      <c r="AS102" s="114"/>
      <c r="AT102" s="114"/>
      <c r="AU102" s="114"/>
      <c r="AV102" s="114"/>
      <c r="AW102" s="114"/>
      <c r="AX102" s="114"/>
      <c r="AY102" s="114"/>
      <c r="AZ102" s="114"/>
      <c r="BA102" s="114"/>
      <c r="BB102" s="114"/>
      <c r="BC102" s="114"/>
      <c r="BD102" s="114"/>
      <c r="BE102" s="114"/>
      <c r="BF102" s="114"/>
      <c r="BG102" s="114"/>
      <c r="BH102" s="114"/>
      <c r="BI102" s="114"/>
      <c r="BJ102" s="114"/>
      <c r="BK102" s="114"/>
      <c r="BL102" s="114"/>
      <c r="BM102" s="114"/>
      <c r="BN102" s="114"/>
      <c r="BO102" s="114"/>
      <c r="BP102" s="114"/>
      <c r="BQ102" s="114"/>
      <c r="BR102" s="114"/>
      <c r="BS102" s="114"/>
      <c r="BT102" s="114"/>
      <c r="BU102" s="114"/>
      <c r="BV102" s="114"/>
      <c r="BW102" s="114"/>
      <c r="BX102" s="114"/>
      <c r="BY102" s="114"/>
      <c r="BZ102" s="114"/>
      <c r="CA102" s="114"/>
      <c r="CB102" s="114"/>
      <c r="CC102" s="114"/>
      <c r="CD102" s="114"/>
      <c r="CE102" s="114"/>
      <c r="CF102" s="114"/>
      <c r="CG102" s="114"/>
      <c r="CH102" s="114"/>
      <c r="CI102" s="114"/>
      <c r="CJ102" s="114"/>
      <c r="CK102" s="114"/>
      <c r="CL102" s="114"/>
      <c r="CM102" s="114"/>
      <c r="CN102" s="114"/>
      <c r="CO102" s="114"/>
      <c r="CP102" s="114"/>
      <c r="CQ102" s="114"/>
      <c r="CR102" s="114"/>
      <c r="CS102" s="114"/>
      <c r="CT102" s="114"/>
      <c r="CU102" s="114"/>
      <c r="CV102" s="114"/>
      <c r="CW102" s="114"/>
      <c r="CX102" s="114"/>
      <c r="CY102" s="114"/>
      <c r="CZ102" s="114"/>
      <c r="DA102" s="114"/>
      <c r="DB102" s="114"/>
      <c r="DC102" s="114"/>
      <c r="DD102" s="114"/>
      <c r="DE102" s="114"/>
      <c r="DF102" s="114"/>
      <c r="DG102" s="114"/>
      <c r="DH102" s="114"/>
      <c r="DI102" s="114"/>
      <c r="DJ102" s="114"/>
      <c r="DK102" s="114"/>
      <c r="DL102" s="114"/>
      <c r="DM102" s="114"/>
      <c r="DN102" s="114"/>
      <c r="DO102" s="114"/>
      <c r="DP102" s="114"/>
      <c r="DQ102" s="114"/>
      <c r="DR102" s="114"/>
      <c r="DS102" s="114"/>
      <c r="DT102" s="114"/>
      <c r="DU102" s="114"/>
      <c r="DV102" s="114"/>
      <c r="DW102" s="114"/>
      <c r="DX102" s="114"/>
      <c r="DY102" s="114"/>
      <c r="DZ102" s="114"/>
      <c r="EA102" s="114"/>
      <c r="EB102" s="114"/>
      <c r="EC102" s="114"/>
      <c r="ED102" s="114"/>
      <c r="EE102" s="114"/>
      <c r="EF102" s="114"/>
      <c r="EG102" s="114"/>
      <c r="EH102" s="114"/>
      <c r="EI102" s="114"/>
      <c r="EJ102" s="114"/>
      <c r="EK102" s="114"/>
      <c r="EL102" s="114"/>
      <c r="EM102" s="114"/>
      <c r="EN102" s="114"/>
      <c r="EO102" s="114"/>
      <c r="EP102" s="114"/>
      <c r="EQ102" s="114"/>
      <c r="ER102" s="114"/>
      <c r="ES102" s="114"/>
      <c r="ET102" s="114"/>
      <c r="EU102" s="114"/>
      <c r="EV102" s="114"/>
      <c r="EW102" s="114"/>
      <c r="EX102" s="114"/>
      <c r="EY102" s="114"/>
      <c r="EZ102" s="114"/>
      <c r="FA102" s="114"/>
      <c r="FB102" s="114"/>
      <c r="FC102" s="114"/>
      <c r="FD102" s="114"/>
      <c r="FE102" s="114"/>
      <c r="FF102" s="114"/>
      <c r="FG102" s="114"/>
      <c r="FH102" s="114"/>
      <c r="FI102" s="114"/>
      <c r="FJ102" s="114"/>
      <c r="FK102" s="114"/>
      <c r="FL102" s="114"/>
      <c r="FM102" s="114"/>
      <c r="FN102" s="114"/>
      <c r="FO102" s="114"/>
      <c r="FP102" s="114"/>
      <c r="FQ102" s="114"/>
      <c r="FR102" s="114"/>
      <c r="FS102" s="114"/>
      <c r="FT102" s="114"/>
      <c r="FU102" s="114"/>
      <c r="FV102" s="114"/>
      <c r="FW102" s="114"/>
      <c r="FX102" s="114"/>
      <c r="FY102" s="114"/>
      <c r="FZ102" s="114"/>
      <c r="GA102" s="114"/>
      <c r="GB102" s="114"/>
      <c r="GC102" s="114"/>
      <c r="GD102" s="114"/>
      <c r="GE102" s="114"/>
      <c r="GF102" s="114"/>
      <c r="GG102" s="114"/>
      <c r="GH102" s="114"/>
      <c r="GI102" s="114"/>
      <c r="GJ102" s="114"/>
      <c r="GK102" s="114"/>
      <c r="GL102" s="114"/>
      <c r="GM102" s="114"/>
      <c r="GN102" s="114"/>
      <c r="GO102" s="114"/>
      <c r="GP102" s="114"/>
      <c r="GQ102" s="114"/>
      <c r="GR102" s="114"/>
      <c r="GS102" s="114"/>
      <c r="GT102" s="114"/>
      <c r="GU102" s="114"/>
      <c r="GV102" s="114"/>
      <c r="GW102" s="114"/>
      <c r="GX102" s="114"/>
      <c r="GY102" s="114"/>
      <c r="GZ102" s="114"/>
      <c r="HA102" s="114"/>
      <c r="HB102" s="114"/>
      <c r="HC102" s="114"/>
      <c r="HD102" s="114"/>
      <c r="HE102" s="114"/>
      <c r="HF102" s="114"/>
      <c r="HG102" s="114"/>
      <c r="HH102" s="114"/>
      <c r="HI102" s="114"/>
      <c r="HJ102" s="114"/>
      <c r="HK102" s="114"/>
      <c r="HL102" s="114"/>
      <c r="HM102" s="114"/>
      <c r="HN102" s="114"/>
      <c r="HO102" s="114"/>
      <c r="HP102" s="114"/>
      <c r="HQ102" s="114"/>
      <c r="HR102" s="114"/>
      <c r="HS102" s="114"/>
      <c r="HT102" s="114"/>
      <c r="HU102" s="114"/>
      <c r="HV102" s="114"/>
      <c r="HW102" s="114"/>
      <c r="HX102" s="114"/>
      <c r="HY102" s="114"/>
      <c r="HZ102" s="114"/>
      <c r="IA102" s="114"/>
      <c r="IB102" s="114"/>
      <c r="IC102" s="114"/>
      <c r="ID102" s="114"/>
      <c r="IE102" s="114"/>
      <c r="IF102" s="114"/>
      <c r="IG102" s="114"/>
      <c r="IH102" s="114"/>
      <c r="II102" s="114"/>
      <c r="IJ102" s="114"/>
      <c r="IK102" s="114"/>
      <c r="IL102" s="114"/>
      <c r="IM102" s="114"/>
      <c r="IN102" s="114"/>
      <c r="IO102" s="114"/>
      <c r="IP102" s="114"/>
      <c r="IQ102" s="114"/>
      <c r="IR102" s="114"/>
      <c r="IS102" s="114"/>
      <c r="IT102" s="114"/>
      <c r="IU102" s="114"/>
      <c r="IV102" s="114"/>
      <c r="IW102" s="114"/>
      <c r="IX102" s="114"/>
      <c r="IY102" s="114"/>
      <c r="IZ102" s="114"/>
      <c r="JA102" s="114"/>
      <c r="JB102" s="114"/>
      <c r="JC102" s="114"/>
      <c r="JD102" s="114"/>
      <c r="JE102" s="114"/>
      <c r="JF102" s="114"/>
      <c r="JG102" s="114"/>
      <c r="JH102" s="114"/>
      <c r="JI102" s="114"/>
      <c r="JJ102" s="114"/>
      <c r="JK102" s="114"/>
      <c r="JL102" s="114"/>
      <c r="JM102" s="114"/>
      <c r="JN102" s="114"/>
      <c r="JO102" s="114"/>
      <c r="JP102" s="114"/>
      <c r="JQ102" s="114"/>
      <c r="JR102" s="114"/>
      <c r="JS102" s="114"/>
      <c r="JT102" s="114"/>
      <c r="JU102" s="114"/>
      <c r="JV102" s="114"/>
      <c r="JW102" s="114"/>
      <c r="JX102" s="114"/>
      <c r="JY102" s="114"/>
      <c r="JZ102" s="114"/>
      <c r="KA102" s="114"/>
      <c r="KB102" s="114"/>
      <c r="KC102" s="114"/>
      <c r="KD102" s="114"/>
      <c r="KE102" s="114"/>
      <c r="KF102" s="114"/>
      <c r="KG102" s="114"/>
      <c r="KH102" s="114"/>
      <c r="KI102" s="114"/>
      <c r="KJ102" s="114"/>
      <c r="KK102" s="114"/>
      <c r="KL102" s="114"/>
      <c r="KM102" s="114"/>
      <c r="KN102" s="114"/>
      <c r="KO102" s="114"/>
      <c r="KP102" s="114"/>
      <c r="KQ102" s="114"/>
      <c r="KR102" s="114"/>
      <c r="KS102" s="114"/>
      <c r="KT102" s="114"/>
      <c r="KU102" s="114"/>
      <c r="KV102" s="114"/>
      <c r="KW102" s="114"/>
      <c r="KX102" s="114"/>
      <c r="KY102" s="114"/>
      <c r="KZ102" s="114"/>
      <c r="LA102" s="114"/>
      <c r="LB102" s="114"/>
      <c r="LC102" s="114"/>
      <c r="LD102" s="114"/>
      <c r="LE102" s="114"/>
      <c r="LF102" s="114"/>
      <c r="LG102" s="114"/>
      <c r="LH102" s="114"/>
      <c r="LI102" s="114"/>
      <c r="LJ102" s="114"/>
      <c r="LK102" s="114"/>
      <c r="LL102" s="114"/>
      <c r="LM102" s="114"/>
      <c r="LN102" s="114"/>
      <c r="LO102" s="114"/>
      <c r="LP102" s="114"/>
      <c r="LQ102" s="114"/>
      <c r="LR102" s="114"/>
      <c r="LS102" s="114"/>
      <c r="LT102" s="114"/>
      <c r="LU102" s="114"/>
      <c r="LV102" s="114"/>
      <c r="LW102" s="114"/>
      <c r="LX102" s="114"/>
      <c r="LY102" s="114"/>
      <c r="LZ102" s="114"/>
      <c r="MA102" s="114"/>
      <c r="MB102" s="114"/>
      <c r="MC102" s="114"/>
      <c r="MD102" s="114"/>
      <c r="ME102" s="114"/>
      <c r="MF102" s="114"/>
      <c r="MG102" s="114"/>
      <c r="MH102" s="114"/>
      <c r="MI102" s="114"/>
      <c r="MJ102" s="114"/>
      <c r="MK102" s="114"/>
      <c r="ML102" s="114"/>
      <c r="MM102" s="114"/>
      <c r="MN102" s="114"/>
      <c r="MO102" s="114"/>
      <c r="MP102" s="114"/>
      <c r="MQ102" s="114"/>
      <c r="MR102" s="114"/>
      <c r="MS102" s="114"/>
      <c r="MT102" s="114"/>
      <c r="MU102" s="114"/>
      <c r="MV102" s="114"/>
      <c r="MW102" s="114"/>
      <c r="MX102" s="114"/>
      <c r="MY102" s="114"/>
      <c r="MZ102" s="114"/>
      <c r="NA102" s="114"/>
      <c r="NB102" s="114"/>
      <c r="NC102" s="114"/>
      <c r="ND102" s="114"/>
      <c r="NE102" s="114"/>
      <c r="NF102" s="114"/>
      <c r="NG102" s="114"/>
      <c r="NH102" s="114"/>
      <c r="NI102" s="114"/>
      <c r="NJ102" s="114"/>
      <c r="NK102" s="114"/>
      <c r="NL102" s="114"/>
      <c r="NM102" s="114"/>
      <c r="NN102" s="114"/>
      <c r="NO102" s="114"/>
      <c r="NP102" s="114"/>
      <c r="NQ102" s="114"/>
      <c r="NR102" s="114"/>
      <c r="NS102" s="114"/>
      <c r="NT102" s="114"/>
      <c r="NU102" s="114"/>
      <c r="NV102" s="114"/>
      <c r="NW102" s="114"/>
      <c r="NX102" s="114"/>
      <c r="NY102" s="114"/>
      <c r="NZ102" s="114"/>
      <c r="OA102" s="114"/>
      <c r="OB102" s="114"/>
      <c r="OC102" s="114"/>
      <c r="OD102" s="114"/>
      <c r="OE102" s="114"/>
      <c r="OF102" s="114"/>
      <c r="OG102" s="114"/>
      <c r="OH102" s="114"/>
      <c r="OI102" s="114"/>
      <c r="OJ102" s="114"/>
      <c r="OK102" s="114"/>
      <c r="OL102" s="114"/>
      <c r="OM102" s="114"/>
      <c r="ON102" s="114"/>
      <c r="OO102" s="114"/>
      <c r="OP102" s="114"/>
      <c r="OQ102" s="114"/>
      <c r="OR102" s="114"/>
      <c r="OS102" s="114"/>
      <c r="OT102" s="114"/>
      <c r="OU102" s="114"/>
      <c r="OV102" s="114"/>
      <c r="OW102" s="114"/>
      <c r="OX102" s="114"/>
      <c r="OY102" s="114"/>
      <c r="OZ102" s="114"/>
      <c r="PA102" s="114"/>
      <c r="PB102" s="114"/>
      <c r="PC102" s="114"/>
      <c r="PD102" s="114"/>
      <c r="PE102" s="114"/>
      <c r="PF102" s="114"/>
      <c r="PG102" s="114"/>
      <c r="PH102" s="114"/>
      <c r="PI102" s="114"/>
      <c r="PJ102" s="114"/>
      <c r="PK102" s="114"/>
      <c r="PL102" s="114"/>
      <c r="PM102" s="114"/>
      <c r="PN102" s="114"/>
      <c r="PO102" s="114"/>
      <c r="PP102" s="114"/>
      <c r="PQ102" s="114"/>
      <c r="PR102" s="114"/>
      <c r="PS102" s="114"/>
      <c r="PT102" s="114"/>
      <c r="PU102" s="114"/>
      <c r="PV102" s="114"/>
      <c r="PW102" s="114"/>
      <c r="PX102" s="114"/>
      <c r="PY102" s="114"/>
      <c r="PZ102" s="114"/>
      <c r="QA102" s="114"/>
      <c r="QB102" s="114"/>
      <c r="QC102" s="114"/>
      <c r="QD102" s="114"/>
      <c r="QE102" s="114"/>
      <c r="QF102" s="114"/>
      <c r="QG102" s="114"/>
      <c r="QH102" s="114"/>
      <c r="QI102" s="114"/>
      <c r="QJ102" s="114"/>
      <c r="QK102" s="114"/>
      <c r="QL102" s="114"/>
      <c r="QM102" s="114"/>
      <c r="QN102" s="114"/>
      <c r="QO102" s="114"/>
      <c r="QP102" s="114"/>
      <c r="QQ102" s="114"/>
      <c r="QR102" s="114"/>
      <c r="QS102" s="114"/>
      <c r="QT102" s="114"/>
      <c r="QU102" s="114"/>
      <c r="QV102" s="114"/>
      <c r="QW102" s="114"/>
      <c r="QX102" s="114"/>
      <c r="QY102" s="114"/>
      <c r="QZ102" s="114"/>
      <c r="RA102" s="114"/>
      <c r="RB102" s="114"/>
      <c r="RC102" s="114"/>
      <c r="RD102" s="114"/>
      <c r="RE102" s="114"/>
      <c r="RF102" s="114"/>
      <c r="RG102" s="114"/>
      <c r="RH102" s="114"/>
      <c r="RI102" s="114"/>
      <c r="RJ102" s="114"/>
      <c r="RK102" s="114"/>
      <c r="RL102" s="114"/>
      <c r="RM102" s="114"/>
      <c r="RN102" s="114"/>
      <c r="RO102" s="114"/>
      <c r="RP102" s="114"/>
      <c r="RQ102" s="114"/>
      <c r="RR102" s="114"/>
      <c r="RS102" s="114"/>
      <c r="RT102" s="114"/>
      <c r="RU102" s="114"/>
      <c r="RV102" s="114"/>
      <c r="RW102" s="114"/>
      <c r="RX102" s="114"/>
      <c r="RY102" s="114"/>
      <c r="RZ102" s="114"/>
      <c r="SA102" s="114"/>
      <c r="SB102" s="114"/>
      <c r="SC102" s="114"/>
      <c r="SD102" s="114"/>
      <c r="SE102" s="114"/>
      <c r="SF102" s="114"/>
      <c r="SG102" s="114"/>
      <c r="SH102" s="114"/>
      <c r="SI102" s="114"/>
      <c r="SJ102" s="114"/>
      <c r="SK102" s="114"/>
      <c r="SL102" s="114"/>
      <c r="SM102" s="114"/>
      <c r="SN102" s="114"/>
      <c r="SO102" s="114"/>
      <c r="SP102" s="114"/>
      <c r="SQ102" s="114"/>
      <c r="SR102" s="114"/>
      <c r="SS102" s="114"/>
      <c r="ST102" s="114"/>
      <c r="SU102" s="114"/>
      <c r="SV102" s="114"/>
      <c r="SW102" s="114"/>
      <c r="SX102" s="114"/>
      <c r="SY102" s="114"/>
      <c r="SZ102" s="114"/>
      <c r="TA102" s="114"/>
      <c r="TB102" s="114"/>
      <c r="TC102" s="114"/>
      <c r="TD102" s="114"/>
      <c r="TE102" s="114"/>
      <c r="TF102" s="114"/>
      <c r="TG102" s="114"/>
      <c r="TH102" s="114"/>
      <c r="TI102" s="114"/>
      <c r="TJ102" s="114"/>
      <c r="TK102" s="114"/>
      <c r="TL102" s="114"/>
      <c r="TM102" s="114"/>
      <c r="TN102" s="114"/>
      <c r="TO102" s="114"/>
      <c r="TP102" s="114"/>
      <c r="TQ102" s="114"/>
      <c r="TR102" s="114"/>
      <c r="TS102" s="114"/>
      <c r="TT102" s="114"/>
      <c r="TU102" s="114"/>
      <c r="TV102" s="114"/>
      <c r="TW102" s="114"/>
      <c r="TX102" s="114"/>
      <c r="TY102" s="114"/>
      <c r="TZ102" s="114"/>
      <c r="UA102" s="114"/>
      <c r="UB102" s="114"/>
      <c r="UC102" s="114"/>
      <c r="UD102" s="114"/>
      <c r="UE102" s="114"/>
      <c r="UF102" s="114"/>
      <c r="UG102" s="114"/>
      <c r="UH102" s="114"/>
      <c r="UI102" s="114"/>
      <c r="UJ102" s="114"/>
      <c r="UK102" s="114"/>
      <c r="UL102" s="114"/>
      <c r="UM102" s="114"/>
      <c r="UN102" s="114"/>
      <c r="UO102" s="114"/>
      <c r="UP102" s="114"/>
      <c r="UQ102" s="114"/>
      <c r="UR102" s="114"/>
      <c r="US102" s="114"/>
      <c r="UT102" s="114"/>
      <c r="UU102" s="114"/>
      <c r="UV102" s="114"/>
      <c r="UW102" s="114"/>
      <c r="UX102" s="114"/>
      <c r="UY102" s="114"/>
      <c r="UZ102" s="114"/>
      <c r="VA102" s="114"/>
      <c r="VB102" s="114"/>
      <c r="VC102" s="114"/>
      <c r="VD102" s="114"/>
      <c r="VE102" s="114"/>
      <c r="VF102" s="114"/>
      <c r="VG102" s="114"/>
      <c r="VH102" s="114"/>
      <c r="VI102" s="114"/>
      <c r="VJ102" s="114"/>
      <c r="VK102" s="114"/>
      <c r="VL102" s="114"/>
      <c r="VM102" s="114"/>
      <c r="VN102" s="114"/>
      <c r="VO102" s="114"/>
      <c r="VP102" s="114"/>
      <c r="VQ102" s="114"/>
      <c r="VR102" s="114"/>
      <c r="VS102" s="114"/>
      <c r="VT102" s="114"/>
      <c r="VU102" s="114"/>
      <c r="VV102" s="114"/>
      <c r="VW102" s="114"/>
      <c r="VX102" s="114"/>
      <c r="VY102" s="114"/>
      <c r="VZ102" s="114"/>
      <c r="WA102" s="114"/>
      <c r="WB102" s="114"/>
      <c r="WC102" s="114"/>
      <c r="WD102" s="114"/>
      <c r="WE102" s="114"/>
      <c r="WF102" s="114"/>
      <c r="WG102" s="114"/>
      <c r="WH102" s="114"/>
      <c r="WI102" s="114"/>
      <c r="WJ102" s="114"/>
      <c r="WK102" s="114"/>
      <c r="WL102" s="114"/>
      <c r="WM102" s="114"/>
      <c r="WN102" s="114"/>
      <c r="WO102" s="114"/>
      <c r="WP102" s="114"/>
      <c r="WQ102" s="114"/>
      <c r="WR102" s="114"/>
      <c r="WS102" s="114"/>
      <c r="WT102" s="114"/>
      <c r="WU102" s="114"/>
      <c r="WV102" s="114"/>
      <c r="WW102" s="114"/>
      <c r="WX102" s="114"/>
      <c r="WY102" s="114"/>
      <c r="WZ102" s="114"/>
      <c r="XA102" s="114"/>
      <c r="XB102" s="114"/>
      <c r="XC102" s="114"/>
      <c r="XD102" s="114"/>
      <c r="XE102" s="114"/>
      <c r="XF102" s="114"/>
      <c r="XG102" s="114"/>
      <c r="XH102" s="114"/>
      <c r="XI102" s="114"/>
      <c r="XJ102" s="114"/>
      <c r="XK102" s="114"/>
      <c r="XL102" s="114"/>
      <c r="XM102" s="114"/>
      <c r="XN102" s="114"/>
      <c r="XO102" s="114"/>
      <c r="XP102" s="114"/>
      <c r="XQ102" s="114"/>
      <c r="XR102" s="114"/>
      <c r="XS102" s="114"/>
      <c r="XT102" s="114"/>
      <c r="XU102" s="114"/>
      <c r="XV102" s="114"/>
      <c r="XW102" s="114"/>
      <c r="XX102" s="114"/>
      <c r="XY102" s="114"/>
      <c r="XZ102" s="114"/>
      <c r="YA102" s="114"/>
      <c r="YB102" s="114"/>
      <c r="YC102" s="114"/>
      <c r="YD102" s="114"/>
      <c r="YE102" s="114"/>
      <c r="YF102" s="114"/>
      <c r="YG102" s="114"/>
      <c r="YH102" s="114"/>
      <c r="YI102" s="114"/>
      <c r="YJ102" s="114"/>
      <c r="YK102" s="114"/>
      <c r="YL102" s="114"/>
      <c r="YM102" s="114"/>
      <c r="YN102" s="114"/>
      <c r="YO102" s="114"/>
      <c r="YP102" s="114"/>
      <c r="YQ102" s="114"/>
      <c r="YR102" s="114"/>
      <c r="YS102" s="114"/>
      <c r="YT102" s="114"/>
      <c r="YU102" s="114"/>
      <c r="YV102" s="114"/>
      <c r="YW102" s="114"/>
      <c r="YX102" s="114"/>
      <c r="YY102" s="114"/>
      <c r="YZ102" s="114"/>
      <c r="ZA102" s="114"/>
      <c r="ZB102" s="114"/>
      <c r="ZC102" s="114"/>
      <c r="ZD102" s="114"/>
      <c r="ZE102" s="114"/>
      <c r="ZF102" s="114"/>
      <c r="ZG102" s="114"/>
      <c r="ZH102" s="114"/>
      <c r="ZI102" s="114"/>
      <c r="ZJ102" s="114"/>
      <c r="ZK102" s="114"/>
      <c r="ZL102" s="114"/>
      <c r="ZM102" s="114"/>
      <c r="ZN102" s="114"/>
      <c r="ZO102" s="114"/>
      <c r="ZP102" s="114"/>
      <c r="ZQ102" s="114"/>
      <c r="ZR102" s="114"/>
      <c r="ZS102" s="114"/>
      <c r="ZT102" s="114"/>
      <c r="ZU102" s="114"/>
      <c r="ZV102" s="114"/>
      <c r="ZW102" s="114"/>
      <c r="ZX102" s="114"/>
      <c r="ZY102" s="114"/>
      <c r="ZZ102" s="114"/>
      <c r="AAA102" s="114"/>
      <c r="AAB102" s="114"/>
      <c r="AAC102" s="114"/>
      <c r="AAD102" s="114"/>
      <c r="AAE102" s="114"/>
      <c r="AAF102" s="114"/>
      <c r="AAG102" s="114"/>
      <c r="AAH102" s="114"/>
      <c r="AAI102" s="114"/>
      <c r="AAJ102" s="114"/>
      <c r="AAK102" s="114"/>
      <c r="AAL102" s="114"/>
      <c r="AAM102" s="114"/>
      <c r="AAN102" s="114"/>
      <c r="AAO102" s="114"/>
      <c r="AAP102" s="114"/>
      <c r="AAQ102" s="114"/>
      <c r="AAR102" s="114"/>
      <c r="AAS102" s="114"/>
      <c r="AAT102" s="114"/>
      <c r="AAU102" s="114"/>
      <c r="AAV102" s="114"/>
      <c r="AAW102" s="114"/>
      <c r="AAX102" s="114"/>
      <c r="AAY102" s="114"/>
      <c r="AAZ102" s="114"/>
      <c r="ABA102" s="114"/>
      <c r="ABB102" s="114"/>
      <c r="ABC102" s="114"/>
      <c r="ABD102" s="114"/>
      <c r="ABE102" s="114"/>
      <c r="ABF102" s="114"/>
      <c r="ABG102" s="114"/>
      <c r="ABH102" s="114"/>
      <c r="ABI102" s="114"/>
      <c r="ABJ102" s="114"/>
      <c r="ABK102" s="114"/>
      <c r="ABL102" s="114"/>
      <c r="ABM102" s="114"/>
      <c r="ABN102" s="114"/>
      <c r="ABO102" s="114"/>
      <c r="ABP102" s="114"/>
      <c r="ABQ102" s="114"/>
      <c r="ABR102" s="114"/>
      <c r="ABS102" s="114"/>
      <c r="ABT102" s="114"/>
      <c r="ABU102" s="114"/>
      <c r="ABV102" s="114"/>
      <c r="ABW102" s="114"/>
      <c r="ABX102" s="114"/>
      <c r="ABY102" s="114"/>
      <c r="ABZ102" s="114"/>
      <c r="ACA102" s="114"/>
      <c r="ACB102" s="114"/>
      <c r="ACC102" s="114"/>
      <c r="ACD102" s="114"/>
      <c r="ACE102" s="114"/>
      <c r="ACF102" s="114"/>
      <c r="ACG102" s="114"/>
      <c r="ACH102" s="114"/>
      <c r="ACI102" s="114"/>
      <c r="ACJ102" s="114"/>
      <c r="ACK102" s="114"/>
      <c r="ACL102" s="114"/>
      <c r="ACM102" s="114"/>
      <c r="ACN102" s="114"/>
      <c r="ACO102" s="114"/>
      <c r="ACP102" s="114"/>
      <c r="ACQ102" s="114"/>
      <c r="ACR102" s="114"/>
      <c r="ACS102" s="114"/>
      <c r="ACT102" s="114"/>
      <c r="ACU102" s="114"/>
      <c r="ACV102" s="114"/>
      <c r="ACW102" s="114"/>
      <c r="ACX102" s="114"/>
      <c r="ACY102" s="114"/>
      <c r="ACZ102" s="114"/>
      <c r="ADA102" s="114"/>
      <c r="ADB102" s="114"/>
      <c r="ADC102" s="114"/>
      <c r="ADD102" s="114"/>
      <c r="ADE102" s="114"/>
      <c r="ADF102" s="114"/>
      <c r="ADG102" s="114"/>
      <c r="ADH102" s="114"/>
      <c r="ADI102" s="114"/>
      <c r="ADJ102" s="114"/>
      <c r="ADK102" s="114"/>
      <c r="ADL102" s="114"/>
      <c r="ADM102" s="114"/>
      <c r="ADN102" s="114"/>
      <c r="ADO102" s="114"/>
      <c r="ADP102" s="114"/>
      <c r="ADQ102" s="114"/>
      <c r="ADR102" s="114"/>
      <c r="ADS102" s="114"/>
      <c r="ADT102" s="114"/>
      <c r="ADU102" s="114"/>
      <c r="ADV102" s="114"/>
      <c r="ADW102" s="114"/>
      <c r="ADX102" s="114"/>
      <c r="ADY102" s="114"/>
      <c r="ADZ102" s="114"/>
      <c r="AEA102" s="114"/>
      <c r="AEB102" s="114"/>
      <c r="AEC102" s="114"/>
      <c r="AED102" s="114"/>
      <c r="AEE102" s="114"/>
      <c r="AEF102" s="114"/>
      <c r="AEG102" s="114"/>
      <c r="AEH102" s="114"/>
      <c r="AEI102" s="114"/>
      <c r="AEJ102" s="114"/>
      <c r="AEK102" s="114"/>
      <c r="AEL102" s="114"/>
      <c r="AEM102" s="114"/>
      <c r="AEN102" s="114"/>
      <c r="AEO102" s="114"/>
      <c r="AEP102" s="114"/>
      <c r="AEQ102" s="114"/>
      <c r="AER102" s="114"/>
      <c r="AES102" s="114"/>
      <c r="AET102" s="114"/>
      <c r="AEU102" s="114"/>
      <c r="AEV102" s="114"/>
      <c r="AEW102" s="114"/>
      <c r="AEX102" s="114"/>
      <c r="AEY102" s="114"/>
      <c r="AEZ102" s="114"/>
      <c r="AFA102" s="114"/>
      <c r="AFB102" s="114"/>
      <c r="AFC102" s="114"/>
      <c r="AFD102" s="114"/>
      <c r="AFE102" s="114"/>
      <c r="AFF102" s="114"/>
      <c r="AFG102" s="114"/>
      <c r="AFH102" s="114"/>
      <c r="AFI102" s="114"/>
      <c r="AFJ102" s="114"/>
      <c r="AFK102" s="114"/>
      <c r="AFL102" s="114"/>
      <c r="AFM102" s="114"/>
      <c r="AFN102" s="114"/>
      <c r="AFO102" s="114"/>
      <c r="AFP102" s="114"/>
      <c r="AFQ102" s="114"/>
      <c r="AFR102" s="114"/>
      <c r="AFS102" s="114"/>
      <c r="AFT102" s="114"/>
      <c r="AFU102" s="114"/>
      <c r="AFV102" s="114"/>
      <c r="AFW102" s="114"/>
      <c r="AFX102" s="114"/>
      <c r="AFY102" s="114"/>
      <c r="AFZ102" s="114"/>
      <c r="AGA102" s="114"/>
      <c r="AGB102" s="114"/>
      <c r="AGC102" s="114"/>
      <c r="AGD102" s="114"/>
      <c r="AGE102" s="114"/>
      <c r="AGF102" s="114"/>
      <c r="AGG102" s="114"/>
      <c r="AGH102" s="114"/>
      <c r="AGI102" s="114"/>
      <c r="AGJ102" s="114"/>
      <c r="AGK102" s="114"/>
      <c r="AGL102" s="114"/>
      <c r="AGM102" s="114"/>
      <c r="AGN102" s="114"/>
      <c r="AGO102" s="114"/>
      <c r="AGP102" s="114"/>
      <c r="AGQ102" s="114"/>
      <c r="AGR102" s="114"/>
      <c r="AGS102" s="114"/>
      <c r="AGT102" s="114"/>
      <c r="AGU102" s="114"/>
      <c r="AGV102" s="114"/>
      <c r="AGW102" s="114"/>
      <c r="AGX102" s="114"/>
      <c r="AGY102" s="114"/>
      <c r="AGZ102" s="114"/>
      <c r="AHA102" s="114"/>
      <c r="AHB102" s="114"/>
      <c r="AHC102" s="114"/>
      <c r="AHD102" s="114"/>
      <c r="AHE102" s="114"/>
      <c r="AHF102" s="114"/>
      <c r="AHG102" s="114"/>
      <c r="AHH102" s="114"/>
      <c r="AHI102" s="114"/>
      <c r="AHJ102" s="114"/>
      <c r="AHK102" s="114"/>
      <c r="AHL102" s="114"/>
      <c r="AHM102" s="114"/>
      <c r="AHN102" s="114"/>
      <c r="AHO102" s="114"/>
      <c r="AHP102" s="114"/>
      <c r="AHQ102" s="114"/>
      <c r="AHR102" s="114"/>
      <c r="AHS102" s="114"/>
      <c r="AHT102" s="114"/>
      <c r="AHU102" s="114"/>
      <c r="AHV102" s="114"/>
      <c r="AHW102" s="114"/>
      <c r="AHX102" s="114"/>
      <c r="AHY102" s="114"/>
      <c r="AHZ102" s="114"/>
      <c r="AIA102" s="114"/>
      <c r="AIB102" s="114"/>
      <c r="AIC102" s="114"/>
      <c r="AID102" s="114"/>
      <c r="AIE102" s="114"/>
      <c r="AIF102" s="114"/>
      <c r="AIG102" s="114"/>
      <c r="AIH102" s="114"/>
      <c r="AII102" s="114"/>
      <c r="AIJ102" s="114"/>
      <c r="AIK102" s="114"/>
      <c r="AIL102" s="114"/>
      <c r="AIM102" s="114"/>
      <c r="AIN102" s="114"/>
      <c r="AIO102" s="114"/>
      <c r="AIP102" s="114"/>
      <c r="AIQ102" s="114"/>
      <c r="AIR102" s="114"/>
      <c r="AIS102" s="114"/>
      <c r="AIT102" s="114"/>
      <c r="AIU102" s="114"/>
      <c r="AIV102" s="114"/>
      <c r="AIW102" s="114"/>
      <c r="AIX102" s="114"/>
      <c r="AIY102" s="114"/>
      <c r="AIZ102" s="114"/>
      <c r="AJA102" s="114"/>
      <c r="AJB102" s="114"/>
      <c r="AJC102" s="114"/>
      <c r="AJD102" s="114"/>
      <c r="AJE102" s="114"/>
      <c r="AJF102" s="114"/>
      <c r="AJG102" s="114"/>
      <c r="AJH102" s="114"/>
      <c r="AJI102" s="114"/>
      <c r="AJJ102" s="114"/>
      <c r="AJK102" s="114"/>
      <c r="AJL102" s="114"/>
      <c r="AJM102" s="114"/>
      <c r="AJN102" s="114"/>
      <c r="AJO102" s="114"/>
      <c r="AJP102" s="114"/>
      <c r="AJQ102" s="114"/>
      <c r="AJR102" s="114"/>
      <c r="AJS102" s="114"/>
      <c r="AJT102" s="114"/>
      <c r="AJU102" s="114"/>
      <c r="AJV102" s="114"/>
      <c r="AJW102" s="114"/>
      <c r="AJX102" s="114"/>
      <c r="AJY102" s="114"/>
      <c r="AJZ102" s="114"/>
      <c r="AKA102" s="114"/>
      <c r="AKB102" s="114"/>
      <c r="AKC102" s="114"/>
      <c r="AKD102" s="114"/>
      <c r="AKE102" s="114"/>
      <c r="AKF102" s="114"/>
      <c r="AKG102" s="114"/>
      <c r="AKH102" s="114"/>
      <c r="AKI102" s="114"/>
      <c r="AKJ102" s="114"/>
      <c r="AKK102" s="114"/>
      <c r="AKL102" s="114"/>
    </row>
    <row r="103" spans="1:974" ht="15" customHeight="1" x14ac:dyDescent="0.3">
      <c r="A103" s="116"/>
      <c r="B103" s="117"/>
      <c r="C103" s="462"/>
      <c r="D103" s="138" t="s">
        <v>3221</v>
      </c>
      <c r="E103" s="193">
        <f>E70+E71+E72+E73</f>
        <v>107</v>
      </c>
      <c r="F103" s="140">
        <v>4000</v>
      </c>
      <c r="G103" s="141">
        <f>E103*F103</f>
        <v>428000</v>
      </c>
    </row>
    <row r="104" spans="1:974" ht="15" customHeight="1" x14ac:dyDescent="0.3">
      <c r="A104" s="116"/>
      <c r="B104" s="117"/>
      <c r="C104" s="462"/>
      <c r="D104" s="118" t="s">
        <v>3222</v>
      </c>
      <c r="E104" s="209">
        <f>E79+E80+E81+E82+E83</f>
        <v>215</v>
      </c>
      <c r="F104" s="140">
        <v>4000</v>
      </c>
      <c r="G104" s="121">
        <f>E104*F104</f>
        <v>860000</v>
      </c>
    </row>
    <row r="105" spans="1:974" ht="15" customHeight="1" x14ac:dyDescent="0.3">
      <c r="A105" s="158"/>
      <c r="B105" s="159"/>
      <c r="C105" s="463"/>
      <c r="D105" s="464" t="s">
        <v>2832</v>
      </c>
      <c r="E105" s="465"/>
      <c r="F105" s="466"/>
      <c r="G105" s="127">
        <f>SUM(G102:G104)</f>
        <v>4380000</v>
      </c>
    </row>
    <row r="106" spans="1:974" ht="15" customHeight="1" x14ac:dyDescent="0.3">
      <c r="A106" s="103">
        <v>8470230</v>
      </c>
      <c r="B106" s="104">
        <v>492310</v>
      </c>
      <c r="C106" s="461" t="s">
        <v>3178</v>
      </c>
      <c r="D106" s="138" t="s">
        <v>3223</v>
      </c>
      <c r="E106" s="193">
        <f>E68</f>
        <v>7</v>
      </c>
      <c r="F106" s="140">
        <v>4500</v>
      </c>
      <c r="G106" s="141">
        <f t="shared" ref="G106:G109" si="3">E106*F106</f>
        <v>31500</v>
      </c>
    </row>
    <row r="107" spans="1:974" ht="15" customHeight="1" x14ac:dyDescent="0.3">
      <c r="A107" s="116"/>
      <c r="B107" s="117"/>
      <c r="C107" s="462"/>
      <c r="D107" s="138" t="s">
        <v>3224</v>
      </c>
      <c r="E107" s="193">
        <f>E70+E71</f>
        <v>60</v>
      </c>
      <c r="F107" s="140">
        <v>4500</v>
      </c>
      <c r="G107" s="141">
        <f t="shared" si="3"/>
        <v>270000</v>
      </c>
    </row>
    <row r="108" spans="1:974" ht="15" customHeight="1" x14ac:dyDescent="0.3">
      <c r="A108" s="116"/>
      <c r="B108" s="117"/>
      <c r="C108" s="462"/>
      <c r="D108" s="138" t="s">
        <v>3225</v>
      </c>
      <c r="E108" s="193">
        <f>E77</f>
        <v>15</v>
      </c>
      <c r="F108" s="140">
        <v>4500</v>
      </c>
      <c r="G108" s="141">
        <f t="shared" si="3"/>
        <v>67500</v>
      </c>
    </row>
    <row r="109" spans="1:974" s="114" customFormat="1" ht="15" customHeight="1" x14ac:dyDescent="0.3">
      <c r="A109" s="116"/>
      <c r="B109" s="117"/>
      <c r="C109" s="462"/>
      <c r="D109" s="138" t="s">
        <v>3226</v>
      </c>
      <c r="E109" s="209">
        <f>E79+E80+E81</f>
        <v>125</v>
      </c>
      <c r="F109" s="120">
        <v>4500</v>
      </c>
      <c r="G109" s="121">
        <f t="shared" si="3"/>
        <v>562500</v>
      </c>
    </row>
    <row r="110" spans="1:974" s="114" customFormat="1" ht="15" customHeight="1" x14ac:dyDescent="0.3">
      <c r="A110" s="158"/>
      <c r="B110" s="159"/>
      <c r="C110" s="463"/>
      <c r="D110" s="464" t="s">
        <v>2831</v>
      </c>
      <c r="E110" s="465"/>
      <c r="F110" s="466"/>
      <c r="G110" s="127">
        <f>SUM(G106:G109)</f>
        <v>931500</v>
      </c>
    </row>
    <row r="112" spans="1:974" x14ac:dyDescent="0.3">
      <c r="D112" s="458" t="s">
        <v>3185</v>
      </c>
      <c r="E112" s="459"/>
      <c r="F112" s="460"/>
      <c r="G112" s="214">
        <f>G4+G10+G12+G14+G18+G21+G26+G29+G33+G35+G37+G86+G101+G105+G110</f>
        <v>263085361.80000001</v>
      </c>
    </row>
  </sheetData>
  <mergeCells count="31">
    <mergeCell ref="C2:C4"/>
    <mergeCell ref="D4:F4"/>
    <mergeCell ref="C5:C10"/>
    <mergeCell ref="D10:F10"/>
    <mergeCell ref="C11:C12"/>
    <mergeCell ref="D12:F12"/>
    <mergeCell ref="C13:C14"/>
    <mergeCell ref="D14:F14"/>
    <mergeCell ref="C15:C18"/>
    <mergeCell ref="D18:F18"/>
    <mergeCell ref="C19:C21"/>
    <mergeCell ref="D21:F21"/>
    <mergeCell ref="C22:C26"/>
    <mergeCell ref="D26:F26"/>
    <mergeCell ref="C27:C29"/>
    <mergeCell ref="D29:F29"/>
    <mergeCell ref="C30:C33"/>
    <mergeCell ref="D33:F33"/>
    <mergeCell ref="C34:C35"/>
    <mergeCell ref="D35:F35"/>
    <mergeCell ref="C36:C37"/>
    <mergeCell ref="D37:F37"/>
    <mergeCell ref="C38:C86"/>
    <mergeCell ref="D86:F86"/>
    <mergeCell ref="D112:F112"/>
    <mergeCell ref="C87:C101"/>
    <mergeCell ref="D101:F101"/>
    <mergeCell ref="C102:C105"/>
    <mergeCell ref="D105:F105"/>
    <mergeCell ref="C106:C110"/>
    <mergeCell ref="D110:F110"/>
  </mergeCells>
  <pageMargins left="0.23622047244094491" right="0.23622047244094491" top="0.35433070866141736" bottom="0.35433070866141736" header="0" footer="0"/>
  <pageSetup paperSize="8" orientation="landscape" horizontalDpi="1200" verticalDpi="1200" r:id="rId1"/>
  <rowBreaks count="1" manualBreakCount="1">
    <brk id="86" max="18"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L108"/>
  <sheetViews>
    <sheetView zoomScale="80" zoomScaleNormal="80" workbookViewId="0">
      <pane ySplit="1" topLeftCell="A80" activePane="bottomLeft" state="frozen"/>
      <selection activeCell="D92" sqref="D92"/>
      <selection pane="bottomLeft" activeCell="D92" sqref="D92"/>
    </sheetView>
  </sheetViews>
  <sheetFormatPr defaultColWidth="9.1796875" defaultRowHeight="13" x14ac:dyDescent="0.3"/>
  <cols>
    <col min="1" max="1" width="9.81640625" style="212" customWidth="1"/>
    <col min="2" max="2" width="9.1796875" style="212" customWidth="1"/>
    <col min="3" max="3" width="33.1796875" style="213" customWidth="1"/>
    <col min="4" max="4" width="69.1796875" style="126" bestFit="1" customWidth="1"/>
    <col min="5" max="5" width="9" style="217" customWidth="1"/>
    <col min="6" max="6" width="9.54296875" style="218" customWidth="1"/>
    <col min="7" max="7" width="13" style="126" bestFit="1" customWidth="1"/>
    <col min="8" max="974" width="8.7265625" style="114" customWidth="1"/>
    <col min="975" max="16384" width="9.1796875" style="126"/>
  </cols>
  <sheetData>
    <row r="1" spans="1:974" s="102" customFormat="1" ht="24" customHeight="1" x14ac:dyDescent="0.35">
      <c r="A1" s="94" t="s">
        <v>4</v>
      </c>
      <c r="B1" s="94" t="s">
        <v>7</v>
      </c>
      <c r="C1" s="95" t="s">
        <v>3051</v>
      </c>
      <c r="D1" s="96" t="s">
        <v>3052</v>
      </c>
      <c r="E1" s="97" t="s">
        <v>3053</v>
      </c>
      <c r="F1" s="97" t="s">
        <v>21</v>
      </c>
      <c r="G1" s="98" t="s">
        <v>44</v>
      </c>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c r="CO1" s="101"/>
      <c r="CP1" s="101"/>
      <c r="CQ1" s="101"/>
      <c r="CR1" s="101"/>
      <c r="CS1" s="101"/>
      <c r="CT1" s="101"/>
      <c r="CU1" s="101"/>
      <c r="CV1" s="101"/>
      <c r="CW1" s="101"/>
      <c r="CX1" s="101"/>
      <c r="CY1" s="101"/>
      <c r="CZ1" s="101"/>
      <c r="DA1" s="101"/>
      <c r="DB1" s="101"/>
      <c r="DC1" s="101"/>
      <c r="DD1" s="101"/>
      <c r="DE1" s="101"/>
      <c r="DF1" s="101"/>
      <c r="DG1" s="101"/>
      <c r="DH1" s="101"/>
      <c r="DI1" s="101"/>
      <c r="DJ1" s="101"/>
      <c r="DK1" s="101"/>
      <c r="DL1" s="101"/>
      <c r="DM1" s="101"/>
      <c r="DN1" s="101"/>
      <c r="DO1" s="101"/>
      <c r="DP1" s="101"/>
      <c r="DQ1" s="101"/>
      <c r="DR1" s="101"/>
      <c r="DS1" s="101"/>
      <c r="DT1" s="101"/>
      <c r="DU1" s="101"/>
      <c r="DV1" s="101"/>
      <c r="DW1" s="101"/>
      <c r="DX1" s="101"/>
      <c r="DY1" s="101"/>
      <c r="DZ1" s="101"/>
      <c r="EA1" s="101"/>
      <c r="EB1" s="101"/>
      <c r="EC1" s="101"/>
      <c r="ED1" s="101"/>
      <c r="EE1" s="101"/>
      <c r="EF1" s="101"/>
      <c r="EG1" s="101"/>
      <c r="EH1" s="101"/>
      <c r="EI1" s="101"/>
      <c r="EJ1" s="101"/>
      <c r="EK1" s="101"/>
      <c r="EL1" s="101"/>
      <c r="EM1" s="101"/>
      <c r="EN1" s="101"/>
      <c r="EO1" s="101"/>
      <c r="EP1" s="101"/>
      <c r="EQ1" s="101"/>
      <c r="ER1" s="101"/>
      <c r="ES1" s="101"/>
      <c r="ET1" s="101"/>
      <c r="EU1" s="101"/>
      <c r="EV1" s="101"/>
      <c r="EW1" s="101"/>
      <c r="EX1" s="101"/>
      <c r="EY1" s="101"/>
      <c r="EZ1" s="101"/>
      <c r="FA1" s="101"/>
      <c r="FB1" s="101"/>
      <c r="FC1" s="101"/>
      <c r="FD1" s="101"/>
      <c r="FE1" s="101"/>
      <c r="FF1" s="101"/>
      <c r="FG1" s="101"/>
      <c r="FH1" s="101"/>
      <c r="FI1" s="101"/>
      <c r="FJ1" s="101"/>
      <c r="FK1" s="101"/>
      <c r="FL1" s="101"/>
      <c r="FM1" s="101"/>
      <c r="FN1" s="101"/>
      <c r="FO1" s="101"/>
      <c r="FP1" s="101"/>
      <c r="FQ1" s="101"/>
      <c r="FR1" s="101"/>
      <c r="FS1" s="101"/>
      <c r="FT1" s="101"/>
      <c r="FU1" s="101"/>
      <c r="FV1" s="101"/>
      <c r="FW1" s="101"/>
      <c r="FX1" s="101"/>
      <c r="FY1" s="101"/>
      <c r="FZ1" s="101"/>
      <c r="GA1" s="101"/>
      <c r="GB1" s="101"/>
      <c r="GC1" s="101"/>
      <c r="GD1" s="101"/>
      <c r="GE1" s="101"/>
      <c r="GF1" s="101"/>
      <c r="GG1" s="101"/>
      <c r="GH1" s="101"/>
      <c r="GI1" s="101"/>
      <c r="GJ1" s="101"/>
      <c r="GK1" s="101"/>
      <c r="GL1" s="101"/>
      <c r="GM1" s="101"/>
      <c r="GN1" s="101"/>
      <c r="GO1" s="101"/>
      <c r="GP1" s="101"/>
      <c r="GQ1" s="101"/>
      <c r="GR1" s="101"/>
      <c r="GS1" s="101"/>
      <c r="GT1" s="101"/>
      <c r="GU1" s="101"/>
      <c r="GV1" s="101"/>
      <c r="GW1" s="101"/>
      <c r="GX1" s="101"/>
      <c r="GY1" s="101"/>
      <c r="GZ1" s="101"/>
      <c r="HA1" s="101"/>
      <c r="HB1" s="101"/>
      <c r="HC1" s="101"/>
      <c r="HD1" s="101"/>
      <c r="HE1" s="101"/>
      <c r="HF1" s="101"/>
      <c r="HG1" s="101"/>
      <c r="HH1" s="101"/>
      <c r="HI1" s="101"/>
      <c r="HJ1" s="101"/>
      <c r="HK1" s="101"/>
      <c r="HL1" s="101"/>
      <c r="HM1" s="101"/>
      <c r="HN1" s="101"/>
      <c r="HO1" s="101"/>
      <c r="HP1" s="101"/>
      <c r="HQ1" s="101"/>
      <c r="HR1" s="101"/>
      <c r="HS1" s="101"/>
      <c r="HT1" s="101"/>
      <c r="HU1" s="101"/>
      <c r="HV1" s="101"/>
      <c r="HW1" s="101"/>
      <c r="HX1" s="101"/>
      <c r="HY1" s="101"/>
      <c r="HZ1" s="101"/>
      <c r="IA1" s="101"/>
      <c r="IB1" s="101"/>
      <c r="IC1" s="101"/>
      <c r="ID1" s="101"/>
      <c r="IE1" s="101"/>
      <c r="IF1" s="101"/>
      <c r="IG1" s="101"/>
      <c r="IH1" s="101"/>
      <c r="II1" s="101"/>
      <c r="IJ1" s="101"/>
      <c r="IK1" s="101"/>
      <c r="IL1" s="101"/>
      <c r="IM1" s="101"/>
      <c r="IN1" s="101"/>
      <c r="IO1" s="101"/>
      <c r="IP1" s="101"/>
      <c r="IQ1" s="101"/>
      <c r="IR1" s="101"/>
      <c r="IS1" s="101"/>
      <c r="IT1" s="101"/>
      <c r="IU1" s="101"/>
      <c r="IV1" s="101"/>
      <c r="IW1" s="101"/>
      <c r="IX1" s="101"/>
      <c r="IY1" s="101"/>
      <c r="IZ1" s="101"/>
      <c r="JA1" s="101"/>
      <c r="JB1" s="101"/>
      <c r="JC1" s="101"/>
      <c r="JD1" s="101"/>
      <c r="JE1" s="101"/>
      <c r="JF1" s="101"/>
      <c r="JG1" s="101"/>
      <c r="JH1" s="101"/>
      <c r="JI1" s="101"/>
      <c r="JJ1" s="101"/>
      <c r="JK1" s="101"/>
      <c r="JL1" s="101"/>
      <c r="JM1" s="101"/>
      <c r="JN1" s="101"/>
      <c r="JO1" s="101"/>
      <c r="JP1" s="101"/>
      <c r="JQ1" s="101"/>
      <c r="JR1" s="101"/>
      <c r="JS1" s="101"/>
      <c r="JT1" s="101"/>
      <c r="JU1" s="101"/>
      <c r="JV1" s="101"/>
      <c r="JW1" s="101"/>
      <c r="JX1" s="101"/>
      <c r="JY1" s="101"/>
      <c r="JZ1" s="101"/>
      <c r="KA1" s="101"/>
      <c r="KB1" s="101"/>
      <c r="KC1" s="101"/>
      <c r="KD1" s="101"/>
      <c r="KE1" s="101"/>
      <c r="KF1" s="101"/>
      <c r="KG1" s="101"/>
      <c r="KH1" s="101"/>
      <c r="KI1" s="101"/>
      <c r="KJ1" s="101"/>
      <c r="KK1" s="101"/>
      <c r="KL1" s="101"/>
      <c r="KM1" s="101"/>
      <c r="KN1" s="101"/>
      <c r="KO1" s="101"/>
      <c r="KP1" s="101"/>
      <c r="KQ1" s="101"/>
      <c r="KR1" s="101"/>
      <c r="KS1" s="101"/>
      <c r="KT1" s="101"/>
      <c r="KU1" s="101"/>
      <c r="KV1" s="101"/>
      <c r="KW1" s="101"/>
      <c r="KX1" s="101"/>
      <c r="KY1" s="101"/>
      <c r="KZ1" s="101"/>
      <c r="LA1" s="101"/>
      <c r="LB1" s="101"/>
      <c r="LC1" s="101"/>
      <c r="LD1" s="101"/>
      <c r="LE1" s="101"/>
      <c r="LF1" s="101"/>
      <c r="LG1" s="101"/>
      <c r="LH1" s="101"/>
      <c r="LI1" s="101"/>
      <c r="LJ1" s="101"/>
      <c r="LK1" s="101"/>
      <c r="LL1" s="101"/>
      <c r="LM1" s="101"/>
      <c r="LN1" s="101"/>
      <c r="LO1" s="101"/>
      <c r="LP1" s="101"/>
      <c r="LQ1" s="101"/>
      <c r="LR1" s="101"/>
      <c r="LS1" s="101"/>
      <c r="LT1" s="101"/>
      <c r="LU1" s="101"/>
      <c r="LV1" s="101"/>
      <c r="LW1" s="101"/>
      <c r="LX1" s="101"/>
      <c r="LY1" s="101"/>
      <c r="LZ1" s="101"/>
      <c r="MA1" s="101"/>
      <c r="MB1" s="101"/>
      <c r="MC1" s="101"/>
      <c r="MD1" s="101"/>
      <c r="ME1" s="101"/>
      <c r="MF1" s="101"/>
      <c r="MG1" s="101"/>
      <c r="MH1" s="101"/>
      <c r="MI1" s="101"/>
      <c r="MJ1" s="101"/>
      <c r="MK1" s="101"/>
      <c r="ML1" s="101"/>
      <c r="MM1" s="101"/>
      <c r="MN1" s="101"/>
      <c r="MO1" s="101"/>
      <c r="MP1" s="101"/>
      <c r="MQ1" s="101"/>
      <c r="MR1" s="101"/>
      <c r="MS1" s="101"/>
      <c r="MT1" s="101"/>
      <c r="MU1" s="101"/>
      <c r="MV1" s="101"/>
      <c r="MW1" s="101"/>
      <c r="MX1" s="101"/>
      <c r="MY1" s="101"/>
      <c r="MZ1" s="101"/>
      <c r="NA1" s="101"/>
      <c r="NB1" s="101"/>
      <c r="NC1" s="101"/>
      <c r="ND1" s="101"/>
      <c r="NE1" s="101"/>
      <c r="NF1" s="101"/>
      <c r="NG1" s="101"/>
      <c r="NH1" s="101"/>
      <c r="NI1" s="101"/>
      <c r="NJ1" s="101"/>
      <c r="NK1" s="101"/>
      <c r="NL1" s="101"/>
      <c r="NM1" s="101"/>
      <c r="NN1" s="101"/>
      <c r="NO1" s="101"/>
      <c r="NP1" s="101"/>
      <c r="NQ1" s="101"/>
      <c r="NR1" s="101"/>
      <c r="NS1" s="101"/>
      <c r="NT1" s="101"/>
      <c r="NU1" s="101"/>
      <c r="NV1" s="101"/>
      <c r="NW1" s="101"/>
      <c r="NX1" s="101"/>
      <c r="NY1" s="101"/>
      <c r="NZ1" s="101"/>
      <c r="OA1" s="101"/>
      <c r="OB1" s="101"/>
      <c r="OC1" s="101"/>
      <c r="OD1" s="101"/>
      <c r="OE1" s="101"/>
      <c r="OF1" s="101"/>
      <c r="OG1" s="101"/>
      <c r="OH1" s="101"/>
      <c r="OI1" s="101"/>
      <c r="OJ1" s="101"/>
      <c r="OK1" s="101"/>
      <c r="OL1" s="101"/>
      <c r="OM1" s="101"/>
      <c r="ON1" s="101"/>
      <c r="OO1" s="101"/>
      <c r="OP1" s="101"/>
      <c r="OQ1" s="101"/>
      <c r="OR1" s="101"/>
      <c r="OS1" s="101"/>
      <c r="OT1" s="101"/>
      <c r="OU1" s="101"/>
      <c r="OV1" s="101"/>
      <c r="OW1" s="101"/>
      <c r="OX1" s="101"/>
      <c r="OY1" s="101"/>
      <c r="OZ1" s="101"/>
      <c r="PA1" s="101"/>
      <c r="PB1" s="101"/>
      <c r="PC1" s="101"/>
      <c r="PD1" s="101"/>
      <c r="PE1" s="101"/>
      <c r="PF1" s="101"/>
      <c r="PG1" s="101"/>
      <c r="PH1" s="101"/>
      <c r="PI1" s="101"/>
      <c r="PJ1" s="101"/>
      <c r="PK1" s="101"/>
      <c r="PL1" s="101"/>
      <c r="PM1" s="101"/>
      <c r="PN1" s="101"/>
      <c r="PO1" s="101"/>
      <c r="PP1" s="101"/>
      <c r="PQ1" s="101"/>
      <c r="PR1" s="101"/>
      <c r="PS1" s="101"/>
      <c r="PT1" s="101"/>
      <c r="PU1" s="101"/>
      <c r="PV1" s="101"/>
      <c r="PW1" s="101"/>
      <c r="PX1" s="101"/>
      <c r="PY1" s="101"/>
      <c r="PZ1" s="101"/>
      <c r="QA1" s="101"/>
      <c r="QB1" s="101"/>
      <c r="QC1" s="101"/>
      <c r="QD1" s="101"/>
      <c r="QE1" s="101"/>
      <c r="QF1" s="101"/>
      <c r="QG1" s="101"/>
      <c r="QH1" s="101"/>
      <c r="QI1" s="101"/>
      <c r="QJ1" s="101"/>
      <c r="QK1" s="101"/>
      <c r="QL1" s="101"/>
      <c r="QM1" s="101"/>
      <c r="QN1" s="101"/>
      <c r="QO1" s="101"/>
      <c r="QP1" s="101"/>
      <c r="QQ1" s="101"/>
      <c r="QR1" s="101"/>
      <c r="QS1" s="101"/>
      <c r="QT1" s="101"/>
      <c r="QU1" s="101"/>
      <c r="QV1" s="101"/>
      <c r="QW1" s="101"/>
      <c r="QX1" s="101"/>
      <c r="QY1" s="101"/>
      <c r="QZ1" s="101"/>
      <c r="RA1" s="101"/>
      <c r="RB1" s="101"/>
      <c r="RC1" s="101"/>
      <c r="RD1" s="101"/>
      <c r="RE1" s="101"/>
      <c r="RF1" s="101"/>
      <c r="RG1" s="101"/>
      <c r="RH1" s="101"/>
      <c r="RI1" s="101"/>
      <c r="RJ1" s="101"/>
      <c r="RK1" s="101"/>
      <c r="RL1" s="101"/>
      <c r="RM1" s="101"/>
      <c r="RN1" s="101"/>
      <c r="RO1" s="101"/>
      <c r="RP1" s="101"/>
      <c r="RQ1" s="101"/>
      <c r="RR1" s="101"/>
      <c r="RS1" s="101"/>
      <c r="RT1" s="101"/>
      <c r="RU1" s="101"/>
      <c r="RV1" s="101"/>
      <c r="RW1" s="101"/>
      <c r="RX1" s="101"/>
      <c r="RY1" s="101"/>
      <c r="RZ1" s="101"/>
      <c r="SA1" s="101"/>
      <c r="SB1" s="101"/>
      <c r="SC1" s="101"/>
      <c r="SD1" s="101"/>
      <c r="SE1" s="101"/>
      <c r="SF1" s="101"/>
      <c r="SG1" s="101"/>
      <c r="SH1" s="101"/>
      <c r="SI1" s="101"/>
      <c r="SJ1" s="101"/>
      <c r="SK1" s="101"/>
      <c r="SL1" s="101"/>
      <c r="SM1" s="101"/>
      <c r="SN1" s="101"/>
      <c r="SO1" s="101"/>
      <c r="SP1" s="101"/>
      <c r="SQ1" s="101"/>
      <c r="SR1" s="101"/>
      <c r="SS1" s="101"/>
      <c r="ST1" s="101"/>
      <c r="SU1" s="101"/>
      <c r="SV1" s="101"/>
      <c r="SW1" s="101"/>
      <c r="SX1" s="101"/>
      <c r="SY1" s="101"/>
      <c r="SZ1" s="101"/>
      <c r="TA1" s="101"/>
      <c r="TB1" s="101"/>
      <c r="TC1" s="101"/>
      <c r="TD1" s="101"/>
      <c r="TE1" s="101"/>
      <c r="TF1" s="101"/>
      <c r="TG1" s="101"/>
      <c r="TH1" s="101"/>
      <c r="TI1" s="101"/>
      <c r="TJ1" s="101"/>
      <c r="TK1" s="101"/>
      <c r="TL1" s="101"/>
      <c r="TM1" s="101"/>
      <c r="TN1" s="101"/>
      <c r="TO1" s="101"/>
      <c r="TP1" s="101"/>
      <c r="TQ1" s="101"/>
      <c r="TR1" s="101"/>
      <c r="TS1" s="101"/>
      <c r="TT1" s="101"/>
      <c r="TU1" s="101"/>
      <c r="TV1" s="101"/>
      <c r="TW1" s="101"/>
      <c r="TX1" s="101"/>
      <c r="TY1" s="101"/>
      <c r="TZ1" s="101"/>
      <c r="UA1" s="101"/>
      <c r="UB1" s="101"/>
      <c r="UC1" s="101"/>
      <c r="UD1" s="101"/>
      <c r="UE1" s="101"/>
      <c r="UF1" s="101"/>
      <c r="UG1" s="101"/>
      <c r="UH1" s="101"/>
      <c r="UI1" s="101"/>
      <c r="UJ1" s="101"/>
      <c r="UK1" s="101"/>
      <c r="UL1" s="101"/>
      <c r="UM1" s="101"/>
      <c r="UN1" s="101"/>
      <c r="UO1" s="101"/>
      <c r="UP1" s="101"/>
      <c r="UQ1" s="101"/>
      <c r="UR1" s="101"/>
      <c r="US1" s="101"/>
      <c r="UT1" s="101"/>
      <c r="UU1" s="101"/>
      <c r="UV1" s="101"/>
      <c r="UW1" s="101"/>
      <c r="UX1" s="101"/>
      <c r="UY1" s="101"/>
      <c r="UZ1" s="101"/>
      <c r="VA1" s="101"/>
      <c r="VB1" s="101"/>
      <c r="VC1" s="101"/>
      <c r="VD1" s="101"/>
      <c r="VE1" s="101"/>
      <c r="VF1" s="101"/>
      <c r="VG1" s="101"/>
      <c r="VH1" s="101"/>
      <c r="VI1" s="101"/>
      <c r="VJ1" s="101"/>
      <c r="VK1" s="101"/>
      <c r="VL1" s="101"/>
      <c r="VM1" s="101"/>
      <c r="VN1" s="101"/>
      <c r="VO1" s="101"/>
      <c r="VP1" s="101"/>
      <c r="VQ1" s="101"/>
      <c r="VR1" s="101"/>
      <c r="VS1" s="101"/>
      <c r="VT1" s="101"/>
      <c r="VU1" s="101"/>
      <c r="VV1" s="101"/>
      <c r="VW1" s="101"/>
      <c r="VX1" s="101"/>
      <c r="VY1" s="101"/>
      <c r="VZ1" s="101"/>
      <c r="WA1" s="101"/>
      <c r="WB1" s="101"/>
      <c r="WC1" s="101"/>
      <c r="WD1" s="101"/>
      <c r="WE1" s="101"/>
      <c r="WF1" s="101"/>
      <c r="WG1" s="101"/>
      <c r="WH1" s="101"/>
      <c r="WI1" s="101"/>
      <c r="WJ1" s="101"/>
      <c r="WK1" s="101"/>
      <c r="WL1" s="101"/>
      <c r="WM1" s="101"/>
      <c r="WN1" s="101"/>
      <c r="WO1" s="101"/>
      <c r="WP1" s="101"/>
      <c r="WQ1" s="101"/>
      <c r="WR1" s="101"/>
      <c r="WS1" s="101"/>
      <c r="WT1" s="101"/>
      <c r="WU1" s="101"/>
      <c r="WV1" s="101"/>
      <c r="WW1" s="101"/>
      <c r="WX1" s="101"/>
      <c r="WY1" s="101"/>
      <c r="WZ1" s="101"/>
      <c r="XA1" s="101"/>
      <c r="XB1" s="101"/>
      <c r="XC1" s="101"/>
      <c r="XD1" s="101"/>
      <c r="XE1" s="101"/>
      <c r="XF1" s="101"/>
      <c r="XG1" s="101"/>
      <c r="XH1" s="101"/>
      <c r="XI1" s="101"/>
      <c r="XJ1" s="101"/>
      <c r="XK1" s="101"/>
      <c r="XL1" s="101"/>
      <c r="XM1" s="101"/>
      <c r="XN1" s="101"/>
      <c r="XO1" s="101"/>
      <c r="XP1" s="101"/>
      <c r="XQ1" s="101"/>
      <c r="XR1" s="101"/>
      <c r="XS1" s="101"/>
      <c r="XT1" s="101"/>
      <c r="XU1" s="101"/>
      <c r="XV1" s="101"/>
      <c r="XW1" s="101"/>
      <c r="XX1" s="101"/>
      <c r="XY1" s="101"/>
      <c r="XZ1" s="101"/>
      <c r="YA1" s="101"/>
      <c r="YB1" s="101"/>
      <c r="YC1" s="101"/>
      <c r="YD1" s="101"/>
      <c r="YE1" s="101"/>
      <c r="YF1" s="101"/>
      <c r="YG1" s="101"/>
      <c r="YH1" s="101"/>
      <c r="YI1" s="101"/>
      <c r="YJ1" s="101"/>
      <c r="YK1" s="101"/>
      <c r="YL1" s="101"/>
      <c r="YM1" s="101"/>
      <c r="YN1" s="101"/>
      <c r="YO1" s="101"/>
      <c r="YP1" s="101"/>
      <c r="YQ1" s="101"/>
      <c r="YR1" s="101"/>
      <c r="YS1" s="101"/>
      <c r="YT1" s="101"/>
      <c r="YU1" s="101"/>
      <c r="YV1" s="101"/>
      <c r="YW1" s="101"/>
      <c r="YX1" s="101"/>
      <c r="YY1" s="101"/>
      <c r="YZ1" s="101"/>
      <c r="ZA1" s="101"/>
      <c r="ZB1" s="101"/>
      <c r="ZC1" s="101"/>
      <c r="ZD1" s="101"/>
      <c r="ZE1" s="101"/>
      <c r="ZF1" s="101"/>
      <c r="ZG1" s="101"/>
      <c r="ZH1" s="101"/>
      <c r="ZI1" s="101"/>
      <c r="ZJ1" s="101"/>
      <c r="ZK1" s="101"/>
      <c r="ZL1" s="101"/>
      <c r="ZM1" s="101"/>
      <c r="ZN1" s="101"/>
      <c r="ZO1" s="101"/>
      <c r="ZP1" s="101"/>
      <c r="ZQ1" s="101"/>
      <c r="ZR1" s="101"/>
      <c r="ZS1" s="101"/>
      <c r="ZT1" s="101"/>
      <c r="ZU1" s="101"/>
      <c r="ZV1" s="101"/>
      <c r="ZW1" s="101"/>
      <c r="ZX1" s="101"/>
      <c r="ZY1" s="101"/>
      <c r="ZZ1" s="101"/>
      <c r="AAA1" s="101"/>
      <c r="AAB1" s="101"/>
      <c r="AAC1" s="101"/>
      <c r="AAD1" s="101"/>
      <c r="AAE1" s="101"/>
      <c r="AAF1" s="101"/>
      <c r="AAG1" s="101"/>
      <c r="AAH1" s="101"/>
      <c r="AAI1" s="101"/>
      <c r="AAJ1" s="101"/>
      <c r="AAK1" s="101"/>
      <c r="AAL1" s="101"/>
      <c r="AAM1" s="101"/>
      <c r="AAN1" s="101"/>
      <c r="AAO1" s="101"/>
      <c r="AAP1" s="101"/>
      <c r="AAQ1" s="101"/>
      <c r="AAR1" s="101"/>
      <c r="AAS1" s="101"/>
      <c r="AAT1" s="101"/>
      <c r="AAU1" s="101"/>
      <c r="AAV1" s="101"/>
      <c r="AAW1" s="101"/>
      <c r="AAX1" s="101"/>
      <c r="AAY1" s="101"/>
      <c r="AAZ1" s="101"/>
      <c r="ABA1" s="101"/>
      <c r="ABB1" s="101"/>
      <c r="ABC1" s="101"/>
      <c r="ABD1" s="101"/>
      <c r="ABE1" s="101"/>
      <c r="ABF1" s="101"/>
      <c r="ABG1" s="101"/>
      <c r="ABH1" s="101"/>
      <c r="ABI1" s="101"/>
      <c r="ABJ1" s="101"/>
      <c r="ABK1" s="101"/>
      <c r="ABL1" s="101"/>
      <c r="ABM1" s="101"/>
      <c r="ABN1" s="101"/>
      <c r="ABO1" s="101"/>
      <c r="ABP1" s="101"/>
      <c r="ABQ1" s="101"/>
      <c r="ABR1" s="101"/>
      <c r="ABS1" s="101"/>
      <c r="ABT1" s="101"/>
      <c r="ABU1" s="101"/>
      <c r="ABV1" s="101"/>
      <c r="ABW1" s="101"/>
      <c r="ABX1" s="101"/>
      <c r="ABY1" s="101"/>
      <c r="ABZ1" s="101"/>
      <c r="ACA1" s="101"/>
      <c r="ACB1" s="101"/>
      <c r="ACC1" s="101"/>
      <c r="ACD1" s="101"/>
      <c r="ACE1" s="101"/>
      <c r="ACF1" s="101"/>
      <c r="ACG1" s="101"/>
      <c r="ACH1" s="101"/>
      <c r="ACI1" s="101"/>
      <c r="ACJ1" s="101"/>
      <c r="ACK1" s="101"/>
      <c r="ACL1" s="101"/>
      <c r="ACM1" s="101"/>
      <c r="ACN1" s="101"/>
      <c r="ACO1" s="101"/>
      <c r="ACP1" s="101"/>
      <c r="ACQ1" s="101"/>
      <c r="ACR1" s="101"/>
      <c r="ACS1" s="101"/>
      <c r="ACT1" s="101"/>
      <c r="ACU1" s="101"/>
      <c r="ACV1" s="101"/>
      <c r="ACW1" s="101"/>
      <c r="ACX1" s="101"/>
      <c r="ACY1" s="101"/>
      <c r="ACZ1" s="101"/>
      <c r="ADA1" s="101"/>
      <c r="ADB1" s="101"/>
      <c r="ADC1" s="101"/>
      <c r="ADD1" s="101"/>
      <c r="ADE1" s="101"/>
      <c r="ADF1" s="101"/>
      <c r="ADG1" s="101"/>
      <c r="ADH1" s="101"/>
      <c r="ADI1" s="101"/>
      <c r="ADJ1" s="101"/>
      <c r="ADK1" s="101"/>
      <c r="ADL1" s="101"/>
      <c r="ADM1" s="101"/>
      <c r="ADN1" s="101"/>
      <c r="ADO1" s="101"/>
      <c r="ADP1" s="101"/>
      <c r="ADQ1" s="101"/>
      <c r="ADR1" s="101"/>
      <c r="ADS1" s="101"/>
      <c r="ADT1" s="101"/>
      <c r="ADU1" s="101"/>
      <c r="ADV1" s="101"/>
      <c r="ADW1" s="101"/>
      <c r="ADX1" s="101"/>
      <c r="ADY1" s="101"/>
      <c r="ADZ1" s="101"/>
      <c r="AEA1" s="101"/>
      <c r="AEB1" s="101"/>
      <c r="AEC1" s="101"/>
      <c r="AED1" s="101"/>
      <c r="AEE1" s="101"/>
      <c r="AEF1" s="101"/>
      <c r="AEG1" s="101"/>
      <c r="AEH1" s="101"/>
      <c r="AEI1" s="101"/>
      <c r="AEJ1" s="101"/>
      <c r="AEK1" s="101"/>
      <c r="AEL1" s="101"/>
      <c r="AEM1" s="101"/>
      <c r="AEN1" s="101"/>
      <c r="AEO1" s="101"/>
      <c r="AEP1" s="101"/>
      <c r="AEQ1" s="101"/>
      <c r="AER1" s="101"/>
      <c r="AES1" s="101"/>
      <c r="AET1" s="101"/>
      <c r="AEU1" s="101"/>
      <c r="AEV1" s="101"/>
      <c r="AEW1" s="101"/>
      <c r="AEX1" s="101"/>
      <c r="AEY1" s="101"/>
      <c r="AEZ1" s="101"/>
      <c r="AFA1" s="101"/>
      <c r="AFB1" s="101"/>
      <c r="AFC1" s="101"/>
      <c r="AFD1" s="101"/>
      <c r="AFE1" s="101"/>
      <c r="AFF1" s="101"/>
      <c r="AFG1" s="101"/>
      <c r="AFH1" s="101"/>
      <c r="AFI1" s="101"/>
      <c r="AFJ1" s="101"/>
      <c r="AFK1" s="101"/>
      <c r="AFL1" s="101"/>
      <c r="AFM1" s="101"/>
      <c r="AFN1" s="101"/>
      <c r="AFO1" s="101"/>
      <c r="AFP1" s="101"/>
      <c r="AFQ1" s="101"/>
      <c r="AFR1" s="101"/>
      <c r="AFS1" s="101"/>
      <c r="AFT1" s="101"/>
      <c r="AFU1" s="101"/>
      <c r="AFV1" s="101"/>
      <c r="AFW1" s="101"/>
      <c r="AFX1" s="101"/>
      <c r="AFY1" s="101"/>
      <c r="AFZ1" s="101"/>
      <c r="AGA1" s="101"/>
      <c r="AGB1" s="101"/>
      <c r="AGC1" s="101"/>
      <c r="AGD1" s="101"/>
      <c r="AGE1" s="101"/>
      <c r="AGF1" s="101"/>
      <c r="AGG1" s="101"/>
      <c r="AGH1" s="101"/>
      <c r="AGI1" s="101"/>
      <c r="AGJ1" s="101"/>
      <c r="AGK1" s="101"/>
      <c r="AGL1" s="101"/>
      <c r="AGM1" s="101"/>
      <c r="AGN1" s="101"/>
      <c r="AGO1" s="101"/>
      <c r="AGP1" s="101"/>
      <c r="AGQ1" s="101"/>
      <c r="AGR1" s="101"/>
      <c r="AGS1" s="101"/>
      <c r="AGT1" s="101"/>
      <c r="AGU1" s="101"/>
      <c r="AGV1" s="101"/>
      <c r="AGW1" s="101"/>
      <c r="AGX1" s="101"/>
      <c r="AGY1" s="101"/>
      <c r="AGZ1" s="101"/>
      <c r="AHA1" s="101"/>
      <c r="AHB1" s="101"/>
      <c r="AHC1" s="101"/>
      <c r="AHD1" s="101"/>
      <c r="AHE1" s="101"/>
      <c r="AHF1" s="101"/>
      <c r="AHG1" s="101"/>
      <c r="AHH1" s="101"/>
      <c r="AHI1" s="101"/>
      <c r="AHJ1" s="101"/>
      <c r="AHK1" s="101"/>
      <c r="AHL1" s="101"/>
      <c r="AHM1" s="101"/>
      <c r="AHN1" s="101"/>
      <c r="AHO1" s="101"/>
      <c r="AHP1" s="101"/>
      <c r="AHQ1" s="101"/>
      <c r="AHR1" s="101"/>
      <c r="AHS1" s="101"/>
      <c r="AHT1" s="101"/>
      <c r="AHU1" s="101"/>
      <c r="AHV1" s="101"/>
      <c r="AHW1" s="101"/>
      <c r="AHX1" s="101"/>
      <c r="AHY1" s="101"/>
      <c r="AHZ1" s="101"/>
      <c r="AIA1" s="101"/>
      <c r="AIB1" s="101"/>
      <c r="AIC1" s="101"/>
      <c r="AID1" s="101"/>
      <c r="AIE1" s="101"/>
      <c r="AIF1" s="101"/>
      <c r="AIG1" s="101"/>
      <c r="AIH1" s="101"/>
      <c r="AII1" s="101"/>
      <c r="AIJ1" s="101"/>
      <c r="AIK1" s="101"/>
      <c r="AIL1" s="101"/>
      <c r="AIM1" s="101"/>
      <c r="AIN1" s="101"/>
      <c r="AIO1" s="101"/>
      <c r="AIP1" s="101"/>
      <c r="AIQ1" s="101"/>
      <c r="AIR1" s="101"/>
      <c r="AIS1" s="101"/>
      <c r="AIT1" s="101"/>
      <c r="AIU1" s="101"/>
      <c r="AIV1" s="101"/>
      <c r="AIW1" s="101"/>
      <c r="AIX1" s="101"/>
      <c r="AIY1" s="101"/>
      <c r="AIZ1" s="101"/>
      <c r="AJA1" s="101"/>
      <c r="AJB1" s="101"/>
      <c r="AJC1" s="101"/>
      <c r="AJD1" s="101"/>
      <c r="AJE1" s="101"/>
      <c r="AJF1" s="101"/>
      <c r="AJG1" s="101"/>
      <c r="AJH1" s="101"/>
      <c r="AJI1" s="101"/>
      <c r="AJJ1" s="101"/>
      <c r="AJK1" s="101"/>
      <c r="AJL1" s="101"/>
      <c r="AJM1" s="101"/>
      <c r="AJN1" s="101"/>
      <c r="AJO1" s="101"/>
      <c r="AJP1" s="101"/>
      <c r="AJQ1" s="101"/>
      <c r="AJR1" s="101"/>
      <c r="AJS1" s="101"/>
      <c r="AJT1" s="101"/>
      <c r="AJU1" s="101"/>
      <c r="AJV1" s="101"/>
      <c r="AJW1" s="101"/>
      <c r="AJX1" s="101"/>
      <c r="AJY1" s="101"/>
      <c r="AJZ1" s="101"/>
      <c r="AKA1" s="101"/>
      <c r="AKB1" s="101"/>
      <c r="AKC1" s="101"/>
      <c r="AKD1" s="101"/>
      <c r="AKE1" s="101"/>
      <c r="AKF1" s="101"/>
      <c r="AKG1" s="101"/>
      <c r="AKH1" s="101"/>
      <c r="AKI1" s="101"/>
      <c r="AKJ1" s="101"/>
      <c r="AKK1" s="101"/>
      <c r="AKL1" s="101"/>
    </row>
    <row r="2" spans="1:974" s="115" customFormat="1" ht="15" customHeight="1" x14ac:dyDescent="0.3">
      <c r="A2" s="103">
        <v>8470230</v>
      </c>
      <c r="B2" s="104">
        <v>420550</v>
      </c>
      <c r="C2" s="461" t="s">
        <v>3055</v>
      </c>
      <c r="D2" s="105" t="s">
        <v>3056</v>
      </c>
      <c r="E2" s="106">
        <v>0</v>
      </c>
      <c r="F2" s="107">
        <v>46600</v>
      </c>
      <c r="G2" s="108">
        <f>E2*F2</f>
        <v>0</v>
      </c>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c r="BI2" s="114"/>
      <c r="BJ2" s="114"/>
      <c r="BK2" s="114"/>
      <c r="BL2" s="114"/>
      <c r="BM2" s="114"/>
      <c r="BN2" s="114"/>
      <c r="BO2" s="114"/>
      <c r="BP2" s="114"/>
      <c r="BQ2" s="114"/>
      <c r="BR2" s="114"/>
      <c r="BS2" s="114"/>
      <c r="BT2" s="114"/>
      <c r="BU2" s="114"/>
      <c r="BV2" s="114"/>
      <c r="BW2" s="114"/>
      <c r="BX2" s="114"/>
      <c r="BY2" s="114"/>
      <c r="BZ2" s="114"/>
      <c r="CA2" s="114"/>
      <c r="CB2" s="114"/>
      <c r="CC2" s="114"/>
      <c r="CD2" s="114"/>
      <c r="CE2" s="114"/>
      <c r="CF2" s="114"/>
      <c r="CG2" s="114"/>
      <c r="CH2" s="114"/>
      <c r="CI2" s="114"/>
      <c r="CJ2" s="114"/>
      <c r="CK2" s="114"/>
      <c r="CL2" s="114"/>
      <c r="CM2" s="114"/>
      <c r="CN2" s="114"/>
      <c r="CO2" s="114"/>
      <c r="CP2" s="114"/>
      <c r="CQ2" s="114"/>
      <c r="CR2" s="114"/>
      <c r="CS2" s="114"/>
      <c r="CT2" s="114"/>
      <c r="CU2" s="114"/>
      <c r="CV2" s="114"/>
      <c r="CW2" s="114"/>
      <c r="CX2" s="114"/>
      <c r="CY2" s="114"/>
      <c r="CZ2" s="114"/>
      <c r="DA2" s="114"/>
      <c r="DB2" s="114"/>
      <c r="DC2" s="114"/>
      <c r="DD2" s="114"/>
      <c r="DE2" s="114"/>
      <c r="DF2" s="114"/>
      <c r="DG2" s="114"/>
      <c r="DH2" s="114"/>
      <c r="DI2" s="114"/>
      <c r="DJ2" s="114"/>
      <c r="DK2" s="114"/>
      <c r="DL2" s="114"/>
      <c r="DM2" s="114"/>
      <c r="DN2" s="114"/>
      <c r="DO2" s="114"/>
      <c r="DP2" s="114"/>
      <c r="DQ2" s="114"/>
      <c r="DR2" s="114"/>
      <c r="DS2" s="114"/>
      <c r="DT2" s="114"/>
      <c r="DU2" s="114"/>
      <c r="DV2" s="114"/>
      <c r="DW2" s="114"/>
      <c r="DX2" s="114"/>
      <c r="DY2" s="114"/>
      <c r="DZ2" s="114"/>
      <c r="EA2" s="114"/>
      <c r="EB2" s="114"/>
      <c r="EC2" s="114"/>
      <c r="ED2" s="114"/>
      <c r="EE2" s="114"/>
      <c r="EF2" s="114"/>
      <c r="EG2" s="114"/>
      <c r="EH2" s="114"/>
      <c r="EI2" s="114"/>
      <c r="EJ2" s="114"/>
      <c r="EK2" s="114"/>
      <c r="EL2" s="114"/>
      <c r="EM2" s="114"/>
      <c r="EN2" s="114"/>
      <c r="EO2" s="114"/>
      <c r="EP2" s="114"/>
      <c r="EQ2" s="114"/>
      <c r="ER2" s="114"/>
      <c r="ES2" s="114"/>
      <c r="ET2" s="114"/>
      <c r="EU2" s="114"/>
      <c r="EV2" s="114"/>
      <c r="EW2" s="114"/>
      <c r="EX2" s="114"/>
      <c r="EY2" s="114"/>
      <c r="EZ2" s="114"/>
      <c r="FA2" s="114"/>
      <c r="FB2" s="114"/>
      <c r="FC2" s="114"/>
      <c r="FD2" s="114"/>
      <c r="FE2" s="114"/>
      <c r="FF2" s="114"/>
      <c r="FG2" s="114"/>
      <c r="FH2" s="114"/>
      <c r="FI2" s="114"/>
      <c r="FJ2" s="114"/>
      <c r="FK2" s="114"/>
      <c r="FL2" s="114"/>
      <c r="FM2" s="114"/>
      <c r="FN2" s="114"/>
      <c r="FO2" s="114"/>
      <c r="FP2" s="114"/>
      <c r="FQ2" s="114"/>
      <c r="FR2" s="114"/>
      <c r="FS2" s="114"/>
      <c r="FT2" s="114"/>
      <c r="FU2" s="114"/>
      <c r="FV2" s="114"/>
      <c r="FW2" s="114"/>
      <c r="FX2" s="114"/>
      <c r="FY2" s="114"/>
      <c r="FZ2" s="114"/>
      <c r="GA2" s="114"/>
      <c r="GB2" s="114"/>
      <c r="GC2" s="114"/>
      <c r="GD2" s="114"/>
      <c r="GE2" s="114"/>
      <c r="GF2" s="114"/>
      <c r="GG2" s="114"/>
      <c r="GH2" s="114"/>
      <c r="GI2" s="114"/>
      <c r="GJ2" s="114"/>
      <c r="GK2" s="114"/>
      <c r="GL2" s="114"/>
      <c r="GM2" s="114"/>
      <c r="GN2" s="114"/>
      <c r="GO2" s="114"/>
      <c r="GP2" s="114"/>
      <c r="GQ2" s="114"/>
      <c r="GR2" s="114"/>
      <c r="GS2" s="114"/>
      <c r="GT2" s="114"/>
      <c r="GU2" s="114"/>
      <c r="GV2" s="114"/>
      <c r="GW2" s="114"/>
      <c r="GX2" s="114"/>
      <c r="GY2" s="114"/>
      <c r="GZ2" s="114"/>
      <c r="HA2" s="114"/>
      <c r="HB2" s="114"/>
      <c r="HC2" s="114"/>
      <c r="HD2" s="114"/>
      <c r="HE2" s="114"/>
      <c r="HF2" s="114"/>
      <c r="HG2" s="114"/>
      <c r="HH2" s="114"/>
      <c r="HI2" s="114"/>
      <c r="HJ2" s="114"/>
      <c r="HK2" s="114"/>
      <c r="HL2" s="114"/>
      <c r="HM2" s="114"/>
      <c r="HN2" s="114"/>
      <c r="HO2" s="114"/>
      <c r="HP2" s="114"/>
      <c r="HQ2" s="114"/>
      <c r="HR2" s="114"/>
      <c r="HS2" s="114"/>
      <c r="HT2" s="114"/>
      <c r="HU2" s="114"/>
      <c r="HV2" s="114"/>
      <c r="HW2" s="114"/>
      <c r="HX2" s="114"/>
      <c r="HY2" s="114"/>
      <c r="HZ2" s="114"/>
      <c r="IA2" s="114"/>
      <c r="IB2" s="114"/>
      <c r="IC2" s="114"/>
      <c r="ID2" s="114"/>
      <c r="IE2" s="114"/>
      <c r="IF2" s="114"/>
      <c r="IG2" s="114"/>
      <c r="IH2" s="114"/>
      <c r="II2" s="114"/>
      <c r="IJ2" s="114"/>
      <c r="IK2" s="114"/>
      <c r="IL2" s="114"/>
      <c r="IM2" s="114"/>
      <c r="IN2" s="114"/>
      <c r="IO2" s="114"/>
      <c r="IP2" s="114"/>
      <c r="IQ2" s="114"/>
      <c r="IR2" s="114"/>
      <c r="IS2" s="114"/>
      <c r="IT2" s="114"/>
      <c r="IU2" s="114"/>
      <c r="IV2" s="114"/>
      <c r="IW2" s="114"/>
      <c r="IX2" s="114"/>
      <c r="IY2" s="114"/>
      <c r="IZ2" s="114"/>
      <c r="JA2" s="114"/>
      <c r="JB2" s="114"/>
      <c r="JC2" s="114"/>
      <c r="JD2" s="114"/>
      <c r="JE2" s="114"/>
      <c r="JF2" s="114"/>
      <c r="JG2" s="114"/>
      <c r="JH2" s="114"/>
      <c r="JI2" s="114"/>
      <c r="JJ2" s="114"/>
      <c r="JK2" s="114"/>
      <c r="JL2" s="114"/>
      <c r="JM2" s="114"/>
      <c r="JN2" s="114"/>
      <c r="JO2" s="114"/>
      <c r="JP2" s="114"/>
      <c r="JQ2" s="114"/>
      <c r="JR2" s="114"/>
      <c r="JS2" s="114"/>
      <c r="JT2" s="114"/>
      <c r="JU2" s="114"/>
      <c r="JV2" s="114"/>
      <c r="JW2" s="114"/>
      <c r="JX2" s="114"/>
      <c r="JY2" s="114"/>
      <c r="JZ2" s="114"/>
      <c r="KA2" s="114"/>
      <c r="KB2" s="114"/>
      <c r="KC2" s="114"/>
      <c r="KD2" s="114"/>
      <c r="KE2" s="114"/>
      <c r="KF2" s="114"/>
      <c r="KG2" s="114"/>
      <c r="KH2" s="114"/>
      <c r="KI2" s="114"/>
      <c r="KJ2" s="114"/>
      <c r="KK2" s="114"/>
      <c r="KL2" s="114"/>
      <c r="KM2" s="114"/>
      <c r="KN2" s="114"/>
      <c r="KO2" s="114"/>
      <c r="KP2" s="114"/>
      <c r="KQ2" s="114"/>
      <c r="KR2" s="114"/>
      <c r="KS2" s="114"/>
      <c r="KT2" s="114"/>
      <c r="KU2" s="114"/>
      <c r="KV2" s="114"/>
      <c r="KW2" s="114"/>
      <c r="KX2" s="114"/>
      <c r="KY2" s="114"/>
      <c r="KZ2" s="114"/>
      <c r="LA2" s="114"/>
      <c r="LB2" s="114"/>
      <c r="LC2" s="114"/>
      <c r="LD2" s="114"/>
      <c r="LE2" s="114"/>
      <c r="LF2" s="114"/>
      <c r="LG2" s="114"/>
      <c r="LH2" s="114"/>
      <c r="LI2" s="114"/>
      <c r="LJ2" s="114"/>
      <c r="LK2" s="114"/>
      <c r="LL2" s="114"/>
      <c r="LM2" s="114"/>
      <c r="LN2" s="114"/>
      <c r="LO2" s="114"/>
      <c r="LP2" s="114"/>
      <c r="LQ2" s="114"/>
      <c r="LR2" s="114"/>
      <c r="LS2" s="114"/>
      <c r="LT2" s="114"/>
      <c r="LU2" s="114"/>
      <c r="LV2" s="114"/>
      <c r="LW2" s="114"/>
      <c r="LX2" s="114"/>
      <c r="LY2" s="114"/>
      <c r="LZ2" s="114"/>
      <c r="MA2" s="114"/>
      <c r="MB2" s="114"/>
      <c r="MC2" s="114"/>
      <c r="MD2" s="114"/>
      <c r="ME2" s="114"/>
      <c r="MF2" s="114"/>
      <c r="MG2" s="114"/>
      <c r="MH2" s="114"/>
      <c r="MI2" s="114"/>
      <c r="MJ2" s="114"/>
      <c r="MK2" s="114"/>
      <c r="ML2" s="114"/>
      <c r="MM2" s="114"/>
      <c r="MN2" s="114"/>
      <c r="MO2" s="114"/>
      <c r="MP2" s="114"/>
      <c r="MQ2" s="114"/>
      <c r="MR2" s="114"/>
      <c r="MS2" s="114"/>
      <c r="MT2" s="114"/>
      <c r="MU2" s="114"/>
      <c r="MV2" s="114"/>
      <c r="MW2" s="114"/>
      <c r="MX2" s="114"/>
      <c r="MY2" s="114"/>
      <c r="MZ2" s="114"/>
      <c r="NA2" s="114"/>
      <c r="NB2" s="114"/>
      <c r="NC2" s="114"/>
      <c r="ND2" s="114"/>
      <c r="NE2" s="114"/>
      <c r="NF2" s="114"/>
      <c r="NG2" s="114"/>
      <c r="NH2" s="114"/>
      <c r="NI2" s="114"/>
      <c r="NJ2" s="114"/>
      <c r="NK2" s="114"/>
      <c r="NL2" s="114"/>
      <c r="NM2" s="114"/>
      <c r="NN2" s="114"/>
      <c r="NO2" s="114"/>
      <c r="NP2" s="114"/>
      <c r="NQ2" s="114"/>
      <c r="NR2" s="114"/>
      <c r="NS2" s="114"/>
      <c r="NT2" s="114"/>
      <c r="NU2" s="114"/>
      <c r="NV2" s="114"/>
      <c r="NW2" s="114"/>
      <c r="NX2" s="114"/>
      <c r="NY2" s="114"/>
      <c r="NZ2" s="114"/>
      <c r="OA2" s="114"/>
      <c r="OB2" s="114"/>
      <c r="OC2" s="114"/>
      <c r="OD2" s="114"/>
      <c r="OE2" s="114"/>
      <c r="OF2" s="114"/>
      <c r="OG2" s="114"/>
      <c r="OH2" s="114"/>
      <c r="OI2" s="114"/>
      <c r="OJ2" s="114"/>
      <c r="OK2" s="114"/>
      <c r="OL2" s="114"/>
      <c r="OM2" s="114"/>
      <c r="ON2" s="114"/>
      <c r="OO2" s="114"/>
      <c r="OP2" s="114"/>
      <c r="OQ2" s="114"/>
      <c r="OR2" s="114"/>
      <c r="OS2" s="114"/>
      <c r="OT2" s="114"/>
      <c r="OU2" s="114"/>
      <c r="OV2" s="114"/>
      <c r="OW2" s="114"/>
      <c r="OX2" s="114"/>
      <c r="OY2" s="114"/>
      <c r="OZ2" s="114"/>
      <c r="PA2" s="114"/>
      <c r="PB2" s="114"/>
      <c r="PC2" s="114"/>
      <c r="PD2" s="114"/>
      <c r="PE2" s="114"/>
      <c r="PF2" s="114"/>
      <c r="PG2" s="114"/>
      <c r="PH2" s="114"/>
      <c r="PI2" s="114"/>
      <c r="PJ2" s="114"/>
      <c r="PK2" s="114"/>
      <c r="PL2" s="114"/>
      <c r="PM2" s="114"/>
      <c r="PN2" s="114"/>
      <c r="PO2" s="114"/>
      <c r="PP2" s="114"/>
      <c r="PQ2" s="114"/>
      <c r="PR2" s="114"/>
      <c r="PS2" s="114"/>
      <c r="PT2" s="114"/>
      <c r="PU2" s="114"/>
      <c r="PV2" s="114"/>
      <c r="PW2" s="114"/>
      <c r="PX2" s="114"/>
      <c r="PY2" s="114"/>
      <c r="PZ2" s="114"/>
      <c r="QA2" s="114"/>
      <c r="QB2" s="114"/>
      <c r="QC2" s="114"/>
      <c r="QD2" s="114"/>
      <c r="QE2" s="114"/>
      <c r="QF2" s="114"/>
      <c r="QG2" s="114"/>
      <c r="QH2" s="114"/>
      <c r="QI2" s="114"/>
      <c r="QJ2" s="114"/>
      <c r="QK2" s="114"/>
      <c r="QL2" s="114"/>
      <c r="QM2" s="114"/>
      <c r="QN2" s="114"/>
      <c r="QO2" s="114"/>
      <c r="QP2" s="114"/>
      <c r="QQ2" s="114"/>
      <c r="QR2" s="114"/>
      <c r="QS2" s="114"/>
      <c r="QT2" s="114"/>
      <c r="QU2" s="114"/>
      <c r="QV2" s="114"/>
      <c r="QW2" s="114"/>
      <c r="QX2" s="114"/>
      <c r="QY2" s="114"/>
      <c r="QZ2" s="114"/>
      <c r="RA2" s="114"/>
      <c r="RB2" s="114"/>
      <c r="RC2" s="114"/>
      <c r="RD2" s="114"/>
      <c r="RE2" s="114"/>
      <c r="RF2" s="114"/>
      <c r="RG2" s="114"/>
      <c r="RH2" s="114"/>
      <c r="RI2" s="114"/>
      <c r="RJ2" s="114"/>
      <c r="RK2" s="114"/>
      <c r="RL2" s="114"/>
      <c r="RM2" s="114"/>
      <c r="RN2" s="114"/>
      <c r="RO2" s="114"/>
      <c r="RP2" s="114"/>
      <c r="RQ2" s="114"/>
      <c r="RR2" s="114"/>
      <c r="RS2" s="114"/>
      <c r="RT2" s="114"/>
      <c r="RU2" s="114"/>
      <c r="RV2" s="114"/>
      <c r="RW2" s="114"/>
      <c r="RX2" s="114"/>
      <c r="RY2" s="114"/>
      <c r="RZ2" s="114"/>
      <c r="SA2" s="114"/>
      <c r="SB2" s="114"/>
      <c r="SC2" s="114"/>
      <c r="SD2" s="114"/>
      <c r="SE2" s="114"/>
      <c r="SF2" s="114"/>
      <c r="SG2" s="114"/>
      <c r="SH2" s="114"/>
      <c r="SI2" s="114"/>
      <c r="SJ2" s="114"/>
      <c r="SK2" s="114"/>
      <c r="SL2" s="114"/>
      <c r="SM2" s="114"/>
      <c r="SN2" s="114"/>
      <c r="SO2" s="114"/>
      <c r="SP2" s="114"/>
      <c r="SQ2" s="114"/>
      <c r="SR2" s="114"/>
      <c r="SS2" s="114"/>
      <c r="ST2" s="114"/>
      <c r="SU2" s="114"/>
      <c r="SV2" s="114"/>
      <c r="SW2" s="114"/>
      <c r="SX2" s="114"/>
      <c r="SY2" s="114"/>
      <c r="SZ2" s="114"/>
      <c r="TA2" s="114"/>
      <c r="TB2" s="114"/>
      <c r="TC2" s="114"/>
      <c r="TD2" s="114"/>
      <c r="TE2" s="114"/>
      <c r="TF2" s="114"/>
      <c r="TG2" s="114"/>
      <c r="TH2" s="114"/>
      <c r="TI2" s="114"/>
      <c r="TJ2" s="114"/>
      <c r="TK2" s="114"/>
      <c r="TL2" s="114"/>
      <c r="TM2" s="114"/>
      <c r="TN2" s="114"/>
      <c r="TO2" s="114"/>
      <c r="TP2" s="114"/>
      <c r="TQ2" s="114"/>
      <c r="TR2" s="114"/>
      <c r="TS2" s="114"/>
      <c r="TT2" s="114"/>
      <c r="TU2" s="114"/>
      <c r="TV2" s="114"/>
      <c r="TW2" s="114"/>
      <c r="TX2" s="114"/>
      <c r="TY2" s="114"/>
      <c r="TZ2" s="114"/>
      <c r="UA2" s="114"/>
      <c r="UB2" s="114"/>
      <c r="UC2" s="114"/>
      <c r="UD2" s="114"/>
      <c r="UE2" s="114"/>
      <c r="UF2" s="114"/>
      <c r="UG2" s="114"/>
      <c r="UH2" s="114"/>
      <c r="UI2" s="114"/>
      <c r="UJ2" s="114"/>
      <c r="UK2" s="114"/>
      <c r="UL2" s="114"/>
      <c r="UM2" s="114"/>
      <c r="UN2" s="114"/>
      <c r="UO2" s="114"/>
      <c r="UP2" s="114"/>
      <c r="UQ2" s="114"/>
      <c r="UR2" s="114"/>
      <c r="US2" s="114"/>
      <c r="UT2" s="114"/>
      <c r="UU2" s="114"/>
      <c r="UV2" s="114"/>
      <c r="UW2" s="114"/>
      <c r="UX2" s="114"/>
      <c r="UY2" s="114"/>
      <c r="UZ2" s="114"/>
      <c r="VA2" s="114"/>
      <c r="VB2" s="114"/>
      <c r="VC2" s="114"/>
      <c r="VD2" s="114"/>
      <c r="VE2" s="114"/>
      <c r="VF2" s="114"/>
      <c r="VG2" s="114"/>
      <c r="VH2" s="114"/>
      <c r="VI2" s="114"/>
      <c r="VJ2" s="114"/>
      <c r="VK2" s="114"/>
      <c r="VL2" s="114"/>
      <c r="VM2" s="114"/>
      <c r="VN2" s="114"/>
      <c r="VO2" s="114"/>
      <c r="VP2" s="114"/>
      <c r="VQ2" s="114"/>
      <c r="VR2" s="114"/>
      <c r="VS2" s="114"/>
      <c r="VT2" s="114"/>
      <c r="VU2" s="114"/>
      <c r="VV2" s="114"/>
      <c r="VW2" s="114"/>
      <c r="VX2" s="114"/>
      <c r="VY2" s="114"/>
      <c r="VZ2" s="114"/>
      <c r="WA2" s="114"/>
      <c r="WB2" s="114"/>
      <c r="WC2" s="114"/>
      <c r="WD2" s="114"/>
      <c r="WE2" s="114"/>
      <c r="WF2" s="114"/>
      <c r="WG2" s="114"/>
      <c r="WH2" s="114"/>
      <c r="WI2" s="114"/>
      <c r="WJ2" s="114"/>
      <c r="WK2" s="114"/>
      <c r="WL2" s="114"/>
      <c r="WM2" s="114"/>
      <c r="WN2" s="114"/>
      <c r="WO2" s="114"/>
      <c r="WP2" s="114"/>
      <c r="WQ2" s="114"/>
      <c r="WR2" s="114"/>
      <c r="WS2" s="114"/>
      <c r="WT2" s="114"/>
      <c r="WU2" s="114"/>
      <c r="WV2" s="114"/>
      <c r="WW2" s="114"/>
      <c r="WX2" s="114"/>
      <c r="WY2" s="114"/>
      <c r="WZ2" s="114"/>
      <c r="XA2" s="114"/>
      <c r="XB2" s="114"/>
      <c r="XC2" s="114"/>
      <c r="XD2" s="114"/>
      <c r="XE2" s="114"/>
      <c r="XF2" s="114"/>
      <c r="XG2" s="114"/>
      <c r="XH2" s="114"/>
      <c r="XI2" s="114"/>
      <c r="XJ2" s="114"/>
      <c r="XK2" s="114"/>
      <c r="XL2" s="114"/>
      <c r="XM2" s="114"/>
      <c r="XN2" s="114"/>
      <c r="XO2" s="114"/>
      <c r="XP2" s="114"/>
      <c r="XQ2" s="114"/>
      <c r="XR2" s="114"/>
      <c r="XS2" s="114"/>
      <c r="XT2" s="114"/>
      <c r="XU2" s="114"/>
      <c r="XV2" s="114"/>
      <c r="XW2" s="114"/>
      <c r="XX2" s="114"/>
      <c r="XY2" s="114"/>
      <c r="XZ2" s="114"/>
      <c r="YA2" s="114"/>
      <c r="YB2" s="114"/>
      <c r="YC2" s="114"/>
      <c r="YD2" s="114"/>
      <c r="YE2" s="114"/>
      <c r="YF2" s="114"/>
      <c r="YG2" s="114"/>
      <c r="YH2" s="114"/>
      <c r="YI2" s="114"/>
      <c r="YJ2" s="114"/>
      <c r="YK2" s="114"/>
      <c r="YL2" s="114"/>
      <c r="YM2" s="114"/>
      <c r="YN2" s="114"/>
      <c r="YO2" s="114"/>
      <c r="YP2" s="114"/>
      <c r="YQ2" s="114"/>
      <c r="YR2" s="114"/>
      <c r="YS2" s="114"/>
      <c r="YT2" s="114"/>
      <c r="YU2" s="114"/>
      <c r="YV2" s="114"/>
      <c r="YW2" s="114"/>
      <c r="YX2" s="114"/>
      <c r="YY2" s="114"/>
      <c r="YZ2" s="114"/>
      <c r="ZA2" s="114"/>
      <c r="ZB2" s="114"/>
      <c r="ZC2" s="114"/>
      <c r="ZD2" s="114"/>
      <c r="ZE2" s="114"/>
      <c r="ZF2" s="114"/>
      <c r="ZG2" s="114"/>
      <c r="ZH2" s="114"/>
      <c r="ZI2" s="114"/>
      <c r="ZJ2" s="114"/>
      <c r="ZK2" s="114"/>
      <c r="ZL2" s="114"/>
      <c r="ZM2" s="114"/>
      <c r="ZN2" s="114"/>
      <c r="ZO2" s="114"/>
      <c r="ZP2" s="114"/>
      <c r="ZQ2" s="114"/>
      <c r="ZR2" s="114"/>
      <c r="ZS2" s="114"/>
      <c r="ZT2" s="114"/>
      <c r="ZU2" s="114"/>
      <c r="ZV2" s="114"/>
      <c r="ZW2" s="114"/>
      <c r="ZX2" s="114"/>
      <c r="ZY2" s="114"/>
      <c r="ZZ2" s="114"/>
      <c r="AAA2" s="114"/>
      <c r="AAB2" s="114"/>
      <c r="AAC2" s="114"/>
      <c r="AAD2" s="114"/>
      <c r="AAE2" s="114"/>
      <c r="AAF2" s="114"/>
      <c r="AAG2" s="114"/>
      <c r="AAH2" s="114"/>
      <c r="AAI2" s="114"/>
      <c r="AAJ2" s="114"/>
      <c r="AAK2" s="114"/>
      <c r="AAL2" s="114"/>
      <c r="AAM2" s="114"/>
      <c r="AAN2" s="114"/>
      <c r="AAO2" s="114"/>
      <c r="AAP2" s="114"/>
      <c r="AAQ2" s="114"/>
      <c r="AAR2" s="114"/>
      <c r="AAS2" s="114"/>
      <c r="AAT2" s="114"/>
      <c r="AAU2" s="114"/>
      <c r="AAV2" s="114"/>
      <c r="AAW2" s="114"/>
      <c r="AAX2" s="114"/>
      <c r="AAY2" s="114"/>
      <c r="AAZ2" s="114"/>
      <c r="ABA2" s="114"/>
      <c r="ABB2" s="114"/>
      <c r="ABC2" s="114"/>
      <c r="ABD2" s="114"/>
      <c r="ABE2" s="114"/>
      <c r="ABF2" s="114"/>
      <c r="ABG2" s="114"/>
      <c r="ABH2" s="114"/>
      <c r="ABI2" s="114"/>
      <c r="ABJ2" s="114"/>
      <c r="ABK2" s="114"/>
      <c r="ABL2" s="114"/>
      <c r="ABM2" s="114"/>
      <c r="ABN2" s="114"/>
      <c r="ABO2" s="114"/>
      <c r="ABP2" s="114"/>
      <c r="ABQ2" s="114"/>
      <c r="ABR2" s="114"/>
      <c r="ABS2" s="114"/>
      <c r="ABT2" s="114"/>
      <c r="ABU2" s="114"/>
      <c r="ABV2" s="114"/>
      <c r="ABW2" s="114"/>
      <c r="ABX2" s="114"/>
      <c r="ABY2" s="114"/>
      <c r="ABZ2" s="114"/>
      <c r="ACA2" s="114"/>
      <c r="ACB2" s="114"/>
      <c r="ACC2" s="114"/>
      <c r="ACD2" s="114"/>
      <c r="ACE2" s="114"/>
      <c r="ACF2" s="114"/>
      <c r="ACG2" s="114"/>
      <c r="ACH2" s="114"/>
      <c r="ACI2" s="114"/>
      <c r="ACJ2" s="114"/>
      <c r="ACK2" s="114"/>
      <c r="ACL2" s="114"/>
      <c r="ACM2" s="114"/>
      <c r="ACN2" s="114"/>
      <c r="ACO2" s="114"/>
      <c r="ACP2" s="114"/>
      <c r="ACQ2" s="114"/>
      <c r="ACR2" s="114"/>
      <c r="ACS2" s="114"/>
      <c r="ACT2" s="114"/>
      <c r="ACU2" s="114"/>
      <c r="ACV2" s="114"/>
      <c r="ACW2" s="114"/>
      <c r="ACX2" s="114"/>
      <c r="ACY2" s="114"/>
      <c r="ACZ2" s="114"/>
      <c r="ADA2" s="114"/>
      <c r="ADB2" s="114"/>
      <c r="ADC2" s="114"/>
      <c r="ADD2" s="114"/>
      <c r="ADE2" s="114"/>
      <c r="ADF2" s="114"/>
      <c r="ADG2" s="114"/>
      <c r="ADH2" s="114"/>
      <c r="ADI2" s="114"/>
      <c r="ADJ2" s="114"/>
      <c r="ADK2" s="114"/>
      <c r="ADL2" s="114"/>
      <c r="ADM2" s="114"/>
      <c r="ADN2" s="114"/>
      <c r="ADO2" s="114"/>
      <c r="ADP2" s="114"/>
      <c r="ADQ2" s="114"/>
      <c r="ADR2" s="114"/>
      <c r="ADS2" s="114"/>
      <c r="ADT2" s="114"/>
      <c r="ADU2" s="114"/>
      <c r="ADV2" s="114"/>
      <c r="ADW2" s="114"/>
      <c r="ADX2" s="114"/>
      <c r="ADY2" s="114"/>
      <c r="ADZ2" s="114"/>
      <c r="AEA2" s="114"/>
      <c r="AEB2" s="114"/>
      <c r="AEC2" s="114"/>
      <c r="AED2" s="114"/>
      <c r="AEE2" s="114"/>
      <c r="AEF2" s="114"/>
      <c r="AEG2" s="114"/>
      <c r="AEH2" s="114"/>
      <c r="AEI2" s="114"/>
      <c r="AEJ2" s="114"/>
      <c r="AEK2" s="114"/>
      <c r="AEL2" s="114"/>
      <c r="AEM2" s="114"/>
      <c r="AEN2" s="114"/>
      <c r="AEO2" s="114"/>
      <c r="AEP2" s="114"/>
      <c r="AEQ2" s="114"/>
      <c r="AER2" s="114"/>
      <c r="AES2" s="114"/>
      <c r="AET2" s="114"/>
      <c r="AEU2" s="114"/>
      <c r="AEV2" s="114"/>
      <c r="AEW2" s="114"/>
      <c r="AEX2" s="114"/>
      <c r="AEY2" s="114"/>
      <c r="AEZ2" s="114"/>
      <c r="AFA2" s="114"/>
      <c r="AFB2" s="114"/>
      <c r="AFC2" s="114"/>
      <c r="AFD2" s="114"/>
      <c r="AFE2" s="114"/>
      <c r="AFF2" s="114"/>
      <c r="AFG2" s="114"/>
      <c r="AFH2" s="114"/>
      <c r="AFI2" s="114"/>
      <c r="AFJ2" s="114"/>
      <c r="AFK2" s="114"/>
      <c r="AFL2" s="114"/>
      <c r="AFM2" s="114"/>
      <c r="AFN2" s="114"/>
      <c r="AFO2" s="114"/>
      <c r="AFP2" s="114"/>
      <c r="AFQ2" s="114"/>
      <c r="AFR2" s="114"/>
      <c r="AFS2" s="114"/>
      <c r="AFT2" s="114"/>
      <c r="AFU2" s="114"/>
      <c r="AFV2" s="114"/>
      <c r="AFW2" s="114"/>
      <c r="AFX2" s="114"/>
      <c r="AFY2" s="114"/>
      <c r="AFZ2" s="114"/>
      <c r="AGA2" s="114"/>
      <c r="AGB2" s="114"/>
      <c r="AGC2" s="114"/>
      <c r="AGD2" s="114"/>
      <c r="AGE2" s="114"/>
      <c r="AGF2" s="114"/>
      <c r="AGG2" s="114"/>
      <c r="AGH2" s="114"/>
      <c r="AGI2" s="114"/>
      <c r="AGJ2" s="114"/>
      <c r="AGK2" s="114"/>
      <c r="AGL2" s="114"/>
      <c r="AGM2" s="114"/>
      <c r="AGN2" s="114"/>
      <c r="AGO2" s="114"/>
      <c r="AGP2" s="114"/>
      <c r="AGQ2" s="114"/>
      <c r="AGR2" s="114"/>
      <c r="AGS2" s="114"/>
      <c r="AGT2" s="114"/>
      <c r="AGU2" s="114"/>
      <c r="AGV2" s="114"/>
      <c r="AGW2" s="114"/>
      <c r="AGX2" s="114"/>
      <c r="AGY2" s="114"/>
      <c r="AGZ2" s="114"/>
      <c r="AHA2" s="114"/>
      <c r="AHB2" s="114"/>
      <c r="AHC2" s="114"/>
      <c r="AHD2" s="114"/>
      <c r="AHE2" s="114"/>
      <c r="AHF2" s="114"/>
      <c r="AHG2" s="114"/>
      <c r="AHH2" s="114"/>
      <c r="AHI2" s="114"/>
      <c r="AHJ2" s="114"/>
      <c r="AHK2" s="114"/>
      <c r="AHL2" s="114"/>
      <c r="AHM2" s="114"/>
      <c r="AHN2" s="114"/>
      <c r="AHO2" s="114"/>
      <c r="AHP2" s="114"/>
      <c r="AHQ2" s="114"/>
      <c r="AHR2" s="114"/>
      <c r="AHS2" s="114"/>
      <c r="AHT2" s="114"/>
      <c r="AHU2" s="114"/>
      <c r="AHV2" s="114"/>
      <c r="AHW2" s="114"/>
      <c r="AHX2" s="114"/>
      <c r="AHY2" s="114"/>
      <c r="AHZ2" s="114"/>
      <c r="AIA2" s="114"/>
      <c r="AIB2" s="114"/>
      <c r="AIC2" s="114"/>
      <c r="AID2" s="114"/>
      <c r="AIE2" s="114"/>
      <c r="AIF2" s="114"/>
      <c r="AIG2" s="114"/>
      <c r="AIH2" s="114"/>
      <c r="AII2" s="114"/>
      <c r="AIJ2" s="114"/>
      <c r="AIK2" s="114"/>
      <c r="AIL2" s="114"/>
      <c r="AIM2" s="114"/>
      <c r="AIN2" s="114"/>
      <c r="AIO2" s="114"/>
      <c r="AIP2" s="114"/>
      <c r="AIQ2" s="114"/>
      <c r="AIR2" s="114"/>
      <c r="AIS2" s="114"/>
      <c r="AIT2" s="114"/>
      <c r="AIU2" s="114"/>
      <c r="AIV2" s="114"/>
      <c r="AIW2" s="114"/>
      <c r="AIX2" s="114"/>
      <c r="AIY2" s="114"/>
      <c r="AIZ2" s="114"/>
      <c r="AJA2" s="114"/>
      <c r="AJB2" s="114"/>
      <c r="AJC2" s="114"/>
      <c r="AJD2" s="114"/>
      <c r="AJE2" s="114"/>
      <c r="AJF2" s="114"/>
      <c r="AJG2" s="114"/>
      <c r="AJH2" s="114"/>
      <c r="AJI2" s="114"/>
      <c r="AJJ2" s="114"/>
      <c r="AJK2" s="114"/>
      <c r="AJL2" s="114"/>
      <c r="AJM2" s="114"/>
      <c r="AJN2" s="114"/>
      <c r="AJO2" s="114"/>
      <c r="AJP2" s="114"/>
      <c r="AJQ2" s="114"/>
      <c r="AJR2" s="114"/>
      <c r="AJS2" s="114"/>
      <c r="AJT2" s="114"/>
      <c r="AJU2" s="114"/>
      <c r="AJV2" s="114"/>
      <c r="AJW2" s="114"/>
      <c r="AJX2" s="114"/>
      <c r="AJY2" s="114"/>
      <c r="AJZ2" s="114"/>
      <c r="AKA2" s="114"/>
      <c r="AKB2" s="114"/>
      <c r="AKC2" s="114"/>
      <c r="AKD2" s="114"/>
      <c r="AKE2" s="114"/>
      <c r="AKF2" s="114"/>
      <c r="AKG2" s="114"/>
      <c r="AKH2" s="114"/>
      <c r="AKI2" s="114"/>
      <c r="AKJ2" s="114"/>
      <c r="AKK2" s="114"/>
      <c r="AKL2" s="114"/>
    </row>
    <row r="3" spans="1:974" ht="15" customHeight="1" x14ac:dyDescent="0.3">
      <c r="A3" s="116"/>
      <c r="B3" s="117"/>
      <c r="C3" s="462"/>
      <c r="D3" s="118" t="s">
        <v>3057</v>
      </c>
      <c r="E3" s="119">
        <v>180</v>
      </c>
      <c r="F3" s="120">
        <v>31420</v>
      </c>
      <c r="G3" s="121">
        <f t="shared" ref="G3:G32" si="0">E3*F3</f>
        <v>5655600</v>
      </c>
    </row>
    <row r="4" spans="1:974" ht="15" customHeight="1" x14ac:dyDescent="0.3">
      <c r="A4" s="116"/>
      <c r="B4" s="117"/>
      <c r="C4" s="463"/>
      <c r="D4" s="464" t="s">
        <v>2823</v>
      </c>
      <c r="E4" s="465"/>
      <c r="F4" s="466"/>
      <c r="G4" s="127">
        <f>SUM(G2:G3)</f>
        <v>5655600</v>
      </c>
    </row>
    <row r="5" spans="1:974" s="115" customFormat="1" ht="15" customHeight="1" x14ac:dyDescent="0.3">
      <c r="A5" s="103">
        <v>8470230</v>
      </c>
      <c r="B5" s="104">
        <v>425100</v>
      </c>
      <c r="C5" s="461" t="s">
        <v>3059</v>
      </c>
      <c r="D5" s="130" t="s">
        <v>3060</v>
      </c>
      <c r="E5" s="131">
        <v>1</v>
      </c>
      <c r="F5" s="132">
        <v>40000</v>
      </c>
      <c r="G5" s="133">
        <f t="shared" si="0"/>
        <v>40000</v>
      </c>
      <c r="H5" s="114"/>
      <c r="I5" s="114"/>
      <c r="J5" s="114"/>
      <c r="K5" s="114"/>
      <c r="L5" s="114"/>
      <c r="M5" s="114"/>
      <c r="N5" s="114"/>
      <c r="O5" s="114"/>
      <c r="P5" s="114"/>
      <c r="Q5" s="114"/>
      <c r="R5" s="114"/>
      <c r="S5" s="114"/>
      <c r="T5" s="114"/>
      <c r="U5" s="114"/>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4"/>
      <c r="BL5" s="114"/>
      <c r="BM5" s="114"/>
      <c r="BN5" s="114"/>
      <c r="BO5" s="114"/>
      <c r="BP5" s="114"/>
      <c r="BQ5" s="114"/>
      <c r="BR5" s="114"/>
      <c r="BS5" s="114"/>
      <c r="BT5" s="114"/>
      <c r="BU5" s="114"/>
      <c r="BV5" s="114"/>
      <c r="BW5" s="114"/>
      <c r="BX5" s="114"/>
      <c r="BY5" s="114"/>
      <c r="BZ5" s="114"/>
      <c r="CA5" s="114"/>
      <c r="CB5" s="114"/>
      <c r="CC5" s="114"/>
      <c r="CD5" s="114"/>
      <c r="CE5" s="114"/>
      <c r="CF5" s="114"/>
      <c r="CG5" s="114"/>
      <c r="CH5" s="114"/>
      <c r="CI5" s="114"/>
      <c r="CJ5" s="114"/>
      <c r="CK5" s="114"/>
      <c r="CL5" s="114"/>
      <c r="CM5" s="114"/>
      <c r="CN5" s="114"/>
      <c r="CO5" s="114"/>
      <c r="CP5" s="114"/>
      <c r="CQ5" s="114"/>
      <c r="CR5" s="114"/>
      <c r="CS5" s="114"/>
      <c r="CT5" s="114"/>
      <c r="CU5" s="114"/>
      <c r="CV5" s="114"/>
      <c r="CW5" s="114"/>
      <c r="CX5" s="114"/>
      <c r="CY5" s="114"/>
      <c r="CZ5" s="114"/>
      <c r="DA5" s="114"/>
      <c r="DB5" s="114"/>
      <c r="DC5" s="114"/>
      <c r="DD5" s="114"/>
      <c r="DE5" s="114"/>
      <c r="DF5" s="114"/>
      <c r="DG5" s="114"/>
      <c r="DH5" s="114"/>
      <c r="DI5" s="114"/>
      <c r="DJ5" s="114"/>
      <c r="DK5" s="114"/>
      <c r="DL5" s="114"/>
      <c r="DM5" s="114"/>
      <c r="DN5" s="114"/>
      <c r="DO5" s="114"/>
      <c r="DP5" s="114"/>
      <c r="DQ5" s="114"/>
      <c r="DR5" s="114"/>
      <c r="DS5" s="114"/>
      <c r="DT5" s="114"/>
      <c r="DU5" s="114"/>
      <c r="DV5" s="114"/>
      <c r="DW5" s="114"/>
      <c r="DX5" s="114"/>
      <c r="DY5" s="114"/>
      <c r="DZ5" s="114"/>
      <c r="EA5" s="114"/>
      <c r="EB5" s="114"/>
      <c r="EC5" s="114"/>
      <c r="ED5" s="114"/>
      <c r="EE5" s="114"/>
      <c r="EF5" s="114"/>
      <c r="EG5" s="114"/>
      <c r="EH5" s="114"/>
      <c r="EI5" s="114"/>
      <c r="EJ5" s="114"/>
      <c r="EK5" s="114"/>
      <c r="EL5" s="114"/>
      <c r="EM5" s="114"/>
      <c r="EN5" s="114"/>
      <c r="EO5" s="114"/>
      <c r="EP5" s="114"/>
      <c r="EQ5" s="114"/>
      <c r="ER5" s="114"/>
      <c r="ES5" s="114"/>
      <c r="ET5" s="114"/>
      <c r="EU5" s="114"/>
      <c r="EV5" s="114"/>
      <c r="EW5" s="114"/>
      <c r="EX5" s="114"/>
      <c r="EY5" s="114"/>
      <c r="EZ5" s="114"/>
      <c r="FA5" s="114"/>
      <c r="FB5" s="114"/>
      <c r="FC5" s="114"/>
      <c r="FD5" s="114"/>
      <c r="FE5" s="114"/>
      <c r="FF5" s="114"/>
      <c r="FG5" s="114"/>
      <c r="FH5" s="114"/>
      <c r="FI5" s="114"/>
      <c r="FJ5" s="114"/>
      <c r="FK5" s="114"/>
      <c r="FL5" s="114"/>
      <c r="FM5" s="114"/>
      <c r="FN5" s="114"/>
      <c r="FO5" s="114"/>
      <c r="FP5" s="114"/>
      <c r="FQ5" s="114"/>
      <c r="FR5" s="114"/>
      <c r="FS5" s="114"/>
      <c r="FT5" s="114"/>
      <c r="FU5" s="114"/>
      <c r="FV5" s="114"/>
      <c r="FW5" s="114"/>
      <c r="FX5" s="114"/>
      <c r="FY5" s="114"/>
      <c r="FZ5" s="114"/>
      <c r="GA5" s="114"/>
      <c r="GB5" s="114"/>
      <c r="GC5" s="114"/>
      <c r="GD5" s="114"/>
      <c r="GE5" s="114"/>
      <c r="GF5" s="114"/>
      <c r="GG5" s="114"/>
      <c r="GH5" s="114"/>
      <c r="GI5" s="114"/>
      <c r="GJ5" s="114"/>
      <c r="GK5" s="114"/>
      <c r="GL5" s="114"/>
      <c r="GM5" s="114"/>
      <c r="GN5" s="114"/>
      <c r="GO5" s="114"/>
      <c r="GP5" s="114"/>
      <c r="GQ5" s="114"/>
      <c r="GR5" s="114"/>
      <c r="GS5" s="114"/>
      <c r="GT5" s="114"/>
      <c r="GU5" s="114"/>
      <c r="GV5" s="114"/>
      <c r="GW5" s="114"/>
      <c r="GX5" s="114"/>
      <c r="GY5" s="114"/>
      <c r="GZ5" s="114"/>
      <c r="HA5" s="114"/>
      <c r="HB5" s="114"/>
      <c r="HC5" s="114"/>
      <c r="HD5" s="114"/>
      <c r="HE5" s="114"/>
      <c r="HF5" s="114"/>
      <c r="HG5" s="114"/>
      <c r="HH5" s="114"/>
      <c r="HI5" s="114"/>
      <c r="HJ5" s="114"/>
      <c r="HK5" s="114"/>
      <c r="HL5" s="114"/>
      <c r="HM5" s="114"/>
      <c r="HN5" s="114"/>
      <c r="HO5" s="114"/>
      <c r="HP5" s="114"/>
      <c r="HQ5" s="114"/>
      <c r="HR5" s="114"/>
      <c r="HS5" s="114"/>
      <c r="HT5" s="114"/>
      <c r="HU5" s="114"/>
      <c r="HV5" s="114"/>
      <c r="HW5" s="114"/>
      <c r="HX5" s="114"/>
      <c r="HY5" s="114"/>
      <c r="HZ5" s="114"/>
      <c r="IA5" s="114"/>
      <c r="IB5" s="114"/>
      <c r="IC5" s="114"/>
      <c r="ID5" s="114"/>
      <c r="IE5" s="114"/>
      <c r="IF5" s="114"/>
      <c r="IG5" s="114"/>
      <c r="IH5" s="114"/>
      <c r="II5" s="114"/>
      <c r="IJ5" s="114"/>
      <c r="IK5" s="114"/>
      <c r="IL5" s="114"/>
      <c r="IM5" s="114"/>
      <c r="IN5" s="114"/>
      <c r="IO5" s="114"/>
      <c r="IP5" s="114"/>
      <c r="IQ5" s="114"/>
      <c r="IR5" s="114"/>
      <c r="IS5" s="114"/>
      <c r="IT5" s="114"/>
      <c r="IU5" s="114"/>
      <c r="IV5" s="114"/>
      <c r="IW5" s="114"/>
      <c r="IX5" s="114"/>
      <c r="IY5" s="114"/>
      <c r="IZ5" s="114"/>
      <c r="JA5" s="114"/>
      <c r="JB5" s="114"/>
      <c r="JC5" s="114"/>
      <c r="JD5" s="114"/>
      <c r="JE5" s="114"/>
      <c r="JF5" s="114"/>
      <c r="JG5" s="114"/>
      <c r="JH5" s="114"/>
      <c r="JI5" s="114"/>
      <c r="JJ5" s="114"/>
      <c r="JK5" s="114"/>
      <c r="JL5" s="114"/>
      <c r="JM5" s="114"/>
      <c r="JN5" s="114"/>
      <c r="JO5" s="114"/>
      <c r="JP5" s="114"/>
      <c r="JQ5" s="114"/>
      <c r="JR5" s="114"/>
      <c r="JS5" s="114"/>
      <c r="JT5" s="114"/>
      <c r="JU5" s="114"/>
      <c r="JV5" s="114"/>
      <c r="JW5" s="114"/>
      <c r="JX5" s="114"/>
      <c r="JY5" s="114"/>
      <c r="JZ5" s="114"/>
      <c r="KA5" s="114"/>
      <c r="KB5" s="114"/>
      <c r="KC5" s="114"/>
      <c r="KD5" s="114"/>
      <c r="KE5" s="114"/>
      <c r="KF5" s="114"/>
      <c r="KG5" s="114"/>
      <c r="KH5" s="114"/>
      <c r="KI5" s="114"/>
      <c r="KJ5" s="114"/>
      <c r="KK5" s="114"/>
      <c r="KL5" s="114"/>
      <c r="KM5" s="114"/>
      <c r="KN5" s="114"/>
      <c r="KO5" s="114"/>
      <c r="KP5" s="114"/>
      <c r="KQ5" s="114"/>
      <c r="KR5" s="114"/>
      <c r="KS5" s="114"/>
      <c r="KT5" s="114"/>
      <c r="KU5" s="114"/>
      <c r="KV5" s="114"/>
      <c r="KW5" s="114"/>
      <c r="KX5" s="114"/>
      <c r="KY5" s="114"/>
      <c r="KZ5" s="114"/>
      <c r="LA5" s="114"/>
      <c r="LB5" s="114"/>
      <c r="LC5" s="114"/>
      <c r="LD5" s="114"/>
      <c r="LE5" s="114"/>
      <c r="LF5" s="114"/>
      <c r="LG5" s="114"/>
      <c r="LH5" s="114"/>
      <c r="LI5" s="114"/>
      <c r="LJ5" s="114"/>
      <c r="LK5" s="114"/>
      <c r="LL5" s="114"/>
      <c r="LM5" s="114"/>
      <c r="LN5" s="114"/>
      <c r="LO5" s="114"/>
      <c r="LP5" s="114"/>
      <c r="LQ5" s="114"/>
      <c r="LR5" s="114"/>
      <c r="LS5" s="114"/>
      <c r="LT5" s="114"/>
      <c r="LU5" s="114"/>
      <c r="LV5" s="114"/>
      <c r="LW5" s="114"/>
      <c r="LX5" s="114"/>
      <c r="LY5" s="114"/>
      <c r="LZ5" s="114"/>
      <c r="MA5" s="114"/>
      <c r="MB5" s="114"/>
      <c r="MC5" s="114"/>
      <c r="MD5" s="114"/>
      <c r="ME5" s="114"/>
      <c r="MF5" s="114"/>
      <c r="MG5" s="114"/>
      <c r="MH5" s="114"/>
      <c r="MI5" s="114"/>
      <c r="MJ5" s="114"/>
      <c r="MK5" s="114"/>
      <c r="ML5" s="114"/>
      <c r="MM5" s="114"/>
      <c r="MN5" s="114"/>
      <c r="MO5" s="114"/>
      <c r="MP5" s="114"/>
      <c r="MQ5" s="114"/>
      <c r="MR5" s="114"/>
      <c r="MS5" s="114"/>
      <c r="MT5" s="114"/>
      <c r="MU5" s="114"/>
      <c r="MV5" s="114"/>
      <c r="MW5" s="114"/>
      <c r="MX5" s="114"/>
      <c r="MY5" s="114"/>
      <c r="MZ5" s="114"/>
      <c r="NA5" s="114"/>
      <c r="NB5" s="114"/>
      <c r="NC5" s="114"/>
      <c r="ND5" s="114"/>
      <c r="NE5" s="114"/>
      <c r="NF5" s="114"/>
      <c r="NG5" s="114"/>
      <c r="NH5" s="114"/>
      <c r="NI5" s="114"/>
      <c r="NJ5" s="114"/>
      <c r="NK5" s="114"/>
      <c r="NL5" s="114"/>
      <c r="NM5" s="114"/>
      <c r="NN5" s="114"/>
      <c r="NO5" s="114"/>
      <c r="NP5" s="114"/>
      <c r="NQ5" s="114"/>
      <c r="NR5" s="114"/>
      <c r="NS5" s="114"/>
      <c r="NT5" s="114"/>
      <c r="NU5" s="114"/>
      <c r="NV5" s="114"/>
      <c r="NW5" s="114"/>
      <c r="NX5" s="114"/>
      <c r="NY5" s="114"/>
      <c r="NZ5" s="114"/>
      <c r="OA5" s="114"/>
      <c r="OB5" s="114"/>
      <c r="OC5" s="114"/>
      <c r="OD5" s="114"/>
      <c r="OE5" s="114"/>
      <c r="OF5" s="114"/>
      <c r="OG5" s="114"/>
      <c r="OH5" s="114"/>
      <c r="OI5" s="114"/>
      <c r="OJ5" s="114"/>
      <c r="OK5" s="114"/>
      <c r="OL5" s="114"/>
      <c r="OM5" s="114"/>
      <c r="ON5" s="114"/>
      <c r="OO5" s="114"/>
      <c r="OP5" s="114"/>
      <c r="OQ5" s="114"/>
      <c r="OR5" s="114"/>
      <c r="OS5" s="114"/>
      <c r="OT5" s="114"/>
      <c r="OU5" s="114"/>
      <c r="OV5" s="114"/>
      <c r="OW5" s="114"/>
      <c r="OX5" s="114"/>
      <c r="OY5" s="114"/>
      <c r="OZ5" s="114"/>
      <c r="PA5" s="114"/>
      <c r="PB5" s="114"/>
      <c r="PC5" s="114"/>
      <c r="PD5" s="114"/>
      <c r="PE5" s="114"/>
      <c r="PF5" s="114"/>
      <c r="PG5" s="114"/>
      <c r="PH5" s="114"/>
      <c r="PI5" s="114"/>
      <c r="PJ5" s="114"/>
      <c r="PK5" s="114"/>
      <c r="PL5" s="114"/>
      <c r="PM5" s="114"/>
      <c r="PN5" s="114"/>
      <c r="PO5" s="114"/>
      <c r="PP5" s="114"/>
      <c r="PQ5" s="114"/>
      <c r="PR5" s="114"/>
      <c r="PS5" s="114"/>
      <c r="PT5" s="114"/>
      <c r="PU5" s="114"/>
      <c r="PV5" s="114"/>
      <c r="PW5" s="114"/>
      <c r="PX5" s="114"/>
      <c r="PY5" s="114"/>
      <c r="PZ5" s="114"/>
      <c r="QA5" s="114"/>
      <c r="QB5" s="114"/>
      <c r="QC5" s="114"/>
      <c r="QD5" s="114"/>
      <c r="QE5" s="114"/>
      <c r="QF5" s="114"/>
      <c r="QG5" s="114"/>
      <c r="QH5" s="114"/>
      <c r="QI5" s="114"/>
      <c r="QJ5" s="114"/>
      <c r="QK5" s="114"/>
      <c r="QL5" s="114"/>
      <c r="QM5" s="114"/>
      <c r="QN5" s="114"/>
      <c r="QO5" s="114"/>
      <c r="QP5" s="114"/>
      <c r="QQ5" s="114"/>
      <c r="QR5" s="114"/>
      <c r="QS5" s="114"/>
      <c r="QT5" s="114"/>
      <c r="QU5" s="114"/>
      <c r="QV5" s="114"/>
      <c r="QW5" s="114"/>
      <c r="QX5" s="114"/>
      <c r="QY5" s="114"/>
      <c r="QZ5" s="114"/>
      <c r="RA5" s="114"/>
      <c r="RB5" s="114"/>
      <c r="RC5" s="114"/>
      <c r="RD5" s="114"/>
      <c r="RE5" s="114"/>
      <c r="RF5" s="114"/>
      <c r="RG5" s="114"/>
      <c r="RH5" s="114"/>
      <c r="RI5" s="114"/>
      <c r="RJ5" s="114"/>
      <c r="RK5" s="114"/>
      <c r="RL5" s="114"/>
      <c r="RM5" s="114"/>
      <c r="RN5" s="114"/>
      <c r="RO5" s="114"/>
      <c r="RP5" s="114"/>
      <c r="RQ5" s="114"/>
      <c r="RR5" s="114"/>
      <c r="RS5" s="114"/>
      <c r="RT5" s="114"/>
      <c r="RU5" s="114"/>
      <c r="RV5" s="114"/>
      <c r="RW5" s="114"/>
      <c r="RX5" s="114"/>
      <c r="RY5" s="114"/>
      <c r="RZ5" s="114"/>
      <c r="SA5" s="114"/>
      <c r="SB5" s="114"/>
      <c r="SC5" s="114"/>
      <c r="SD5" s="114"/>
      <c r="SE5" s="114"/>
      <c r="SF5" s="114"/>
      <c r="SG5" s="114"/>
      <c r="SH5" s="114"/>
      <c r="SI5" s="114"/>
      <c r="SJ5" s="114"/>
      <c r="SK5" s="114"/>
      <c r="SL5" s="114"/>
      <c r="SM5" s="114"/>
      <c r="SN5" s="114"/>
      <c r="SO5" s="114"/>
      <c r="SP5" s="114"/>
      <c r="SQ5" s="114"/>
      <c r="SR5" s="114"/>
      <c r="SS5" s="114"/>
      <c r="ST5" s="114"/>
      <c r="SU5" s="114"/>
      <c r="SV5" s="114"/>
      <c r="SW5" s="114"/>
      <c r="SX5" s="114"/>
      <c r="SY5" s="114"/>
      <c r="SZ5" s="114"/>
      <c r="TA5" s="114"/>
      <c r="TB5" s="114"/>
      <c r="TC5" s="114"/>
      <c r="TD5" s="114"/>
      <c r="TE5" s="114"/>
      <c r="TF5" s="114"/>
      <c r="TG5" s="114"/>
      <c r="TH5" s="114"/>
      <c r="TI5" s="114"/>
      <c r="TJ5" s="114"/>
      <c r="TK5" s="114"/>
      <c r="TL5" s="114"/>
      <c r="TM5" s="114"/>
      <c r="TN5" s="114"/>
      <c r="TO5" s="114"/>
      <c r="TP5" s="114"/>
      <c r="TQ5" s="114"/>
      <c r="TR5" s="114"/>
      <c r="TS5" s="114"/>
      <c r="TT5" s="114"/>
      <c r="TU5" s="114"/>
      <c r="TV5" s="114"/>
      <c r="TW5" s="114"/>
      <c r="TX5" s="114"/>
      <c r="TY5" s="114"/>
      <c r="TZ5" s="114"/>
      <c r="UA5" s="114"/>
      <c r="UB5" s="114"/>
      <c r="UC5" s="114"/>
      <c r="UD5" s="114"/>
      <c r="UE5" s="114"/>
      <c r="UF5" s="114"/>
      <c r="UG5" s="114"/>
      <c r="UH5" s="114"/>
      <c r="UI5" s="114"/>
      <c r="UJ5" s="114"/>
      <c r="UK5" s="114"/>
      <c r="UL5" s="114"/>
      <c r="UM5" s="114"/>
      <c r="UN5" s="114"/>
      <c r="UO5" s="114"/>
      <c r="UP5" s="114"/>
      <c r="UQ5" s="114"/>
      <c r="UR5" s="114"/>
      <c r="US5" s="114"/>
      <c r="UT5" s="114"/>
      <c r="UU5" s="114"/>
      <c r="UV5" s="114"/>
      <c r="UW5" s="114"/>
      <c r="UX5" s="114"/>
      <c r="UY5" s="114"/>
      <c r="UZ5" s="114"/>
      <c r="VA5" s="114"/>
      <c r="VB5" s="114"/>
      <c r="VC5" s="114"/>
      <c r="VD5" s="114"/>
      <c r="VE5" s="114"/>
      <c r="VF5" s="114"/>
      <c r="VG5" s="114"/>
      <c r="VH5" s="114"/>
      <c r="VI5" s="114"/>
      <c r="VJ5" s="114"/>
      <c r="VK5" s="114"/>
      <c r="VL5" s="114"/>
      <c r="VM5" s="114"/>
      <c r="VN5" s="114"/>
      <c r="VO5" s="114"/>
      <c r="VP5" s="114"/>
      <c r="VQ5" s="114"/>
      <c r="VR5" s="114"/>
      <c r="VS5" s="114"/>
      <c r="VT5" s="114"/>
      <c r="VU5" s="114"/>
      <c r="VV5" s="114"/>
      <c r="VW5" s="114"/>
      <c r="VX5" s="114"/>
      <c r="VY5" s="114"/>
      <c r="VZ5" s="114"/>
      <c r="WA5" s="114"/>
      <c r="WB5" s="114"/>
      <c r="WC5" s="114"/>
      <c r="WD5" s="114"/>
      <c r="WE5" s="114"/>
      <c r="WF5" s="114"/>
      <c r="WG5" s="114"/>
      <c r="WH5" s="114"/>
      <c r="WI5" s="114"/>
      <c r="WJ5" s="114"/>
      <c r="WK5" s="114"/>
      <c r="WL5" s="114"/>
      <c r="WM5" s="114"/>
      <c r="WN5" s="114"/>
      <c r="WO5" s="114"/>
      <c r="WP5" s="114"/>
      <c r="WQ5" s="114"/>
      <c r="WR5" s="114"/>
      <c r="WS5" s="114"/>
      <c r="WT5" s="114"/>
      <c r="WU5" s="114"/>
      <c r="WV5" s="114"/>
      <c r="WW5" s="114"/>
      <c r="WX5" s="114"/>
      <c r="WY5" s="114"/>
      <c r="WZ5" s="114"/>
      <c r="XA5" s="114"/>
      <c r="XB5" s="114"/>
      <c r="XC5" s="114"/>
      <c r="XD5" s="114"/>
      <c r="XE5" s="114"/>
      <c r="XF5" s="114"/>
      <c r="XG5" s="114"/>
      <c r="XH5" s="114"/>
      <c r="XI5" s="114"/>
      <c r="XJ5" s="114"/>
      <c r="XK5" s="114"/>
      <c r="XL5" s="114"/>
      <c r="XM5" s="114"/>
      <c r="XN5" s="114"/>
      <c r="XO5" s="114"/>
      <c r="XP5" s="114"/>
      <c r="XQ5" s="114"/>
      <c r="XR5" s="114"/>
      <c r="XS5" s="114"/>
      <c r="XT5" s="114"/>
      <c r="XU5" s="114"/>
      <c r="XV5" s="114"/>
      <c r="XW5" s="114"/>
      <c r="XX5" s="114"/>
      <c r="XY5" s="114"/>
      <c r="XZ5" s="114"/>
      <c r="YA5" s="114"/>
      <c r="YB5" s="114"/>
      <c r="YC5" s="114"/>
      <c r="YD5" s="114"/>
      <c r="YE5" s="114"/>
      <c r="YF5" s="114"/>
      <c r="YG5" s="114"/>
      <c r="YH5" s="114"/>
      <c r="YI5" s="114"/>
      <c r="YJ5" s="114"/>
      <c r="YK5" s="114"/>
      <c r="YL5" s="114"/>
      <c r="YM5" s="114"/>
      <c r="YN5" s="114"/>
      <c r="YO5" s="114"/>
      <c r="YP5" s="114"/>
      <c r="YQ5" s="114"/>
      <c r="YR5" s="114"/>
      <c r="YS5" s="114"/>
      <c r="YT5" s="114"/>
      <c r="YU5" s="114"/>
      <c r="YV5" s="114"/>
      <c r="YW5" s="114"/>
      <c r="YX5" s="114"/>
      <c r="YY5" s="114"/>
      <c r="YZ5" s="114"/>
      <c r="ZA5" s="114"/>
      <c r="ZB5" s="114"/>
      <c r="ZC5" s="114"/>
      <c r="ZD5" s="114"/>
      <c r="ZE5" s="114"/>
      <c r="ZF5" s="114"/>
      <c r="ZG5" s="114"/>
      <c r="ZH5" s="114"/>
      <c r="ZI5" s="114"/>
      <c r="ZJ5" s="114"/>
      <c r="ZK5" s="114"/>
      <c r="ZL5" s="114"/>
      <c r="ZM5" s="114"/>
      <c r="ZN5" s="114"/>
      <c r="ZO5" s="114"/>
      <c r="ZP5" s="114"/>
      <c r="ZQ5" s="114"/>
      <c r="ZR5" s="114"/>
      <c r="ZS5" s="114"/>
      <c r="ZT5" s="114"/>
      <c r="ZU5" s="114"/>
      <c r="ZV5" s="114"/>
      <c r="ZW5" s="114"/>
      <c r="ZX5" s="114"/>
      <c r="ZY5" s="114"/>
      <c r="ZZ5" s="114"/>
      <c r="AAA5" s="114"/>
      <c r="AAB5" s="114"/>
      <c r="AAC5" s="114"/>
      <c r="AAD5" s="114"/>
      <c r="AAE5" s="114"/>
      <c r="AAF5" s="114"/>
      <c r="AAG5" s="114"/>
      <c r="AAH5" s="114"/>
      <c r="AAI5" s="114"/>
      <c r="AAJ5" s="114"/>
      <c r="AAK5" s="114"/>
      <c r="AAL5" s="114"/>
      <c r="AAM5" s="114"/>
      <c r="AAN5" s="114"/>
      <c r="AAO5" s="114"/>
      <c r="AAP5" s="114"/>
      <c r="AAQ5" s="114"/>
      <c r="AAR5" s="114"/>
      <c r="AAS5" s="114"/>
      <c r="AAT5" s="114"/>
      <c r="AAU5" s="114"/>
      <c r="AAV5" s="114"/>
      <c r="AAW5" s="114"/>
      <c r="AAX5" s="114"/>
      <c r="AAY5" s="114"/>
      <c r="AAZ5" s="114"/>
      <c r="ABA5" s="114"/>
      <c r="ABB5" s="114"/>
      <c r="ABC5" s="114"/>
      <c r="ABD5" s="114"/>
      <c r="ABE5" s="114"/>
      <c r="ABF5" s="114"/>
      <c r="ABG5" s="114"/>
      <c r="ABH5" s="114"/>
      <c r="ABI5" s="114"/>
      <c r="ABJ5" s="114"/>
      <c r="ABK5" s="114"/>
      <c r="ABL5" s="114"/>
      <c r="ABM5" s="114"/>
      <c r="ABN5" s="114"/>
      <c r="ABO5" s="114"/>
      <c r="ABP5" s="114"/>
      <c r="ABQ5" s="114"/>
      <c r="ABR5" s="114"/>
      <c r="ABS5" s="114"/>
      <c r="ABT5" s="114"/>
      <c r="ABU5" s="114"/>
      <c r="ABV5" s="114"/>
      <c r="ABW5" s="114"/>
      <c r="ABX5" s="114"/>
      <c r="ABY5" s="114"/>
      <c r="ABZ5" s="114"/>
      <c r="ACA5" s="114"/>
      <c r="ACB5" s="114"/>
      <c r="ACC5" s="114"/>
      <c r="ACD5" s="114"/>
      <c r="ACE5" s="114"/>
      <c r="ACF5" s="114"/>
      <c r="ACG5" s="114"/>
      <c r="ACH5" s="114"/>
      <c r="ACI5" s="114"/>
      <c r="ACJ5" s="114"/>
      <c r="ACK5" s="114"/>
      <c r="ACL5" s="114"/>
      <c r="ACM5" s="114"/>
      <c r="ACN5" s="114"/>
      <c r="ACO5" s="114"/>
      <c r="ACP5" s="114"/>
      <c r="ACQ5" s="114"/>
      <c r="ACR5" s="114"/>
      <c r="ACS5" s="114"/>
      <c r="ACT5" s="114"/>
      <c r="ACU5" s="114"/>
      <c r="ACV5" s="114"/>
      <c r="ACW5" s="114"/>
      <c r="ACX5" s="114"/>
      <c r="ACY5" s="114"/>
      <c r="ACZ5" s="114"/>
      <c r="ADA5" s="114"/>
      <c r="ADB5" s="114"/>
      <c r="ADC5" s="114"/>
      <c r="ADD5" s="114"/>
      <c r="ADE5" s="114"/>
      <c r="ADF5" s="114"/>
      <c r="ADG5" s="114"/>
      <c r="ADH5" s="114"/>
      <c r="ADI5" s="114"/>
      <c r="ADJ5" s="114"/>
      <c r="ADK5" s="114"/>
      <c r="ADL5" s="114"/>
      <c r="ADM5" s="114"/>
      <c r="ADN5" s="114"/>
      <c r="ADO5" s="114"/>
      <c r="ADP5" s="114"/>
      <c r="ADQ5" s="114"/>
      <c r="ADR5" s="114"/>
      <c r="ADS5" s="114"/>
      <c r="ADT5" s="114"/>
      <c r="ADU5" s="114"/>
      <c r="ADV5" s="114"/>
      <c r="ADW5" s="114"/>
      <c r="ADX5" s="114"/>
      <c r="ADY5" s="114"/>
      <c r="ADZ5" s="114"/>
      <c r="AEA5" s="114"/>
      <c r="AEB5" s="114"/>
      <c r="AEC5" s="114"/>
      <c r="AED5" s="114"/>
      <c r="AEE5" s="114"/>
      <c r="AEF5" s="114"/>
      <c r="AEG5" s="114"/>
      <c r="AEH5" s="114"/>
      <c r="AEI5" s="114"/>
      <c r="AEJ5" s="114"/>
      <c r="AEK5" s="114"/>
      <c r="AEL5" s="114"/>
      <c r="AEM5" s="114"/>
      <c r="AEN5" s="114"/>
      <c r="AEO5" s="114"/>
      <c r="AEP5" s="114"/>
      <c r="AEQ5" s="114"/>
      <c r="AER5" s="114"/>
      <c r="AES5" s="114"/>
      <c r="AET5" s="114"/>
      <c r="AEU5" s="114"/>
      <c r="AEV5" s="114"/>
      <c r="AEW5" s="114"/>
      <c r="AEX5" s="114"/>
      <c r="AEY5" s="114"/>
      <c r="AEZ5" s="114"/>
      <c r="AFA5" s="114"/>
      <c r="AFB5" s="114"/>
      <c r="AFC5" s="114"/>
      <c r="AFD5" s="114"/>
      <c r="AFE5" s="114"/>
      <c r="AFF5" s="114"/>
      <c r="AFG5" s="114"/>
      <c r="AFH5" s="114"/>
      <c r="AFI5" s="114"/>
      <c r="AFJ5" s="114"/>
      <c r="AFK5" s="114"/>
      <c r="AFL5" s="114"/>
      <c r="AFM5" s="114"/>
      <c r="AFN5" s="114"/>
      <c r="AFO5" s="114"/>
      <c r="AFP5" s="114"/>
      <c r="AFQ5" s="114"/>
      <c r="AFR5" s="114"/>
      <c r="AFS5" s="114"/>
      <c r="AFT5" s="114"/>
      <c r="AFU5" s="114"/>
      <c r="AFV5" s="114"/>
      <c r="AFW5" s="114"/>
      <c r="AFX5" s="114"/>
      <c r="AFY5" s="114"/>
      <c r="AFZ5" s="114"/>
      <c r="AGA5" s="114"/>
      <c r="AGB5" s="114"/>
      <c r="AGC5" s="114"/>
      <c r="AGD5" s="114"/>
      <c r="AGE5" s="114"/>
      <c r="AGF5" s="114"/>
      <c r="AGG5" s="114"/>
      <c r="AGH5" s="114"/>
      <c r="AGI5" s="114"/>
      <c r="AGJ5" s="114"/>
      <c r="AGK5" s="114"/>
      <c r="AGL5" s="114"/>
      <c r="AGM5" s="114"/>
      <c r="AGN5" s="114"/>
      <c r="AGO5" s="114"/>
      <c r="AGP5" s="114"/>
      <c r="AGQ5" s="114"/>
      <c r="AGR5" s="114"/>
      <c r="AGS5" s="114"/>
      <c r="AGT5" s="114"/>
      <c r="AGU5" s="114"/>
      <c r="AGV5" s="114"/>
      <c r="AGW5" s="114"/>
      <c r="AGX5" s="114"/>
      <c r="AGY5" s="114"/>
      <c r="AGZ5" s="114"/>
      <c r="AHA5" s="114"/>
      <c r="AHB5" s="114"/>
      <c r="AHC5" s="114"/>
      <c r="AHD5" s="114"/>
      <c r="AHE5" s="114"/>
      <c r="AHF5" s="114"/>
      <c r="AHG5" s="114"/>
      <c r="AHH5" s="114"/>
      <c r="AHI5" s="114"/>
      <c r="AHJ5" s="114"/>
      <c r="AHK5" s="114"/>
      <c r="AHL5" s="114"/>
      <c r="AHM5" s="114"/>
      <c r="AHN5" s="114"/>
      <c r="AHO5" s="114"/>
      <c r="AHP5" s="114"/>
      <c r="AHQ5" s="114"/>
      <c r="AHR5" s="114"/>
      <c r="AHS5" s="114"/>
      <c r="AHT5" s="114"/>
      <c r="AHU5" s="114"/>
      <c r="AHV5" s="114"/>
      <c r="AHW5" s="114"/>
      <c r="AHX5" s="114"/>
      <c r="AHY5" s="114"/>
      <c r="AHZ5" s="114"/>
      <c r="AIA5" s="114"/>
      <c r="AIB5" s="114"/>
      <c r="AIC5" s="114"/>
      <c r="AID5" s="114"/>
      <c r="AIE5" s="114"/>
      <c r="AIF5" s="114"/>
      <c r="AIG5" s="114"/>
      <c r="AIH5" s="114"/>
      <c r="AII5" s="114"/>
      <c r="AIJ5" s="114"/>
      <c r="AIK5" s="114"/>
      <c r="AIL5" s="114"/>
      <c r="AIM5" s="114"/>
      <c r="AIN5" s="114"/>
      <c r="AIO5" s="114"/>
      <c r="AIP5" s="114"/>
      <c r="AIQ5" s="114"/>
      <c r="AIR5" s="114"/>
      <c r="AIS5" s="114"/>
      <c r="AIT5" s="114"/>
      <c r="AIU5" s="114"/>
      <c r="AIV5" s="114"/>
      <c r="AIW5" s="114"/>
      <c r="AIX5" s="114"/>
      <c r="AIY5" s="114"/>
      <c r="AIZ5" s="114"/>
      <c r="AJA5" s="114"/>
      <c r="AJB5" s="114"/>
      <c r="AJC5" s="114"/>
      <c r="AJD5" s="114"/>
      <c r="AJE5" s="114"/>
      <c r="AJF5" s="114"/>
      <c r="AJG5" s="114"/>
      <c r="AJH5" s="114"/>
      <c r="AJI5" s="114"/>
      <c r="AJJ5" s="114"/>
      <c r="AJK5" s="114"/>
      <c r="AJL5" s="114"/>
      <c r="AJM5" s="114"/>
      <c r="AJN5" s="114"/>
      <c r="AJO5" s="114"/>
      <c r="AJP5" s="114"/>
      <c r="AJQ5" s="114"/>
      <c r="AJR5" s="114"/>
      <c r="AJS5" s="114"/>
      <c r="AJT5" s="114"/>
      <c r="AJU5" s="114"/>
      <c r="AJV5" s="114"/>
      <c r="AJW5" s="114"/>
      <c r="AJX5" s="114"/>
      <c r="AJY5" s="114"/>
      <c r="AJZ5" s="114"/>
      <c r="AKA5" s="114"/>
      <c r="AKB5" s="114"/>
      <c r="AKC5" s="114"/>
      <c r="AKD5" s="114"/>
      <c r="AKE5" s="114"/>
      <c r="AKF5" s="114"/>
      <c r="AKG5" s="114"/>
      <c r="AKH5" s="114"/>
      <c r="AKI5" s="114"/>
      <c r="AKJ5" s="114"/>
      <c r="AKK5" s="114"/>
      <c r="AKL5" s="114"/>
    </row>
    <row r="6" spans="1:974" s="115" customFormat="1" ht="15" customHeight="1" x14ac:dyDescent="0.3">
      <c r="A6" s="116"/>
      <c r="B6" s="117"/>
      <c r="C6" s="462"/>
      <c r="D6" s="138" t="s">
        <v>3061</v>
      </c>
      <c r="E6" s="139">
        <v>1</v>
      </c>
      <c r="F6" s="140">
        <v>30000</v>
      </c>
      <c r="G6" s="141">
        <f t="shared" si="0"/>
        <v>30000</v>
      </c>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c r="BQ6" s="114"/>
      <c r="BR6" s="114"/>
      <c r="BS6" s="114"/>
      <c r="BT6" s="114"/>
      <c r="BU6" s="114"/>
      <c r="BV6" s="114"/>
      <c r="BW6" s="114"/>
      <c r="BX6" s="114"/>
      <c r="BY6" s="114"/>
      <c r="BZ6" s="114"/>
      <c r="CA6" s="114"/>
      <c r="CB6" s="114"/>
      <c r="CC6" s="114"/>
      <c r="CD6" s="114"/>
      <c r="CE6" s="114"/>
      <c r="CF6" s="114"/>
      <c r="CG6" s="114"/>
      <c r="CH6" s="114"/>
      <c r="CI6" s="114"/>
      <c r="CJ6" s="114"/>
      <c r="CK6" s="114"/>
      <c r="CL6" s="114"/>
      <c r="CM6" s="114"/>
      <c r="CN6" s="114"/>
      <c r="CO6" s="114"/>
      <c r="CP6" s="114"/>
      <c r="CQ6" s="114"/>
      <c r="CR6" s="114"/>
      <c r="CS6" s="114"/>
      <c r="CT6" s="114"/>
      <c r="CU6" s="114"/>
      <c r="CV6" s="114"/>
      <c r="CW6" s="114"/>
      <c r="CX6" s="114"/>
      <c r="CY6" s="114"/>
      <c r="CZ6" s="114"/>
      <c r="DA6" s="114"/>
      <c r="DB6" s="114"/>
      <c r="DC6" s="114"/>
      <c r="DD6" s="114"/>
      <c r="DE6" s="114"/>
      <c r="DF6" s="114"/>
      <c r="DG6" s="114"/>
      <c r="DH6" s="114"/>
      <c r="DI6" s="114"/>
      <c r="DJ6" s="114"/>
      <c r="DK6" s="114"/>
      <c r="DL6" s="114"/>
      <c r="DM6" s="114"/>
      <c r="DN6" s="114"/>
      <c r="DO6" s="114"/>
      <c r="DP6" s="114"/>
      <c r="DQ6" s="114"/>
      <c r="DR6" s="114"/>
      <c r="DS6" s="114"/>
      <c r="DT6" s="114"/>
      <c r="DU6" s="114"/>
      <c r="DV6" s="114"/>
      <c r="DW6" s="114"/>
      <c r="DX6" s="114"/>
      <c r="DY6" s="114"/>
      <c r="DZ6" s="114"/>
      <c r="EA6" s="114"/>
      <c r="EB6" s="114"/>
      <c r="EC6" s="114"/>
      <c r="ED6" s="114"/>
      <c r="EE6" s="114"/>
      <c r="EF6" s="114"/>
      <c r="EG6" s="114"/>
      <c r="EH6" s="114"/>
      <c r="EI6" s="114"/>
      <c r="EJ6" s="114"/>
      <c r="EK6" s="114"/>
      <c r="EL6" s="114"/>
      <c r="EM6" s="114"/>
      <c r="EN6" s="114"/>
      <c r="EO6" s="114"/>
      <c r="EP6" s="114"/>
      <c r="EQ6" s="114"/>
      <c r="ER6" s="114"/>
      <c r="ES6" s="114"/>
      <c r="ET6" s="114"/>
      <c r="EU6" s="114"/>
      <c r="EV6" s="114"/>
      <c r="EW6" s="114"/>
      <c r="EX6" s="114"/>
      <c r="EY6" s="114"/>
      <c r="EZ6" s="114"/>
      <c r="FA6" s="114"/>
      <c r="FB6" s="114"/>
      <c r="FC6" s="114"/>
      <c r="FD6" s="114"/>
      <c r="FE6" s="114"/>
      <c r="FF6" s="114"/>
      <c r="FG6" s="114"/>
      <c r="FH6" s="114"/>
      <c r="FI6" s="114"/>
      <c r="FJ6" s="114"/>
      <c r="FK6" s="114"/>
      <c r="FL6" s="114"/>
      <c r="FM6" s="114"/>
      <c r="FN6" s="114"/>
      <c r="FO6" s="114"/>
      <c r="FP6" s="114"/>
      <c r="FQ6" s="114"/>
      <c r="FR6" s="114"/>
      <c r="FS6" s="114"/>
      <c r="FT6" s="114"/>
      <c r="FU6" s="114"/>
      <c r="FV6" s="114"/>
      <c r="FW6" s="114"/>
      <c r="FX6" s="114"/>
      <c r="FY6" s="114"/>
      <c r="FZ6" s="114"/>
      <c r="GA6" s="114"/>
      <c r="GB6" s="114"/>
      <c r="GC6" s="114"/>
      <c r="GD6" s="114"/>
      <c r="GE6" s="114"/>
      <c r="GF6" s="114"/>
      <c r="GG6" s="114"/>
      <c r="GH6" s="114"/>
      <c r="GI6" s="114"/>
      <c r="GJ6" s="114"/>
      <c r="GK6" s="114"/>
      <c r="GL6" s="114"/>
      <c r="GM6" s="114"/>
      <c r="GN6" s="114"/>
      <c r="GO6" s="114"/>
      <c r="GP6" s="114"/>
      <c r="GQ6" s="114"/>
      <c r="GR6" s="114"/>
      <c r="GS6" s="114"/>
      <c r="GT6" s="114"/>
      <c r="GU6" s="114"/>
      <c r="GV6" s="114"/>
      <c r="GW6" s="114"/>
      <c r="GX6" s="114"/>
      <c r="GY6" s="114"/>
      <c r="GZ6" s="114"/>
      <c r="HA6" s="114"/>
      <c r="HB6" s="114"/>
      <c r="HC6" s="114"/>
      <c r="HD6" s="114"/>
      <c r="HE6" s="114"/>
      <c r="HF6" s="114"/>
      <c r="HG6" s="114"/>
      <c r="HH6" s="114"/>
      <c r="HI6" s="114"/>
      <c r="HJ6" s="114"/>
      <c r="HK6" s="114"/>
      <c r="HL6" s="114"/>
      <c r="HM6" s="114"/>
      <c r="HN6" s="114"/>
      <c r="HO6" s="114"/>
      <c r="HP6" s="114"/>
      <c r="HQ6" s="114"/>
      <c r="HR6" s="114"/>
      <c r="HS6" s="114"/>
      <c r="HT6" s="114"/>
      <c r="HU6" s="114"/>
      <c r="HV6" s="114"/>
      <c r="HW6" s="114"/>
      <c r="HX6" s="114"/>
      <c r="HY6" s="114"/>
      <c r="HZ6" s="114"/>
      <c r="IA6" s="114"/>
      <c r="IB6" s="114"/>
      <c r="IC6" s="114"/>
      <c r="ID6" s="114"/>
      <c r="IE6" s="114"/>
      <c r="IF6" s="114"/>
      <c r="IG6" s="114"/>
      <c r="IH6" s="114"/>
      <c r="II6" s="114"/>
      <c r="IJ6" s="114"/>
      <c r="IK6" s="114"/>
      <c r="IL6" s="114"/>
      <c r="IM6" s="114"/>
      <c r="IN6" s="114"/>
      <c r="IO6" s="114"/>
      <c r="IP6" s="114"/>
      <c r="IQ6" s="114"/>
      <c r="IR6" s="114"/>
      <c r="IS6" s="114"/>
      <c r="IT6" s="114"/>
      <c r="IU6" s="114"/>
      <c r="IV6" s="114"/>
      <c r="IW6" s="114"/>
      <c r="IX6" s="114"/>
      <c r="IY6" s="114"/>
      <c r="IZ6" s="114"/>
      <c r="JA6" s="114"/>
      <c r="JB6" s="114"/>
      <c r="JC6" s="114"/>
      <c r="JD6" s="114"/>
      <c r="JE6" s="114"/>
      <c r="JF6" s="114"/>
      <c r="JG6" s="114"/>
      <c r="JH6" s="114"/>
      <c r="JI6" s="114"/>
      <c r="JJ6" s="114"/>
      <c r="JK6" s="114"/>
      <c r="JL6" s="114"/>
      <c r="JM6" s="114"/>
      <c r="JN6" s="114"/>
      <c r="JO6" s="114"/>
      <c r="JP6" s="114"/>
      <c r="JQ6" s="114"/>
      <c r="JR6" s="114"/>
      <c r="JS6" s="114"/>
      <c r="JT6" s="114"/>
      <c r="JU6" s="114"/>
      <c r="JV6" s="114"/>
      <c r="JW6" s="114"/>
      <c r="JX6" s="114"/>
      <c r="JY6" s="114"/>
      <c r="JZ6" s="114"/>
      <c r="KA6" s="114"/>
      <c r="KB6" s="114"/>
      <c r="KC6" s="114"/>
      <c r="KD6" s="114"/>
      <c r="KE6" s="114"/>
      <c r="KF6" s="114"/>
      <c r="KG6" s="114"/>
      <c r="KH6" s="114"/>
      <c r="KI6" s="114"/>
      <c r="KJ6" s="114"/>
      <c r="KK6" s="114"/>
      <c r="KL6" s="114"/>
      <c r="KM6" s="114"/>
      <c r="KN6" s="114"/>
      <c r="KO6" s="114"/>
      <c r="KP6" s="114"/>
      <c r="KQ6" s="114"/>
      <c r="KR6" s="114"/>
      <c r="KS6" s="114"/>
      <c r="KT6" s="114"/>
      <c r="KU6" s="114"/>
      <c r="KV6" s="114"/>
      <c r="KW6" s="114"/>
      <c r="KX6" s="114"/>
      <c r="KY6" s="114"/>
      <c r="KZ6" s="114"/>
      <c r="LA6" s="114"/>
      <c r="LB6" s="114"/>
      <c r="LC6" s="114"/>
      <c r="LD6" s="114"/>
      <c r="LE6" s="114"/>
      <c r="LF6" s="114"/>
      <c r="LG6" s="114"/>
      <c r="LH6" s="114"/>
      <c r="LI6" s="114"/>
      <c r="LJ6" s="114"/>
      <c r="LK6" s="114"/>
      <c r="LL6" s="114"/>
      <c r="LM6" s="114"/>
      <c r="LN6" s="114"/>
      <c r="LO6" s="114"/>
      <c r="LP6" s="114"/>
      <c r="LQ6" s="114"/>
      <c r="LR6" s="114"/>
      <c r="LS6" s="114"/>
      <c r="LT6" s="114"/>
      <c r="LU6" s="114"/>
      <c r="LV6" s="114"/>
      <c r="LW6" s="114"/>
      <c r="LX6" s="114"/>
      <c r="LY6" s="114"/>
      <c r="LZ6" s="114"/>
      <c r="MA6" s="114"/>
      <c r="MB6" s="114"/>
      <c r="MC6" s="114"/>
      <c r="MD6" s="114"/>
      <c r="ME6" s="114"/>
      <c r="MF6" s="114"/>
      <c r="MG6" s="114"/>
      <c r="MH6" s="114"/>
      <c r="MI6" s="114"/>
      <c r="MJ6" s="114"/>
      <c r="MK6" s="114"/>
      <c r="ML6" s="114"/>
      <c r="MM6" s="114"/>
      <c r="MN6" s="114"/>
      <c r="MO6" s="114"/>
      <c r="MP6" s="114"/>
      <c r="MQ6" s="114"/>
      <c r="MR6" s="114"/>
      <c r="MS6" s="114"/>
      <c r="MT6" s="114"/>
      <c r="MU6" s="114"/>
      <c r="MV6" s="114"/>
      <c r="MW6" s="114"/>
      <c r="MX6" s="114"/>
      <c r="MY6" s="114"/>
      <c r="MZ6" s="114"/>
      <c r="NA6" s="114"/>
      <c r="NB6" s="114"/>
      <c r="NC6" s="114"/>
      <c r="ND6" s="114"/>
      <c r="NE6" s="114"/>
      <c r="NF6" s="114"/>
      <c r="NG6" s="114"/>
      <c r="NH6" s="114"/>
      <c r="NI6" s="114"/>
      <c r="NJ6" s="114"/>
      <c r="NK6" s="114"/>
      <c r="NL6" s="114"/>
      <c r="NM6" s="114"/>
      <c r="NN6" s="114"/>
      <c r="NO6" s="114"/>
      <c r="NP6" s="114"/>
      <c r="NQ6" s="114"/>
      <c r="NR6" s="114"/>
      <c r="NS6" s="114"/>
      <c r="NT6" s="114"/>
      <c r="NU6" s="114"/>
      <c r="NV6" s="114"/>
      <c r="NW6" s="114"/>
      <c r="NX6" s="114"/>
      <c r="NY6" s="114"/>
      <c r="NZ6" s="114"/>
      <c r="OA6" s="114"/>
      <c r="OB6" s="114"/>
      <c r="OC6" s="114"/>
      <c r="OD6" s="114"/>
      <c r="OE6" s="114"/>
      <c r="OF6" s="114"/>
      <c r="OG6" s="114"/>
      <c r="OH6" s="114"/>
      <c r="OI6" s="114"/>
      <c r="OJ6" s="114"/>
      <c r="OK6" s="114"/>
      <c r="OL6" s="114"/>
      <c r="OM6" s="114"/>
      <c r="ON6" s="114"/>
      <c r="OO6" s="114"/>
      <c r="OP6" s="114"/>
      <c r="OQ6" s="114"/>
      <c r="OR6" s="114"/>
      <c r="OS6" s="114"/>
      <c r="OT6" s="114"/>
      <c r="OU6" s="114"/>
      <c r="OV6" s="114"/>
      <c r="OW6" s="114"/>
      <c r="OX6" s="114"/>
      <c r="OY6" s="114"/>
      <c r="OZ6" s="114"/>
      <c r="PA6" s="114"/>
      <c r="PB6" s="114"/>
      <c r="PC6" s="114"/>
      <c r="PD6" s="114"/>
      <c r="PE6" s="114"/>
      <c r="PF6" s="114"/>
      <c r="PG6" s="114"/>
      <c r="PH6" s="114"/>
      <c r="PI6" s="114"/>
      <c r="PJ6" s="114"/>
      <c r="PK6" s="114"/>
      <c r="PL6" s="114"/>
      <c r="PM6" s="114"/>
      <c r="PN6" s="114"/>
      <c r="PO6" s="114"/>
      <c r="PP6" s="114"/>
      <c r="PQ6" s="114"/>
      <c r="PR6" s="114"/>
      <c r="PS6" s="114"/>
      <c r="PT6" s="114"/>
      <c r="PU6" s="114"/>
      <c r="PV6" s="114"/>
      <c r="PW6" s="114"/>
      <c r="PX6" s="114"/>
      <c r="PY6" s="114"/>
      <c r="PZ6" s="114"/>
      <c r="QA6" s="114"/>
      <c r="QB6" s="114"/>
      <c r="QC6" s="114"/>
      <c r="QD6" s="114"/>
      <c r="QE6" s="114"/>
      <c r="QF6" s="114"/>
      <c r="QG6" s="114"/>
      <c r="QH6" s="114"/>
      <c r="QI6" s="114"/>
      <c r="QJ6" s="114"/>
      <c r="QK6" s="114"/>
      <c r="QL6" s="114"/>
      <c r="QM6" s="114"/>
      <c r="QN6" s="114"/>
      <c r="QO6" s="114"/>
      <c r="QP6" s="114"/>
      <c r="QQ6" s="114"/>
      <c r="QR6" s="114"/>
      <c r="QS6" s="114"/>
      <c r="QT6" s="114"/>
      <c r="QU6" s="114"/>
      <c r="QV6" s="114"/>
      <c r="QW6" s="114"/>
      <c r="QX6" s="114"/>
      <c r="QY6" s="114"/>
      <c r="QZ6" s="114"/>
      <c r="RA6" s="114"/>
      <c r="RB6" s="114"/>
      <c r="RC6" s="114"/>
      <c r="RD6" s="114"/>
      <c r="RE6" s="114"/>
      <c r="RF6" s="114"/>
      <c r="RG6" s="114"/>
      <c r="RH6" s="114"/>
      <c r="RI6" s="114"/>
      <c r="RJ6" s="114"/>
      <c r="RK6" s="114"/>
      <c r="RL6" s="114"/>
      <c r="RM6" s="114"/>
      <c r="RN6" s="114"/>
      <c r="RO6" s="114"/>
      <c r="RP6" s="114"/>
      <c r="RQ6" s="114"/>
      <c r="RR6" s="114"/>
      <c r="RS6" s="114"/>
      <c r="RT6" s="114"/>
      <c r="RU6" s="114"/>
      <c r="RV6" s="114"/>
      <c r="RW6" s="114"/>
      <c r="RX6" s="114"/>
      <c r="RY6" s="114"/>
      <c r="RZ6" s="114"/>
      <c r="SA6" s="114"/>
      <c r="SB6" s="114"/>
      <c r="SC6" s="114"/>
      <c r="SD6" s="114"/>
      <c r="SE6" s="114"/>
      <c r="SF6" s="114"/>
      <c r="SG6" s="114"/>
      <c r="SH6" s="114"/>
      <c r="SI6" s="114"/>
      <c r="SJ6" s="114"/>
      <c r="SK6" s="114"/>
      <c r="SL6" s="114"/>
      <c r="SM6" s="114"/>
      <c r="SN6" s="114"/>
      <c r="SO6" s="114"/>
      <c r="SP6" s="114"/>
      <c r="SQ6" s="114"/>
      <c r="SR6" s="114"/>
      <c r="SS6" s="114"/>
      <c r="ST6" s="114"/>
      <c r="SU6" s="114"/>
      <c r="SV6" s="114"/>
      <c r="SW6" s="114"/>
      <c r="SX6" s="114"/>
      <c r="SY6" s="114"/>
      <c r="SZ6" s="114"/>
      <c r="TA6" s="114"/>
      <c r="TB6" s="114"/>
      <c r="TC6" s="114"/>
      <c r="TD6" s="114"/>
      <c r="TE6" s="114"/>
      <c r="TF6" s="114"/>
      <c r="TG6" s="114"/>
      <c r="TH6" s="114"/>
      <c r="TI6" s="114"/>
      <c r="TJ6" s="114"/>
      <c r="TK6" s="114"/>
      <c r="TL6" s="114"/>
      <c r="TM6" s="114"/>
      <c r="TN6" s="114"/>
      <c r="TO6" s="114"/>
      <c r="TP6" s="114"/>
      <c r="TQ6" s="114"/>
      <c r="TR6" s="114"/>
      <c r="TS6" s="114"/>
      <c r="TT6" s="114"/>
      <c r="TU6" s="114"/>
      <c r="TV6" s="114"/>
      <c r="TW6" s="114"/>
      <c r="TX6" s="114"/>
      <c r="TY6" s="114"/>
      <c r="TZ6" s="114"/>
      <c r="UA6" s="114"/>
      <c r="UB6" s="114"/>
      <c r="UC6" s="114"/>
      <c r="UD6" s="114"/>
      <c r="UE6" s="114"/>
      <c r="UF6" s="114"/>
      <c r="UG6" s="114"/>
      <c r="UH6" s="114"/>
      <c r="UI6" s="114"/>
      <c r="UJ6" s="114"/>
      <c r="UK6" s="114"/>
      <c r="UL6" s="114"/>
      <c r="UM6" s="114"/>
      <c r="UN6" s="114"/>
      <c r="UO6" s="114"/>
      <c r="UP6" s="114"/>
      <c r="UQ6" s="114"/>
      <c r="UR6" s="114"/>
      <c r="US6" s="114"/>
      <c r="UT6" s="114"/>
      <c r="UU6" s="114"/>
      <c r="UV6" s="114"/>
      <c r="UW6" s="114"/>
      <c r="UX6" s="114"/>
      <c r="UY6" s="114"/>
      <c r="UZ6" s="114"/>
      <c r="VA6" s="114"/>
      <c r="VB6" s="114"/>
      <c r="VC6" s="114"/>
      <c r="VD6" s="114"/>
      <c r="VE6" s="114"/>
      <c r="VF6" s="114"/>
      <c r="VG6" s="114"/>
      <c r="VH6" s="114"/>
      <c r="VI6" s="114"/>
      <c r="VJ6" s="114"/>
      <c r="VK6" s="114"/>
      <c r="VL6" s="114"/>
      <c r="VM6" s="114"/>
      <c r="VN6" s="114"/>
      <c r="VO6" s="114"/>
      <c r="VP6" s="114"/>
      <c r="VQ6" s="114"/>
      <c r="VR6" s="114"/>
      <c r="VS6" s="114"/>
      <c r="VT6" s="114"/>
      <c r="VU6" s="114"/>
      <c r="VV6" s="114"/>
      <c r="VW6" s="114"/>
      <c r="VX6" s="114"/>
      <c r="VY6" s="114"/>
      <c r="VZ6" s="114"/>
      <c r="WA6" s="114"/>
      <c r="WB6" s="114"/>
      <c r="WC6" s="114"/>
      <c r="WD6" s="114"/>
      <c r="WE6" s="114"/>
      <c r="WF6" s="114"/>
      <c r="WG6" s="114"/>
      <c r="WH6" s="114"/>
      <c r="WI6" s="114"/>
      <c r="WJ6" s="114"/>
      <c r="WK6" s="114"/>
      <c r="WL6" s="114"/>
      <c r="WM6" s="114"/>
      <c r="WN6" s="114"/>
      <c r="WO6" s="114"/>
      <c r="WP6" s="114"/>
      <c r="WQ6" s="114"/>
      <c r="WR6" s="114"/>
      <c r="WS6" s="114"/>
      <c r="WT6" s="114"/>
      <c r="WU6" s="114"/>
      <c r="WV6" s="114"/>
      <c r="WW6" s="114"/>
      <c r="WX6" s="114"/>
      <c r="WY6" s="114"/>
      <c r="WZ6" s="114"/>
      <c r="XA6" s="114"/>
      <c r="XB6" s="114"/>
      <c r="XC6" s="114"/>
      <c r="XD6" s="114"/>
      <c r="XE6" s="114"/>
      <c r="XF6" s="114"/>
      <c r="XG6" s="114"/>
      <c r="XH6" s="114"/>
      <c r="XI6" s="114"/>
      <c r="XJ6" s="114"/>
      <c r="XK6" s="114"/>
      <c r="XL6" s="114"/>
      <c r="XM6" s="114"/>
      <c r="XN6" s="114"/>
      <c r="XO6" s="114"/>
      <c r="XP6" s="114"/>
      <c r="XQ6" s="114"/>
      <c r="XR6" s="114"/>
      <c r="XS6" s="114"/>
      <c r="XT6" s="114"/>
      <c r="XU6" s="114"/>
      <c r="XV6" s="114"/>
      <c r="XW6" s="114"/>
      <c r="XX6" s="114"/>
      <c r="XY6" s="114"/>
      <c r="XZ6" s="114"/>
      <c r="YA6" s="114"/>
      <c r="YB6" s="114"/>
      <c r="YC6" s="114"/>
      <c r="YD6" s="114"/>
      <c r="YE6" s="114"/>
      <c r="YF6" s="114"/>
      <c r="YG6" s="114"/>
      <c r="YH6" s="114"/>
      <c r="YI6" s="114"/>
      <c r="YJ6" s="114"/>
      <c r="YK6" s="114"/>
      <c r="YL6" s="114"/>
      <c r="YM6" s="114"/>
      <c r="YN6" s="114"/>
      <c r="YO6" s="114"/>
      <c r="YP6" s="114"/>
      <c r="YQ6" s="114"/>
      <c r="YR6" s="114"/>
      <c r="YS6" s="114"/>
      <c r="YT6" s="114"/>
      <c r="YU6" s="114"/>
      <c r="YV6" s="114"/>
      <c r="YW6" s="114"/>
      <c r="YX6" s="114"/>
      <c r="YY6" s="114"/>
      <c r="YZ6" s="114"/>
      <c r="ZA6" s="114"/>
      <c r="ZB6" s="114"/>
      <c r="ZC6" s="114"/>
      <c r="ZD6" s="114"/>
      <c r="ZE6" s="114"/>
      <c r="ZF6" s="114"/>
      <c r="ZG6" s="114"/>
      <c r="ZH6" s="114"/>
      <c r="ZI6" s="114"/>
      <c r="ZJ6" s="114"/>
      <c r="ZK6" s="114"/>
      <c r="ZL6" s="114"/>
      <c r="ZM6" s="114"/>
      <c r="ZN6" s="114"/>
      <c r="ZO6" s="114"/>
      <c r="ZP6" s="114"/>
      <c r="ZQ6" s="114"/>
      <c r="ZR6" s="114"/>
      <c r="ZS6" s="114"/>
      <c r="ZT6" s="114"/>
      <c r="ZU6" s="114"/>
      <c r="ZV6" s="114"/>
      <c r="ZW6" s="114"/>
      <c r="ZX6" s="114"/>
      <c r="ZY6" s="114"/>
      <c r="ZZ6" s="114"/>
      <c r="AAA6" s="114"/>
      <c r="AAB6" s="114"/>
      <c r="AAC6" s="114"/>
      <c r="AAD6" s="114"/>
      <c r="AAE6" s="114"/>
      <c r="AAF6" s="114"/>
      <c r="AAG6" s="114"/>
      <c r="AAH6" s="114"/>
      <c r="AAI6" s="114"/>
      <c r="AAJ6" s="114"/>
      <c r="AAK6" s="114"/>
      <c r="AAL6" s="114"/>
      <c r="AAM6" s="114"/>
      <c r="AAN6" s="114"/>
      <c r="AAO6" s="114"/>
      <c r="AAP6" s="114"/>
      <c r="AAQ6" s="114"/>
      <c r="AAR6" s="114"/>
      <c r="AAS6" s="114"/>
      <c r="AAT6" s="114"/>
      <c r="AAU6" s="114"/>
      <c r="AAV6" s="114"/>
      <c r="AAW6" s="114"/>
      <c r="AAX6" s="114"/>
      <c r="AAY6" s="114"/>
      <c r="AAZ6" s="114"/>
      <c r="ABA6" s="114"/>
      <c r="ABB6" s="114"/>
      <c r="ABC6" s="114"/>
      <c r="ABD6" s="114"/>
      <c r="ABE6" s="114"/>
      <c r="ABF6" s="114"/>
      <c r="ABG6" s="114"/>
      <c r="ABH6" s="114"/>
      <c r="ABI6" s="114"/>
      <c r="ABJ6" s="114"/>
      <c r="ABK6" s="114"/>
      <c r="ABL6" s="114"/>
      <c r="ABM6" s="114"/>
      <c r="ABN6" s="114"/>
      <c r="ABO6" s="114"/>
      <c r="ABP6" s="114"/>
      <c r="ABQ6" s="114"/>
      <c r="ABR6" s="114"/>
      <c r="ABS6" s="114"/>
      <c r="ABT6" s="114"/>
      <c r="ABU6" s="114"/>
      <c r="ABV6" s="114"/>
      <c r="ABW6" s="114"/>
      <c r="ABX6" s="114"/>
      <c r="ABY6" s="114"/>
      <c r="ABZ6" s="114"/>
      <c r="ACA6" s="114"/>
      <c r="ACB6" s="114"/>
      <c r="ACC6" s="114"/>
      <c r="ACD6" s="114"/>
      <c r="ACE6" s="114"/>
      <c r="ACF6" s="114"/>
      <c r="ACG6" s="114"/>
      <c r="ACH6" s="114"/>
      <c r="ACI6" s="114"/>
      <c r="ACJ6" s="114"/>
      <c r="ACK6" s="114"/>
      <c r="ACL6" s="114"/>
      <c r="ACM6" s="114"/>
      <c r="ACN6" s="114"/>
      <c r="ACO6" s="114"/>
      <c r="ACP6" s="114"/>
      <c r="ACQ6" s="114"/>
      <c r="ACR6" s="114"/>
      <c r="ACS6" s="114"/>
      <c r="ACT6" s="114"/>
      <c r="ACU6" s="114"/>
      <c r="ACV6" s="114"/>
      <c r="ACW6" s="114"/>
      <c r="ACX6" s="114"/>
      <c r="ACY6" s="114"/>
      <c r="ACZ6" s="114"/>
      <c r="ADA6" s="114"/>
      <c r="ADB6" s="114"/>
      <c r="ADC6" s="114"/>
      <c r="ADD6" s="114"/>
      <c r="ADE6" s="114"/>
      <c r="ADF6" s="114"/>
      <c r="ADG6" s="114"/>
      <c r="ADH6" s="114"/>
      <c r="ADI6" s="114"/>
      <c r="ADJ6" s="114"/>
      <c r="ADK6" s="114"/>
      <c r="ADL6" s="114"/>
      <c r="ADM6" s="114"/>
      <c r="ADN6" s="114"/>
      <c r="ADO6" s="114"/>
      <c r="ADP6" s="114"/>
      <c r="ADQ6" s="114"/>
      <c r="ADR6" s="114"/>
      <c r="ADS6" s="114"/>
      <c r="ADT6" s="114"/>
      <c r="ADU6" s="114"/>
      <c r="ADV6" s="114"/>
      <c r="ADW6" s="114"/>
      <c r="ADX6" s="114"/>
      <c r="ADY6" s="114"/>
      <c r="ADZ6" s="114"/>
      <c r="AEA6" s="114"/>
      <c r="AEB6" s="114"/>
      <c r="AEC6" s="114"/>
      <c r="AED6" s="114"/>
      <c r="AEE6" s="114"/>
      <c r="AEF6" s="114"/>
      <c r="AEG6" s="114"/>
      <c r="AEH6" s="114"/>
      <c r="AEI6" s="114"/>
      <c r="AEJ6" s="114"/>
      <c r="AEK6" s="114"/>
      <c r="AEL6" s="114"/>
      <c r="AEM6" s="114"/>
      <c r="AEN6" s="114"/>
      <c r="AEO6" s="114"/>
      <c r="AEP6" s="114"/>
      <c r="AEQ6" s="114"/>
      <c r="AER6" s="114"/>
      <c r="AES6" s="114"/>
      <c r="AET6" s="114"/>
      <c r="AEU6" s="114"/>
      <c r="AEV6" s="114"/>
      <c r="AEW6" s="114"/>
      <c r="AEX6" s="114"/>
      <c r="AEY6" s="114"/>
      <c r="AEZ6" s="114"/>
      <c r="AFA6" s="114"/>
      <c r="AFB6" s="114"/>
      <c r="AFC6" s="114"/>
      <c r="AFD6" s="114"/>
      <c r="AFE6" s="114"/>
      <c r="AFF6" s="114"/>
      <c r="AFG6" s="114"/>
      <c r="AFH6" s="114"/>
      <c r="AFI6" s="114"/>
      <c r="AFJ6" s="114"/>
      <c r="AFK6" s="114"/>
      <c r="AFL6" s="114"/>
      <c r="AFM6" s="114"/>
      <c r="AFN6" s="114"/>
      <c r="AFO6" s="114"/>
      <c r="AFP6" s="114"/>
      <c r="AFQ6" s="114"/>
      <c r="AFR6" s="114"/>
      <c r="AFS6" s="114"/>
      <c r="AFT6" s="114"/>
      <c r="AFU6" s="114"/>
      <c r="AFV6" s="114"/>
      <c r="AFW6" s="114"/>
      <c r="AFX6" s="114"/>
      <c r="AFY6" s="114"/>
      <c r="AFZ6" s="114"/>
      <c r="AGA6" s="114"/>
      <c r="AGB6" s="114"/>
      <c r="AGC6" s="114"/>
      <c r="AGD6" s="114"/>
      <c r="AGE6" s="114"/>
      <c r="AGF6" s="114"/>
      <c r="AGG6" s="114"/>
      <c r="AGH6" s="114"/>
      <c r="AGI6" s="114"/>
      <c r="AGJ6" s="114"/>
      <c r="AGK6" s="114"/>
      <c r="AGL6" s="114"/>
      <c r="AGM6" s="114"/>
      <c r="AGN6" s="114"/>
      <c r="AGO6" s="114"/>
      <c r="AGP6" s="114"/>
      <c r="AGQ6" s="114"/>
      <c r="AGR6" s="114"/>
      <c r="AGS6" s="114"/>
      <c r="AGT6" s="114"/>
      <c r="AGU6" s="114"/>
      <c r="AGV6" s="114"/>
      <c r="AGW6" s="114"/>
      <c r="AGX6" s="114"/>
      <c r="AGY6" s="114"/>
      <c r="AGZ6" s="114"/>
      <c r="AHA6" s="114"/>
      <c r="AHB6" s="114"/>
      <c r="AHC6" s="114"/>
      <c r="AHD6" s="114"/>
      <c r="AHE6" s="114"/>
      <c r="AHF6" s="114"/>
      <c r="AHG6" s="114"/>
      <c r="AHH6" s="114"/>
      <c r="AHI6" s="114"/>
      <c r="AHJ6" s="114"/>
      <c r="AHK6" s="114"/>
      <c r="AHL6" s="114"/>
      <c r="AHM6" s="114"/>
      <c r="AHN6" s="114"/>
      <c r="AHO6" s="114"/>
      <c r="AHP6" s="114"/>
      <c r="AHQ6" s="114"/>
      <c r="AHR6" s="114"/>
      <c r="AHS6" s="114"/>
      <c r="AHT6" s="114"/>
      <c r="AHU6" s="114"/>
      <c r="AHV6" s="114"/>
      <c r="AHW6" s="114"/>
      <c r="AHX6" s="114"/>
      <c r="AHY6" s="114"/>
      <c r="AHZ6" s="114"/>
      <c r="AIA6" s="114"/>
      <c r="AIB6" s="114"/>
      <c r="AIC6" s="114"/>
      <c r="AID6" s="114"/>
      <c r="AIE6" s="114"/>
      <c r="AIF6" s="114"/>
      <c r="AIG6" s="114"/>
      <c r="AIH6" s="114"/>
      <c r="AII6" s="114"/>
      <c r="AIJ6" s="114"/>
      <c r="AIK6" s="114"/>
      <c r="AIL6" s="114"/>
      <c r="AIM6" s="114"/>
      <c r="AIN6" s="114"/>
      <c r="AIO6" s="114"/>
      <c r="AIP6" s="114"/>
      <c r="AIQ6" s="114"/>
      <c r="AIR6" s="114"/>
      <c r="AIS6" s="114"/>
      <c r="AIT6" s="114"/>
      <c r="AIU6" s="114"/>
      <c r="AIV6" s="114"/>
      <c r="AIW6" s="114"/>
      <c r="AIX6" s="114"/>
      <c r="AIY6" s="114"/>
      <c r="AIZ6" s="114"/>
      <c r="AJA6" s="114"/>
      <c r="AJB6" s="114"/>
      <c r="AJC6" s="114"/>
      <c r="AJD6" s="114"/>
      <c r="AJE6" s="114"/>
      <c r="AJF6" s="114"/>
      <c r="AJG6" s="114"/>
      <c r="AJH6" s="114"/>
      <c r="AJI6" s="114"/>
      <c r="AJJ6" s="114"/>
      <c r="AJK6" s="114"/>
      <c r="AJL6" s="114"/>
      <c r="AJM6" s="114"/>
      <c r="AJN6" s="114"/>
      <c r="AJO6" s="114"/>
      <c r="AJP6" s="114"/>
      <c r="AJQ6" s="114"/>
      <c r="AJR6" s="114"/>
      <c r="AJS6" s="114"/>
      <c r="AJT6" s="114"/>
      <c r="AJU6" s="114"/>
      <c r="AJV6" s="114"/>
      <c r="AJW6" s="114"/>
      <c r="AJX6" s="114"/>
      <c r="AJY6" s="114"/>
      <c r="AJZ6" s="114"/>
      <c r="AKA6" s="114"/>
      <c r="AKB6" s="114"/>
      <c r="AKC6" s="114"/>
      <c r="AKD6" s="114"/>
      <c r="AKE6" s="114"/>
      <c r="AKF6" s="114"/>
      <c r="AKG6" s="114"/>
      <c r="AKH6" s="114"/>
      <c r="AKI6" s="114"/>
      <c r="AKJ6" s="114"/>
      <c r="AKK6" s="114"/>
      <c r="AKL6" s="114"/>
    </row>
    <row r="7" spans="1:974" ht="15" customHeight="1" x14ac:dyDescent="0.3">
      <c r="A7" s="116"/>
      <c r="B7" s="117"/>
      <c r="C7" s="462"/>
      <c r="D7" s="138" t="s">
        <v>3062</v>
      </c>
      <c r="E7" s="139">
        <v>2</v>
      </c>
      <c r="F7" s="140">
        <v>90000</v>
      </c>
      <c r="G7" s="141">
        <f t="shared" si="0"/>
        <v>180000</v>
      </c>
    </row>
    <row r="8" spans="1:974" ht="15" customHeight="1" x14ac:dyDescent="0.3">
      <c r="A8" s="116"/>
      <c r="B8" s="117"/>
      <c r="C8" s="462"/>
      <c r="D8" s="138" t="s">
        <v>3063</v>
      </c>
      <c r="E8" s="139">
        <v>2</v>
      </c>
      <c r="F8" s="140">
        <v>13000</v>
      </c>
      <c r="G8" s="141">
        <f t="shared" si="0"/>
        <v>26000</v>
      </c>
    </row>
    <row r="9" spans="1:974" ht="15" customHeight="1" x14ac:dyDescent="0.3">
      <c r="A9" s="116"/>
      <c r="B9" s="117"/>
      <c r="C9" s="462"/>
      <c r="D9" s="118" t="s">
        <v>3064</v>
      </c>
      <c r="E9" s="119">
        <v>2</v>
      </c>
      <c r="F9" s="120">
        <v>12000</v>
      </c>
      <c r="G9" s="121">
        <f t="shared" si="0"/>
        <v>24000</v>
      </c>
    </row>
    <row r="10" spans="1:974" ht="15" customHeight="1" x14ac:dyDescent="0.3">
      <c r="A10" s="116"/>
      <c r="B10" s="117"/>
      <c r="C10" s="463"/>
      <c r="D10" s="464" t="s">
        <v>2830</v>
      </c>
      <c r="E10" s="465"/>
      <c r="F10" s="466"/>
      <c r="G10" s="127">
        <f>SUM(G5:G9)</f>
        <v>300000</v>
      </c>
    </row>
    <row r="11" spans="1:974" s="115" customFormat="1" ht="15" customHeight="1" x14ac:dyDescent="0.3">
      <c r="A11" s="103">
        <v>8470230</v>
      </c>
      <c r="B11" s="104">
        <v>426610</v>
      </c>
      <c r="C11" s="461" t="s">
        <v>3065</v>
      </c>
      <c r="D11" s="151" t="s">
        <v>3065</v>
      </c>
      <c r="E11" s="152">
        <v>1</v>
      </c>
      <c r="F11" s="153">
        <v>10000</v>
      </c>
      <c r="G11" s="154">
        <f>E11*F11</f>
        <v>10000</v>
      </c>
      <c r="H11" s="114"/>
      <c r="I11" s="114"/>
      <c r="J11" s="114"/>
      <c r="K11" s="114"/>
      <c r="L11" s="114"/>
      <c r="M11" s="114"/>
      <c r="N11" s="114"/>
      <c r="O11" s="114"/>
      <c r="P11" s="114"/>
      <c r="Q11" s="114"/>
      <c r="R11" s="114"/>
      <c r="S11" s="114"/>
      <c r="T11" s="114"/>
      <c r="U11" s="114"/>
      <c r="V11" s="114"/>
      <c r="W11" s="114"/>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4"/>
      <c r="AY11" s="114"/>
      <c r="AZ11" s="114"/>
      <c r="BA11" s="114"/>
      <c r="BB11" s="114"/>
      <c r="BC11" s="114"/>
      <c r="BD11" s="114"/>
      <c r="BE11" s="114"/>
      <c r="BF11" s="114"/>
      <c r="BG11" s="114"/>
      <c r="BH11" s="114"/>
      <c r="BI11" s="114"/>
      <c r="BJ11" s="114"/>
      <c r="BK11" s="114"/>
      <c r="BL11" s="114"/>
      <c r="BM11" s="114"/>
      <c r="BN11" s="114"/>
      <c r="BO11" s="114"/>
      <c r="BP11" s="114"/>
      <c r="BQ11" s="114"/>
      <c r="BR11" s="114"/>
      <c r="BS11" s="114"/>
      <c r="BT11" s="114"/>
      <c r="BU11" s="114"/>
      <c r="BV11" s="114"/>
      <c r="BW11" s="114"/>
      <c r="BX11" s="114"/>
      <c r="BY11" s="114"/>
      <c r="BZ11" s="114"/>
      <c r="CA11" s="114"/>
      <c r="CB11" s="114"/>
      <c r="CC11" s="114"/>
      <c r="CD11" s="114"/>
      <c r="CE11" s="114"/>
      <c r="CF11" s="114"/>
      <c r="CG11" s="114"/>
      <c r="CH11" s="114"/>
      <c r="CI11" s="114"/>
      <c r="CJ11" s="114"/>
      <c r="CK11" s="114"/>
      <c r="CL11" s="114"/>
      <c r="CM11" s="114"/>
      <c r="CN11" s="114"/>
      <c r="CO11" s="114"/>
      <c r="CP11" s="114"/>
      <c r="CQ11" s="114"/>
      <c r="CR11" s="114"/>
      <c r="CS11" s="114"/>
      <c r="CT11" s="114"/>
      <c r="CU11" s="114"/>
      <c r="CV11" s="114"/>
      <c r="CW11" s="114"/>
      <c r="CX11" s="114"/>
      <c r="CY11" s="114"/>
      <c r="CZ11" s="114"/>
      <c r="DA11" s="114"/>
      <c r="DB11" s="114"/>
      <c r="DC11" s="114"/>
      <c r="DD11" s="114"/>
      <c r="DE11" s="114"/>
      <c r="DF11" s="114"/>
      <c r="DG11" s="114"/>
      <c r="DH11" s="114"/>
      <c r="DI11" s="114"/>
      <c r="DJ11" s="114"/>
      <c r="DK11" s="114"/>
      <c r="DL11" s="114"/>
      <c r="DM11" s="114"/>
      <c r="DN11" s="114"/>
      <c r="DO11" s="114"/>
      <c r="DP11" s="114"/>
      <c r="DQ11" s="114"/>
      <c r="DR11" s="114"/>
      <c r="DS11" s="114"/>
      <c r="DT11" s="114"/>
      <c r="DU11" s="114"/>
      <c r="DV11" s="114"/>
      <c r="DW11" s="114"/>
      <c r="DX11" s="114"/>
      <c r="DY11" s="114"/>
      <c r="DZ11" s="114"/>
      <c r="EA11" s="114"/>
      <c r="EB11" s="114"/>
      <c r="EC11" s="114"/>
      <c r="ED11" s="114"/>
      <c r="EE11" s="114"/>
      <c r="EF11" s="114"/>
      <c r="EG11" s="114"/>
      <c r="EH11" s="114"/>
      <c r="EI11" s="114"/>
      <c r="EJ11" s="114"/>
      <c r="EK11" s="114"/>
      <c r="EL11" s="114"/>
      <c r="EM11" s="114"/>
      <c r="EN11" s="114"/>
      <c r="EO11" s="114"/>
      <c r="EP11" s="114"/>
      <c r="EQ11" s="114"/>
      <c r="ER11" s="114"/>
      <c r="ES11" s="114"/>
      <c r="ET11" s="114"/>
      <c r="EU11" s="114"/>
      <c r="EV11" s="114"/>
      <c r="EW11" s="114"/>
      <c r="EX11" s="114"/>
      <c r="EY11" s="114"/>
      <c r="EZ11" s="114"/>
      <c r="FA11" s="114"/>
      <c r="FB11" s="114"/>
      <c r="FC11" s="114"/>
      <c r="FD11" s="114"/>
      <c r="FE11" s="114"/>
      <c r="FF11" s="114"/>
      <c r="FG11" s="114"/>
      <c r="FH11" s="114"/>
      <c r="FI11" s="114"/>
      <c r="FJ11" s="114"/>
      <c r="FK11" s="114"/>
      <c r="FL11" s="114"/>
      <c r="FM11" s="114"/>
      <c r="FN11" s="114"/>
      <c r="FO11" s="114"/>
      <c r="FP11" s="114"/>
      <c r="FQ11" s="114"/>
      <c r="FR11" s="114"/>
      <c r="FS11" s="114"/>
      <c r="FT11" s="114"/>
      <c r="FU11" s="114"/>
      <c r="FV11" s="114"/>
      <c r="FW11" s="114"/>
      <c r="FX11" s="114"/>
      <c r="FY11" s="114"/>
      <c r="FZ11" s="114"/>
      <c r="GA11" s="114"/>
      <c r="GB11" s="114"/>
      <c r="GC11" s="114"/>
      <c r="GD11" s="114"/>
      <c r="GE11" s="114"/>
      <c r="GF11" s="114"/>
      <c r="GG11" s="114"/>
      <c r="GH11" s="114"/>
      <c r="GI11" s="114"/>
      <c r="GJ11" s="114"/>
      <c r="GK11" s="114"/>
      <c r="GL11" s="114"/>
      <c r="GM11" s="114"/>
      <c r="GN11" s="114"/>
      <c r="GO11" s="114"/>
      <c r="GP11" s="114"/>
      <c r="GQ11" s="114"/>
      <c r="GR11" s="114"/>
      <c r="GS11" s="114"/>
      <c r="GT11" s="114"/>
      <c r="GU11" s="114"/>
      <c r="GV11" s="114"/>
      <c r="GW11" s="114"/>
      <c r="GX11" s="114"/>
      <c r="GY11" s="114"/>
      <c r="GZ11" s="114"/>
      <c r="HA11" s="114"/>
      <c r="HB11" s="114"/>
      <c r="HC11" s="114"/>
      <c r="HD11" s="114"/>
      <c r="HE11" s="114"/>
      <c r="HF11" s="114"/>
      <c r="HG11" s="114"/>
      <c r="HH11" s="114"/>
      <c r="HI11" s="114"/>
      <c r="HJ11" s="114"/>
      <c r="HK11" s="114"/>
      <c r="HL11" s="114"/>
      <c r="HM11" s="114"/>
      <c r="HN11" s="114"/>
      <c r="HO11" s="114"/>
      <c r="HP11" s="114"/>
      <c r="HQ11" s="114"/>
      <c r="HR11" s="114"/>
      <c r="HS11" s="114"/>
      <c r="HT11" s="114"/>
      <c r="HU11" s="114"/>
      <c r="HV11" s="114"/>
      <c r="HW11" s="114"/>
      <c r="HX11" s="114"/>
      <c r="HY11" s="114"/>
      <c r="HZ11" s="114"/>
      <c r="IA11" s="114"/>
      <c r="IB11" s="114"/>
      <c r="IC11" s="114"/>
      <c r="ID11" s="114"/>
      <c r="IE11" s="114"/>
      <c r="IF11" s="114"/>
      <c r="IG11" s="114"/>
      <c r="IH11" s="114"/>
      <c r="II11" s="114"/>
      <c r="IJ11" s="114"/>
      <c r="IK11" s="114"/>
      <c r="IL11" s="114"/>
      <c r="IM11" s="114"/>
      <c r="IN11" s="114"/>
      <c r="IO11" s="114"/>
      <c r="IP11" s="114"/>
      <c r="IQ11" s="114"/>
      <c r="IR11" s="114"/>
      <c r="IS11" s="114"/>
      <c r="IT11" s="114"/>
      <c r="IU11" s="114"/>
      <c r="IV11" s="114"/>
      <c r="IW11" s="114"/>
      <c r="IX11" s="114"/>
      <c r="IY11" s="114"/>
      <c r="IZ11" s="114"/>
      <c r="JA11" s="114"/>
      <c r="JB11" s="114"/>
      <c r="JC11" s="114"/>
      <c r="JD11" s="114"/>
      <c r="JE11" s="114"/>
      <c r="JF11" s="114"/>
      <c r="JG11" s="114"/>
      <c r="JH11" s="114"/>
      <c r="JI11" s="114"/>
      <c r="JJ11" s="114"/>
      <c r="JK11" s="114"/>
      <c r="JL11" s="114"/>
      <c r="JM11" s="114"/>
      <c r="JN11" s="114"/>
      <c r="JO11" s="114"/>
      <c r="JP11" s="114"/>
      <c r="JQ11" s="114"/>
      <c r="JR11" s="114"/>
      <c r="JS11" s="114"/>
      <c r="JT11" s="114"/>
      <c r="JU11" s="114"/>
      <c r="JV11" s="114"/>
      <c r="JW11" s="114"/>
      <c r="JX11" s="114"/>
      <c r="JY11" s="114"/>
      <c r="JZ11" s="114"/>
      <c r="KA11" s="114"/>
      <c r="KB11" s="114"/>
      <c r="KC11" s="114"/>
      <c r="KD11" s="114"/>
      <c r="KE11" s="114"/>
      <c r="KF11" s="114"/>
      <c r="KG11" s="114"/>
      <c r="KH11" s="114"/>
      <c r="KI11" s="114"/>
      <c r="KJ11" s="114"/>
      <c r="KK11" s="114"/>
      <c r="KL11" s="114"/>
      <c r="KM11" s="114"/>
      <c r="KN11" s="114"/>
      <c r="KO11" s="114"/>
      <c r="KP11" s="114"/>
      <c r="KQ11" s="114"/>
      <c r="KR11" s="114"/>
      <c r="KS11" s="114"/>
      <c r="KT11" s="114"/>
      <c r="KU11" s="114"/>
      <c r="KV11" s="114"/>
      <c r="KW11" s="114"/>
      <c r="KX11" s="114"/>
      <c r="KY11" s="114"/>
      <c r="KZ11" s="114"/>
      <c r="LA11" s="114"/>
      <c r="LB11" s="114"/>
      <c r="LC11" s="114"/>
      <c r="LD11" s="114"/>
      <c r="LE11" s="114"/>
      <c r="LF11" s="114"/>
      <c r="LG11" s="114"/>
      <c r="LH11" s="114"/>
      <c r="LI11" s="114"/>
      <c r="LJ11" s="114"/>
      <c r="LK11" s="114"/>
      <c r="LL11" s="114"/>
      <c r="LM11" s="114"/>
      <c r="LN11" s="114"/>
      <c r="LO11" s="114"/>
      <c r="LP11" s="114"/>
      <c r="LQ11" s="114"/>
      <c r="LR11" s="114"/>
      <c r="LS11" s="114"/>
      <c r="LT11" s="114"/>
      <c r="LU11" s="114"/>
      <c r="LV11" s="114"/>
      <c r="LW11" s="114"/>
      <c r="LX11" s="114"/>
      <c r="LY11" s="114"/>
      <c r="LZ11" s="114"/>
      <c r="MA11" s="114"/>
      <c r="MB11" s="114"/>
      <c r="MC11" s="114"/>
      <c r="MD11" s="114"/>
      <c r="ME11" s="114"/>
      <c r="MF11" s="114"/>
      <c r="MG11" s="114"/>
      <c r="MH11" s="114"/>
      <c r="MI11" s="114"/>
      <c r="MJ11" s="114"/>
      <c r="MK11" s="114"/>
      <c r="ML11" s="114"/>
      <c r="MM11" s="114"/>
      <c r="MN11" s="114"/>
      <c r="MO11" s="114"/>
      <c r="MP11" s="114"/>
      <c r="MQ11" s="114"/>
      <c r="MR11" s="114"/>
      <c r="MS11" s="114"/>
      <c r="MT11" s="114"/>
      <c r="MU11" s="114"/>
      <c r="MV11" s="114"/>
      <c r="MW11" s="114"/>
      <c r="MX11" s="114"/>
      <c r="MY11" s="114"/>
      <c r="MZ11" s="114"/>
      <c r="NA11" s="114"/>
      <c r="NB11" s="114"/>
      <c r="NC11" s="114"/>
      <c r="ND11" s="114"/>
      <c r="NE11" s="114"/>
      <c r="NF11" s="114"/>
      <c r="NG11" s="114"/>
      <c r="NH11" s="114"/>
      <c r="NI11" s="114"/>
      <c r="NJ11" s="114"/>
      <c r="NK11" s="114"/>
      <c r="NL11" s="114"/>
      <c r="NM11" s="114"/>
      <c r="NN11" s="114"/>
      <c r="NO11" s="114"/>
      <c r="NP11" s="114"/>
      <c r="NQ11" s="114"/>
      <c r="NR11" s="114"/>
      <c r="NS11" s="114"/>
      <c r="NT11" s="114"/>
      <c r="NU11" s="114"/>
      <c r="NV11" s="114"/>
      <c r="NW11" s="114"/>
      <c r="NX11" s="114"/>
      <c r="NY11" s="114"/>
      <c r="NZ11" s="114"/>
      <c r="OA11" s="114"/>
      <c r="OB11" s="114"/>
      <c r="OC11" s="114"/>
      <c r="OD11" s="114"/>
      <c r="OE11" s="114"/>
      <c r="OF11" s="114"/>
      <c r="OG11" s="114"/>
      <c r="OH11" s="114"/>
      <c r="OI11" s="114"/>
      <c r="OJ11" s="114"/>
      <c r="OK11" s="114"/>
      <c r="OL11" s="114"/>
      <c r="OM11" s="114"/>
      <c r="ON11" s="114"/>
      <c r="OO11" s="114"/>
      <c r="OP11" s="114"/>
      <c r="OQ11" s="114"/>
      <c r="OR11" s="114"/>
      <c r="OS11" s="114"/>
      <c r="OT11" s="114"/>
      <c r="OU11" s="114"/>
      <c r="OV11" s="114"/>
      <c r="OW11" s="114"/>
      <c r="OX11" s="114"/>
      <c r="OY11" s="114"/>
      <c r="OZ11" s="114"/>
      <c r="PA11" s="114"/>
      <c r="PB11" s="114"/>
      <c r="PC11" s="114"/>
      <c r="PD11" s="114"/>
      <c r="PE11" s="114"/>
      <c r="PF11" s="114"/>
      <c r="PG11" s="114"/>
      <c r="PH11" s="114"/>
      <c r="PI11" s="114"/>
      <c r="PJ11" s="114"/>
      <c r="PK11" s="114"/>
      <c r="PL11" s="114"/>
      <c r="PM11" s="114"/>
      <c r="PN11" s="114"/>
      <c r="PO11" s="114"/>
      <c r="PP11" s="114"/>
      <c r="PQ11" s="114"/>
      <c r="PR11" s="114"/>
      <c r="PS11" s="114"/>
      <c r="PT11" s="114"/>
      <c r="PU11" s="114"/>
      <c r="PV11" s="114"/>
      <c r="PW11" s="114"/>
      <c r="PX11" s="114"/>
      <c r="PY11" s="114"/>
      <c r="PZ11" s="114"/>
      <c r="QA11" s="114"/>
      <c r="QB11" s="114"/>
      <c r="QC11" s="114"/>
      <c r="QD11" s="114"/>
      <c r="QE11" s="114"/>
      <c r="QF11" s="114"/>
      <c r="QG11" s="114"/>
      <c r="QH11" s="114"/>
      <c r="QI11" s="114"/>
      <c r="QJ11" s="114"/>
      <c r="QK11" s="114"/>
      <c r="QL11" s="114"/>
      <c r="QM11" s="114"/>
      <c r="QN11" s="114"/>
      <c r="QO11" s="114"/>
      <c r="QP11" s="114"/>
      <c r="QQ11" s="114"/>
      <c r="QR11" s="114"/>
      <c r="QS11" s="114"/>
      <c r="QT11" s="114"/>
      <c r="QU11" s="114"/>
      <c r="QV11" s="114"/>
      <c r="QW11" s="114"/>
      <c r="QX11" s="114"/>
      <c r="QY11" s="114"/>
      <c r="QZ11" s="114"/>
      <c r="RA11" s="114"/>
      <c r="RB11" s="114"/>
      <c r="RC11" s="114"/>
      <c r="RD11" s="114"/>
      <c r="RE11" s="114"/>
      <c r="RF11" s="114"/>
      <c r="RG11" s="114"/>
      <c r="RH11" s="114"/>
      <c r="RI11" s="114"/>
      <c r="RJ11" s="114"/>
      <c r="RK11" s="114"/>
      <c r="RL11" s="114"/>
      <c r="RM11" s="114"/>
      <c r="RN11" s="114"/>
      <c r="RO11" s="114"/>
      <c r="RP11" s="114"/>
      <c r="RQ11" s="114"/>
      <c r="RR11" s="114"/>
      <c r="RS11" s="114"/>
      <c r="RT11" s="114"/>
      <c r="RU11" s="114"/>
      <c r="RV11" s="114"/>
      <c r="RW11" s="114"/>
      <c r="RX11" s="114"/>
      <c r="RY11" s="114"/>
      <c r="RZ11" s="114"/>
      <c r="SA11" s="114"/>
      <c r="SB11" s="114"/>
      <c r="SC11" s="114"/>
      <c r="SD11" s="114"/>
      <c r="SE11" s="114"/>
      <c r="SF11" s="114"/>
      <c r="SG11" s="114"/>
      <c r="SH11" s="114"/>
      <c r="SI11" s="114"/>
      <c r="SJ11" s="114"/>
      <c r="SK11" s="114"/>
      <c r="SL11" s="114"/>
      <c r="SM11" s="114"/>
      <c r="SN11" s="114"/>
      <c r="SO11" s="114"/>
      <c r="SP11" s="114"/>
      <c r="SQ11" s="114"/>
      <c r="SR11" s="114"/>
      <c r="SS11" s="114"/>
      <c r="ST11" s="114"/>
      <c r="SU11" s="114"/>
      <c r="SV11" s="114"/>
      <c r="SW11" s="114"/>
      <c r="SX11" s="114"/>
      <c r="SY11" s="114"/>
      <c r="SZ11" s="114"/>
      <c r="TA11" s="114"/>
      <c r="TB11" s="114"/>
      <c r="TC11" s="114"/>
      <c r="TD11" s="114"/>
      <c r="TE11" s="114"/>
      <c r="TF11" s="114"/>
      <c r="TG11" s="114"/>
      <c r="TH11" s="114"/>
      <c r="TI11" s="114"/>
      <c r="TJ11" s="114"/>
      <c r="TK11" s="114"/>
      <c r="TL11" s="114"/>
      <c r="TM11" s="114"/>
      <c r="TN11" s="114"/>
      <c r="TO11" s="114"/>
      <c r="TP11" s="114"/>
      <c r="TQ11" s="114"/>
      <c r="TR11" s="114"/>
      <c r="TS11" s="114"/>
      <c r="TT11" s="114"/>
      <c r="TU11" s="114"/>
      <c r="TV11" s="114"/>
      <c r="TW11" s="114"/>
      <c r="TX11" s="114"/>
      <c r="TY11" s="114"/>
      <c r="TZ11" s="114"/>
      <c r="UA11" s="114"/>
      <c r="UB11" s="114"/>
      <c r="UC11" s="114"/>
      <c r="UD11" s="114"/>
      <c r="UE11" s="114"/>
      <c r="UF11" s="114"/>
      <c r="UG11" s="114"/>
      <c r="UH11" s="114"/>
      <c r="UI11" s="114"/>
      <c r="UJ11" s="114"/>
      <c r="UK11" s="114"/>
      <c r="UL11" s="114"/>
      <c r="UM11" s="114"/>
      <c r="UN11" s="114"/>
      <c r="UO11" s="114"/>
      <c r="UP11" s="114"/>
      <c r="UQ11" s="114"/>
      <c r="UR11" s="114"/>
      <c r="US11" s="114"/>
      <c r="UT11" s="114"/>
      <c r="UU11" s="114"/>
      <c r="UV11" s="114"/>
      <c r="UW11" s="114"/>
      <c r="UX11" s="114"/>
      <c r="UY11" s="114"/>
      <c r="UZ11" s="114"/>
      <c r="VA11" s="114"/>
      <c r="VB11" s="114"/>
      <c r="VC11" s="114"/>
      <c r="VD11" s="114"/>
      <c r="VE11" s="114"/>
      <c r="VF11" s="114"/>
      <c r="VG11" s="114"/>
      <c r="VH11" s="114"/>
      <c r="VI11" s="114"/>
      <c r="VJ11" s="114"/>
      <c r="VK11" s="114"/>
      <c r="VL11" s="114"/>
      <c r="VM11" s="114"/>
      <c r="VN11" s="114"/>
      <c r="VO11" s="114"/>
      <c r="VP11" s="114"/>
      <c r="VQ11" s="114"/>
      <c r="VR11" s="114"/>
      <c r="VS11" s="114"/>
      <c r="VT11" s="114"/>
      <c r="VU11" s="114"/>
      <c r="VV11" s="114"/>
      <c r="VW11" s="114"/>
      <c r="VX11" s="114"/>
      <c r="VY11" s="114"/>
      <c r="VZ11" s="114"/>
      <c r="WA11" s="114"/>
      <c r="WB11" s="114"/>
      <c r="WC11" s="114"/>
      <c r="WD11" s="114"/>
      <c r="WE11" s="114"/>
      <c r="WF11" s="114"/>
      <c r="WG11" s="114"/>
      <c r="WH11" s="114"/>
      <c r="WI11" s="114"/>
      <c r="WJ11" s="114"/>
      <c r="WK11" s="114"/>
      <c r="WL11" s="114"/>
      <c r="WM11" s="114"/>
      <c r="WN11" s="114"/>
      <c r="WO11" s="114"/>
      <c r="WP11" s="114"/>
      <c r="WQ11" s="114"/>
      <c r="WR11" s="114"/>
      <c r="WS11" s="114"/>
      <c r="WT11" s="114"/>
      <c r="WU11" s="114"/>
      <c r="WV11" s="114"/>
      <c r="WW11" s="114"/>
      <c r="WX11" s="114"/>
      <c r="WY11" s="114"/>
      <c r="WZ11" s="114"/>
      <c r="XA11" s="114"/>
      <c r="XB11" s="114"/>
      <c r="XC11" s="114"/>
      <c r="XD11" s="114"/>
      <c r="XE11" s="114"/>
      <c r="XF11" s="114"/>
      <c r="XG11" s="114"/>
      <c r="XH11" s="114"/>
      <c r="XI11" s="114"/>
      <c r="XJ11" s="114"/>
      <c r="XK11" s="114"/>
      <c r="XL11" s="114"/>
      <c r="XM11" s="114"/>
      <c r="XN11" s="114"/>
      <c r="XO11" s="114"/>
      <c r="XP11" s="114"/>
      <c r="XQ11" s="114"/>
      <c r="XR11" s="114"/>
      <c r="XS11" s="114"/>
      <c r="XT11" s="114"/>
      <c r="XU11" s="114"/>
      <c r="XV11" s="114"/>
      <c r="XW11" s="114"/>
      <c r="XX11" s="114"/>
      <c r="XY11" s="114"/>
      <c r="XZ11" s="114"/>
      <c r="YA11" s="114"/>
      <c r="YB11" s="114"/>
      <c r="YC11" s="114"/>
      <c r="YD11" s="114"/>
      <c r="YE11" s="114"/>
      <c r="YF11" s="114"/>
      <c r="YG11" s="114"/>
      <c r="YH11" s="114"/>
      <c r="YI11" s="114"/>
      <c r="YJ11" s="114"/>
      <c r="YK11" s="114"/>
      <c r="YL11" s="114"/>
      <c r="YM11" s="114"/>
      <c r="YN11" s="114"/>
      <c r="YO11" s="114"/>
      <c r="YP11" s="114"/>
      <c r="YQ11" s="114"/>
      <c r="YR11" s="114"/>
      <c r="YS11" s="114"/>
      <c r="YT11" s="114"/>
      <c r="YU11" s="114"/>
      <c r="YV11" s="114"/>
      <c r="YW11" s="114"/>
      <c r="YX11" s="114"/>
      <c r="YY11" s="114"/>
      <c r="YZ11" s="114"/>
      <c r="ZA11" s="114"/>
      <c r="ZB11" s="114"/>
      <c r="ZC11" s="114"/>
      <c r="ZD11" s="114"/>
      <c r="ZE11" s="114"/>
      <c r="ZF11" s="114"/>
      <c r="ZG11" s="114"/>
      <c r="ZH11" s="114"/>
      <c r="ZI11" s="114"/>
      <c r="ZJ11" s="114"/>
      <c r="ZK11" s="114"/>
      <c r="ZL11" s="114"/>
      <c r="ZM11" s="114"/>
      <c r="ZN11" s="114"/>
      <c r="ZO11" s="114"/>
      <c r="ZP11" s="114"/>
      <c r="ZQ11" s="114"/>
      <c r="ZR11" s="114"/>
      <c r="ZS11" s="114"/>
      <c r="ZT11" s="114"/>
      <c r="ZU11" s="114"/>
      <c r="ZV11" s="114"/>
      <c r="ZW11" s="114"/>
      <c r="ZX11" s="114"/>
      <c r="ZY11" s="114"/>
      <c r="ZZ11" s="114"/>
      <c r="AAA11" s="114"/>
      <c r="AAB11" s="114"/>
      <c r="AAC11" s="114"/>
      <c r="AAD11" s="114"/>
      <c r="AAE11" s="114"/>
      <c r="AAF11" s="114"/>
      <c r="AAG11" s="114"/>
      <c r="AAH11" s="114"/>
      <c r="AAI11" s="114"/>
      <c r="AAJ11" s="114"/>
      <c r="AAK11" s="114"/>
      <c r="AAL11" s="114"/>
      <c r="AAM11" s="114"/>
      <c r="AAN11" s="114"/>
      <c r="AAO11" s="114"/>
      <c r="AAP11" s="114"/>
      <c r="AAQ11" s="114"/>
      <c r="AAR11" s="114"/>
      <c r="AAS11" s="114"/>
      <c r="AAT11" s="114"/>
      <c r="AAU11" s="114"/>
      <c r="AAV11" s="114"/>
      <c r="AAW11" s="114"/>
      <c r="AAX11" s="114"/>
      <c r="AAY11" s="114"/>
      <c r="AAZ11" s="114"/>
      <c r="ABA11" s="114"/>
      <c r="ABB11" s="114"/>
      <c r="ABC11" s="114"/>
      <c r="ABD11" s="114"/>
      <c r="ABE11" s="114"/>
      <c r="ABF11" s="114"/>
      <c r="ABG11" s="114"/>
      <c r="ABH11" s="114"/>
      <c r="ABI11" s="114"/>
      <c r="ABJ11" s="114"/>
      <c r="ABK11" s="114"/>
      <c r="ABL11" s="114"/>
      <c r="ABM11" s="114"/>
      <c r="ABN11" s="114"/>
      <c r="ABO11" s="114"/>
      <c r="ABP11" s="114"/>
      <c r="ABQ11" s="114"/>
      <c r="ABR11" s="114"/>
      <c r="ABS11" s="114"/>
      <c r="ABT11" s="114"/>
      <c r="ABU11" s="114"/>
      <c r="ABV11" s="114"/>
      <c r="ABW11" s="114"/>
      <c r="ABX11" s="114"/>
      <c r="ABY11" s="114"/>
      <c r="ABZ11" s="114"/>
      <c r="ACA11" s="114"/>
      <c r="ACB11" s="114"/>
      <c r="ACC11" s="114"/>
      <c r="ACD11" s="114"/>
      <c r="ACE11" s="114"/>
      <c r="ACF11" s="114"/>
      <c r="ACG11" s="114"/>
      <c r="ACH11" s="114"/>
      <c r="ACI11" s="114"/>
      <c r="ACJ11" s="114"/>
      <c r="ACK11" s="114"/>
      <c r="ACL11" s="114"/>
      <c r="ACM11" s="114"/>
      <c r="ACN11" s="114"/>
      <c r="ACO11" s="114"/>
      <c r="ACP11" s="114"/>
      <c r="ACQ11" s="114"/>
      <c r="ACR11" s="114"/>
      <c r="ACS11" s="114"/>
      <c r="ACT11" s="114"/>
      <c r="ACU11" s="114"/>
      <c r="ACV11" s="114"/>
      <c r="ACW11" s="114"/>
      <c r="ACX11" s="114"/>
      <c r="ACY11" s="114"/>
      <c r="ACZ11" s="114"/>
      <c r="ADA11" s="114"/>
      <c r="ADB11" s="114"/>
      <c r="ADC11" s="114"/>
      <c r="ADD11" s="114"/>
      <c r="ADE11" s="114"/>
      <c r="ADF11" s="114"/>
      <c r="ADG11" s="114"/>
      <c r="ADH11" s="114"/>
      <c r="ADI11" s="114"/>
      <c r="ADJ11" s="114"/>
      <c r="ADK11" s="114"/>
      <c r="ADL11" s="114"/>
      <c r="ADM11" s="114"/>
      <c r="ADN11" s="114"/>
      <c r="ADO11" s="114"/>
      <c r="ADP11" s="114"/>
      <c r="ADQ11" s="114"/>
      <c r="ADR11" s="114"/>
      <c r="ADS11" s="114"/>
      <c r="ADT11" s="114"/>
      <c r="ADU11" s="114"/>
      <c r="ADV11" s="114"/>
      <c r="ADW11" s="114"/>
      <c r="ADX11" s="114"/>
      <c r="ADY11" s="114"/>
      <c r="ADZ11" s="114"/>
      <c r="AEA11" s="114"/>
      <c r="AEB11" s="114"/>
      <c r="AEC11" s="114"/>
      <c r="AED11" s="114"/>
      <c r="AEE11" s="114"/>
      <c r="AEF11" s="114"/>
      <c r="AEG11" s="114"/>
      <c r="AEH11" s="114"/>
      <c r="AEI11" s="114"/>
      <c r="AEJ11" s="114"/>
      <c r="AEK11" s="114"/>
      <c r="AEL11" s="114"/>
      <c r="AEM11" s="114"/>
      <c r="AEN11" s="114"/>
      <c r="AEO11" s="114"/>
      <c r="AEP11" s="114"/>
      <c r="AEQ11" s="114"/>
      <c r="AER11" s="114"/>
      <c r="AES11" s="114"/>
      <c r="AET11" s="114"/>
      <c r="AEU11" s="114"/>
      <c r="AEV11" s="114"/>
      <c r="AEW11" s="114"/>
      <c r="AEX11" s="114"/>
      <c r="AEY11" s="114"/>
      <c r="AEZ11" s="114"/>
      <c r="AFA11" s="114"/>
      <c r="AFB11" s="114"/>
      <c r="AFC11" s="114"/>
      <c r="AFD11" s="114"/>
      <c r="AFE11" s="114"/>
      <c r="AFF11" s="114"/>
      <c r="AFG11" s="114"/>
      <c r="AFH11" s="114"/>
      <c r="AFI11" s="114"/>
      <c r="AFJ11" s="114"/>
      <c r="AFK11" s="114"/>
      <c r="AFL11" s="114"/>
      <c r="AFM11" s="114"/>
      <c r="AFN11" s="114"/>
      <c r="AFO11" s="114"/>
      <c r="AFP11" s="114"/>
      <c r="AFQ11" s="114"/>
      <c r="AFR11" s="114"/>
      <c r="AFS11" s="114"/>
      <c r="AFT11" s="114"/>
      <c r="AFU11" s="114"/>
      <c r="AFV11" s="114"/>
      <c r="AFW11" s="114"/>
      <c r="AFX11" s="114"/>
      <c r="AFY11" s="114"/>
      <c r="AFZ11" s="114"/>
      <c r="AGA11" s="114"/>
      <c r="AGB11" s="114"/>
      <c r="AGC11" s="114"/>
      <c r="AGD11" s="114"/>
      <c r="AGE11" s="114"/>
      <c r="AGF11" s="114"/>
      <c r="AGG11" s="114"/>
      <c r="AGH11" s="114"/>
      <c r="AGI11" s="114"/>
      <c r="AGJ11" s="114"/>
      <c r="AGK11" s="114"/>
      <c r="AGL11" s="114"/>
      <c r="AGM11" s="114"/>
      <c r="AGN11" s="114"/>
      <c r="AGO11" s="114"/>
      <c r="AGP11" s="114"/>
      <c r="AGQ11" s="114"/>
      <c r="AGR11" s="114"/>
      <c r="AGS11" s="114"/>
      <c r="AGT11" s="114"/>
      <c r="AGU11" s="114"/>
      <c r="AGV11" s="114"/>
      <c r="AGW11" s="114"/>
      <c r="AGX11" s="114"/>
      <c r="AGY11" s="114"/>
      <c r="AGZ11" s="114"/>
      <c r="AHA11" s="114"/>
      <c r="AHB11" s="114"/>
      <c r="AHC11" s="114"/>
      <c r="AHD11" s="114"/>
      <c r="AHE11" s="114"/>
      <c r="AHF11" s="114"/>
      <c r="AHG11" s="114"/>
      <c r="AHH11" s="114"/>
      <c r="AHI11" s="114"/>
      <c r="AHJ11" s="114"/>
      <c r="AHK11" s="114"/>
      <c r="AHL11" s="114"/>
      <c r="AHM11" s="114"/>
      <c r="AHN11" s="114"/>
      <c r="AHO11" s="114"/>
      <c r="AHP11" s="114"/>
      <c r="AHQ11" s="114"/>
      <c r="AHR11" s="114"/>
      <c r="AHS11" s="114"/>
      <c r="AHT11" s="114"/>
      <c r="AHU11" s="114"/>
      <c r="AHV11" s="114"/>
      <c r="AHW11" s="114"/>
      <c r="AHX11" s="114"/>
      <c r="AHY11" s="114"/>
      <c r="AHZ11" s="114"/>
      <c r="AIA11" s="114"/>
      <c r="AIB11" s="114"/>
      <c r="AIC11" s="114"/>
      <c r="AID11" s="114"/>
      <c r="AIE11" s="114"/>
      <c r="AIF11" s="114"/>
      <c r="AIG11" s="114"/>
      <c r="AIH11" s="114"/>
      <c r="AII11" s="114"/>
      <c r="AIJ11" s="114"/>
      <c r="AIK11" s="114"/>
      <c r="AIL11" s="114"/>
      <c r="AIM11" s="114"/>
      <c r="AIN11" s="114"/>
      <c r="AIO11" s="114"/>
      <c r="AIP11" s="114"/>
      <c r="AIQ11" s="114"/>
      <c r="AIR11" s="114"/>
      <c r="AIS11" s="114"/>
      <c r="AIT11" s="114"/>
      <c r="AIU11" s="114"/>
      <c r="AIV11" s="114"/>
      <c r="AIW11" s="114"/>
      <c r="AIX11" s="114"/>
      <c r="AIY11" s="114"/>
      <c r="AIZ11" s="114"/>
      <c r="AJA11" s="114"/>
      <c r="AJB11" s="114"/>
      <c r="AJC11" s="114"/>
      <c r="AJD11" s="114"/>
      <c r="AJE11" s="114"/>
      <c r="AJF11" s="114"/>
      <c r="AJG11" s="114"/>
      <c r="AJH11" s="114"/>
      <c r="AJI11" s="114"/>
      <c r="AJJ11" s="114"/>
      <c r="AJK11" s="114"/>
      <c r="AJL11" s="114"/>
      <c r="AJM11" s="114"/>
      <c r="AJN11" s="114"/>
      <c r="AJO11" s="114"/>
      <c r="AJP11" s="114"/>
      <c r="AJQ11" s="114"/>
      <c r="AJR11" s="114"/>
      <c r="AJS11" s="114"/>
      <c r="AJT11" s="114"/>
      <c r="AJU11" s="114"/>
      <c r="AJV11" s="114"/>
      <c r="AJW11" s="114"/>
      <c r="AJX11" s="114"/>
      <c r="AJY11" s="114"/>
      <c r="AJZ11" s="114"/>
      <c r="AKA11" s="114"/>
      <c r="AKB11" s="114"/>
      <c r="AKC11" s="114"/>
      <c r="AKD11" s="114"/>
      <c r="AKE11" s="114"/>
      <c r="AKF11" s="114"/>
      <c r="AKG11" s="114"/>
      <c r="AKH11" s="114"/>
      <c r="AKI11" s="114"/>
      <c r="AKJ11" s="114"/>
      <c r="AKK11" s="114"/>
      <c r="AKL11" s="114"/>
    </row>
    <row r="12" spans="1:974" s="115" customFormat="1" ht="15" customHeight="1" x14ac:dyDescent="0.3">
      <c r="A12" s="158"/>
      <c r="B12" s="159"/>
      <c r="C12" s="463"/>
      <c r="D12" s="464" t="s">
        <v>2829</v>
      </c>
      <c r="E12" s="465"/>
      <c r="F12" s="466"/>
      <c r="G12" s="127">
        <f>SUM(G11)</f>
        <v>10000</v>
      </c>
      <c r="H12" s="114"/>
      <c r="I12" s="114"/>
      <c r="J12" s="114"/>
      <c r="K12" s="114"/>
      <c r="L12" s="114"/>
      <c r="M12" s="114"/>
      <c r="N12" s="114"/>
      <c r="O12" s="114"/>
      <c r="P12" s="114"/>
      <c r="Q12" s="114"/>
      <c r="R12" s="114"/>
      <c r="S12" s="114"/>
      <c r="T12" s="114"/>
      <c r="U12" s="114"/>
      <c r="V12" s="114"/>
      <c r="W12" s="114"/>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4"/>
      <c r="AY12" s="114"/>
      <c r="AZ12" s="114"/>
      <c r="BA12" s="114"/>
      <c r="BB12" s="114"/>
      <c r="BC12" s="114"/>
      <c r="BD12" s="114"/>
      <c r="BE12" s="114"/>
      <c r="BF12" s="114"/>
      <c r="BG12" s="114"/>
      <c r="BH12" s="114"/>
      <c r="BI12" s="114"/>
      <c r="BJ12" s="114"/>
      <c r="BK12" s="114"/>
      <c r="BL12" s="114"/>
      <c r="BM12" s="114"/>
      <c r="BN12" s="114"/>
      <c r="BO12" s="114"/>
      <c r="BP12" s="114"/>
      <c r="BQ12" s="114"/>
      <c r="BR12" s="114"/>
      <c r="BS12" s="114"/>
      <c r="BT12" s="114"/>
      <c r="BU12" s="114"/>
      <c r="BV12" s="114"/>
      <c r="BW12" s="114"/>
      <c r="BX12" s="114"/>
      <c r="BY12" s="114"/>
      <c r="BZ12" s="114"/>
      <c r="CA12" s="114"/>
      <c r="CB12" s="114"/>
      <c r="CC12" s="114"/>
      <c r="CD12" s="114"/>
      <c r="CE12" s="114"/>
      <c r="CF12" s="114"/>
      <c r="CG12" s="114"/>
      <c r="CH12" s="114"/>
      <c r="CI12" s="114"/>
      <c r="CJ12" s="114"/>
      <c r="CK12" s="114"/>
      <c r="CL12" s="114"/>
      <c r="CM12" s="114"/>
      <c r="CN12" s="114"/>
      <c r="CO12" s="114"/>
      <c r="CP12" s="114"/>
      <c r="CQ12" s="114"/>
      <c r="CR12" s="114"/>
      <c r="CS12" s="114"/>
      <c r="CT12" s="114"/>
      <c r="CU12" s="114"/>
      <c r="CV12" s="114"/>
      <c r="CW12" s="114"/>
      <c r="CX12" s="114"/>
      <c r="CY12" s="114"/>
      <c r="CZ12" s="114"/>
      <c r="DA12" s="114"/>
      <c r="DB12" s="114"/>
      <c r="DC12" s="114"/>
      <c r="DD12" s="114"/>
      <c r="DE12" s="114"/>
      <c r="DF12" s="114"/>
      <c r="DG12" s="114"/>
      <c r="DH12" s="114"/>
      <c r="DI12" s="114"/>
      <c r="DJ12" s="114"/>
      <c r="DK12" s="114"/>
      <c r="DL12" s="114"/>
      <c r="DM12" s="114"/>
      <c r="DN12" s="114"/>
      <c r="DO12" s="114"/>
      <c r="DP12" s="114"/>
      <c r="DQ12" s="114"/>
      <c r="DR12" s="114"/>
      <c r="DS12" s="114"/>
      <c r="DT12" s="114"/>
      <c r="DU12" s="114"/>
      <c r="DV12" s="114"/>
      <c r="DW12" s="114"/>
      <c r="DX12" s="114"/>
      <c r="DY12" s="114"/>
      <c r="DZ12" s="114"/>
      <c r="EA12" s="114"/>
      <c r="EB12" s="114"/>
      <c r="EC12" s="114"/>
      <c r="ED12" s="114"/>
      <c r="EE12" s="114"/>
      <c r="EF12" s="114"/>
      <c r="EG12" s="114"/>
      <c r="EH12" s="114"/>
      <c r="EI12" s="114"/>
      <c r="EJ12" s="114"/>
      <c r="EK12" s="114"/>
      <c r="EL12" s="114"/>
      <c r="EM12" s="114"/>
      <c r="EN12" s="114"/>
      <c r="EO12" s="114"/>
      <c r="EP12" s="114"/>
      <c r="EQ12" s="114"/>
      <c r="ER12" s="114"/>
      <c r="ES12" s="114"/>
      <c r="ET12" s="114"/>
      <c r="EU12" s="114"/>
      <c r="EV12" s="114"/>
      <c r="EW12" s="114"/>
      <c r="EX12" s="114"/>
      <c r="EY12" s="114"/>
      <c r="EZ12" s="114"/>
      <c r="FA12" s="114"/>
      <c r="FB12" s="114"/>
      <c r="FC12" s="114"/>
      <c r="FD12" s="114"/>
      <c r="FE12" s="114"/>
      <c r="FF12" s="114"/>
      <c r="FG12" s="114"/>
      <c r="FH12" s="114"/>
      <c r="FI12" s="114"/>
      <c r="FJ12" s="114"/>
      <c r="FK12" s="114"/>
      <c r="FL12" s="114"/>
      <c r="FM12" s="114"/>
      <c r="FN12" s="114"/>
      <c r="FO12" s="114"/>
      <c r="FP12" s="114"/>
      <c r="FQ12" s="114"/>
      <c r="FR12" s="114"/>
      <c r="FS12" s="114"/>
      <c r="FT12" s="114"/>
      <c r="FU12" s="114"/>
      <c r="FV12" s="114"/>
      <c r="FW12" s="114"/>
      <c r="FX12" s="114"/>
      <c r="FY12" s="114"/>
      <c r="FZ12" s="114"/>
      <c r="GA12" s="114"/>
      <c r="GB12" s="114"/>
      <c r="GC12" s="114"/>
      <c r="GD12" s="114"/>
      <c r="GE12" s="114"/>
      <c r="GF12" s="114"/>
      <c r="GG12" s="114"/>
      <c r="GH12" s="114"/>
      <c r="GI12" s="114"/>
      <c r="GJ12" s="114"/>
      <c r="GK12" s="114"/>
      <c r="GL12" s="114"/>
      <c r="GM12" s="114"/>
      <c r="GN12" s="114"/>
      <c r="GO12" s="114"/>
      <c r="GP12" s="114"/>
      <c r="GQ12" s="114"/>
      <c r="GR12" s="114"/>
      <c r="GS12" s="114"/>
      <c r="GT12" s="114"/>
      <c r="GU12" s="114"/>
      <c r="GV12" s="114"/>
      <c r="GW12" s="114"/>
      <c r="GX12" s="114"/>
      <c r="GY12" s="114"/>
      <c r="GZ12" s="114"/>
      <c r="HA12" s="114"/>
      <c r="HB12" s="114"/>
      <c r="HC12" s="114"/>
      <c r="HD12" s="114"/>
      <c r="HE12" s="114"/>
      <c r="HF12" s="114"/>
      <c r="HG12" s="114"/>
      <c r="HH12" s="114"/>
      <c r="HI12" s="114"/>
      <c r="HJ12" s="114"/>
      <c r="HK12" s="114"/>
      <c r="HL12" s="114"/>
      <c r="HM12" s="114"/>
      <c r="HN12" s="114"/>
      <c r="HO12" s="114"/>
      <c r="HP12" s="114"/>
      <c r="HQ12" s="114"/>
      <c r="HR12" s="114"/>
      <c r="HS12" s="114"/>
      <c r="HT12" s="114"/>
      <c r="HU12" s="114"/>
      <c r="HV12" s="114"/>
      <c r="HW12" s="114"/>
      <c r="HX12" s="114"/>
      <c r="HY12" s="114"/>
      <c r="HZ12" s="114"/>
      <c r="IA12" s="114"/>
      <c r="IB12" s="114"/>
      <c r="IC12" s="114"/>
      <c r="ID12" s="114"/>
      <c r="IE12" s="114"/>
      <c r="IF12" s="114"/>
      <c r="IG12" s="114"/>
      <c r="IH12" s="114"/>
      <c r="II12" s="114"/>
      <c r="IJ12" s="114"/>
      <c r="IK12" s="114"/>
      <c r="IL12" s="114"/>
      <c r="IM12" s="114"/>
      <c r="IN12" s="114"/>
      <c r="IO12" s="114"/>
      <c r="IP12" s="114"/>
      <c r="IQ12" s="114"/>
      <c r="IR12" s="114"/>
      <c r="IS12" s="114"/>
      <c r="IT12" s="114"/>
      <c r="IU12" s="114"/>
      <c r="IV12" s="114"/>
      <c r="IW12" s="114"/>
      <c r="IX12" s="114"/>
      <c r="IY12" s="114"/>
      <c r="IZ12" s="114"/>
      <c r="JA12" s="114"/>
      <c r="JB12" s="114"/>
      <c r="JC12" s="114"/>
      <c r="JD12" s="114"/>
      <c r="JE12" s="114"/>
      <c r="JF12" s="114"/>
      <c r="JG12" s="114"/>
      <c r="JH12" s="114"/>
      <c r="JI12" s="114"/>
      <c r="JJ12" s="114"/>
      <c r="JK12" s="114"/>
      <c r="JL12" s="114"/>
      <c r="JM12" s="114"/>
      <c r="JN12" s="114"/>
      <c r="JO12" s="114"/>
      <c r="JP12" s="114"/>
      <c r="JQ12" s="114"/>
      <c r="JR12" s="114"/>
      <c r="JS12" s="114"/>
      <c r="JT12" s="114"/>
      <c r="JU12" s="114"/>
      <c r="JV12" s="114"/>
      <c r="JW12" s="114"/>
      <c r="JX12" s="114"/>
      <c r="JY12" s="114"/>
      <c r="JZ12" s="114"/>
      <c r="KA12" s="114"/>
      <c r="KB12" s="114"/>
      <c r="KC12" s="114"/>
      <c r="KD12" s="114"/>
      <c r="KE12" s="114"/>
      <c r="KF12" s="114"/>
      <c r="KG12" s="114"/>
      <c r="KH12" s="114"/>
      <c r="KI12" s="114"/>
      <c r="KJ12" s="114"/>
      <c r="KK12" s="114"/>
      <c r="KL12" s="114"/>
      <c r="KM12" s="114"/>
      <c r="KN12" s="114"/>
      <c r="KO12" s="114"/>
      <c r="KP12" s="114"/>
      <c r="KQ12" s="114"/>
      <c r="KR12" s="114"/>
      <c r="KS12" s="114"/>
      <c r="KT12" s="114"/>
      <c r="KU12" s="114"/>
      <c r="KV12" s="114"/>
      <c r="KW12" s="114"/>
      <c r="KX12" s="114"/>
      <c r="KY12" s="114"/>
      <c r="KZ12" s="114"/>
      <c r="LA12" s="114"/>
      <c r="LB12" s="114"/>
      <c r="LC12" s="114"/>
      <c r="LD12" s="114"/>
      <c r="LE12" s="114"/>
      <c r="LF12" s="114"/>
      <c r="LG12" s="114"/>
      <c r="LH12" s="114"/>
      <c r="LI12" s="114"/>
      <c r="LJ12" s="114"/>
      <c r="LK12" s="114"/>
      <c r="LL12" s="114"/>
      <c r="LM12" s="114"/>
      <c r="LN12" s="114"/>
      <c r="LO12" s="114"/>
      <c r="LP12" s="114"/>
      <c r="LQ12" s="114"/>
      <c r="LR12" s="114"/>
      <c r="LS12" s="114"/>
      <c r="LT12" s="114"/>
      <c r="LU12" s="114"/>
      <c r="LV12" s="114"/>
      <c r="LW12" s="114"/>
      <c r="LX12" s="114"/>
      <c r="LY12" s="114"/>
      <c r="LZ12" s="114"/>
      <c r="MA12" s="114"/>
      <c r="MB12" s="114"/>
      <c r="MC12" s="114"/>
      <c r="MD12" s="114"/>
      <c r="ME12" s="114"/>
      <c r="MF12" s="114"/>
      <c r="MG12" s="114"/>
      <c r="MH12" s="114"/>
      <c r="MI12" s="114"/>
      <c r="MJ12" s="114"/>
      <c r="MK12" s="114"/>
      <c r="ML12" s="114"/>
      <c r="MM12" s="114"/>
      <c r="MN12" s="114"/>
      <c r="MO12" s="114"/>
      <c r="MP12" s="114"/>
      <c r="MQ12" s="114"/>
      <c r="MR12" s="114"/>
      <c r="MS12" s="114"/>
      <c r="MT12" s="114"/>
      <c r="MU12" s="114"/>
      <c r="MV12" s="114"/>
      <c r="MW12" s="114"/>
      <c r="MX12" s="114"/>
      <c r="MY12" s="114"/>
      <c r="MZ12" s="114"/>
      <c r="NA12" s="114"/>
      <c r="NB12" s="114"/>
      <c r="NC12" s="114"/>
      <c r="ND12" s="114"/>
      <c r="NE12" s="114"/>
      <c r="NF12" s="114"/>
      <c r="NG12" s="114"/>
      <c r="NH12" s="114"/>
      <c r="NI12" s="114"/>
      <c r="NJ12" s="114"/>
      <c r="NK12" s="114"/>
      <c r="NL12" s="114"/>
      <c r="NM12" s="114"/>
      <c r="NN12" s="114"/>
      <c r="NO12" s="114"/>
      <c r="NP12" s="114"/>
      <c r="NQ12" s="114"/>
      <c r="NR12" s="114"/>
      <c r="NS12" s="114"/>
      <c r="NT12" s="114"/>
      <c r="NU12" s="114"/>
      <c r="NV12" s="114"/>
      <c r="NW12" s="114"/>
      <c r="NX12" s="114"/>
      <c r="NY12" s="114"/>
      <c r="NZ12" s="114"/>
      <c r="OA12" s="114"/>
      <c r="OB12" s="114"/>
      <c r="OC12" s="114"/>
      <c r="OD12" s="114"/>
      <c r="OE12" s="114"/>
      <c r="OF12" s="114"/>
      <c r="OG12" s="114"/>
      <c r="OH12" s="114"/>
      <c r="OI12" s="114"/>
      <c r="OJ12" s="114"/>
      <c r="OK12" s="114"/>
      <c r="OL12" s="114"/>
      <c r="OM12" s="114"/>
      <c r="ON12" s="114"/>
      <c r="OO12" s="114"/>
      <c r="OP12" s="114"/>
      <c r="OQ12" s="114"/>
      <c r="OR12" s="114"/>
      <c r="OS12" s="114"/>
      <c r="OT12" s="114"/>
      <c r="OU12" s="114"/>
      <c r="OV12" s="114"/>
      <c r="OW12" s="114"/>
      <c r="OX12" s="114"/>
      <c r="OY12" s="114"/>
      <c r="OZ12" s="114"/>
      <c r="PA12" s="114"/>
      <c r="PB12" s="114"/>
      <c r="PC12" s="114"/>
      <c r="PD12" s="114"/>
      <c r="PE12" s="114"/>
      <c r="PF12" s="114"/>
      <c r="PG12" s="114"/>
      <c r="PH12" s="114"/>
      <c r="PI12" s="114"/>
      <c r="PJ12" s="114"/>
      <c r="PK12" s="114"/>
      <c r="PL12" s="114"/>
      <c r="PM12" s="114"/>
      <c r="PN12" s="114"/>
      <c r="PO12" s="114"/>
      <c r="PP12" s="114"/>
      <c r="PQ12" s="114"/>
      <c r="PR12" s="114"/>
      <c r="PS12" s="114"/>
      <c r="PT12" s="114"/>
      <c r="PU12" s="114"/>
      <c r="PV12" s="114"/>
      <c r="PW12" s="114"/>
      <c r="PX12" s="114"/>
      <c r="PY12" s="114"/>
      <c r="PZ12" s="114"/>
      <c r="QA12" s="114"/>
      <c r="QB12" s="114"/>
      <c r="QC12" s="114"/>
      <c r="QD12" s="114"/>
      <c r="QE12" s="114"/>
      <c r="QF12" s="114"/>
      <c r="QG12" s="114"/>
      <c r="QH12" s="114"/>
      <c r="QI12" s="114"/>
      <c r="QJ12" s="114"/>
      <c r="QK12" s="114"/>
      <c r="QL12" s="114"/>
      <c r="QM12" s="114"/>
      <c r="QN12" s="114"/>
      <c r="QO12" s="114"/>
      <c r="QP12" s="114"/>
      <c r="QQ12" s="114"/>
      <c r="QR12" s="114"/>
      <c r="QS12" s="114"/>
      <c r="QT12" s="114"/>
      <c r="QU12" s="114"/>
      <c r="QV12" s="114"/>
      <c r="QW12" s="114"/>
      <c r="QX12" s="114"/>
      <c r="QY12" s="114"/>
      <c r="QZ12" s="114"/>
      <c r="RA12" s="114"/>
      <c r="RB12" s="114"/>
      <c r="RC12" s="114"/>
      <c r="RD12" s="114"/>
      <c r="RE12" s="114"/>
      <c r="RF12" s="114"/>
      <c r="RG12" s="114"/>
      <c r="RH12" s="114"/>
      <c r="RI12" s="114"/>
      <c r="RJ12" s="114"/>
      <c r="RK12" s="114"/>
      <c r="RL12" s="114"/>
      <c r="RM12" s="114"/>
      <c r="RN12" s="114"/>
      <c r="RO12" s="114"/>
      <c r="RP12" s="114"/>
      <c r="RQ12" s="114"/>
      <c r="RR12" s="114"/>
      <c r="RS12" s="114"/>
      <c r="RT12" s="114"/>
      <c r="RU12" s="114"/>
      <c r="RV12" s="114"/>
      <c r="RW12" s="114"/>
      <c r="RX12" s="114"/>
      <c r="RY12" s="114"/>
      <c r="RZ12" s="114"/>
      <c r="SA12" s="114"/>
      <c r="SB12" s="114"/>
      <c r="SC12" s="114"/>
      <c r="SD12" s="114"/>
      <c r="SE12" s="114"/>
      <c r="SF12" s="114"/>
      <c r="SG12" s="114"/>
      <c r="SH12" s="114"/>
      <c r="SI12" s="114"/>
      <c r="SJ12" s="114"/>
      <c r="SK12" s="114"/>
      <c r="SL12" s="114"/>
      <c r="SM12" s="114"/>
      <c r="SN12" s="114"/>
      <c r="SO12" s="114"/>
      <c r="SP12" s="114"/>
      <c r="SQ12" s="114"/>
      <c r="SR12" s="114"/>
      <c r="SS12" s="114"/>
      <c r="ST12" s="114"/>
      <c r="SU12" s="114"/>
      <c r="SV12" s="114"/>
      <c r="SW12" s="114"/>
      <c r="SX12" s="114"/>
      <c r="SY12" s="114"/>
      <c r="SZ12" s="114"/>
      <c r="TA12" s="114"/>
      <c r="TB12" s="114"/>
      <c r="TC12" s="114"/>
      <c r="TD12" s="114"/>
      <c r="TE12" s="114"/>
      <c r="TF12" s="114"/>
      <c r="TG12" s="114"/>
      <c r="TH12" s="114"/>
      <c r="TI12" s="114"/>
      <c r="TJ12" s="114"/>
      <c r="TK12" s="114"/>
      <c r="TL12" s="114"/>
      <c r="TM12" s="114"/>
      <c r="TN12" s="114"/>
      <c r="TO12" s="114"/>
      <c r="TP12" s="114"/>
      <c r="TQ12" s="114"/>
      <c r="TR12" s="114"/>
      <c r="TS12" s="114"/>
      <c r="TT12" s="114"/>
      <c r="TU12" s="114"/>
      <c r="TV12" s="114"/>
      <c r="TW12" s="114"/>
      <c r="TX12" s="114"/>
      <c r="TY12" s="114"/>
      <c r="TZ12" s="114"/>
      <c r="UA12" s="114"/>
      <c r="UB12" s="114"/>
      <c r="UC12" s="114"/>
      <c r="UD12" s="114"/>
      <c r="UE12" s="114"/>
      <c r="UF12" s="114"/>
      <c r="UG12" s="114"/>
      <c r="UH12" s="114"/>
      <c r="UI12" s="114"/>
      <c r="UJ12" s="114"/>
      <c r="UK12" s="114"/>
      <c r="UL12" s="114"/>
      <c r="UM12" s="114"/>
      <c r="UN12" s="114"/>
      <c r="UO12" s="114"/>
      <c r="UP12" s="114"/>
      <c r="UQ12" s="114"/>
      <c r="UR12" s="114"/>
      <c r="US12" s="114"/>
      <c r="UT12" s="114"/>
      <c r="UU12" s="114"/>
      <c r="UV12" s="114"/>
      <c r="UW12" s="114"/>
      <c r="UX12" s="114"/>
      <c r="UY12" s="114"/>
      <c r="UZ12" s="114"/>
      <c r="VA12" s="114"/>
      <c r="VB12" s="114"/>
      <c r="VC12" s="114"/>
      <c r="VD12" s="114"/>
      <c r="VE12" s="114"/>
      <c r="VF12" s="114"/>
      <c r="VG12" s="114"/>
      <c r="VH12" s="114"/>
      <c r="VI12" s="114"/>
      <c r="VJ12" s="114"/>
      <c r="VK12" s="114"/>
      <c r="VL12" s="114"/>
      <c r="VM12" s="114"/>
      <c r="VN12" s="114"/>
      <c r="VO12" s="114"/>
      <c r="VP12" s="114"/>
      <c r="VQ12" s="114"/>
      <c r="VR12" s="114"/>
      <c r="VS12" s="114"/>
      <c r="VT12" s="114"/>
      <c r="VU12" s="114"/>
      <c r="VV12" s="114"/>
      <c r="VW12" s="114"/>
      <c r="VX12" s="114"/>
      <c r="VY12" s="114"/>
      <c r="VZ12" s="114"/>
      <c r="WA12" s="114"/>
      <c r="WB12" s="114"/>
      <c r="WC12" s="114"/>
      <c r="WD12" s="114"/>
      <c r="WE12" s="114"/>
      <c r="WF12" s="114"/>
      <c r="WG12" s="114"/>
      <c r="WH12" s="114"/>
      <c r="WI12" s="114"/>
      <c r="WJ12" s="114"/>
      <c r="WK12" s="114"/>
      <c r="WL12" s="114"/>
      <c r="WM12" s="114"/>
      <c r="WN12" s="114"/>
      <c r="WO12" s="114"/>
      <c r="WP12" s="114"/>
      <c r="WQ12" s="114"/>
      <c r="WR12" s="114"/>
      <c r="WS12" s="114"/>
      <c r="WT12" s="114"/>
      <c r="WU12" s="114"/>
      <c r="WV12" s="114"/>
      <c r="WW12" s="114"/>
      <c r="WX12" s="114"/>
      <c r="WY12" s="114"/>
      <c r="WZ12" s="114"/>
      <c r="XA12" s="114"/>
      <c r="XB12" s="114"/>
      <c r="XC12" s="114"/>
      <c r="XD12" s="114"/>
      <c r="XE12" s="114"/>
      <c r="XF12" s="114"/>
      <c r="XG12" s="114"/>
      <c r="XH12" s="114"/>
      <c r="XI12" s="114"/>
      <c r="XJ12" s="114"/>
      <c r="XK12" s="114"/>
      <c r="XL12" s="114"/>
      <c r="XM12" s="114"/>
      <c r="XN12" s="114"/>
      <c r="XO12" s="114"/>
      <c r="XP12" s="114"/>
      <c r="XQ12" s="114"/>
      <c r="XR12" s="114"/>
      <c r="XS12" s="114"/>
      <c r="XT12" s="114"/>
      <c r="XU12" s="114"/>
      <c r="XV12" s="114"/>
      <c r="XW12" s="114"/>
      <c r="XX12" s="114"/>
      <c r="XY12" s="114"/>
      <c r="XZ12" s="114"/>
      <c r="YA12" s="114"/>
      <c r="YB12" s="114"/>
      <c r="YC12" s="114"/>
      <c r="YD12" s="114"/>
      <c r="YE12" s="114"/>
      <c r="YF12" s="114"/>
      <c r="YG12" s="114"/>
      <c r="YH12" s="114"/>
      <c r="YI12" s="114"/>
      <c r="YJ12" s="114"/>
      <c r="YK12" s="114"/>
      <c r="YL12" s="114"/>
      <c r="YM12" s="114"/>
      <c r="YN12" s="114"/>
      <c r="YO12" s="114"/>
      <c r="YP12" s="114"/>
      <c r="YQ12" s="114"/>
      <c r="YR12" s="114"/>
      <c r="YS12" s="114"/>
      <c r="YT12" s="114"/>
      <c r="YU12" s="114"/>
      <c r="YV12" s="114"/>
      <c r="YW12" s="114"/>
      <c r="YX12" s="114"/>
      <c r="YY12" s="114"/>
      <c r="YZ12" s="114"/>
      <c r="ZA12" s="114"/>
      <c r="ZB12" s="114"/>
      <c r="ZC12" s="114"/>
      <c r="ZD12" s="114"/>
      <c r="ZE12" s="114"/>
      <c r="ZF12" s="114"/>
      <c r="ZG12" s="114"/>
      <c r="ZH12" s="114"/>
      <c r="ZI12" s="114"/>
      <c r="ZJ12" s="114"/>
      <c r="ZK12" s="114"/>
      <c r="ZL12" s="114"/>
      <c r="ZM12" s="114"/>
      <c r="ZN12" s="114"/>
      <c r="ZO12" s="114"/>
      <c r="ZP12" s="114"/>
      <c r="ZQ12" s="114"/>
      <c r="ZR12" s="114"/>
      <c r="ZS12" s="114"/>
      <c r="ZT12" s="114"/>
      <c r="ZU12" s="114"/>
      <c r="ZV12" s="114"/>
      <c r="ZW12" s="114"/>
      <c r="ZX12" s="114"/>
      <c r="ZY12" s="114"/>
      <c r="ZZ12" s="114"/>
      <c r="AAA12" s="114"/>
      <c r="AAB12" s="114"/>
      <c r="AAC12" s="114"/>
      <c r="AAD12" s="114"/>
      <c r="AAE12" s="114"/>
      <c r="AAF12" s="114"/>
      <c r="AAG12" s="114"/>
      <c r="AAH12" s="114"/>
      <c r="AAI12" s="114"/>
      <c r="AAJ12" s="114"/>
      <c r="AAK12" s="114"/>
      <c r="AAL12" s="114"/>
      <c r="AAM12" s="114"/>
      <c r="AAN12" s="114"/>
      <c r="AAO12" s="114"/>
      <c r="AAP12" s="114"/>
      <c r="AAQ12" s="114"/>
      <c r="AAR12" s="114"/>
      <c r="AAS12" s="114"/>
      <c r="AAT12" s="114"/>
      <c r="AAU12" s="114"/>
      <c r="AAV12" s="114"/>
      <c r="AAW12" s="114"/>
      <c r="AAX12" s="114"/>
      <c r="AAY12" s="114"/>
      <c r="AAZ12" s="114"/>
      <c r="ABA12" s="114"/>
      <c r="ABB12" s="114"/>
      <c r="ABC12" s="114"/>
      <c r="ABD12" s="114"/>
      <c r="ABE12" s="114"/>
      <c r="ABF12" s="114"/>
      <c r="ABG12" s="114"/>
      <c r="ABH12" s="114"/>
      <c r="ABI12" s="114"/>
      <c r="ABJ12" s="114"/>
      <c r="ABK12" s="114"/>
      <c r="ABL12" s="114"/>
      <c r="ABM12" s="114"/>
      <c r="ABN12" s="114"/>
      <c r="ABO12" s="114"/>
      <c r="ABP12" s="114"/>
      <c r="ABQ12" s="114"/>
      <c r="ABR12" s="114"/>
      <c r="ABS12" s="114"/>
      <c r="ABT12" s="114"/>
      <c r="ABU12" s="114"/>
      <c r="ABV12" s="114"/>
      <c r="ABW12" s="114"/>
      <c r="ABX12" s="114"/>
      <c r="ABY12" s="114"/>
      <c r="ABZ12" s="114"/>
      <c r="ACA12" s="114"/>
      <c r="ACB12" s="114"/>
      <c r="ACC12" s="114"/>
      <c r="ACD12" s="114"/>
      <c r="ACE12" s="114"/>
      <c r="ACF12" s="114"/>
      <c r="ACG12" s="114"/>
      <c r="ACH12" s="114"/>
      <c r="ACI12" s="114"/>
      <c r="ACJ12" s="114"/>
      <c r="ACK12" s="114"/>
      <c r="ACL12" s="114"/>
      <c r="ACM12" s="114"/>
      <c r="ACN12" s="114"/>
      <c r="ACO12" s="114"/>
      <c r="ACP12" s="114"/>
      <c r="ACQ12" s="114"/>
      <c r="ACR12" s="114"/>
      <c r="ACS12" s="114"/>
      <c r="ACT12" s="114"/>
      <c r="ACU12" s="114"/>
      <c r="ACV12" s="114"/>
      <c r="ACW12" s="114"/>
      <c r="ACX12" s="114"/>
      <c r="ACY12" s="114"/>
      <c r="ACZ12" s="114"/>
      <c r="ADA12" s="114"/>
      <c r="ADB12" s="114"/>
      <c r="ADC12" s="114"/>
      <c r="ADD12" s="114"/>
      <c r="ADE12" s="114"/>
      <c r="ADF12" s="114"/>
      <c r="ADG12" s="114"/>
      <c r="ADH12" s="114"/>
      <c r="ADI12" s="114"/>
      <c r="ADJ12" s="114"/>
      <c r="ADK12" s="114"/>
      <c r="ADL12" s="114"/>
      <c r="ADM12" s="114"/>
      <c r="ADN12" s="114"/>
      <c r="ADO12" s="114"/>
      <c r="ADP12" s="114"/>
      <c r="ADQ12" s="114"/>
      <c r="ADR12" s="114"/>
      <c r="ADS12" s="114"/>
      <c r="ADT12" s="114"/>
      <c r="ADU12" s="114"/>
      <c r="ADV12" s="114"/>
      <c r="ADW12" s="114"/>
      <c r="ADX12" s="114"/>
      <c r="ADY12" s="114"/>
      <c r="ADZ12" s="114"/>
      <c r="AEA12" s="114"/>
      <c r="AEB12" s="114"/>
      <c r="AEC12" s="114"/>
      <c r="AED12" s="114"/>
      <c r="AEE12" s="114"/>
      <c r="AEF12" s="114"/>
      <c r="AEG12" s="114"/>
      <c r="AEH12" s="114"/>
      <c r="AEI12" s="114"/>
      <c r="AEJ12" s="114"/>
      <c r="AEK12" s="114"/>
      <c r="AEL12" s="114"/>
      <c r="AEM12" s="114"/>
      <c r="AEN12" s="114"/>
      <c r="AEO12" s="114"/>
      <c r="AEP12" s="114"/>
      <c r="AEQ12" s="114"/>
      <c r="AER12" s="114"/>
      <c r="AES12" s="114"/>
      <c r="AET12" s="114"/>
      <c r="AEU12" s="114"/>
      <c r="AEV12" s="114"/>
      <c r="AEW12" s="114"/>
      <c r="AEX12" s="114"/>
      <c r="AEY12" s="114"/>
      <c r="AEZ12" s="114"/>
      <c r="AFA12" s="114"/>
      <c r="AFB12" s="114"/>
      <c r="AFC12" s="114"/>
      <c r="AFD12" s="114"/>
      <c r="AFE12" s="114"/>
      <c r="AFF12" s="114"/>
      <c r="AFG12" s="114"/>
      <c r="AFH12" s="114"/>
      <c r="AFI12" s="114"/>
      <c r="AFJ12" s="114"/>
      <c r="AFK12" s="114"/>
      <c r="AFL12" s="114"/>
      <c r="AFM12" s="114"/>
      <c r="AFN12" s="114"/>
      <c r="AFO12" s="114"/>
      <c r="AFP12" s="114"/>
      <c r="AFQ12" s="114"/>
      <c r="AFR12" s="114"/>
      <c r="AFS12" s="114"/>
      <c r="AFT12" s="114"/>
      <c r="AFU12" s="114"/>
      <c r="AFV12" s="114"/>
      <c r="AFW12" s="114"/>
      <c r="AFX12" s="114"/>
      <c r="AFY12" s="114"/>
      <c r="AFZ12" s="114"/>
      <c r="AGA12" s="114"/>
      <c r="AGB12" s="114"/>
      <c r="AGC12" s="114"/>
      <c r="AGD12" s="114"/>
      <c r="AGE12" s="114"/>
      <c r="AGF12" s="114"/>
      <c r="AGG12" s="114"/>
      <c r="AGH12" s="114"/>
      <c r="AGI12" s="114"/>
      <c r="AGJ12" s="114"/>
      <c r="AGK12" s="114"/>
      <c r="AGL12" s="114"/>
      <c r="AGM12" s="114"/>
      <c r="AGN12" s="114"/>
      <c r="AGO12" s="114"/>
      <c r="AGP12" s="114"/>
      <c r="AGQ12" s="114"/>
      <c r="AGR12" s="114"/>
      <c r="AGS12" s="114"/>
      <c r="AGT12" s="114"/>
      <c r="AGU12" s="114"/>
      <c r="AGV12" s="114"/>
      <c r="AGW12" s="114"/>
      <c r="AGX12" s="114"/>
      <c r="AGY12" s="114"/>
      <c r="AGZ12" s="114"/>
      <c r="AHA12" s="114"/>
      <c r="AHB12" s="114"/>
      <c r="AHC12" s="114"/>
      <c r="AHD12" s="114"/>
      <c r="AHE12" s="114"/>
      <c r="AHF12" s="114"/>
      <c r="AHG12" s="114"/>
      <c r="AHH12" s="114"/>
      <c r="AHI12" s="114"/>
      <c r="AHJ12" s="114"/>
      <c r="AHK12" s="114"/>
      <c r="AHL12" s="114"/>
      <c r="AHM12" s="114"/>
      <c r="AHN12" s="114"/>
      <c r="AHO12" s="114"/>
      <c r="AHP12" s="114"/>
      <c r="AHQ12" s="114"/>
      <c r="AHR12" s="114"/>
      <c r="AHS12" s="114"/>
      <c r="AHT12" s="114"/>
      <c r="AHU12" s="114"/>
      <c r="AHV12" s="114"/>
      <c r="AHW12" s="114"/>
      <c r="AHX12" s="114"/>
      <c r="AHY12" s="114"/>
      <c r="AHZ12" s="114"/>
      <c r="AIA12" s="114"/>
      <c r="AIB12" s="114"/>
      <c r="AIC12" s="114"/>
      <c r="AID12" s="114"/>
      <c r="AIE12" s="114"/>
      <c r="AIF12" s="114"/>
      <c r="AIG12" s="114"/>
      <c r="AIH12" s="114"/>
      <c r="AII12" s="114"/>
      <c r="AIJ12" s="114"/>
      <c r="AIK12" s="114"/>
      <c r="AIL12" s="114"/>
      <c r="AIM12" s="114"/>
      <c r="AIN12" s="114"/>
      <c r="AIO12" s="114"/>
      <c r="AIP12" s="114"/>
      <c r="AIQ12" s="114"/>
      <c r="AIR12" s="114"/>
      <c r="AIS12" s="114"/>
      <c r="AIT12" s="114"/>
      <c r="AIU12" s="114"/>
      <c r="AIV12" s="114"/>
      <c r="AIW12" s="114"/>
      <c r="AIX12" s="114"/>
      <c r="AIY12" s="114"/>
      <c r="AIZ12" s="114"/>
      <c r="AJA12" s="114"/>
      <c r="AJB12" s="114"/>
      <c r="AJC12" s="114"/>
      <c r="AJD12" s="114"/>
      <c r="AJE12" s="114"/>
      <c r="AJF12" s="114"/>
      <c r="AJG12" s="114"/>
      <c r="AJH12" s="114"/>
      <c r="AJI12" s="114"/>
      <c r="AJJ12" s="114"/>
      <c r="AJK12" s="114"/>
      <c r="AJL12" s="114"/>
      <c r="AJM12" s="114"/>
      <c r="AJN12" s="114"/>
      <c r="AJO12" s="114"/>
      <c r="AJP12" s="114"/>
      <c r="AJQ12" s="114"/>
      <c r="AJR12" s="114"/>
      <c r="AJS12" s="114"/>
      <c r="AJT12" s="114"/>
      <c r="AJU12" s="114"/>
      <c r="AJV12" s="114"/>
      <c r="AJW12" s="114"/>
      <c r="AJX12" s="114"/>
      <c r="AJY12" s="114"/>
      <c r="AJZ12" s="114"/>
      <c r="AKA12" s="114"/>
      <c r="AKB12" s="114"/>
      <c r="AKC12" s="114"/>
      <c r="AKD12" s="114"/>
      <c r="AKE12" s="114"/>
      <c r="AKF12" s="114"/>
      <c r="AKG12" s="114"/>
      <c r="AKH12" s="114"/>
      <c r="AKI12" s="114"/>
      <c r="AKJ12" s="114"/>
      <c r="AKK12" s="114"/>
      <c r="AKL12" s="114"/>
    </row>
    <row r="13" spans="1:974" s="115" customFormat="1" ht="15" customHeight="1" x14ac:dyDescent="0.3">
      <c r="A13" s="103">
        <v>8470230</v>
      </c>
      <c r="B13" s="104">
        <v>436110</v>
      </c>
      <c r="C13" s="461" t="s">
        <v>3066</v>
      </c>
      <c r="D13" s="151" t="s">
        <v>3067</v>
      </c>
      <c r="E13" s="160">
        <v>1</v>
      </c>
      <c r="F13" s="153">
        <v>5000</v>
      </c>
      <c r="G13" s="154">
        <f>E13*F13</f>
        <v>5000</v>
      </c>
      <c r="H13" s="114"/>
      <c r="I13" s="114"/>
      <c r="J13" s="114"/>
      <c r="K13" s="114"/>
      <c r="L13" s="114"/>
      <c r="M13" s="114"/>
      <c r="N13" s="114"/>
      <c r="O13" s="114"/>
      <c r="P13" s="114"/>
      <c r="Q13" s="114"/>
      <c r="R13" s="114"/>
      <c r="S13" s="114"/>
      <c r="T13" s="114"/>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4"/>
      <c r="AY13" s="114"/>
      <c r="AZ13" s="114"/>
      <c r="BA13" s="114"/>
      <c r="BB13" s="114"/>
      <c r="BC13" s="114"/>
      <c r="BD13" s="114"/>
      <c r="BE13" s="114"/>
      <c r="BF13" s="114"/>
      <c r="BG13" s="114"/>
      <c r="BH13" s="114"/>
      <c r="BI13" s="114"/>
      <c r="BJ13" s="114"/>
      <c r="BK13" s="114"/>
      <c r="BL13" s="114"/>
      <c r="BM13" s="114"/>
      <c r="BN13" s="114"/>
      <c r="BO13" s="114"/>
      <c r="BP13" s="114"/>
      <c r="BQ13" s="114"/>
      <c r="BR13" s="114"/>
      <c r="BS13" s="114"/>
      <c r="BT13" s="114"/>
      <c r="BU13" s="114"/>
      <c r="BV13" s="114"/>
      <c r="BW13" s="114"/>
      <c r="BX13" s="114"/>
      <c r="BY13" s="114"/>
      <c r="BZ13" s="114"/>
      <c r="CA13" s="114"/>
      <c r="CB13" s="114"/>
      <c r="CC13" s="114"/>
      <c r="CD13" s="114"/>
      <c r="CE13" s="114"/>
      <c r="CF13" s="114"/>
      <c r="CG13" s="114"/>
      <c r="CH13" s="114"/>
      <c r="CI13" s="114"/>
      <c r="CJ13" s="114"/>
      <c r="CK13" s="114"/>
      <c r="CL13" s="114"/>
      <c r="CM13" s="114"/>
      <c r="CN13" s="114"/>
      <c r="CO13" s="114"/>
      <c r="CP13" s="114"/>
      <c r="CQ13" s="114"/>
      <c r="CR13" s="114"/>
      <c r="CS13" s="114"/>
      <c r="CT13" s="114"/>
      <c r="CU13" s="114"/>
      <c r="CV13" s="114"/>
      <c r="CW13" s="114"/>
      <c r="CX13" s="114"/>
      <c r="CY13" s="114"/>
      <c r="CZ13" s="114"/>
      <c r="DA13" s="114"/>
      <c r="DB13" s="114"/>
      <c r="DC13" s="114"/>
      <c r="DD13" s="114"/>
      <c r="DE13" s="114"/>
      <c r="DF13" s="114"/>
      <c r="DG13" s="114"/>
      <c r="DH13" s="114"/>
      <c r="DI13" s="114"/>
      <c r="DJ13" s="114"/>
      <c r="DK13" s="114"/>
      <c r="DL13" s="114"/>
      <c r="DM13" s="114"/>
      <c r="DN13" s="114"/>
      <c r="DO13" s="114"/>
      <c r="DP13" s="114"/>
      <c r="DQ13" s="114"/>
      <c r="DR13" s="114"/>
      <c r="DS13" s="114"/>
      <c r="DT13" s="114"/>
      <c r="DU13" s="114"/>
      <c r="DV13" s="114"/>
      <c r="DW13" s="114"/>
      <c r="DX13" s="114"/>
      <c r="DY13" s="114"/>
      <c r="DZ13" s="114"/>
      <c r="EA13" s="114"/>
      <c r="EB13" s="114"/>
      <c r="EC13" s="114"/>
      <c r="ED13" s="114"/>
      <c r="EE13" s="114"/>
      <c r="EF13" s="114"/>
      <c r="EG13" s="114"/>
      <c r="EH13" s="114"/>
      <c r="EI13" s="114"/>
      <c r="EJ13" s="114"/>
      <c r="EK13" s="114"/>
      <c r="EL13" s="114"/>
      <c r="EM13" s="114"/>
      <c r="EN13" s="114"/>
      <c r="EO13" s="114"/>
      <c r="EP13" s="114"/>
      <c r="EQ13" s="114"/>
      <c r="ER13" s="114"/>
      <c r="ES13" s="114"/>
      <c r="ET13" s="114"/>
      <c r="EU13" s="114"/>
      <c r="EV13" s="114"/>
      <c r="EW13" s="114"/>
      <c r="EX13" s="114"/>
      <c r="EY13" s="114"/>
      <c r="EZ13" s="114"/>
      <c r="FA13" s="114"/>
      <c r="FB13" s="114"/>
      <c r="FC13" s="114"/>
      <c r="FD13" s="114"/>
      <c r="FE13" s="114"/>
      <c r="FF13" s="114"/>
      <c r="FG13" s="114"/>
      <c r="FH13" s="114"/>
      <c r="FI13" s="114"/>
      <c r="FJ13" s="114"/>
      <c r="FK13" s="114"/>
      <c r="FL13" s="114"/>
      <c r="FM13" s="114"/>
      <c r="FN13" s="114"/>
      <c r="FO13" s="114"/>
      <c r="FP13" s="114"/>
      <c r="FQ13" s="114"/>
      <c r="FR13" s="114"/>
      <c r="FS13" s="114"/>
      <c r="FT13" s="114"/>
      <c r="FU13" s="114"/>
      <c r="FV13" s="114"/>
      <c r="FW13" s="114"/>
      <c r="FX13" s="114"/>
      <c r="FY13" s="114"/>
      <c r="FZ13" s="114"/>
      <c r="GA13" s="114"/>
      <c r="GB13" s="114"/>
      <c r="GC13" s="114"/>
      <c r="GD13" s="114"/>
      <c r="GE13" s="114"/>
      <c r="GF13" s="114"/>
      <c r="GG13" s="114"/>
      <c r="GH13" s="114"/>
      <c r="GI13" s="114"/>
      <c r="GJ13" s="114"/>
      <c r="GK13" s="114"/>
      <c r="GL13" s="114"/>
      <c r="GM13" s="114"/>
      <c r="GN13" s="114"/>
      <c r="GO13" s="114"/>
      <c r="GP13" s="114"/>
      <c r="GQ13" s="114"/>
      <c r="GR13" s="114"/>
      <c r="GS13" s="114"/>
      <c r="GT13" s="114"/>
      <c r="GU13" s="114"/>
      <c r="GV13" s="114"/>
      <c r="GW13" s="114"/>
      <c r="GX13" s="114"/>
      <c r="GY13" s="114"/>
      <c r="GZ13" s="114"/>
      <c r="HA13" s="114"/>
      <c r="HB13" s="114"/>
      <c r="HC13" s="114"/>
      <c r="HD13" s="114"/>
      <c r="HE13" s="114"/>
      <c r="HF13" s="114"/>
      <c r="HG13" s="114"/>
      <c r="HH13" s="114"/>
      <c r="HI13" s="114"/>
      <c r="HJ13" s="114"/>
      <c r="HK13" s="114"/>
      <c r="HL13" s="114"/>
      <c r="HM13" s="114"/>
      <c r="HN13" s="114"/>
      <c r="HO13" s="114"/>
      <c r="HP13" s="114"/>
      <c r="HQ13" s="114"/>
      <c r="HR13" s="114"/>
      <c r="HS13" s="114"/>
      <c r="HT13" s="114"/>
      <c r="HU13" s="114"/>
      <c r="HV13" s="114"/>
      <c r="HW13" s="114"/>
      <c r="HX13" s="114"/>
      <c r="HY13" s="114"/>
      <c r="HZ13" s="114"/>
      <c r="IA13" s="114"/>
      <c r="IB13" s="114"/>
      <c r="IC13" s="114"/>
      <c r="ID13" s="114"/>
      <c r="IE13" s="114"/>
      <c r="IF13" s="114"/>
      <c r="IG13" s="114"/>
      <c r="IH13" s="114"/>
      <c r="II13" s="114"/>
      <c r="IJ13" s="114"/>
      <c r="IK13" s="114"/>
      <c r="IL13" s="114"/>
      <c r="IM13" s="114"/>
      <c r="IN13" s="114"/>
      <c r="IO13" s="114"/>
      <c r="IP13" s="114"/>
      <c r="IQ13" s="114"/>
      <c r="IR13" s="114"/>
      <c r="IS13" s="114"/>
      <c r="IT13" s="114"/>
      <c r="IU13" s="114"/>
      <c r="IV13" s="114"/>
      <c r="IW13" s="114"/>
      <c r="IX13" s="114"/>
      <c r="IY13" s="114"/>
      <c r="IZ13" s="114"/>
      <c r="JA13" s="114"/>
      <c r="JB13" s="114"/>
      <c r="JC13" s="114"/>
      <c r="JD13" s="114"/>
      <c r="JE13" s="114"/>
      <c r="JF13" s="114"/>
      <c r="JG13" s="114"/>
      <c r="JH13" s="114"/>
      <c r="JI13" s="114"/>
      <c r="JJ13" s="114"/>
      <c r="JK13" s="114"/>
      <c r="JL13" s="114"/>
      <c r="JM13" s="114"/>
      <c r="JN13" s="114"/>
      <c r="JO13" s="114"/>
      <c r="JP13" s="114"/>
      <c r="JQ13" s="114"/>
      <c r="JR13" s="114"/>
      <c r="JS13" s="114"/>
      <c r="JT13" s="114"/>
      <c r="JU13" s="114"/>
      <c r="JV13" s="114"/>
      <c r="JW13" s="114"/>
      <c r="JX13" s="114"/>
      <c r="JY13" s="114"/>
      <c r="JZ13" s="114"/>
      <c r="KA13" s="114"/>
      <c r="KB13" s="114"/>
      <c r="KC13" s="114"/>
      <c r="KD13" s="114"/>
      <c r="KE13" s="114"/>
      <c r="KF13" s="114"/>
      <c r="KG13" s="114"/>
      <c r="KH13" s="114"/>
      <c r="KI13" s="114"/>
      <c r="KJ13" s="114"/>
      <c r="KK13" s="114"/>
      <c r="KL13" s="114"/>
      <c r="KM13" s="114"/>
      <c r="KN13" s="114"/>
      <c r="KO13" s="114"/>
      <c r="KP13" s="114"/>
      <c r="KQ13" s="114"/>
      <c r="KR13" s="114"/>
      <c r="KS13" s="114"/>
      <c r="KT13" s="114"/>
      <c r="KU13" s="114"/>
      <c r="KV13" s="114"/>
      <c r="KW13" s="114"/>
      <c r="KX13" s="114"/>
      <c r="KY13" s="114"/>
      <c r="KZ13" s="114"/>
      <c r="LA13" s="114"/>
      <c r="LB13" s="114"/>
      <c r="LC13" s="114"/>
      <c r="LD13" s="114"/>
      <c r="LE13" s="114"/>
      <c r="LF13" s="114"/>
      <c r="LG13" s="114"/>
      <c r="LH13" s="114"/>
      <c r="LI13" s="114"/>
      <c r="LJ13" s="114"/>
      <c r="LK13" s="114"/>
      <c r="LL13" s="114"/>
      <c r="LM13" s="114"/>
      <c r="LN13" s="114"/>
      <c r="LO13" s="114"/>
      <c r="LP13" s="114"/>
      <c r="LQ13" s="114"/>
      <c r="LR13" s="114"/>
      <c r="LS13" s="114"/>
      <c r="LT13" s="114"/>
      <c r="LU13" s="114"/>
      <c r="LV13" s="114"/>
      <c r="LW13" s="114"/>
      <c r="LX13" s="114"/>
      <c r="LY13" s="114"/>
      <c r="LZ13" s="114"/>
      <c r="MA13" s="114"/>
      <c r="MB13" s="114"/>
      <c r="MC13" s="114"/>
      <c r="MD13" s="114"/>
      <c r="ME13" s="114"/>
      <c r="MF13" s="114"/>
      <c r="MG13" s="114"/>
      <c r="MH13" s="114"/>
      <c r="MI13" s="114"/>
      <c r="MJ13" s="114"/>
      <c r="MK13" s="114"/>
      <c r="ML13" s="114"/>
      <c r="MM13" s="114"/>
      <c r="MN13" s="114"/>
      <c r="MO13" s="114"/>
      <c r="MP13" s="114"/>
      <c r="MQ13" s="114"/>
      <c r="MR13" s="114"/>
      <c r="MS13" s="114"/>
      <c r="MT13" s="114"/>
      <c r="MU13" s="114"/>
      <c r="MV13" s="114"/>
      <c r="MW13" s="114"/>
      <c r="MX13" s="114"/>
      <c r="MY13" s="114"/>
      <c r="MZ13" s="114"/>
      <c r="NA13" s="114"/>
      <c r="NB13" s="114"/>
      <c r="NC13" s="114"/>
      <c r="ND13" s="114"/>
      <c r="NE13" s="114"/>
      <c r="NF13" s="114"/>
      <c r="NG13" s="114"/>
      <c r="NH13" s="114"/>
      <c r="NI13" s="114"/>
      <c r="NJ13" s="114"/>
      <c r="NK13" s="114"/>
      <c r="NL13" s="114"/>
      <c r="NM13" s="114"/>
      <c r="NN13" s="114"/>
      <c r="NO13" s="114"/>
      <c r="NP13" s="114"/>
      <c r="NQ13" s="114"/>
      <c r="NR13" s="114"/>
      <c r="NS13" s="114"/>
      <c r="NT13" s="114"/>
      <c r="NU13" s="114"/>
      <c r="NV13" s="114"/>
      <c r="NW13" s="114"/>
      <c r="NX13" s="114"/>
      <c r="NY13" s="114"/>
      <c r="NZ13" s="114"/>
      <c r="OA13" s="114"/>
      <c r="OB13" s="114"/>
      <c r="OC13" s="114"/>
      <c r="OD13" s="114"/>
      <c r="OE13" s="114"/>
      <c r="OF13" s="114"/>
      <c r="OG13" s="114"/>
      <c r="OH13" s="114"/>
      <c r="OI13" s="114"/>
      <c r="OJ13" s="114"/>
      <c r="OK13" s="114"/>
      <c r="OL13" s="114"/>
      <c r="OM13" s="114"/>
      <c r="ON13" s="114"/>
      <c r="OO13" s="114"/>
      <c r="OP13" s="114"/>
      <c r="OQ13" s="114"/>
      <c r="OR13" s="114"/>
      <c r="OS13" s="114"/>
      <c r="OT13" s="114"/>
      <c r="OU13" s="114"/>
      <c r="OV13" s="114"/>
      <c r="OW13" s="114"/>
      <c r="OX13" s="114"/>
      <c r="OY13" s="114"/>
      <c r="OZ13" s="114"/>
      <c r="PA13" s="114"/>
      <c r="PB13" s="114"/>
      <c r="PC13" s="114"/>
      <c r="PD13" s="114"/>
      <c r="PE13" s="114"/>
      <c r="PF13" s="114"/>
      <c r="PG13" s="114"/>
      <c r="PH13" s="114"/>
      <c r="PI13" s="114"/>
      <c r="PJ13" s="114"/>
      <c r="PK13" s="114"/>
      <c r="PL13" s="114"/>
      <c r="PM13" s="114"/>
      <c r="PN13" s="114"/>
      <c r="PO13" s="114"/>
      <c r="PP13" s="114"/>
      <c r="PQ13" s="114"/>
      <c r="PR13" s="114"/>
      <c r="PS13" s="114"/>
      <c r="PT13" s="114"/>
      <c r="PU13" s="114"/>
      <c r="PV13" s="114"/>
      <c r="PW13" s="114"/>
      <c r="PX13" s="114"/>
      <c r="PY13" s="114"/>
      <c r="PZ13" s="114"/>
      <c r="QA13" s="114"/>
      <c r="QB13" s="114"/>
      <c r="QC13" s="114"/>
      <c r="QD13" s="114"/>
      <c r="QE13" s="114"/>
      <c r="QF13" s="114"/>
      <c r="QG13" s="114"/>
      <c r="QH13" s="114"/>
      <c r="QI13" s="114"/>
      <c r="QJ13" s="114"/>
      <c r="QK13" s="114"/>
      <c r="QL13" s="114"/>
      <c r="QM13" s="114"/>
      <c r="QN13" s="114"/>
      <c r="QO13" s="114"/>
      <c r="QP13" s="114"/>
      <c r="QQ13" s="114"/>
      <c r="QR13" s="114"/>
      <c r="QS13" s="114"/>
      <c r="QT13" s="114"/>
      <c r="QU13" s="114"/>
      <c r="QV13" s="114"/>
      <c r="QW13" s="114"/>
      <c r="QX13" s="114"/>
      <c r="QY13" s="114"/>
      <c r="QZ13" s="114"/>
      <c r="RA13" s="114"/>
      <c r="RB13" s="114"/>
      <c r="RC13" s="114"/>
      <c r="RD13" s="114"/>
      <c r="RE13" s="114"/>
      <c r="RF13" s="114"/>
      <c r="RG13" s="114"/>
      <c r="RH13" s="114"/>
      <c r="RI13" s="114"/>
      <c r="RJ13" s="114"/>
      <c r="RK13" s="114"/>
      <c r="RL13" s="114"/>
      <c r="RM13" s="114"/>
      <c r="RN13" s="114"/>
      <c r="RO13" s="114"/>
      <c r="RP13" s="114"/>
      <c r="RQ13" s="114"/>
      <c r="RR13" s="114"/>
      <c r="RS13" s="114"/>
      <c r="RT13" s="114"/>
      <c r="RU13" s="114"/>
      <c r="RV13" s="114"/>
      <c r="RW13" s="114"/>
      <c r="RX13" s="114"/>
      <c r="RY13" s="114"/>
      <c r="RZ13" s="114"/>
      <c r="SA13" s="114"/>
      <c r="SB13" s="114"/>
      <c r="SC13" s="114"/>
      <c r="SD13" s="114"/>
      <c r="SE13" s="114"/>
      <c r="SF13" s="114"/>
      <c r="SG13" s="114"/>
      <c r="SH13" s="114"/>
      <c r="SI13" s="114"/>
      <c r="SJ13" s="114"/>
      <c r="SK13" s="114"/>
      <c r="SL13" s="114"/>
      <c r="SM13" s="114"/>
      <c r="SN13" s="114"/>
      <c r="SO13" s="114"/>
      <c r="SP13" s="114"/>
      <c r="SQ13" s="114"/>
      <c r="SR13" s="114"/>
      <c r="SS13" s="114"/>
      <c r="ST13" s="114"/>
      <c r="SU13" s="114"/>
      <c r="SV13" s="114"/>
      <c r="SW13" s="114"/>
      <c r="SX13" s="114"/>
      <c r="SY13" s="114"/>
      <c r="SZ13" s="114"/>
      <c r="TA13" s="114"/>
      <c r="TB13" s="114"/>
      <c r="TC13" s="114"/>
      <c r="TD13" s="114"/>
      <c r="TE13" s="114"/>
      <c r="TF13" s="114"/>
      <c r="TG13" s="114"/>
      <c r="TH13" s="114"/>
      <c r="TI13" s="114"/>
      <c r="TJ13" s="114"/>
      <c r="TK13" s="114"/>
      <c r="TL13" s="114"/>
      <c r="TM13" s="114"/>
      <c r="TN13" s="114"/>
      <c r="TO13" s="114"/>
      <c r="TP13" s="114"/>
      <c r="TQ13" s="114"/>
      <c r="TR13" s="114"/>
      <c r="TS13" s="114"/>
      <c r="TT13" s="114"/>
      <c r="TU13" s="114"/>
      <c r="TV13" s="114"/>
      <c r="TW13" s="114"/>
      <c r="TX13" s="114"/>
      <c r="TY13" s="114"/>
      <c r="TZ13" s="114"/>
      <c r="UA13" s="114"/>
      <c r="UB13" s="114"/>
      <c r="UC13" s="114"/>
      <c r="UD13" s="114"/>
      <c r="UE13" s="114"/>
      <c r="UF13" s="114"/>
      <c r="UG13" s="114"/>
      <c r="UH13" s="114"/>
      <c r="UI13" s="114"/>
      <c r="UJ13" s="114"/>
      <c r="UK13" s="114"/>
      <c r="UL13" s="114"/>
      <c r="UM13" s="114"/>
      <c r="UN13" s="114"/>
      <c r="UO13" s="114"/>
      <c r="UP13" s="114"/>
      <c r="UQ13" s="114"/>
      <c r="UR13" s="114"/>
      <c r="US13" s="114"/>
      <c r="UT13" s="114"/>
      <c r="UU13" s="114"/>
      <c r="UV13" s="114"/>
      <c r="UW13" s="114"/>
      <c r="UX13" s="114"/>
      <c r="UY13" s="114"/>
      <c r="UZ13" s="114"/>
      <c r="VA13" s="114"/>
      <c r="VB13" s="114"/>
      <c r="VC13" s="114"/>
      <c r="VD13" s="114"/>
      <c r="VE13" s="114"/>
      <c r="VF13" s="114"/>
      <c r="VG13" s="114"/>
      <c r="VH13" s="114"/>
      <c r="VI13" s="114"/>
      <c r="VJ13" s="114"/>
      <c r="VK13" s="114"/>
      <c r="VL13" s="114"/>
      <c r="VM13" s="114"/>
      <c r="VN13" s="114"/>
      <c r="VO13" s="114"/>
      <c r="VP13" s="114"/>
      <c r="VQ13" s="114"/>
      <c r="VR13" s="114"/>
      <c r="VS13" s="114"/>
      <c r="VT13" s="114"/>
      <c r="VU13" s="114"/>
      <c r="VV13" s="114"/>
      <c r="VW13" s="114"/>
      <c r="VX13" s="114"/>
      <c r="VY13" s="114"/>
      <c r="VZ13" s="114"/>
      <c r="WA13" s="114"/>
      <c r="WB13" s="114"/>
      <c r="WC13" s="114"/>
      <c r="WD13" s="114"/>
      <c r="WE13" s="114"/>
      <c r="WF13" s="114"/>
      <c r="WG13" s="114"/>
      <c r="WH13" s="114"/>
      <c r="WI13" s="114"/>
      <c r="WJ13" s="114"/>
      <c r="WK13" s="114"/>
      <c r="WL13" s="114"/>
      <c r="WM13" s="114"/>
      <c r="WN13" s="114"/>
      <c r="WO13" s="114"/>
      <c r="WP13" s="114"/>
      <c r="WQ13" s="114"/>
      <c r="WR13" s="114"/>
      <c r="WS13" s="114"/>
      <c r="WT13" s="114"/>
      <c r="WU13" s="114"/>
      <c r="WV13" s="114"/>
      <c r="WW13" s="114"/>
      <c r="WX13" s="114"/>
      <c r="WY13" s="114"/>
      <c r="WZ13" s="114"/>
      <c r="XA13" s="114"/>
      <c r="XB13" s="114"/>
      <c r="XC13" s="114"/>
      <c r="XD13" s="114"/>
      <c r="XE13" s="114"/>
      <c r="XF13" s="114"/>
      <c r="XG13" s="114"/>
      <c r="XH13" s="114"/>
      <c r="XI13" s="114"/>
      <c r="XJ13" s="114"/>
      <c r="XK13" s="114"/>
      <c r="XL13" s="114"/>
      <c r="XM13" s="114"/>
      <c r="XN13" s="114"/>
      <c r="XO13" s="114"/>
      <c r="XP13" s="114"/>
      <c r="XQ13" s="114"/>
      <c r="XR13" s="114"/>
      <c r="XS13" s="114"/>
      <c r="XT13" s="114"/>
      <c r="XU13" s="114"/>
      <c r="XV13" s="114"/>
      <c r="XW13" s="114"/>
      <c r="XX13" s="114"/>
      <c r="XY13" s="114"/>
      <c r="XZ13" s="114"/>
      <c r="YA13" s="114"/>
      <c r="YB13" s="114"/>
      <c r="YC13" s="114"/>
      <c r="YD13" s="114"/>
      <c r="YE13" s="114"/>
      <c r="YF13" s="114"/>
      <c r="YG13" s="114"/>
      <c r="YH13" s="114"/>
      <c r="YI13" s="114"/>
      <c r="YJ13" s="114"/>
      <c r="YK13" s="114"/>
      <c r="YL13" s="114"/>
      <c r="YM13" s="114"/>
      <c r="YN13" s="114"/>
      <c r="YO13" s="114"/>
      <c r="YP13" s="114"/>
      <c r="YQ13" s="114"/>
      <c r="YR13" s="114"/>
      <c r="YS13" s="114"/>
      <c r="YT13" s="114"/>
      <c r="YU13" s="114"/>
      <c r="YV13" s="114"/>
      <c r="YW13" s="114"/>
      <c r="YX13" s="114"/>
      <c r="YY13" s="114"/>
      <c r="YZ13" s="114"/>
      <c r="ZA13" s="114"/>
      <c r="ZB13" s="114"/>
      <c r="ZC13" s="114"/>
      <c r="ZD13" s="114"/>
      <c r="ZE13" s="114"/>
      <c r="ZF13" s="114"/>
      <c r="ZG13" s="114"/>
      <c r="ZH13" s="114"/>
      <c r="ZI13" s="114"/>
      <c r="ZJ13" s="114"/>
      <c r="ZK13" s="114"/>
      <c r="ZL13" s="114"/>
      <c r="ZM13" s="114"/>
      <c r="ZN13" s="114"/>
      <c r="ZO13" s="114"/>
      <c r="ZP13" s="114"/>
      <c r="ZQ13" s="114"/>
      <c r="ZR13" s="114"/>
      <c r="ZS13" s="114"/>
      <c r="ZT13" s="114"/>
      <c r="ZU13" s="114"/>
      <c r="ZV13" s="114"/>
      <c r="ZW13" s="114"/>
      <c r="ZX13" s="114"/>
      <c r="ZY13" s="114"/>
      <c r="ZZ13" s="114"/>
      <c r="AAA13" s="114"/>
      <c r="AAB13" s="114"/>
      <c r="AAC13" s="114"/>
      <c r="AAD13" s="114"/>
      <c r="AAE13" s="114"/>
      <c r="AAF13" s="114"/>
      <c r="AAG13" s="114"/>
      <c r="AAH13" s="114"/>
      <c r="AAI13" s="114"/>
      <c r="AAJ13" s="114"/>
      <c r="AAK13" s="114"/>
      <c r="AAL13" s="114"/>
      <c r="AAM13" s="114"/>
      <c r="AAN13" s="114"/>
      <c r="AAO13" s="114"/>
      <c r="AAP13" s="114"/>
      <c r="AAQ13" s="114"/>
      <c r="AAR13" s="114"/>
      <c r="AAS13" s="114"/>
      <c r="AAT13" s="114"/>
      <c r="AAU13" s="114"/>
      <c r="AAV13" s="114"/>
      <c r="AAW13" s="114"/>
      <c r="AAX13" s="114"/>
      <c r="AAY13" s="114"/>
      <c r="AAZ13" s="114"/>
      <c r="ABA13" s="114"/>
      <c r="ABB13" s="114"/>
      <c r="ABC13" s="114"/>
      <c r="ABD13" s="114"/>
      <c r="ABE13" s="114"/>
      <c r="ABF13" s="114"/>
      <c r="ABG13" s="114"/>
      <c r="ABH13" s="114"/>
      <c r="ABI13" s="114"/>
      <c r="ABJ13" s="114"/>
      <c r="ABK13" s="114"/>
      <c r="ABL13" s="114"/>
      <c r="ABM13" s="114"/>
      <c r="ABN13" s="114"/>
      <c r="ABO13" s="114"/>
      <c r="ABP13" s="114"/>
      <c r="ABQ13" s="114"/>
      <c r="ABR13" s="114"/>
      <c r="ABS13" s="114"/>
      <c r="ABT13" s="114"/>
      <c r="ABU13" s="114"/>
      <c r="ABV13" s="114"/>
      <c r="ABW13" s="114"/>
      <c r="ABX13" s="114"/>
      <c r="ABY13" s="114"/>
      <c r="ABZ13" s="114"/>
      <c r="ACA13" s="114"/>
      <c r="ACB13" s="114"/>
      <c r="ACC13" s="114"/>
      <c r="ACD13" s="114"/>
      <c r="ACE13" s="114"/>
      <c r="ACF13" s="114"/>
      <c r="ACG13" s="114"/>
      <c r="ACH13" s="114"/>
      <c r="ACI13" s="114"/>
      <c r="ACJ13" s="114"/>
      <c r="ACK13" s="114"/>
      <c r="ACL13" s="114"/>
      <c r="ACM13" s="114"/>
      <c r="ACN13" s="114"/>
      <c r="ACO13" s="114"/>
      <c r="ACP13" s="114"/>
      <c r="ACQ13" s="114"/>
      <c r="ACR13" s="114"/>
      <c r="ACS13" s="114"/>
      <c r="ACT13" s="114"/>
      <c r="ACU13" s="114"/>
      <c r="ACV13" s="114"/>
      <c r="ACW13" s="114"/>
      <c r="ACX13" s="114"/>
      <c r="ACY13" s="114"/>
      <c r="ACZ13" s="114"/>
      <c r="ADA13" s="114"/>
      <c r="ADB13" s="114"/>
      <c r="ADC13" s="114"/>
      <c r="ADD13" s="114"/>
      <c r="ADE13" s="114"/>
      <c r="ADF13" s="114"/>
      <c r="ADG13" s="114"/>
      <c r="ADH13" s="114"/>
      <c r="ADI13" s="114"/>
      <c r="ADJ13" s="114"/>
      <c r="ADK13" s="114"/>
      <c r="ADL13" s="114"/>
      <c r="ADM13" s="114"/>
      <c r="ADN13" s="114"/>
      <c r="ADO13" s="114"/>
      <c r="ADP13" s="114"/>
      <c r="ADQ13" s="114"/>
      <c r="ADR13" s="114"/>
      <c r="ADS13" s="114"/>
      <c r="ADT13" s="114"/>
      <c r="ADU13" s="114"/>
      <c r="ADV13" s="114"/>
      <c r="ADW13" s="114"/>
      <c r="ADX13" s="114"/>
      <c r="ADY13" s="114"/>
      <c r="ADZ13" s="114"/>
      <c r="AEA13" s="114"/>
      <c r="AEB13" s="114"/>
      <c r="AEC13" s="114"/>
      <c r="AED13" s="114"/>
      <c r="AEE13" s="114"/>
      <c r="AEF13" s="114"/>
      <c r="AEG13" s="114"/>
      <c r="AEH13" s="114"/>
      <c r="AEI13" s="114"/>
      <c r="AEJ13" s="114"/>
      <c r="AEK13" s="114"/>
      <c r="AEL13" s="114"/>
      <c r="AEM13" s="114"/>
      <c r="AEN13" s="114"/>
      <c r="AEO13" s="114"/>
      <c r="AEP13" s="114"/>
      <c r="AEQ13" s="114"/>
      <c r="AER13" s="114"/>
      <c r="AES13" s="114"/>
      <c r="AET13" s="114"/>
      <c r="AEU13" s="114"/>
      <c r="AEV13" s="114"/>
      <c r="AEW13" s="114"/>
      <c r="AEX13" s="114"/>
      <c r="AEY13" s="114"/>
      <c r="AEZ13" s="114"/>
      <c r="AFA13" s="114"/>
      <c r="AFB13" s="114"/>
      <c r="AFC13" s="114"/>
      <c r="AFD13" s="114"/>
      <c r="AFE13" s="114"/>
      <c r="AFF13" s="114"/>
      <c r="AFG13" s="114"/>
      <c r="AFH13" s="114"/>
      <c r="AFI13" s="114"/>
      <c r="AFJ13" s="114"/>
      <c r="AFK13" s="114"/>
      <c r="AFL13" s="114"/>
      <c r="AFM13" s="114"/>
      <c r="AFN13" s="114"/>
      <c r="AFO13" s="114"/>
      <c r="AFP13" s="114"/>
      <c r="AFQ13" s="114"/>
      <c r="AFR13" s="114"/>
      <c r="AFS13" s="114"/>
      <c r="AFT13" s="114"/>
      <c r="AFU13" s="114"/>
      <c r="AFV13" s="114"/>
      <c r="AFW13" s="114"/>
      <c r="AFX13" s="114"/>
      <c r="AFY13" s="114"/>
      <c r="AFZ13" s="114"/>
      <c r="AGA13" s="114"/>
      <c r="AGB13" s="114"/>
      <c r="AGC13" s="114"/>
      <c r="AGD13" s="114"/>
      <c r="AGE13" s="114"/>
      <c r="AGF13" s="114"/>
      <c r="AGG13" s="114"/>
      <c r="AGH13" s="114"/>
      <c r="AGI13" s="114"/>
      <c r="AGJ13" s="114"/>
      <c r="AGK13" s="114"/>
      <c r="AGL13" s="114"/>
      <c r="AGM13" s="114"/>
      <c r="AGN13" s="114"/>
      <c r="AGO13" s="114"/>
      <c r="AGP13" s="114"/>
      <c r="AGQ13" s="114"/>
      <c r="AGR13" s="114"/>
      <c r="AGS13" s="114"/>
      <c r="AGT13" s="114"/>
      <c r="AGU13" s="114"/>
      <c r="AGV13" s="114"/>
      <c r="AGW13" s="114"/>
      <c r="AGX13" s="114"/>
      <c r="AGY13" s="114"/>
      <c r="AGZ13" s="114"/>
      <c r="AHA13" s="114"/>
      <c r="AHB13" s="114"/>
      <c r="AHC13" s="114"/>
      <c r="AHD13" s="114"/>
      <c r="AHE13" s="114"/>
      <c r="AHF13" s="114"/>
      <c r="AHG13" s="114"/>
      <c r="AHH13" s="114"/>
      <c r="AHI13" s="114"/>
      <c r="AHJ13" s="114"/>
      <c r="AHK13" s="114"/>
      <c r="AHL13" s="114"/>
      <c r="AHM13" s="114"/>
      <c r="AHN13" s="114"/>
      <c r="AHO13" s="114"/>
      <c r="AHP13" s="114"/>
      <c r="AHQ13" s="114"/>
      <c r="AHR13" s="114"/>
      <c r="AHS13" s="114"/>
      <c r="AHT13" s="114"/>
      <c r="AHU13" s="114"/>
      <c r="AHV13" s="114"/>
      <c r="AHW13" s="114"/>
      <c r="AHX13" s="114"/>
      <c r="AHY13" s="114"/>
      <c r="AHZ13" s="114"/>
      <c r="AIA13" s="114"/>
      <c r="AIB13" s="114"/>
      <c r="AIC13" s="114"/>
      <c r="AID13" s="114"/>
      <c r="AIE13" s="114"/>
      <c r="AIF13" s="114"/>
      <c r="AIG13" s="114"/>
      <c r="AIH13" s="114"/>
      <c r="AII13" s="114"/>
      <c r="AIJ13" s="114"/>
      <c r="AIK13" s="114"/>
      <c r="AIL13" s="114"/>
      <c r="AIM13" s="114"/>
      <c r="AIN13" s="114"/>
      <c r="AIO13" s="114"/>
      <c r="AIP13" s="114"/>
      <c r="AIQ13" s="114"/>
      <c r="AIR13" s="114"/>
      <c r="AIS13" s="114"/>
      <c r="AIT13" s="114"/>
      <c r="AIU13" s="114"/>
      <c r="AIV13" s="114"/>
      <c r="AIW13" s="114"/>
      <c r="AIX13" s="114"/>
      <c r="AIY13" s="114"/>
      <c r="AIZ13" s="114"/>
      <c r="AJA13" s="114"/>
      <c r="AJB13" s="114"/>
      <c r="AJC13" s="114"/>
      <c r="AJD13" s="114"/>
      <c r="AJE13" s="114"/>
      <c r="AJF13" s="114"/>
      <c r="AJG13" s="114"/>
      <c r="AJH13" s="114"/>
      <c r="AJI13" s="114"/>
      <c r="AJJ13" s="114"/>
      <c r="AJK13" s="114"/>
      <c r="AJL13" s="114"/>
      <c r="AJM13" s="114"/>
      <c r="AJN13" s="114"/>
      <c r="AJO13" s="114"/>
      <c r="AJP13" s="114"/>
      <c r="AJQ13" s="114"/>
      <c r="AJR13" s="114"/>
      <c r="AJS13" s="114"/>
      <c r="AJT13" s="114"/>
      <c r="AJU13" s="114"/>
      <c r="AJV13" s="114"/>
      <c r="AJW13" s="114"/>
      <c r="AJX13" s="114"/>
      <c r="AJY13" s="114"/>
      <c r="AJZ13" s="114"/>
      <c r="AKA13" s="114"/>
      <c r="AKB13" s="114"/>
      <c r="AKC13" s="114"/>
      <c r="AKD13" s="114"/>
      <c r="AKE13" s="114"/>
      <c r="AKF13" s="114"/>
      <c r="AKG13" s="114"/>
      <c r="AKH13" s="114"/>
      <c r="AKI13" s="114"/>
      <c r="AKJ13" s="114"/>
      <c r="AKK13" s="114"/>
      <c r="AKL13" s="114"/>
    </row>
    <row r="14" spans="1:974" s="115" customFormat="1" ht="15" customHeight="1" x14ac:dyDescent="0.3">
      <c r="A14" s="158"/>
      <c r="B14" s="159"/>
      <c r="C14" s="463"/>
      <c r="D14" s="464" t="s">
        <v>2837</v>
      </c>
      <c r="E14" s="465"/>
      <c r="F14" s="466"/>
      <c r="G14" s="127">
        <f>SUM(G13)</f>
        <v>5000</v>
      </c>
      <c r="H14" s="114"/>
      <c r="I14" s="114"/>
      <c r="J14" s="114"/>
      <c r="K14" s="114"/>
      <c r="L14" s="114"/>
      <c r="M14" s="114"/>
      <c r="N14" s="114"/>
      <c r="O14" s="114"/>
      <c r="P14" s="114"/>
      <c r="Q14" s="114"/>
      <c r="R14" s="114"/>
      <c r="S14" s="114"/>
      <c r="T14" s="114"/>
      <c r="U14" s="114"/>
      <c r="V14" s="114"/>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4"/>
      <c r="AY14" s="114"/>
      <c r="AZ14" s="114"/>
      <c r="BA14" s="114"/>
      <c r="BB14" s="114"/>
      <c r="BC14" s="114"/>
      <c r="BD14" s="114"/>
      <c r="BE14" s="114"/>
      <c r="BF14" s="114"/>
      <c r="BG14" s="114"/>
      <c r="BH14" s="114"/>
      <c r="BI14" s="114"/>
      <c r="BJ14" s="114"/>
      <c r="BK14" s="114"/>
      <c r="BL14" s="114"/>
      <c r="BM14" s="114"/>
      <c r="BN14" s="114"/>
      <c r="BO14" s="114"/>
      <c r="BP14" s="114"/>
      <c r="BQ14" s="114"/>
      <c r="BR14" s="114"/>
      <c r="BS14" s="114"/>
      <c r="BT14" s="114"/>
      <c r="BU14" s="114"/>
      <c r="BV14" s="114"/>
      <c r="BW14" s="114"/>
      <c r="BX14" s="114"/>
      <c r="BY14" s="114"/>
      <c r="BZ14" s="114"/>
      <c r="CA14" s="114"/>
      <c r="CB14" s="114"/>
      <c r="CC14" s="114"/>
      <c r="CD14" s="114"/>
      <c r="CE14" s="114"/>
      <c r="CF14" s="114"/>
      <c r="CG14" s="114"/>
      <c r="CH14" s="114"/>
      <c r="CI14" s="114"/>
      <c r="CJ14" s="114"/>
      <c r="CK14" s="114"/>
      <c r="CL14" s="114"/>
      <c r="CM14" s="114"/>
      <c r="CN14" s="114"/>
      <c r="CO14" s="114"/>
      <c r="CP14" s="114"/>
      <c r="CQ14" s="114"/>
      <c r="CR14" s="114"/>
      <c r="CS14" s="114"/>
      <c r="CT14" s="114"/>
      <c r="CU14" s="114"/>
      <c r="CV14" s="114"/>
      <c r="CW14" s="114"/>
      <c r="CX14" s="114"/>
      <c r="CY14" s="114"/>
      <c r="CZ14" s="114"/>
      <c r="DA14" s="114"/>
      <c r="DB14" s="114"/>
      <c r="DC14" s="114"/>
      <c r="DD14" s="114"/>
      <c r="DE14" s="114"/>
      <c r="DF14" s="114"/>
      <c r="DG14" s="114"/>
      <c r="DH14" s="114"/>
      <c r="DI14" s="114"/>
      <c r="DJ14" s="114"/>
      <c r="DK14" s="114"/>
      <c r="DL14" s="114"/>
      <c r="DM14" s="114"/>
      <c r="DN14" s="114"/>
      <c r="DO14" s="114"/>
      <c r="DP14" s="114"/>
      <c r="DQ14" s="114"/>
      <c r="DR14" s="114"/>
      <c r="DS14" s="114"/>
      <c r="DT14" s="114"/>
      <c r="DU14" s="114"/>
      <c r="DV14" s="114"/>
      <c r="DW14" s="114"/>
      <c r="DX14" s="114"/>
      <c r="DY14" s="114"/>
      <c r="DZ14" s="114"/>
      <c r="EA14" s="114"/>
      <c r="EB14" s="114"/>
      <c r="EC14" s="114"/>
      <c r="ED14" s="114"/>
      <c r="EE14" s="114"/>
      <c r="EF14" s="114"/>
      <c r="EG14" s="114"/>
      <c r="EH14" s="114"/>
      <c r="EI14" s="114"/>
      <c r="EJ14" s="114"/>
      <c r="EK14" s="114"/>
      <c r="EL14" s="114"/>
      <c r="EM14" s="114"/>
      <c r="EN14" s="114"/>
      <c r="EO14" s="114"/>
      <c r="EP14" s="114"/>
      <c r="EQ14" s="114"/>
      <c r="ER14" s="114"/>
      <c r="ES14" s="114"/>
      <c r="ET14" s="114"/>
      <c r="EU14" s="114"/>
      <c r="EV14" s="114"/>
      <c r="EW14" s="114"/>
      <c r="EX14" s="114"/>
      <c r="EY14" s="114"/>
      <c r="EZ14" s="114"/>
      <c r="FA14" s="114"/>
      <c r="FB14" s="114"/>
      <c r="FC14" s="114"/>
      <c r="FD14" s="114"/>
      <c r="FE14" s="114"/>
      <c r="FF14" s="114"/>
      <c r="FG14" s="114"/>
      <c r="FH14" s="114"/>
      <c r="FI14" s="114"/>
      <c r="FJ14" s="114"/>
      <c r="FK14" s="114"/>
      <c r="FL14" s="114"/>
      <c r="FM14" s="114"/>
      <c r="FN14" s="114"/>
      <c r="FO14" s="114"/>
      <c r="FP14" s="114"/>
      <c r="FQ14" s="114"/>
      <c r="FR14" s="114"/>
      <c r="FS14" s="114"/>
      <c r="FT14" s="114"/>
      <c r="FU14" s="114"/>
      <c r="FV14" s="114"/>
      <c r="FW14" s="114"/>
      <c r="FX14" s="114"/>
      <c r="FY14" s="114"/>
      <c r="FZ14" s="114"/>
      <c r="GA14" s="114"/>
      <c r="GB14" s="114"/>
      <c r="GC14" s="114"/>
      <c r="GD14" s="114"/>
      <c r="GE14" s="114"/>
      <c r="GF14" s="114"/>
      <c r="GG14" s="114"/>
      <c r="GH14" s="114"/>
      <c r="GI14" s="114"/>
      <c r="GJ14" s="114"/>
      <c r="GK14" s="114"/>
      <c r="GL14" s="114"/>
      <c r="GM14" s="114"/>
      <c r="GN14" s="114"/>
      <c r="GO14" s="114"/>
      <c r="GP14" s="114"/>
      <c r="GQ14" s="114"/>
      <c r="GR14" s="114"/>
      <c r="GS14" s="114"/>
      <c r="GT14" s="114"/>
      <c r="GU14" s="114"/>
      <c r="GV14" s="114"/>
      <c r="GW14" s="114"/>
      <c r="GX14" s="114"/>
      <c r="GY14" s="114"/>
      <c r="GZ14" s="114"/>
      <c r="HA14" s="114"/>
      <c r="HB14" s="114"/>
      <c r="HC14" s="114"/>
      <c r="HD14" s="114"/>
      <c r="HE14" s="114"/>
      <c r="HF14" s="114"/>
      <c r="HG14" s="114"/>
      <c r="HH14" s="114"/>
      <c r="HI14" s="114"/>
      <c r="HJ14" s="114"/>
      <c r="HK14" s="114"/>
      <c r="HL14" s="114"/>
      <c r="HM14" s="114"/>
      <c r="HN14" s="114"/>
      <c r="HO14" s="114"/>
      <c r="HP14" s="114"/>
      <c r="HQ14" s="114"/>
      <c r="HR14" s="114"/>
      <c r="HS14" s="114"/>
      <c r="HT14" s="114"/>
      <c r="HU14" s="114"/>
      <c r="HV14" s="114"/>
      <c r="HW14" s="114"/>
      <c r="HX14" s="114"/>
      <c r="HY14" s="114"/>
      <c r="HZ14" s="114"/>
      <c r="IA14" s="114"/>
      <c r="IB14" s="114"/>
      <c r="IC14" s="114"/>
      <c r="ID14" s="114"/>
      <c r="IE14" s="114"/>
      <c r="IF14" s="114"/>
      <c r="IG14" s="114"/>
      <c r="IH14" s="114"/>
      <c r="II14" s="114"/>
      <c r="IJ14" s="114"/>
      <c r="IK14" s="114"/>
      <c r="IL14" s="114"/>
      <c r="IM14" s="114"/>
      <c r="IN14" s="114"/>
      <c r="IO14" s="114"/>
      <c r="IP14" s="114"/>
      <c r="IQ14" s="114"/>
      <c r="IR14" s="114"/>
      <c r="IS14" s="114"/>
      <c r="IT14" s="114"/>
      <c r="IU14" s="114"/>
      <c r="IV14" s="114"/>
      <c r="IW14" s="114"/>
      <c r="IX14" s="114"/>
      <c r="IY14" s="114"/>
      <c r="IZ14" s="114"/>
      <c r="JA14" s="114"/>
      <c r="JB14" s="114"/>
      <c r="JC14" s="114"/>
      <c r="JD14" s="114"/>
      <c r="JE14" s="114"/>
      <c r="JF14" s="114"/>
      <c r="JG14" s="114"/>
      <c r="JH14" s="114"/>
      <c r="JI14" s="114"/>
      <c r="JJ14" s="114"/>
      <c r="JK14" s="114"/>
      <c r="JL14" s="114"/>
      <c r="JM14" s="114"/>
      <c r="JN14" s="114"/>
      <c r="JO14" s="114"/>
      <c r="JP14" s="114"/>
      <c r="JQ14" s="114"/>
      <c r="JR14" s="114"/>
      <c r="JS14" s="114"/>
      <c r="JT14" s="114"/>
      <c r="JU14" s="114"/>
      <c r="JV14" s="114"/>
      <c r="JW14" s="114"/>
      <c r="JX14" s="114"/>
      <c r="JY14" s="114"/>
      <c r="JZ14" s="114"/>
      <c r="KA14" s="114"/>
      <c r="KB14" s="114"/>
      <c r="KC14" s="114"/>
      <c r="KD14" s="114"/>
      <c r="KE14" s="114"/>
      <c r="KF14" s="114"/>
      <c r="KG14" s="114"/>
      <c r="KH14" s="114"/>
      <c r="KI14" s="114"/>
      <c r="KJ14" s="114"/>
      <c r="KK14" s="114"/>
      <c r="KL14" s="114"/>
      <c r="KM14" s="114"/>
      <c r="KN14" s="114"/>
      <c r="KO14" s="114"/>
      <c r="KP14" s="114"/>
      <c r="KQ14" s="114"/>
      <c r="KR14" s="114"/>
      <c r="KS14" s="114"/>
      <c r="KT14" s="114"/>
      <c r="KU14" s="114"/>
      <c r="KV14" s="114"/>
      <c r="KW14" s="114"/>
      <c r="KX14" s="114"/>
      <c r="KY14" s="114"/>
      <c r="KZ14" s="114"/>
      <c r="LA14" s="114"/>
      <c r="LB14" s="114"/>
      <c r="LC14" s="114"/>
      <c r="LD14" s="114"/>
      <c r="LE14" s="114"/>
      <c r="LF14" s="114"/>
      <c r="LG14" s="114"/>
      <c r="LH14" s="114"/>
      <c r="LI14" s="114"/>
      <c r="LJ14" s="114"/>
      <c r="LK14" s="114"/>
      <c r="LL14" s="114"/>
      <c r="LM14" s="114"/>
      <c r="LN14" s="114"/>
      <c r="LO14" s="114"/>
      <c r="LP14" s="114"/>
      <c r="LQ14" s="114"/>
      <c r="LR14" s="114"/>
      <c r="LS14" s="114"/>
      <c r="LT14" s="114"/>
      <c r="LU14" s="114"/>
      <c r="LV14" s="114"/>
      <c r="LW14" s="114"/>
      <c r="LX14" s="114"/>
      <c r="LY14" s="114"/>
      <c r="LZ14" s="114"/>
      <c r="MA14" s="114"/>
      <c r="MB14" s="114"/>
      <c r="MC14" s="114"/>
      <c r="MD14" s="114"/>
      <c r="ME14" s="114"/>
      <c r="MF14" s="114"/>
      <c r="MG14" s="114"/>
      <c r="MH14" s="114"/>
      <c r="MI14" s="114"/>
      <c r="MJ14" s="114"/>
      <c r="MK14" s="114"/>
      <c r="ML14" s="114"/>
      <c r="MM14" s="114"/>
      <c r="MN14" s="114"/>
      <c r="MO14" s="114"/>
      <c r="MP14" s="114"/>
      <c r="MQ14" s="114"/>
      <c r="MR14" s="114"/>
      <c r="MS14" s="114"/>
      <c r="MT14" s="114"/>
      <c r="MU14" s="114"/>
      <c r="MV14" s="114"/>
      <c r="MW14" s="114"/>
      <c r="MX14" s="114"/>
      <c r="MY14" s="114"/>
      <c r="MZ14" s="114"/>
      <c r="NA14" s="114"/>
      <c r="NB14" s="114"/>
      <c r="NC14" s="114"/>
      <c r="ND14" s="114"/>
      <c r="NE14" s="114"/>
      <c r="NF14" s="114"/>
      <c r="NG14" s="114"/>
      <c r="NH14" s="114"/>
      <c r="NI14" s="114"/>
      <c r="NJ14" s="114"/>
      <c r="NK14" s="114"/>
      <c r="NL14" s="114"/>
      <c r="NM14" s="114"/>
      <c r="NN14" s="114"/>
      <c r="NO14" s="114"/>
      <c r="NP14" s="114"/>
      <c r="NQ14" s="114"/>
      <c r="NR14" s="114"/>
      <c r="NS14" s="114"/>
      <c r="NT14" s="114"/>
      <c r="NU14" s="114"/>
      <c r="NV14" s="114"/>
      <c r="NW14" s="114"/>
      <c r="NX14" s="114"/>
      <c r="NY14" s="114"/>
      <c r="NZ14" s="114"/>
      <c r="OA14" s="114"/>
      <c r="OB14" s="114"/>
      <c r="OC14" s="114"/>
      <c r="OD14" s="114"/>
      <c r="OE14" s="114"/>
      <c r="OF14" s="114"/>
      <c r="OG14" s="114"/>
      <c r="OH14" s="114"/>
      <c r="OI14" s="114"/>
      <c r="OJ14" s="114"/>
      <c r="OK14" s="114"/>
      <c r="OL14" s="114"/>
      <c r="OM14" s="114"/>
      <c r="ON14" s="114"/>
      <c r="OO14" s="114"/>
      <c r="OP14" s="114"/>
      <c r="OQ14" s="114"/>
      <c r="OR14" s="114"/>
      <c r="OS14" s="114"/>
      <c r="OT14" s="114"/>
      <c r="OU14" s="114"/>
      <c r="OV14" s="114"/>
      <c r="OW14" s="114"/>
      <c r="OX14" s="114"/>
      <c r="OY14" s="114"/>
      <c r="OZ14" s="114"/>
      <c r="PA14" s="114"/>
      <c r="PB14" s="114"/>
      <c r="PC14" s="114"/>
      <c r="PD14" s="114"/>
      <c r="PE14" s="114"/>
      <c r="PF14" s="114"/>
      <c r="PG14" s="114"/>
      <c r="PH14" s="114"/>
      <c r="PI14" s="114"/>
      <c r="PJ14" s="114"/>
      <c r="PK14" s="114"/>
      <c r="PL14" s="114"/>
      <c r="PM14" s="114"/>
      <c r="PN14" s="114"/>
      <c r="PO14" s="114"/>
      <c r="PP14" s="114"/>
      <c r="PQ14" s="114"/>
      <c r="PR14" s="114"/>
      <c r="PS14" s="114"/>
      <c r="PT14" s="114"/>
      <c r="PU14" s="114"/>
      <c r="PV14" s="114"/>
      <c r="PW14" s="114"/>
      <c r="PX14" s="114"/>
      <c r="PY14" s="114"/>
      <c r="PZ14" s="114"/>
      <c r="QA14" s="114"/>
      <c r="QB14" s="114"/>
      <c r="QC14" s="114"/>
      <c r="QD14" s="114"/>
      <c r="QE14" s="114"/>
      <c r="QF14" s="114"/>
      <c r="QG14" s="114"/>
      <c r="QH14" s="114"/>
      <c r="QI14" s="114"/>
      <c r="QJ14" s="114"/>
      <c r="QK14" s="114"/>
      <c r="QL14" s="114"/>
      <c r="QM14" s="114"/>
      <c r="QN14" s="114"/>
      <c r="QO14" s="114"/>
      <c r="QP14" s="114"/>
      <c r="QQ14" s="114"/>
      <c r="QR14" s="114"/>
      <c r="QS14" s="114"/>
      <c r="QT14" s="114"/>
      <c r="QU14" s="114"/>
      <c r="QV14" s="114"/>
      <c r="QW14" s="114"/>
      <c r="QX14" s="114"/>
      <c r="QY14" s="114"/>
      <c r="QZ14" s="114"/>
      <c r="RA14" s="114"/>
      <c r="RB14" s="114"/>
      <c r="RC14" s="114"/>
      <c r="RD14" s="114"/>
      <c r="RE14" s="114"/>
      <c r="RF14" s="114"/>
      <c r="RG14" s="114"/>
      <c r="RH14" s="114"/>
      <c r="RI14" s="114"/>
      <c r="RJ14" s="114"/>
      <c r="RK14" s="114"/>
      <c r="RL14" s="114"/>
      <c r="RM14" s="114"/>
      <c r="RN14" s="114"/>
      <c r="RO14" s="114"/>
      <c r="RP14" s="114"/>
      <c r="RQ14" s="114"/>
      <c r="RR14" s="114"/>
      <c r="RS14" s="114"/>
      <c r="RT14" s="114"/>
      <c r="RU14" s="114"/>
      <c r="RV14" s="114"/>
      <c r="RW14" s="114"/>
      <c r="RX14" s="114"/>
      <c r="RY14" s="114"/>
      <c r="RZ14" s="114"/>
      <c r="SA14" s="114"/>
      <c r="SB14" s="114"/>
      <c r="SC14" s="114"/>
      <c r="SD14" s="114"/>
      <c r="SE14" s="114"/>
      <c r="SF14" s="114"/>
      <c r="SG14" s="114"/>
      <c r="SH14" s="114"/>
      <c r="SI14" s="114"/>
      <c r="SJ14" s="114"/>
      <c r="SK14" s="114"/>
      <c r="SL14" s="114"/>
      <c r="SM14" s="114"/>
      <c r="SN14" s="114"/>
      <c r="SO14" s="114"/>
      <c r="SP14" s="114"/>
      <c r="SQ14" s="114"/>
      <c r="SR14" s="114"/>
      <c r="SS14" s="114"/>
      <c r="ST14" s="114"/>
      <c r="SU14" s="114"/>
      <c r="SV14" s="114"/>
      <c r="SW14" s="114"/>
      <c r="SX14" s="114"/>
      <c r="SY14" s="114"/>
      <c r="SZ14" s="114"/>
      <c r="TA14" s="114"/>
      <c r="TB14" s="114"/>
      <c r="TC14" s="114"/>
      <c r="TD14" s="114"/>
      <c r="TE14" s="114"/>
      <c r="TF14" s="114"/>
      <c r="TG14" s="114"/>
      <c r="TH14" s="114"/>
      <c r="TI14" s="114"/>
      <c r="TJ14" s="114"/>
      <c r="TK14" s="114"/>
      <c r="TL14" s="114"/>
      <c r="TM14" s="114"/>
      <c r="TN14" s="114"/>
      <c r="TO14" s="114"/>
      <c r="TP14" s="114"/>
      <c r="TQ14" s="114"/>
      <c r="TR14" s="114"/>
      <c r="TS14" s="114"/>
      <c r="TT14" s="114"/>
      <c r="TU14" s="114"/>
      <c r="TV14" s="114"/>
      <c r="TW14" s="114"/>
      <c r="TX14" s="114"/>
      <c r="TY14" s="114"/>
      <c r="TZ14" s="114"/>
      <c r="UA14" s="114"/>
      <c r="UB14" s="114"/>
      <c r="UC14" s="114"/>
      <c r="UD14" s="114"/>
      <c r="UE14" s="114"/>
      <c r="UF14" s="114"/>
      <c r="UG14" s="114"/>
      <c r="UH14" s="114"/>
      <c r="UI14" s="114"/>
      <c r="UJ14" s="114"/>
      <c r="UK14" s="114"/>
      <c r="UL14" s="114"/>
      <c r="UM14" s="114"/>
      <c r="UN14" s="114"/>
      <c r="UO14" s="114"/>
      <c r="UP14" s="114"/>
      <c r="UQ14" s="114"/>
      <c r="UR14" s="114"/>
      <c r="US14" s="114"/>
      <c r="UT14" s="114"/>
      <c r="UU14" s="114"/>
      <c r="UV14" s="114"/>
      <c r="UW14" s="114"/>
      <c r="UX14" s="114"/>
      <c r="UY14" s="114"/>
      <c r="UZ14" s="114"/>
      <c r="VA14" s="114"/>
      <c r="VB14" s="114"/>
      <c r="VC14" s="114"/>
      <c r="VD14" s="114"/>
      <c r="VE14" s="114"/>
      <c r="VF14" s="114"/>
      <c r="VG14" s="114"/>
      <c r="VH14" s="114"/>
      <c r="VI14" s="114"/>
      <c r="VJ14" s="114"/>
      <c r="VK14" s="114"/>
      <c r="VL14" s="114"/>
      <c r="VM14" s="114"/>
      <c r="VN14" s="114"/>
      <c r="VO14" s="114"/>
      <c r="VP14" s="114"/>
      <c r="VQ14" s="114"/>
      <c r="VR14" s="114"/>
      <c r="VS14" s="114"/>
      <c r="VT14" s="114"/>
      <c r="VU14" s="114"/>
      <c r="VV14" s="114"/>
      <c r="VW14" s="114"/>
      <c r="VX14" s="114"/>
      <c r="VY14" s="114"/>
      <c r="VZ14" s="114"/>
      <c r="WA14" s="114"/>
      <c r="WB14" s="114"/>
      <c r="WC14" s="114"/>
      <c r="WD14" s="114"/>
      <c r="WE14" s="114"/>
      <c r="WF14" s="114"/>
      <c r="WG14" s="114"/>
      <c r="WH14" s="114"/>
      <c r="WI14" s="114"/>
      <c r="WJ14" s="114"/>
      <c r="WK14" s="114"/>
      <c r="WL14" s="114"/>
      <c r="WM14" s="114"/>
      <c r="WN14" s="114"/>
      <c r="WO14" s="114"/>
      <c r="WP14" s="114"/>
      <c r="WQ14" s="114"/>
      <c r="WR14" s="114"/>
      <c r="WS14" s="114"/>
      <c r="WT14" s="114"/>
      <c r="WU14" s="114"/>
      <c r="WV14" s="114"/>
      <c r="WW14" s="114"/>
      <c r="WX14" s="114"/>
      <c r="WY14" s="114"/>
      <c r="WZ14" s="114"/>
      <c r="XA14" s="114"/>
      <c r="XB14" s="114"/>
      <c r="XC14" s="114"/>
      <c r="XD14" s="114"/>
      <c r="XE14" s="114"/>
      <c r="XF14" s="114"/>
      <c r="XG14" s="114"/>
      <c r="XH14" s="114"/>
      <c r="XI14" s="114"/>
      <c r="XJ14" s="114"/>
      <c r="XK14" s="114"/>
      <c r="XL14" s="114"/>
      <c r="XM14" s="114"/>
      <c r="XN14" s="114"/>
      <c r="XO14" s="114"/>
      <c r="XP14" s="114"/>
      <c r="XQ14" s="114"/>
      <c r="XR14" s="114"/>
      <c r="XS14" s="114"/>
      <c r="XT14" s="114"/>
      <c r="XU14" s="114"/>
      <c r="XV14" s="114"/>
      <c r="XW14" s="114"/>
      <c r="XX14" s="114"/>
      <c r="XY14" s="114"/>
      <c r="XZ14" s="114"/>
      <c r="YA14" s="114"/>
      <c r="YB14" s="114"/>
      <c r="YC14" s="114"/>
      <c r="YD14" s="114"/>
      <c r="YE14" s="114"/>
      <c r="YF14" s="114"/>
      <c r="YG14" s="114"/>
      <c r="YH14" s="114"/>
      <c r="YI14" s="114"/>
      <c r="YJ14" s="114"/>
      <c r="YK14" s="114"/>
      <c r="YL14" s="114"/>
      <c r="YM14" s="114"/>
      <c r="YN14" s="114"/>
      <c r="YO14" s="114"/>
      <c r="YP14" s="114"/>
      <c r="YQ14" s="114"/>
      <c r="YR14" s="114"/>
      <c r="YS14" s="114"/>
      <c r="YT14" s="114"/>
      <c r="YU14" s="114"/>
      <c r="YV14" s="114"/>
      <c r="YW14" s="114"/>
      <c r="YX14" s="114"/>
      <c r="YY14" s="114"/>
      <c r="YZ14" s="114"/>
      <c r="ZA14" s="114"/>
      <c r="ZB14" s="114"/>
      <c r="ZC14" s="114"/>
      <c r="ZD14" s="114"/>
      <c r="ZE14" s="114"/>
      <c r="ZF14" s="114"/>
      <c r="ZG14" s="114"/>
      <c r="ZH14" s="114"/>
      <c r="ZI14" s="114"/>
      <c r="ZJ14" s="114"/>
      <c r="ZK14" s="114"/>
      <c r="ZL14" s="114"/>
      <c r="ZM14" s="114"/>
      <c r="ZN14" s="114"/>
      <c r="ZO14" s="114"/>
      <c r="ZP14" s="114"/>
      <c r="ZQ14" s="114"/>
      <c r="ZR14" s="114"/>
      <c r="ZS14" s="114"/>
      <c r="ZT14" s="114"/>
      <c r="ZU14" s="114"/>
      <c r="ZV14" s="114"/>
      <c r="ZW14" s="114"/>
      <c r="ZX14" s="114"/>
      <c r="ZY14" s="114"/>
      <c r="ZZ14" s="114"/>
      <c r="AAA14" s="114"/>
      <c r="AAB14" s="114"/>
      <c r="AAC14" s="114"/>
      <c r="AAD14" s="114"/>
      <c r="AAE14" s="114"/>
      <c r="AAF14" s="114"/>
      <c r="AAG14" s="114"/>
      <c r="AAH14" s="114"/>
      <c r="AAI14" s="114"/>
      <c r="AAJ14" s="114"/>
      <c r="AAK14" s="114"/>
      <c r="AAL14" s="114"/>
      <c r="AAM14" s="114"/>
      <c r="AAN14" s="114"/>
      <c r="AAO14" s="114"/>
      <c r="AAP14" s="114"/>
      <c r="AAQ14" s="114"/>
      <c r="AAR14" s="114"/>
      <c r="AAS14" s="114"/>
      <c r="AAT14" s="114"/>
      <c r="AAU14" s="114"/>
      <c r="AAV14" s="114"/>
      <c r="AAW14" s="114"/>
      <c r="AAX14" s="114"/>
      <c r="AAY14" s="114"/>
      <c r="AAZ14" s="114"/>
      <c r="ABA14" s="114"/>
      <c r="ABB14" s="114"/>
      <c r="ABC14" s="114"/>
      <c r="ABD14" s="114"/>
      <c r="ABE14" s="114"/>
      <c r="ABF14" s="114"/>
      <c r="ABG14" s="114"/>
      <c r="ABH14" s="114"/>
      <c r="ABI14" s="114"/>
      <c r="ABJ14" s="114"/>
      <c r="ABK14" s="114"/>
      <c r="ABL14" s="114"/>
      <c r="ABM14" s="114"/>
      <c r="ABN14" s="114"/>
      <c r="ABO14" s="114"/>
      <c r="ABP14" s="114"/>
      <c r="ABQ14" s="114"/>
      <c r="ABR14" s="114"/>
      <c r="ABS14" s="114"/>
      <c r="ABT14" s="114"/>
      <c r="ABU14" s="114"/>
      <c r="ABV14" s="114"/>
      <c r="ABW14" s="114"/>
      <c r="ABX14" s="114"/>
      <c r="ABY14" s="114"/>
      <c r="ABZ14" s="114"/>
      <c r="ACA14" s="114"/>
      <c r="ACB14" s="114"/>
      <c r="ACC14" s="114"/>
      <c r="ACD14" s="114"/>
      <c r="ACE14" s="114"/>
      <c r="ACF14" s="114"/>
      <c r="ACG14" s="114"/>
      <c r="ACH14" s="114"/>
      <c r="ACI14" s="114"/>
      <c r="ACJ14" s="114"/>
      <c r="ACK14" s="114"/>
      <c r="ACL14" s="114"/>
      <c r="ACM14" s="114"/>
      <c r="ACN14" s="114"/>
      <c r="ACO14" s="114"/>
      <c r="ACP14" s="114"/>
      <c r="ACQ14" s="114"/>
      <c r="ACR14" s="114"/>
      <c r="ACS14" s="114"/>
      <c r="ACT14" s="114"/>
      <c r="ACU14" s="114"/>
      <c r="ACV14" s="114"/>
      <c r="ACW14" s="114"/>
      <c r="ACX14" s="114"/>
      <c r="ACY14" s="114"/>
      <c r="ACZ14" s="114"/>
      <c r="ADA14" s="114"/>
      <c r="ADB14" s="114"/>
      <c r="ADC14" s="114"/>
      <c r="ADD14" s="114"/>
      <c r="ADE14" s="114"/>
      <c r="ADF14" s="114"/>
      <c r="ADG14" s="114"/>
      <c r="ADH14" s="114"/>
      <c r="ADI14" s="114"/>
      <c r="ADJ14" s="114"/>
      <c r="ADK14" s="114"/>
      <c r="ADL14" s="114"/>
      <c r="ADM14" s="114"/>
      <c r="ADN14" s="114"/>
      <c r="ADO14" s="114"/>
      <c r="ADP14" s="114"/>
      <c r="ADQ14" s="114"/>
      <c r="ADR14" s="114"/>
      <c r="ADS14" s="114"/>
      <c r="ADT14" s="114"/>
      <c r="ADU14" s="114"/>
      <c r="ADV14" s="114"/>
      <c r="ADW14" s="114"/>
      <c r="ADX14" s="114"/>
      <c r="ADY14" s="114"/>
      <c r="ADZ14" s="114"/>
      <c r="AEA14" s="114"/>
      <c r="AEB14" s="114"/>
      <c r="AEC14" s="114"/>
      <c r="AED14" s="114"/>
      <c r="AEE14" s="114"/>
      <c r="AEF14" s="114"/>
      <c r="AEG14" s="114"/>
      <c r="AEH14" s="114"/>
      <c r="AEI14" s="114"/>
      <c r="AEJ14" s="114"/>
      <c r="AEK14" s="114"/>
      <c r="AEL14" s="114"/>
      <c r="AEM14" s="114"/>
      <c r="AEN14" s="114"/>
      <c r="AEO14" s="114"/>
      <c r="AEP14" s="114"/>
      <c r="AEQ14" s="114"/>
      <c r="AER14" s="114"/>
      <c r="AES14" s="114"/>
      <c r="AET14" s="114"/>
      <c r="AEU14" s="114"/>
      <c r="AEV14" s="114"/>
      <c r="AEW14" s="114"/>
      <c r="AEX14" s="114"/>
      <c r="AEY14" s="114"/>
      <c r="AEZ14" s="114"/>
      <c r="AFA14" s="114"/>
      <c r="AFB14" s="114"/>
      <c r="AFC14" s="114"/>
      <c r="AFD14" s="114"/>
      <c r="AFE14" s="114"/>
      <c r="AFF14" s="114"/>
      <c r="AFG14" s="114"/>
      <c r="AFH14" s="114"/>
      <c r="AFI14" s="114"/>
      <c r="AFJ14" s="114"/>
      <c r="AFK14" s="114"/>
      <c r="AFL14" s="114"/>
      <c r="AFM14" s="114"/>
      <c r="AFN14" s="114"/>
      <c r="AFO14" s="114"/>
      <c r="AFP14" s="114"/>
      <c r="AFQ14" s="114"/>
      <c r="AFR14" s="114"/>
      <c r="AFS14" s="114"/>
      <c r="AFT14" s="114"/>
      <c r="AFU14" s="114"/>
      <c r="AFV14" s="114"/>
      <c r="AFW14" s="114"/>
      <c r="AFX14" s="114"/>
      <c r="AFY14" s="114"/>
      <c r="AFZ14" s="114"/>
      <c r="AGA14" s="114"/>
      <c r="AGB14" s="114"/>
      <c r="AGC14" s="114"/>
      <c r="AGD14" s="114"/>
      <c r="AGE14" s="114"/>
      <c r="AGF14" s="114"/>
      <c r="AGG14" s="114"/>
      <c r="AGH14" s="114"/>
      <c r="AGI14" s="114"/>
      <c r="AGJ14" s="114"/>
      <c r="AGK14" s="114"/>
      <c r="AGL14" s="114"/>
      <c r="AGM14" s="114"/>
      <c r="AGN14" s="114"/>
      <c r="AGO14" s="114"/>
      <c r="AGP14" s="114"/>
      <c r="AGQ14" s="114"/>
      <c r="AGR14" s="114"/>
      <c r="AGS14" s="114"/>
      <c r="AGT14" s="114"/>
      <c r="AGU14" s="114"/>
      <c r="AGV14" s="114"/>
      <c r="AGW14" s="114"/>
      <c r="AGX14" s="114"/>
      <c r="AGY14" s="114"/>
      <c r="AGZ14" s="114"/>
      <c r="AHA14" s="114"/>
      <c r="AHB14" s="114"/>
      <c r="AHC14" s="114"/>
      <c r="AHD14" s="114"/>
      <c r="AHE14" s="114"/>
      <c r="AHF14" s="114"/>
      <c r="AHG14" s="114"/>
      <c r="AHH14" s="114"/>
      <c r="AHI14" s="114"/>
      <c r="AHJ14" s="114"/>
      <c r="AHK14" s="114"/>
      <c r="AHL14" s="114"/>
      <c r="AHM14" s="114"/>
      <c r="AHN14" s="114"/>
      <c r="AHO14" s="114"/>
      <c r="AHP14" s="114"/>
      <c r="AHQ14" s="114"/>
      <c r="AHR14" s="114"/>
      <c r="AHS14" s="114"/>
      <c r="AHT14" s="114"/>
      <c r="AHU14" s="114"/>
      <c r="AHV14" s="114"/>
      <c r="AHW14" s="114"/>
      <c r="AHX14" s="114"/>
      <c r="AHY14" s="114"/>
      <c r="AHZ14" s="114"/>
      <c r="AIA14" s="114"/>
      <c r="AIB14" s="114"/>
      <c r="AIC14" s="114"/>
      <c r="AID14" s="114"/>
      <c r="AIE14" s="114"/>
      <c r="AIF14" s="114"/>
      <c r="AIG14" s="114"/>
      <c r="AIH14" s="114"/>
      <c r="AII14" s="114"/>
      <c r="AIJ14" s="114"/>
      <c r="AIK14" s="114"/>
      <c r="AIL14" s="114"/>
      <c r="AIM14" s="114"/>
      <c r="AIN14" s="114"/>
      <c r="AIO14" s="114"/>
      <c r="AIP14" s="114"/>
      <c r="AIQ14" s="114"/>
      <c r="AIR14" s="114"/>
      <c r="AIS14" s="114"/>
      <c r="AIT14" s="114"/>
      <c r="AIU14" s="114"/>
      <c r="AIV14" s="114"/>
      <c r="AIW14" s="114"/>
      <c r="AIX14" s="114"/>
      <c r="AIY14" s="114"/>
      <c r="AIZ14" s="114"/>
      <c r="AJA14" s="114"/>
      <c r="AJB14" s="114"/>
      <c r="AJC14" s="114"/>
      <c r="AJD14" s="114"/>
      <c r="AJE14" s="114"/>
      <c r="AJF14" s="114"/>
      <c r="AJG14" s="114"/>
      <c r="AJH14" s="114"/>
      <c r="AJI14" s="114"/>
      <c r="AJJ14" s="114"/>
      <c r="AJK14" s="114"/>
      <c r="AJL14" s="114"/>
      <c r="AJM14" s="114"/>
      <c r="AJN14" s="114"/>
      <c r="AJO14" s="114"/>
      <c r="AJP14" s="114"/>
      <c r="AJQ14" s="114"/>
      <c r="AJR14" s="114"/>
      <c r="AJS14" s="114"/>
      <c r="AJT14" s="114"/>
      <c r="AJU14" s="114"/>
      <c r="AJV14" s="114"/>
      <c r="AJW14" s="114"/>
      <c r="AJX14" s="114"/>
      <c r="AJY14" s="114"/>
      <c r="AJZ14" s="114"/>
      <c r="AKA14" s="114"/>
      <c r="AKB14" s="114"/>
      <c r="AKC14" s="114"/>
      <c r="AKD14" s="114"/>
      <c r="AKE14" s="114"/>
      <c r="AKF14" s="114"/>
      <c r="AKG14" s="114"/>
      <c r="AKH14" s="114"/>
      <c r="AKI14" s="114"/>
      <c r="AKJ14" s="114"/>
      <c r="AKK14" s="114"/>
      <c r="AKL14" s="114"/>
    </row>
    <row r="15" spans="1:974" s="115" customFormat="1" ht="15" customHeight="1" x14ac:dyDescent="0.3">
      <c r="A15" s="116">
        <v>8470230</v>
      </c>
      <c r="B15" s="117">
        <v>425900</v>
      </c>
      <c r="C15" s="461" t="s">
        <v>3068</v>
      </c>
      <c r="D15" s="130" t="s">
        <v>3069</v>
      </c>
      <c r="E15" s="131">
        <v>2</v>
      </c>
      <c r="F15" s="132">
        <v>25000</v>
      </c>
      <c r="G15" s="133">
        <f>E15*F15</f>
        <v>50000</v>
      </c>
      <c r="H15" s="114"/>
      <c r="I15" s="114"/>
      <c r="J15" s="114"/>
      <c r="K15" s="114"/>
      <c r="L15" s="114"/>
      <c r="M15" s="114"/>
      <c r="N15" s="114"/>
      <c r="O15" s="114"/>
      <c r="P15" s="114"/>
      <c r="Q15" s="114"/>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4"/>
      <c r="AY15" s="114"/>
      <c r="AZ15" s="114"/>
      <c r="BA15" s="114"/>
      <c r="BB15" s="114"/>
      <c r="BC15" s="114"/>
      <c r="BD15" s="114"/>
      <c r="BE15" s="114"/>
      <c r="BF15" s="114"/>
      <c r="BG15" s="114"/>
      <c r="BH15" s="114"/>
      <c r="BI15" s="114"/>
      <c r="BJ15" s="114"/>
      <c r="BK15" s="114"/>
      <c r="BL15" s="114"/>
      <c r="BM15" s="114"/>
      <c r="BN15" s="114"/>
      <c r="BO15" s="114"/>
      <c r="BP15" s="114"/>
      <c r="BQ15" s="114"/>
      <c r="BR15" s="114"/>
      <c r="BS15" s="114"/>
      <c r="BT15" s="114"/>
      <c r="BU15" s="114"/>
      <c r="BV15" s="114"/>
      <c r="BW15" s="114"/>
      <c r="BX15" s="114"/>
      <c r="BY15" s="114"/>
      <c r="BZ15" s="114"/>
      <c r="CA15" s="114"/>
      <c r="CB15" s="114"/>
      <c r="CC15" s="114"/>
      <c r="CD15" s="114"/>
      <c r="CE15" s="114"/>
      <c r="CF15" s="114"/>
      <c r="CG15" s="114"/>
      <c r="CH15" s="114"/>
      <c r="CI15" s="114"/>
      <c r="CJ15" s="114"/>
      <c r="CK15" s="114"/>
      <c r="CL15" s="114"/>
      <c r="CM15" s="114"/>
      <c r="CN15" s="114"/>
      <c r="CO15" s="114"/>
      <c r="CP15" s="114"/>
      <c r="CQ15" s="114"/>
      <c r="CR15" s="114"/>
      <c r="CS15" s="114"/>
      <c r="CT15" s="114"/>
      <c r="CU15" s="114"/>
      <c r="CV15" s="114"/>
      <c r="CW15" s="114"/>
      <c r="CX15" s="114"/>
      <c r="CY15" s="114"/>
      <c r="CZ15" s="114"/>
      <c r="DA15" s="114"/>
      <c r="DB15" s="114"/>
      <c r="DC15" s="114"/>
      <c r="DD15" s="114"/>
      <c r="DE15" s="114"/>
      <c r="DF15" s="114"/>
      <c r="DG15" s="114"/>
      <c r="DH15" s="114"/>
      <c r="DI15" s="114"/>
      <c r="DJ15" s="114"/>
      <c r="DK15" s="114"/>
      <c r="DL15" s="114"/>
      <c r="DM15" s="114"/>
      <c r="DN15" s="114"/>
      <c r="DO15" s="114"/>
      <c r="DP15" s="114"/>
      <c r="DQ15" s="114"/>
      <c r="DR15" s="114"/>
      <c r="DS15" s="114"/>
      <c r="DT15" s="114"/>
      <c r="DU15" s="114"/>
      <c r="DV15" s="114"/>
      <c r="DW15" s="114"/>
      <c r="DX15" s="114"/>
      <c r="DY15" s="114"/>
      <c r="DZ15" s="114"/>
      <c r="EA15" s="114"/>
      <c r="EB15" s="114"/>
      <c r="EC15" s="114"/>
      <c r="ED15" s="114"/>
      <c r="EE15" s="114"/>
      <c r="EF15" s="114"/>
      <c r="EG15" s="114"/>
      <c r="EH15" s="114"/>
      <c r="EI15" s="114"/>
      <c r="EJ15" s="114"/>
      <c r="EK15" s="114"/>
      <c r="EL15" s="114"/>
      <c r="EM15" s="114"/>
      <c r="EN15" s="114"/>
      <c r="EO15" s="114"/>
      <c r="EP15" s="114"/>
      <c r="EQ15" s="114"/>
      <c r="ER15" s="114"/>
      <c r="ES15" s="114"/>
      <c r="ET15" s="114"/>
      <c r="EU15" s="114"/>
      <c r="EV15" s="114"/>
      <c r="EW15" s="114"/>
      <c r="EX15" s="114"/>
      <c r="EY15" s="114"/>
      <c r="EZ15" s="114"/>
      <c r="FA15" s="114"/>
      <c r="FB15" s="114"/>
      <c r="FC15" s="114"/>
      <c r="FD15" s="114"/>
      <c r="FE15" s="114"/>
      <c r="FF15" s="114"/>
      <c r="FG15" s="114"/>
      <c r="FH15" s="114"/>
      <c r="FI15" s="114"/>
      <c r="FJ15" s="114"/>
      <c r="FK15" s="114"/>
      <c r="FL15" s="114"/>
      <c r="FM15" s="114"/>
      <c r="FN15" s="114"/>
      <c r="FO15" s="114"/>
      <c r="FP15" s="114"/>
      <c r="FQ15" s="114"/>
      <c r="FR15" s="114"/>
      <c r="FS15" s="114"/>
      <c r="FT15" s="114"/>
      <c r="FU15" s="114"/>
      <c r="FV15" s="114"/>
      <c r="FW15" s="114"/>
      <c r="FX15" s="114"/>
      <c r="FY15" s="114"/>
      <c r="FZ15" s="114"/>
      <c r="GA15" s="114"/>
      <c r="GB15" s="114"/>
      <c r="GC15" s="114"/>
      <c r="GD15" s="114"/>
      <c r="GE15" s="114"/>
      <c r="GF15" s="114"/>
      <c r="GG15" s="114"/>
      <c r="GH15" s="114"/>
      <c r="GI15" s="114"/>
      <c r="GJ15" s="114"/>
      <c r="GK15" s="114"/>
      <c r="GL15" s="114"/>
      <c r="GM15" s="114"/>
      <c r="GN15" s="114"/>
      <c r="GO15" s="114"/>
      <c r="GP15" s="114"/>
      <c r="GQ15" s="114"/>
      <c r="GR15" s="114"/>
      <c r="GS15" s="114"/>
      <c r="GT15" s="114"/>
      <c r="GU15" s="114"/>
      <c r="GV15" s="114"/>
      <c r="GW15" s="114"/>
      <c r="GX15" s="114"/>
      <c r="GY15" s="114"/>
      <c r="GZ15" s="114"/>
      <c r="HA15" s="114"/>
      <c r="HB15" s="114"/>
      <c r="HC15" s="114"/>
      <c r="HD15" s="114"/>
      <c r="HE15" s="114"/>
      <c r="HF15" s="114"/>
      <c r="HG15" s="114"/>
      <c r="HH15" s="114"/>
      <c r="HI15" s="114"/>
      <c r="HJ15" s="114"/>
      <c r="HK15" s="114"/>
      <c r="HL15" s="114"/>
      <c r="HM15" s="114"/>
      <c r="HN15" s="114"/>
      <c r="HO15" s="114"/>
      <c r="HP15" s="114"/>
      <c r="HQ15" s="114"/>
      <c r="HR15" s="114"/>
      <c r="HS15" s="114"/>
      <c r="HT15" s="114"/>
      <c r="HU15" s="114"/>
      <c r="HV15" s="114"/>
      <c r="HW15" s="114"/>
      <c r="HX15" s="114"/>
      <c r="HY15" s="114"/>
      <c r="HZ15" s="114"/>
      <c r="IA15" s="114"/>
      <c r="IB15" s="114"/>
      <c r="IC15" s="114"/>
      <c r="ID15" s="114"/>
      <c r="IE15" s="114"/>
      <c r="IF15" s="114"/>
      <c r="IG15" s="114"/>
      <c r="IH15" s="114"/>
      <c r="II15" s="114"/>
      <c r="IJ15" s="114"/>
      <c r="IK15" s="114"/>
      <c r="IL15" s="114"/>
      <c r="IM15" s="114"/>
      <c r="IN15" s="114"/>
      <c r="IO15" s="114"/>
      <c r="IP15" s="114"/>
      <c r="IQ15" s="114"/>
      <c r="IR15" s="114"/>
      <c r="IS15" s="114"/>
      <c r="IT15" s="114"/>
      <c r="IU15" s="114"/>
      <c r="IV15" s="114"/>
      <c r="IW15" s="114"/>
      <c r="IX15" s="114"/>
      <c r="IY15" s="114"/>
      <c r="IZ15" s="114"/>
      <c r="JA15" s="114"/>
      <c r="JB15" s="114"/>
      <c r="JC15" s="114"/>
      <c r="JD15" s="114"/>
      <c r="JE15" s="114"/>
      <c r="JF15" s="114"/>
      <c r="JG15" s="114"/>
      <c r="JH15" s="114"/>
      <c r="JI15" s="114"/>
      <c r="JJ15" s="114"/>
      <c r="JK15" s="114"/>
      <c r="JL15" s="114"/>
      <c r="JM15" s="114"/>
      <c r="JN15" s="114"/>
      <c r="JO15" s="114"/>
      <c r="JP15" s="114"/>
      <c r="JQ15" s="114"/>
      <c r="JR15" s="114"/>
      <c r="JS15" s="114"/>
      <c r="JT15" s="114"/>
      <c r="JU15" s="114"/>
      <c r="JV15" s="114"/>
      <c r="JW15" s="114"/>
      <c r="JX15" s="114"/>
      <c r="JY15" s="114"/>
      <c r="JZ15" s="114"/>
      <c r="KA15" s="114"/>
      <c r="KB15" s="114"/>
      <c r="KC15" s="114"/>
      <c r="KD15" s="114"/>
      <c r="KE15" s="114"/>
      <c r="KF15" s="114"/>
      <c r="KG15" s="114"/>
      <c r="KH15" s="114"/>
      <c r="KI15" s="114"/>
      <c r="KJ15" s="114"/>
      <c r="KK15" s="114"/>
      <c r="KL15" s="114"/>
      <c r="KM15" s="114"/>
      <c r="KN15" s="114"/>
      <c r="KO15" s="114"/>
      <c r="KP15" s="114"/>
      <c r="KQ15" s="114"/>
      <c r="KR15" s="114"/>
      <c r="KS15" s="114"/>
      <c r="KT15" s="114"/>
      <c r="KU15" s="114"/>
      <c r="KV15" s="114"/>
      <c r="KW15" s="114"/>
      <c r="KX15" s="114"/>
      <c r="KY15" s="114"/>
      <c r="KZ15" s="114"/>
      <c r="LA15" s="114"/>
      <c r="LB15" s="114"/>
      <c r="LC15" s="114"/>
      <c r="LD15" s="114"/>
      <c r="LE15" s="114"/>
      <c r="LF15" s="114"/>
      <c r="LG15" s="114"/>
      <c r="LH15" s="114"/>
      <c r="LI15" s="114"/>
      <c r="LJ15" s="114"/>
      <c r="LK15" s="114"/>
      <c r="LL15" s="114"/>
      <c r="LM15" s="114"/>
      <c r="LN15" s="114"/>
      <c r="LO15" s="114"/>
      <c r="LP15" s="114"/>
      <c r="LQ15" s="114"/>
      <c r="LR15" s="114"/>
      <c r="LS15" s="114"/>
      <c r="LT15" s="114"/>
      <c r="LU15" s="114"/>
      <c r="LV15" s="114"/>
      <c r="LW15" s="114"/>
      <c r="LX15" s="114"/>
      <c r="LY15" s="114"/>
      <c r="LZ15" s="114"/>
      <c r="MA15" s="114"/>
      <c r="MB15" s="114"/>
      <c r="MC15" s="114"/>
      <c r="MD15" s="114"/>
      <c r="ME15" s="114"/>
      <c r="MF15" s="114"/>
      <c r="MG15" s="114"/>
      <c r="MH15" s="114"/>
      <c r="MI15" s="114"/>
      <c r="MJ15" s="114"/>
      <c r="MK15" s="114"/>
      <c r="ML15" s="114"/>
      <c r="MM15" s="114"/>
      <c r="MN15" s="114"/>
      <c r="MO15" s="114"/>
      <c r="MP15" s="114"/>
      <c r="MQ15" s="114"/>
      <c r="MR15" s="114"/>
      <c r="MS15" s="114"/>
      <c r="MT15" s="114"/>
      <c r="MU15" s="114"/>
      <c r="MV15" s="114"/>
      <c r="MW15" s="114"/>
      <c r="MX15" s="114"/>
      <c r="MY15" s="114"/>
      <c r="MZ15" s="114"/>
      <c r="NA15" s="114"/>
      <c r="NB15" s="114"/>
      <c r="NC15" s="114"/>
      <c r="ND15" s="114"/>
      <c r="NE15" s="114"/>
      <c r="NF15" s="114"/>
      <c r="NG15" s="114"/>
      <c r="NH15" s="114"/>
      <c r="NI15" s="114"/>
      <c r="NJ15" s="114"/>
      <c r="NK15" s="114"/>
      <c r="NL15" s="114"/>
      <c r="NM15" s="114"/>
      <c r="NN15" s="114"/>
      <c r="NO15" s="114"/>
      <c r="NP15" s="114"/>
      <c r="NQ15" s="114"/>
      <c r="NR15" s="114"/>
      <c r="NS15" s="114"/>
      <c r="NT15" s="114"/>
      <c r="NU15" s="114"/>
      <c r="NV15" s="114"/>
      <c r="NW15" s="114"/>
      <c r="NX15" s="114"/>
      <c r="NY15" s="114"/>
      <c r="NZ15" s="114"/>
      <c r="OA15" s="114"/>
      <c r="OB15" s="114"/>
      <c r="OC15" s="114"/>
      <c r="OD15" s="114"/>
      <c r="OE15" s="114"/>
      <c r="OF15" s="114"/>
      <c r="OG15" s="114"/>
      <c r="OH15" s="114"/>
      <c r="OI15" s="114"/>
      <c r="OJ15" s="114"/>
      <c r="OK15" s="114"/>
      <c r="OL15" s="114"/>
      <c r="OM15" s="114"/>
      <c r="ON15" s="114"/>
      <c r="OO15" s="114"/>
      <c r="OP15" s="114"/>
      <c r="OQ15" s="114"/>
      <c r="OR15" s="114"/>
      <c r="OS15" s="114"/>
      <c r="OT15" s="114"/>
      <c r="OU15" s="114"/>
      <c r="OV15" s="114"/>
      <c r="OW15" s="114"/>
      <c r="OX15" s="114"/>
      <c r="OY15" s="114"/>
      <c r="OZ15" s="114"/>
      <c r="PA15" s="114"/>
      <c r="PB15" s="114"/>
      <c r="PC15" s="114"/>
      <c r="PD15" s="114"/>
      <c r="PE15" s="114"/>
      <c r="PF15" s="114"/>
      <c r="PG15" s="114"/>
      <c r="PH15" s="114"/>
      <c r="PI15" s="114"/>
      <c r="PJ15" s="114"/>
      <c r="PK15" s="114"/>
      <c r="PL15" s="114"/>
      <c r="PM15" s="114"/>
      <c r="PN15" s="114"/>
      <c r="PO15" s="114"/>
      <c r="PP15" s="114"/>
      <c r="PQ15" s="114"/>
      <c r="PR15" s="114"/>
      <c r="PS15" s="114"/>
      <c r="PT15" s="114"/>
      <c r="PU15" s="114"/>
      <c r="PV15" s="114"/>
      <c r="PW15" s="114"/>
      <c r="PX15" s="114"/>
      <c r="PY15" s="114"/>
      <c r="PZ15" s="114"/>
      <c r="QA15" s="114"/>
      <c r="QB15" s="114"/>
      <c r="QC15" s="114"/>
      <c r="QD15" s="114"/>
      <c r="QE15" s="114"/>
      <c r="QF15" s="114"/>
      <c r="QG15" s="114"/>
      <c r="QH15" s="114"/>
      <c r="QI15" s="114"/>
      <c r="QJ15" s="114"/>
      <c r="QK15" s="114"/>
      <c r="QL15" s="114"/>
      <c r="QM15" s="114"/>
      <c r="QN15" s="114"/>
      <c r="QO15" s="114"/>
      <c r="QP15" s="114"/>
      <c r="QQ15" s="114"/>
      <c r="QR15" s="114"/>
      <c r="QS15" s="114"/>
      <c r="QT15" s="114"/>
      <c r="QU15" s="114"/>
      <c r="QV15" s="114"/>
      <c r="QW15" s="114"/>
      <c r="QX15" s="114"/>
      <c r="QY15" s="114"/>
      <c r="QZ15" s="114"/>
      <c r="RA15" s="114"/>
      <c r="RB15" s="114"/>
      <c r="RC15" s="114"/>
      <c r="RD15" s="114"/>
      <c r="RE15" s="114"/>
      <c r="RF15" s="114"/>
      <c r="RG15" s="114"/>
      <c r="RH15" s="114"/>
      <c r="RI15" s="114"/>
      <c r="RJ15" s="114"/>
      <c r="RK15" s="114"/>
      <c r="RL15" s="114"/>
      <c r="RM15" s="114"/>
      <c r="RN15" s="114"/>
      <c r="RO15" s="114"/>
      <c r="RP15" s="114"/>
      <c r="RQ15" s="114"/>
      <c r="RR15" s="114"/>
      <c r="RS15" s="114"/>
      <c r="RT15" s="114"/>
      <c r="RU15" s="114"/>
      <c r="RV15" s="114"/>
      <c r="RW15" s="114"/>
      <c r="RX15" s="114"/>
      <c r="RY15" s="114"/>
      <c r="RZ15" s="114"/>
      <c r="SA15" s="114"/>
      <c r="SB15" s="114"/>
      <c r="SC15" s="114"/>
      <c r="SD15" s="114"/>
      <c r="SE15" s="114"/>
      <c r="SF15" s="114"/>
      <c r="SG15" s="114"/>
      <c r="SH15" s="114"/>
      <c r="SI15" s="114"/>
      <c r="SJ15" s="114"/>
      <c r="SK15" s="114"/>
      <c r="SL15" s="114"/>
      <c r="SM15" s="114"/>
      <c r="SN15" s="114"/>
      <c r="SO15" s="114"/>
      <c r="SP15" s="114"/>
      <c r="SQ15" s="114"/>
      <c r="SR15" s="114"/>
      <c r="SS15" s="114"/>
      <c r="ST15" s="114"/>
      <c r="SU15" s="114"/>
      <c r="SV15" s="114"/>
      <c r="SW15" s="114"/>
      <c r="SX15" s="114"/>
      <c r="SY15" s="114"/>
      <c r="SZ15" s="114"/>
      <c r="TA15" s="114"/>
      <c r="TB15" s="114"/>
      <c r="TC15" s="114"/>
      <c r="TD15" s="114"/>
      <c r="TE15" s="114"/>
      <c r="TF15" s="114"/>
      <c r="TG15" s="114"/>
      <c r="TH15" s="114"/>
      <c r="TI15" s="114"/>
      <c r="TJ15" s="114"/>
      <c r="TK15" s="114"/>
      <c r="TL15" s="114"/>
      <c r="TM15" s="114"/>
      <c r="TN15" s="114"/>
      <c r="TO15" s="114"/>
      <c r="TP15" s="114"/>
      <c r="TQ15" s="114"/>
      <c r="TR15" s="114"/>
      <c r="TS15" s="114"/>
      <c r="TT15" s="114"/>
      <c r="TU15" s="114"/>
      <c r="TV15" s="114"/>
      <c r="TW15" s="114"/>
      <c r="TX15" s="114"/>
      <c r="TY15" s="114"/>
      <c r="TZ15" s="114"/>
      <c r="UA15" s="114"/>
      <c r="UB15" s="114"/>
      <c r="UC15" s="114"/>
      <c r="UD15" s="114"/>
      <c r="UE15" s="114"/>
      <c r="UF15" s="114"/>
      <c r="UG15" s="114"/>
      <c r="UH15" s="114"/>
      <c r="UI15" s="114"/>
      <c r="UJ15" s="114"/>
      <c r="UK15" s="114"/>
      <c r="UL15" s="114"/>
      <c r="UM15" s="114"/>
      <c r="UN15" s="114"/>
      <c r="UO15" s="114"/>
      <c r="UP15" s="114"/>
      <c r="UQ15" s="114"/>
      <c r="UR15" s="114"/>
      <c r="US15" s="114"/>
      <c r="UT15" s="114"/>
      <c r="UU15" s="114"/>
      <c r="UV15" s="114"/>
      <c r="UW15" s="114"/>
      <c r="UX15" s="114"/>
      <c r="UY15" s="114"/>
      <c r="UZ15" s="114"/>
      <c r="VA15" s="114"/>
      <c r="VB15" s="114"/>
      <c r="VC15" s="114"/>
      <c r="VD15" s="114"/>
      <c r="VE15" s="114"/>
      <c r="VF15" s="114"/>
      <c r="VG15" s="114"/>
      <c r="VH15" s="114"/>
      <c r="VI15" s="114"/>
      <c r="VJ15" s="114"/>
      <c r="VK15" s="114"/>
      <c r="VL15" s="114"/>
      <c r="VM15" s="114"/>
      <c r="VN15" s="114"/>
      <c r="VO15" s="114"/>
      <c r="VP15" s="114"/>
      <c r="VQ15" s="114"/>
      <c r="VR15" s="114"/>
      <c r="VS15" s="114"/>
      <c r="VT15" s="114"/>
      <c r="VU15" s="114"/>
      <c r="VV15" s="114"/>
      <c r="VW15" s="114"/>
      <c r="VX15" s="114"/>
      <c r="VY15" s="114"/>
      <c r="VZ15" s="114"/>
      <c r="WA15" s="114"/>
      <c r="WB15" s="114"/>
      <c r="WC15" s="114"/>
      <c r="WD15" s="114"/>
      <c r="WE15" s="114"/>
      <c r="WF15" s="114"/>
      <c r="WG15" s="114"/>
      <c r="WH15" s="114"/>
      <c r="WI15" s="114"/>
      <c r="WJ15" s="114"/>
      <c r="WK15" s="114"/>
      <c r="WL15" s="114"/>
      <c r="WM15" s="114"/>
      <c r="WN15" s="114"/>
      <c r="WO15" s="114"/>
      <c r="WP15" s="114"/>
      <c r="WQ15" s="114"/>
      <c r="WR15" s="114"/>
      <c r="WS15" s="114"/>
      <c r="WT15" s="114"/>
      <c r="WU15" s="114"/>
      <c r="WV15" s="114"/>
      <c r="WW15" s="114"/>
      <c r="WX15" s="114"/>
      <c r="WY15" s="114"/>
      <c r="WZ15" s="114"/>
      <c r="XA15" s="114"/>
      <c r="XB15" s="114"/>
      <c r="XC15" s="114"/>
      <c r="XD15" s="114"/>
      <c r="XE15" s="114"/>
      <c r="XF15" s="114"/>
      <c r="XG15" s="114"/>
      <c r="XH15" s="114"/>
      <c r="XI15" s="114"/>
      <c r="XJ15" s="114"/>
      <c r="XK15" s="114"/>
      <c r="XL15" s="114"/>
      <c r="XM15" s="114"/>
      <c r="XN15" s="114"/>
      <c r="XO15" s="114"/>
      <c r="XP15" s="114"/>
      <c r="XQ15" s="114"/>
      <c r="XR15" s="114"/>
      <c r="XS15" s="114"/>
      <c r="XT15" s="114"/>
      <c r="XU15" s="114"/>
      <c r="XV15" s="114"/>
      <c r="XW15" s="114"/>
      <c r="XX15" s="114"/>
      <c r="XY15" s="114"/>
      <c r="XZ15" s="114"/>
      <c r="YA15" s="114"/>
      <c r="YB15" s="114"/>
      <c r="YC15" s="114"/>
      <c r="YD15" s="114"/>
      <c r="YE15" s="114"/>
      <c r="YF15" s="114"/>
      <c r="YG15" s="114"/>
      <c r="YH15" s="114"/>
      <c r="YI15" s="114"/>
      <c r="YJ15" s="114"/>
      <c r="YK15" s="114"/>
      <c r="YL15" s="114"/>
      <c r="YM15" s="114"/>
      <c r="YN15" s="114"/>
      <c r="YO15" s="114"/>
      <c r="YP15" s="114"/>
      <c r="YQ15" s="114"/>
      <c r="YR15" s="114"/>
      <c r="YS15" s="114"/>
      <c r="YT15" s="114"/>
      <c r="YU15" s="114"/>
      <c r="YV15" s="114"/>
      <c r="YW15" s="114"/>
      <c r="YX15" s="114"/>
      <c r="YY15" s="114"/>
      <c r="YZ15" s="114"/>
      <c r="ZA15" s="114"/>
      <c r="ZB15" s="114"/>
      <c r="ZC15" s="114"/>
      <c r="ZD15" s="114"/>
      <c r="ZE15" s="114"/>
      <c r="ZF15" s="114"/>
      <c r="ZG15" s="114"/>
      <c r="ZH15" s="114"/>
      <c r="ZI15" s="114"/>
      <c r="ZJ15" s="114"/>
      <c r="ZK15" s="114"/>
      <c r="ZL15" s="114"/>
      <c r="ZM15" s="114"/>
      <c r="ZN15" s="114"/>
      <c r="ZO15" s="114"/>
      <c r="ZP15" s="114"/>
      <c r="ZQ15" s="114"/>
      <c r="ZR15" s="114"/>
      <c r="ZS15" s="114"/>
      <c r="ZT15" s="114"/>
      <c r="ZU15" s="114"/>
      <c r="ZV15" s="114"/>
      <c r="ZW15" s="114"/>
      <c r="ZX15" s="114"/>
      <c r="ZY15" s="114"/>
      <c r="ZZ15" s="114"/>
      <c r="AAA15" s="114"/>
      <c r="AAB15" s="114"/>
      <c r="AAC15" s="114"/>
      <c r="AAD15" s="114"/>
      <c r="AAE15" s="114"/>
      <c r="AAF15" s="114"/>
      <c r="AAG15" s="114"/>
      <c r="AAH15" s="114"/>
      <c r="AAI15" s="114"/>
      <c r="AAJ15" s="114"/>
      <c r="AAK15" s="114"/>
      <c r="AAL15" s="114"/>
      <c r="AAM15" s="114"/>
      <c r="AAN15" s="114"/>
      <c r="AAO15" s="114"/>
      <c r="AAP15" s="114"/>
      <c r="AAQ15" s="114"/>
      <c r="AAR15" s="114"/>
      <c r="AAS15" s="114"/>
      <c r="AAT15" s="114"/>
      <c r="AAU15" s="114"/>
      <c r="AAV15" s="114"/>
      <c r="AAW15" s="114"/>
      <c r="AAX15" s="114"/>
      <c r="AAY15" s="114"/>
      <c r="AAZ15" s="114"/>
      <c r="ABA15" s="114"/>
      <c r="ABB15" s="114"/>
      <c r="ABC15" s="114"/>
      <c r="ABD15" s="114"/>
      <c r="ABE15" s="114"/>
      <c r="ABF15" s="114"/>
      <c r="ABG15" s="114"/>
      <c r="ABH15" s="114"/>
      <c r="ABI15" s="114"/>
      <c r="ABJ15" s="114"/>
      <c r="ABK15" s="114"/>
      <c r="ABL15" s="114"/>
      <c r="ABM15" s="114"/>
      <c r="ABN15" s="114"/>
      <c r="ABO15" s="114"/>
      <c r="ABP15" s="114"/>
      <c r="ABQ15" s="114"/>
      <c r="ABR15" s="114"/>
      <c r="ABS15" s="114"/>
      <c r="ABT15" s="114"/>
      <c r="ABU15" s="114"/>
      <c r="ABV15" s="114"/>
      <c r="ABW15" s="114"/>
      <c r="ABX15" s="114"/>
      <c r="ABY15" s="114"/>
      <c r="ABZ15" s="114"/>
      <c r="ACA15" s="114"/>
      <c r="ACB15" s="114"/>
      <c r="ACC15" s="114"/>
      <c r="ACD15" s="114"/>
      <c r="ACE15" s="114"/>
      <c r="ACF15" s="114"/>
      <c r="ACG15" s="114"/>
      <c r="ACH15" s="114"/>
      <c r="ACI15" s="114"/>
      <c r="ACJ15" s="114"/>
      <c r="ACK15" s="114"/>
      <c r="ACL15" s="114"/>
      <c r="ACM15" s="114"/>
      <c r="ACN15" s="114"/>
      <c r="ACO15" s="114"/>
      <c r="ACP15" s="114"/>
      <c r="ACQ15" s="114"/>
      <c r="ACR15" s="114"/>
      <c r="ACS15" s="114"/>
      <c r="ACT15" s="114"/>
      <c r="ACU15" s="114"/>
      <c r="ACV15" s="114"/>
      <c r="ACW15" s="114"/>
      <c r="ACX15" s="114"/>
      <c r="ACY15" s="114"/>
      <c r="ACZ15" s="114"/>
      <c r="ADA15" s="114"/>
      <c r="ADB15" s="114"/>
      <c r="ADC15" s="114"/>
      <c r="ADD15" s="114"/>
      <c r="ADE15" s="114"/>
      <c r="ADF15" s="114"/>
      <c r="ADG15" s="114"/>
      <c r="ADH15" s="114"/>
      <c r="ADI15" s="114"/>
      <c r="ADJ15" s="114"/>
      <c r="ADK15" s="114"/>
      <c r="ADL15" s="114"/>
      <c r="ADM15" s="114"/>
      <c r="ADN15" s="114"/>
      <c r="ADO15" s="114"/>
      <c r="ADP15" s="114"/>
      <c r="ADQ15" s="114"/>
      <c r="ADR15" s="114"/>
      <c r="ADS15" s="114"/>
      <c r="ADT15" s="114"/>
      <c r="ADU15" s="114"/>
      <c r="ADV15" s="114"/>
      <c r="ADW15" s="114"/>
      <c r="ADX15" s="114"/>
      <c r="ADY15" s="114"/>
      <c r="ADZ15" s="114"/>
      <c r="AEA15" s="114"/>
      <c r="AEB15" s="114"/>
      <c r="AEC15" s="114"/>
      <c r="AED15" s="114"/>
      <c r="AEE15" s="114"/>
      <c r="AEF15" s="114"/>
      <c r="AEG15" s="114"/>
      <c r="AEH15" s="114"/>
      <c r="AEI15" s="114"/>
      <c r="AEJ15" s="114"/>
      <c r="AEK15" s="114"/>
      <c r="AEL15" s="114"/>
      <c r="AEM15" s="114"/>
      <c r="AEN15" s="114"/>
      <c r="AEO15" s="114"/>
      <c r="AEP15" s="114"/>
      <c r="AEQ15" s="114"/>
      <c r="AER15" s="114"/>
      <c r="AES15" s="114"/>
      <c r="AET15" s="114"/>
      <c r="AEU15" s="114"/>
      <c r="AEV15" s="114"/>
      <c r="AEW15" s="114"/>
      <c r="AEX15" s="114"/>
      <c r="AEY15" s="114"/>
      <c r="AEZ15" s="114"/>
      <c r="AFA15" s="114"/>
      <c r="AFB15" s="114"/>
      <c r="AFC15" s="114"/>
      <c r="AFD15" s="114"/>
      <c r="AFE15" s="114"/>
      <c r="AFF15" s="114"/>
      <c r="AFG15" s="114"/>
      <c r="AFH15" s="114"/>
      <c r="AFI15" s="114"/>
      <c r="AFJ15" s="114"/>
      <c r="AFK15" s="114"/>
      <c r="AFL15" s="114"/>
      <c r="AFM15" s="114"/>
      <c r="AFN15" s="114"/>
      <c r="AFO15" s="114"/>
      <c r="AFP15" s="114"/>
      <c r="AFQ15" s="114"/>
      <c r="AFR15" s="114"/>
      <c r="AFS15" s="114"/>
      <c r="AFT15" s="114"/>
      <c r="AFU15" s="114"/>
      <c r="AFV15" s="114"/>
      <c r="AFW15" s="114"/>
      <c r="AFX15" s="114"/>
      <c r="AFY15" s="114"/>
      <c r="AFZ15" s="114"/>
      <c r="AGA15" s="114"/>
      <c r="AGB15" s="114"/>
      <c r="AGC15" s="114"/>
      <c r="AGD15" s="114"/>
      <c r="AGE15" s="114"/>
      <c r="AGF15" s="114"/>
      <c r="AGG15" s="114"/>
      <c r="AGH15" s="114"/>
      <c r="AGI15" s="114"/>
      <c r="AGJ15" s="114"/>
      <c r="AGK15" s="114"/>
      <c r="AGL15" s="114"/>
      <c r="AGM15" s="114"/>
      <c r="AGN15" s="114"/>
      <c r="AGO15" s="114"/>
      <c r="AGP15" s="114"/>
      <c r="AGQ15" s="114"/>
      <c r="AGR15" s="114"/>
      <c r="AGS15" s="114"/>
      <c r="AGT15" s="114"/>
      <c r="AGU15" s="114"/>
      <c r="AGV15" s="114"/>
      <c r="AGW15" s="114"/>
      <c r="AGX15" s="114"/>
      <c r="AGY15" s="114"/>
      <c r="AGZ15" s="114"/>
      <c r="AHA15" s="114"/>
      <c r="AHB15" s="114"/>
      <c r="AHC15" s="114"/>
      <c r="AHD15" s="114"/>
      <c r="AHE15" s="114"/>
      <c r="AHF15" s="114"/>
      <c r="AHG15" s="114"/>
      <c r="AHH15" s="114"/>
      <c r="AHI15" s="114"/>
      <c r="AHJ15" s="114"/>
      <c r="AHK15" s="114"/>
      <c r="AHL15" s="114"/>
      <c r="AHM15" s="114"/>
      <c r="AHN15" s="114"/>
      <c r="AHO15" s="114"/>
      <c r="AHP15" s="114"/>
      <c r="AHQ15" s="114"/>
      <c r="AHR15" s="114"/>
      <c r="AHS15" s="114"/>
      <c r="AHT15" s="114"/>
      <c r="AHU15" s="114"/>
      <c r="AHV15" s="114"/>
      <c r="AHW15" s="114"/>
      <c r="AHX15" s="114"/>
      <c r="AHY15" s="114"/>
      <c r="AHZ15" s="114"/>
      <c r="AIA15" s="114"/>
      <c r="AIB15" s="114"/>
      <c r="AIC15" s="114"/>
      <c r="AID15" s="114"/>
      <c r="AIE15" s="114"/>
      <c r="AIF15" s="114"/>
      <c r="AIG15" s="114"/>
      <c r="AIH15" s="114"/>
      <c r="AII15" s="114"/>
      <c r="AIJ15" s="114"/>
      <c r="AIK15" s="114"/>
      <c r="AIL15" s="114"/>
      <c r="AIM15" s="114"/>
      <c r="AIN15" s="114"/>
      <c r="AIO15" s="114"/>
      <c r="AIP15" s="114"/>
      <c r="AIQ15" s="114"/>
      <c r="AIR15" s="114"/>
      <c r="AIS15" s="114"/>
      <c r="AIT15" s="114"/>
      <c r="AIU15" s="114"/>
      <c r="AIV15" s="114"/>
      <c r="AIW15" s="114"/>
      <c r="AIX15" s="114"/>
      <c r="AIY15" s="114"/>
      <c r="AIZ15" s="114"/>
      <c r="AJA15" s="114"/>
      <c r="AJB15" s="114"/>
      <c r="AJC15" s="114"/>
      <c r="AJD15" s="114"/>
      <c r="AJE15" s="114"/>
      <c r="AJF15" s="114"/>
      <c r="AJG15" s="114"/>
      <c r="AJH15" s="114"/>
      <c r="AJI15" s="114"/>
      <c r="AJJ15" s="114"/>
      <c r="AJK15" s="114"/>
      <c r="AJL15" s="114"/>
      <c r="AJM15" s="114"/>
      <c r="AJN15" s="114"/>
      <c r="AJO15" s="114"/>
      <c r="AJP15" s="114"/>
      <c r="AJQ15" s="114"/>
      <c r="AJR15" s="114"/>
      <c r="AJS15" s="114"/>
      <c r="AJT15" s="114"/>
      <c r="AJU15" s="114"/>
      <c r="AJV15" s="114"/>
      <c r="AJW15" s="114"/>
      <c r="AJX15" s="114"/>
      <c r="AJY15" s="114"/>
      <c r="AJZ15" s="114"/>
      <c r="AKA15" s="114"/>
      <c r="AKB15" s="114"/>
      <c r="AKC15" s="114"/>
      <c r="AKD15" s="114"/>
      <c r="AKE15" s="114"/>
      <c r="AKF15" s="114"/>
      <c r="AKG15" s="114"/>
      <c r="AKH15" s="114"/>
      <c r="AKI15" s="114"/>
      <c r="AKJ15" s="114"/>
      <c r="AKK15" s="114"/>
      <c r="AKL15" s="114"/>
    </row>
    <row r="16" spans="1:974" ht="15" customHeight="1" x14ac:dyDescent="0.3">
      <c r="A16" s="116"/>
      <c r="B16" s="117"/>
      <c r="C16" s="462"/>
      <c r="D16" s="138" t="s">
        <v>3072</v>
      </c>
      <c r="E16" s="139">
        <v>540</v>
      </c>
      <c r="F16" s="140">
        <v>50</v>
      </c>
      <c r="G16" s="141">
        <f>E16*F16</f>
        <v>27000</v>
      </c>
    </row>
    <row r="17" spans="1:974" ht="15" customHeight="1" x14ac:dyDescent="0.3">
      <c r="A17" s="116"/>
      <c r="B17" s="117"/>
      <c r="C17" s="462"/>
      <c r="D17" s="118" t="s">
        <v>3071</v>
      </c>
      <c r="E17" s="119">
        <v>1</v>
      </c>
      <c r="F17" s="120">
        <v>1000</v>
      </c>
      <c r="G17" s="121">
        <f>E17*F17</f>
        <v>1000</v>
      </c>
    </row>
    <row r="18" spans="1:974" ht="15" customHeight="1" x14ac:dyDescent="0.3">
      <c r="A18" s="158"/>
      <c r="B18" s="159"/>
      <c r="C18" s="463"/>
      <c r="D18" s="464" t="s">
        <v>2826</v>
      </c>
      <c r="E18" s="465"/>
      <c r="F18" s="466"/>
      <c r="G18" s="127">
        <f>SUM(G15:G17)</f>
        <v>78000</v>
      </c>
    </row>
    <row r="19" spans="1:974" s="115" customFormat="1" ht="15" customHeight="1" x14ac:dyDescent="0.3">
      <c r="A19" s="103">
        <v>8470230</v>
      </c>
      <c r="B19" s="104">
        <v>428640</v>
      </c>
      <c r="C19" s="461" t="s">
        <v>3073</v>
      </c>
      <c r="D19" s="151" t="s">
        <v>3074</v>
      </c>
      <c r="E19" s="152">
        <v>1000</v>
      </c>
      <c r="F19" s="153">
        <v>40</v>
      </c>
      <c r="G19" s="133">
        <f>E19*F19</f>
        <v>40000</v>
      </c>
      <c r="H19" s="114"/>
      <c r="I19" s="114"/>
      <c r="J19" s="114"/>
      <c r="K19" s="114"/>
      <c r="L19" s="114"/>
      <c r="M19" s="114"/>
      <c r="N19" s="114"/>
      <c r="O19" s="114"/>
      <c r="P19" s="114"/>
      <c r="Q19" s="114"/>
      <c r="R19" s="114"/>
      <c r="S19" s="114"/>
      <c r="T19" s="114"/>
      <c r="U19" s="114"/>
      <c r="V19" s="114"/>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c r="AY19" s="114"/>
      <c r="AZ19" s="114"/>
      <c r="BA19" s="114"/>
      <c r="BB19" s="114"/>
      <c r="BC19" s="114"/>
      <c r="BD19" s="114"/>
      <c r="BE19" s="114"/>
      <c r="BF19" s="114"/>
      <c r="BG19" s="114"/>
      <c r="BH19" s="114"/>
      <c r="BI19" s="114"/>
      <c r="BJ19" s="114"/>
      <c r="BK19" s="114"/>
      <c r="BL19" s="114"/>
      <c r="BM19" s="114"/>
      <c r="BN19" s="114"/>
      <c r="BO19" s="114"/>
      <c r="BP19" s="114"/>
      <c r="BQ19" s="114"/>
      <c r="BR19" s="114"/>
      <c r="BS19" s="114"/>
      <c r="BT19" s="114"/>
      <c r="BU19" s="114"/>
      <c r="BV19" s="114"/>
      <c r="BW19" s="114"/>
      <c r="BX19" s="114"/>
      <c r="BY19" s="114"/>
      <c r="BZ19" s="114"/>
      <c r="CA19" s="114"/>
      <c r="CB19" s="114"/>
      <c r="CC19" s="114"/>
      <c r="CD19" s="114"/>
      <c r="CE19" s="114"/>
      <c r="CF19" s="114"/>
      <c r="CG19" s="114"/>
      <c r="CH19" s="114"/>
      <c r="CI19" s="114"/>
      <c r="CJ19" s="114"/>
      <c r="CK19" s="114"/>
      <c r="CL19" s="114"/>
      <c r="CM19" s="114"/>
      <c r="CN19" s="114"/>
      <c r="CO19" s="114"/>
      <c r="CP19" s="114"/>
      <c r="CQ19" s="114"/>
      <c r="CR19" s="114"/>
      <c r="CS19" s="114"/>
      <c r="CT19" s="114"/>
      <c r="CU19" s="114"/>
      <c r="CV19" s="114"/>
      <c r="CW19" s="114"/>
      <c r="CX19" s="114"/>
      <c r="CY19" s="114"/>
      <c r="CZ19" s="114"/>
      <c r="DA19" s="114"/>
      <c r="DB19" s="114"/>
      <c r="DC19" s="114"/>
      <c r="DD19" s="114"/>
      <c r="DE19" s="114"/>
      <c r="DF19" s="114"/>
      <c r="DG19" s="114"/>
      <c r="DH19" s="114"/>
      <c r="DI19" s="114"/>
      <c r="DJ19" s="114"/>
      <c r="DK19" s="114"/>
      <c r="DL19" s="114"/>
      <c r="DM19" s="114"/>
      <c r="DN19" s="114"/>
      <c r="DO19" s="114"/>
      <c r="DP19" s="114"/>
      <c r="DQ19" s="114"/>
      <c r="DR19" s="114"/>
      <c r="DS19" s="114"/>
      <c r="DT19" s="114"/>
      <c r="DU19" s="114"/>
      <c r="DV19" s="114"/>
      <c r="DW19" s="114"/>
      <c r="DX19" s="114"/>
      <c r="DY19" s="114"/>
      <c r="DZ19" s="114"/>
      <c r="EA19" s="114"/>
      <c r="EB19" s="114"/>
      <c r="EC19" s="114"/>
      <c r="ED19" s="114"/>
      <c r="EE19" s="114"/>
      <c r="EF19" s="114"/>
      <c r="EG19" s="114"/>
      <c r="EH19" s="114"/>
      <c r="EI19" s="114"/>
      <c r="EJ19" s="114"/>
      <c r="EK19" s="114"/>
      <c r="EL19" s="114"/>
      <c r="EM19" s="114"/>
      <c r="EN19" s="114"/>
      <c r="EO19" s="114"/>
      <c r="EP19" s="114"/>
      <c r="EQ19" s="114"/>
      <c r="ER19" s="114"/>
      <c r="ES19" s="114"/>
      <c r="ET19" s="114"/>
      <c r="EU19" s="114"/>
      <c r="EV19" s="114"/>
      <c r="EW19" s="114"/>
      <c r="EX19" s="114"/>
      <c r="EY19" s="114"/>
      <c r="EZ19" s="114"/>
      <c r="FA19" s="114"/>
      <c r="FB19" s="114"/>
      <c r="FC19" s="114"/>
      <c r="FD19" s="114"/>
      <c r="FE19" s="114"/>
      <c r="FF19" s="114"/>
      <c r="FG19" s="114"/>
      <c r="FH19" s="114"/>
      <c r="FI19" s="114"/>
      <c r="FJ19" s="114"/>
      <c r="FK19" s="114"/>
      <c r="FL19" s="114"/>
      <c r="FM19" s="114"/>
      <c r="FN19" s="114"/>
      <c r="FO19" s="114"/>
      <c r="FP19" s="114"/>
      <c r="FQ19" s="114"/>
      <c r="FR19" s="114"/>
      <c r="FS19" s="114"/>
      <c r="FT19" s="114"/>
      <c r="FU19" s="114"/>
      <c r="FV19" s="114"/>
      <c r="FW19" s="114"/>
      <c r="FX19" s="114"/>
      <c r="FY19" s="114"/>
      <c r="FZ19" s="114"/>
      <c r="GA19" s="114"/>
      <c r="GB19" s="114"/>
      <c r="GC19" s="114"/>
      <c r="GD19" s="114"/>
      <c r="GE19" s="114"/>
      <c r="GF19" s="114"/>
      <c r="GG19" s="114"/>
      <c r="GH19" s="114"/>
      <c r="GI19" s="114"/>
      <c r="GJ19" s="114"/>
      <c r="GK19" s="114"/>
      <c r="GL19" s="114"/>
      <c r="GM19" s="114"/>
      <c r="GN19" s="114"/>
      <c r="GO19" s="114"/>
      <c r="GP19" s="114"/>
      <c r="GQ19" s="114"/>
      <c r="GR19" s="114"/>
      <c r="GS19" s="114"/>
      <c r="GT19" s="114"/>
      <c r="GU19" s="114"/>
      <c r="GV19" s="114"/>
      <c r="GW19" s="114"/>
      <c r="GX19" s="114"/>
      <c r="GY19" s="114"/>
      <c r="GZ19" s="114"/>
      <c r="HA19" s="114"/>
      <c r="HB19" s="114"/>
      <c r="HC19" s="114"/>
      <c r="HD19" s="114"/>
      <c r="HE19" s="114"/>
      <c r="HF19" s="114"/>
      <c r="HG19" s="114"/>
      <c r="HH19" s="114"/>
      <c r="HI19" s="114"/>
      <c r="HJ19" s="114"/>
      <c r="HK19" s="114"/>
      <c r="HL19" s="114"/>
      <c r="HM19" s="114"/>
      <c r="HN19" s="114"/>
      <c r="HO19" s="114"/>
      <c r="HP19" s="114"/>
      <c r="HQ19" s="114"/>
      <c r="HR19" s="114"/>
      <c r="HS19" s="114"/>
      <c r="HT19" s="114"/>
      <c r="HU19" s="114"/>
      <c r="HV19" s="114"/>
      <c r="HW19" s="114"/>
      <c r="HX19" s="114"/>
      <c r="HY19" s="114"/>
      <c r="HZ19" s="114"/>
      <c r="IA19" s="114"/>
      <c r="IB19" s="114"/>
      <c r="IC19" s="114"/>
      <c r="ID19" s="114"/>
      <c r="IE19" s="114"/>
      <c r="IF19" s="114"/>
      <c r="IG19" s="114"/>
      <c r="IH19" s="114"/>
      <c r="II19" s="114"/>
      <c r="IJ19" s="114"/>
      <c r="IK19" s="114"/>
      <c r="IL19" s="114"/>
      <c r="IM19" s="114"/>
      <c r="IN19" s="114"/>
      <c r="IO19" s="114"/>
      <c r="IP19" s="114"/>
      <c r="IQ19" s="114"/>
      <c r="IR19" s="114"/>
      <c r="IS19" s="114"/>
      <c r="IT19" s="114"/>
      <c r="IU19" s="114"/>
      <c r="IV19" s="114"/>
      <c r="IW19" s="114"/>
      <c r="IX19" s="114"/>
      <c r="IY19" s="114"/>
      <c r="IZ19" s="114"/>
      <c r="JA19" s="114"/>
      <c r="JB19" s="114"/>
      <c r="JC19" s="114"/>
      <c r="JD19" s="114"/>
      <c r="JE19" s="114"/>
      <c r="JF19" s="114"/>
      <c r="JG19" s="114"/>
      <c r="JH19" s="114"/>
      <c r="JI19" s="114"/>
      <c r="JJ19" s="114"/>
      <c r="JK19" s="114"/>
      <c r="JL19" s="114"/>
      <c r="JM19" s="114"/>
      <c r="JN19" s="114"/>
      <c r="JO19" s="114"/>
      <c r="JP19" s="114"/>
      <c r="JQ19" s="114"/>
      <c r="JR19" s="114"/>
      <c r="JS19" s="114"/>
      <c r="JT19" s="114"/>
      <c r="JU19" s="114"/>
      <c r="JV19" s="114"/>
      <c r="JW19" s="114"/>
      <c r="JX19" s="114"/>
      <c r="JY19" s="114"/>
      <c r="JZ19" s="114"/>
      <c r="KA19" s="114"/>
      <c r="KB19" s="114"/>
      <c r="KC19" s="114"/>
      <c r="KD19" s="114"/>
      <c r="KE19" s="114"/>
      <c r="KF19" s="114"/>
      <c r="KG19" s="114"/>
      <c r="KH19" s="114"/>
      <c r="KI19" s="114"/>
      <c r="KJ19" s="114"/>
      <c r="KK19" s="114"/>
      <c r="KL19" s="114"/>
      <c r="KM19" s="114"/>
      <c r="KN19" s="114"/>
      <c r="KO19" s="114"/>
      <c r="KP19" s="114"/>
      <c r="KQ19" s="114"/>
      <c r="KR19" s="114"/>
      <c r="KS19" s="114"/>
      <c r="KT19" s="114"/>
      <c r="KU19" s="114"/>
      <c r="KV19" s="114"/>
      <c r="KW19" s="114"/>
      <c r="KX19" s="114"/>
      <c r="KY19" s="114"/>
      <c r="KZ19" s="114"/>
      <c r="LA19" s="114"/>
      <c r="LB19" s="114"/>
      <c r="LC19" s="114"/>
      <c r="LD19" s="114"/>
      <c r="LE19" s="114"/>
      <c r="LF19" s="114"/>
      <c r="LG19" s="114"/>
      <c r="LH19" s="114"/>
      <c r="LI19" s="114"/>
      <c r="LJ19" s="114"/>
      <c r="LK19" s="114"/>
      <c r="LL19" s="114"/>
      <c r="LM19" s="114"/>
      <c r="LN19" s="114"/>
      <c r="LO19" s="114"/>
      <c r="LP19" s="114"/>
      <c r="LQ19" s="114"/>
      <c r="LR19" s="114"/>
      <c r="LS19" s="114"/>
      <c r="LT19" s="114"/>
      <c r="LU19" s="114"/>
      <c r="LV19" s="114"/>
      <c r="LW19" s="114"/>
      <c r="LX19" s="114"/>
      <c r="LY19" s="114"/>
      <c r="LZ19" s="114"/>
      <c r="MA19" s="114"/>
      <c r="MB19" s="114"/>
      <c r="MC19" s="114"/>
      <c r="MD19" s="114"/>
      <c r="ME19" s="114"/>
      <c r="MF19" s="114"/>
      <c r="MG19" s="114"/>
      <c r="MH19" s="114"/>
      <c r="MI19" s="114"/>
      <c r="MJ19" s="114"/>
      <c r="MK19" s="114"/>
      <c r="ML19" s="114"/>
      <c r="MM19" s="114"/>
      <c r="MN19" s="114"/>
      <c r="MO19" s="114"/>
      <c r="MP19" s="114"/>
      <c r="MQ19" s="114"/>
      <c r="MR19" s="114"/>
      <c r="MS19" s="114"/>
      <c r="MT19" s="114"/>
      <c r="MU19" s="114"/>
      <c r="MV19" s="114"/>
      <c r="MW19" s="114"/>
      <c r="MX19" s="114"/>
      <c r="MY19" s="114"/>
      <c r="MZ19" s="114"/>
      <c r="NA19" s="114"/>
      <c r="NB19" s="114"/>
      <c r="NC19" s="114"/>
      <c r="ND19" s="114"/>
      <c r="NE19" s="114"/>
      <c r="NF19" s="114"/>
      <c r="NG19" s="114"/>
      <c r="NH19" s="114"/>
      <c r="NI19" s="114"/>
      <c r="NJ19" s="114"/>
      <c r="NK19" s="114"/>
      <c r="NL19" s="114"/>
      <c r="NM19" s="114"/>
      <c r="NN19" s="114"/>
      <c r="NO19" s="114"/>
      <c r="NP19" s="114"/>
      <c r="NQ19" s="114"/>
      <c r="NR19" s="114"/>
      <c r="NS19" s="114"/>
      <c r="NT19" s="114"/>
      <c r="NU19" s="114"/>
      <c r="NV19" s="114"/>
      <c r="NW19" s="114"/>
      <c r="NX19" s="114"/>
      <c r="NY19" s="114"/>
      <c r="NZ19" s="114"/>
      <c r="OA19" s="114"/>
      <c r="OB19" s="114"/>
      <c r="OC19" s="114"/>
      <c r="OD19" s="114"/>
      <c r="OE19" s="114"/>
      <c r="OF19" s="114"/>
      <c r="OG19" s="114"/>
      <c r="OH19" s="114"/>
      <c r="OI19" s="114"/>
      <c r="OJ19" s="114"/>
      <c r="OK19" s="114"/>
      <c r="OL19" s="114"/>
      <c r="OM19" s="114"/>
      <c r="ON19" s="114"/>
      <c r="OO19" s="114"/>
      <c r="OP19" s="114"/>
      <c r="OQ19" s="114"/>
      <c r="OR19" s="114"/>
      <c r="OS19" s="114"/>
      <c r="OT19" s="114"/>
      <c r="OU19" s="114"/>
      <c r="OV19" s="114"/>
      <c r="OW19" s="114"/>
      <c r="OX19" s="114"/>
      <c r="OY19" s="114"/>
      <c r="OZ19" s="114"/>
      <c r="PA19" s="114"/>
      <c r="PB19" s="114"/>
      <c r="PC19" s="114"/>
      <c r="PD19" s="114"/>
      <c r="PE19" s="114"/>
      <c r="PF19" s="114"/>
      <c r="PG19" s="114"/>
      <c r="PH19" s="114"/>
      <c r="PI19" s="114"/>
      <c r="PJ19" s="114"/>
      <c r="PK19" s="114"/>
      <c r="PL19" s="114"/>
      <c r="PM19" s="114"/>
      <c r="PN19" s="114"/>
      <c r="PO19" s="114"/>
      <c r="PP19" s="114"/>
      <c r="PQ19" s="114"/>
      <c r="PR19" s="114"/>
      <c r="PS19" s="114"/>
      <c r="PT19" s="114"/>
      <c r="PU19" s="114"/>
      <c r="PV19" s="114"/>
      <c r="PW19" s="114"/>
      <c r="PX19" s="114"/>
      <c r="PY19" s="114"/>
      <c r="PZ19" s="114"/>
      <c r="QA19" s="114"/>
      <c r="QB19" s="114"/>
      <c r="QC19" s="114"/>
      <c r="QD19" s="114"/>
      <c r="QE19" s="114"/>
      <c r="QF19" s="114"/>
      <c r="QG19" s="114"/>
      <c r="QH19" s="114"/>
      <c r="QI19" s="114"/>
      <c r="QJ19" s="114"/>
      <c r="QK19" s="114"/>
      <c r="QL19" s="114"/>
      <c r="QM19" s="114"/>
      <c r="QN19" s="114"/>
      <c r="QO19" s="114"/>
      <c r="QP19" s="114"/>
      <c r="QQ19" s="114"/>
      <c r="QR19" s="114"/>
      <c r="QS19" s="114"/>
      <c r="QT19" s="114"/>
      <c r="QU19" s="114"/>
      <c r="QV19" s="114"/>
      <c r="QW19" s="114"/>
      <c r="QX19" s="114"/>
      <c r="QY19" s="114"/>
      <c r="QZ19" s="114"/>
      <c r="RA19" s="114"/>
      <c r="RB19" s="114"/>
      <c r="RC19" s="114"/>
      <c r="RD19" s="114"/>
      <c r="RE19" s="114"/>
      <c r="RF19" s="114"/>
      <c r="RG19" s="114"/>
      <c r="RH19" s="114"/>
      <c r="RI19" s="114"/>
      <c r="RJ19" s="114"/>
      <c r="RK19" s="114"/>
      <c r="RL19" s="114"/>
      <c r="RM19" s="114"/>
      <c r="RN19" s="114"/>
      <c r="RO19" s="114"/>
      <c r="RP19" s="114"/>
      <c r="RQ19" s="114"/>
      <c r="RR19" s="114"/>
      <c r="RS19" s="114"/>
      <c r="RT19" s="114"/>
      <c r="RU19" s="114"/>
      <c r="RV19" s="114"/>
      <c r="RW19" s="114"/>
      <c r="RX19" s="114"/>
      <c r="RY19" s="114"/>
      <c r="RZ19" s="114"/>
      <c r="SA19" s="114"/>
      <c r="SB19" s="114"/>
      <c r="SC19" s="114"/>
      <c r="SD19" s="114"/>
      <c r="SE19" s="114"/>
      <c r="SF19" s="114"/>
      <c r="SG19" s="114"/>
      <c r="SH19" s="114"/>
      <c r="SI19" s="114"/>
      <c r="SJ19" s="114"/>
      <c r="SK19" s="114"/>
      <c r="SL19" s="114"/>
      <c r="SM19" s="114"/>
      <c r="SN19" s="114"/>
      <c r="SO19" s="114"/>
      <c r="SP19" s="114"/>
      <c r="SQ19" s="114"/>
      <c r="SR19" s="114"/>
      <c r="SS19" s="114"/>
      <c r="ST19" s="114"/>
      <c r="SU19" s="114"/>
      <c r="SV19" s="114"/>
      <c r="SW19" s="114"/>
      <c r="SX19" s="114"/>
      <c r="SY19" s="114"/>
      <c r="SZ19" s="114"/>
      <c r="TA19" s="114"/>
      <c r="TB19" s="114"/>
      <c r="TC19" s="114"/>
      <c r="TD19" s="114"/>
      <c r="TE19" s="114"/>
      <c r="TF19" s="114"/>
      <c r="TG19" s="114"/>
      <c r="TH19" s="114"/>
      <c r="TI19" s="114"/>
      <c r="TJ19" s="114"/>
      <c r="TK19" s="114"/>
      <c r="TL19" s="114"/>
      <c r="TM19" s="114"/>
      <c r="TN19" s="114"/>
      <c r="TO19" s="114"/>
      <c r="TP19" s="114"/>
      <c r="TQ19" s="114"/>
      <c r="TR19" s="114"/>
      <c r="TS19" s="114"/>
      <c r="TT19" s="114"/>
      <c r="TU19" s="114"/>
      <c r="TV19" s="114"/>
      <c r="TW19" s="114"/>
      <c r="TX19" s="114"/>
      <c r="TY19" s="114"/>
      <c r="TZ19" s="114"/>
      <c r="UA19" s="114"/>
      <c r="UB19" s="114"/>
      <c r="UC19" s="114"/>
      <c r="UD19" s="114"/>
      <c r="UE19" s="114"/>
      <c r="UF19" s="114"/>
      <c r="UG19" s="114"/>
      <c r="UH19" s="114"/>
      <c r="UI19" s="114"/>
      <c r="UJ19" s="114"/>
      <c r="UK19" s="114"/>
      <c r="UL19" s="114"/>
      <c r="UM19" s="114"/>
      <c r="UN19" s="114"/>
      <c r="UO19" s="114"/>
      <c r="UP19" s="114"/>
      <c r="UQ19" s="114"/>
      <c r="UR19" s="114"/>
      <c r="US19" s="114"/>
      <c r="UT19" s="114"/>
      <c r="UU19" s="114"/>
      <c r="UV19" s="114"/>
      <c r="UW19" s="114"/>
      <c r="UX19" s="114"/>
      <c r="UY19" s="114"/>
      <c r="UZ19" s="114"/>
      <c r="VA19" s="114"/>
      <c r="VB19" s="114"/>
      <c r="VC19" s="114"/>
      <c r="VD19" s="114"/>
      <c r="VE19" s="114"/>
      <c r="VF19" s="114"/>
      <c r="VG19" s="114"/>
      <c r="VH19" s="114"/>
      <c r="VI19" s="114"/>
      <c r="VJ19" s="114"/>
      <c r="VK19" s="114"/>
      <c r="VL19" s="114"/>
      <c r="VM19" s="114"/>
      <c r="VN19" s="114"/>
      <c r="VO19" s="114"/>
      <c r="VP19" s="114"/>
      <c r="VQ19" s="114"/>
      <c r="VR19" s="114"/>
      <c r="VS19" s="114"/>
      <c r="VT19" s="114"/>
      <c r="VU19" s="114"/>
      <c r="VV19" s="114"/>
      <c r="VW19" s="114"/>
      <c r="VX19" s="114"/>
      <c r="VY19" s="114"/>
      <c r="VZ19" s="114"/>
      <c r="WA19" s="114"/>
      <c r="WB19" s="114"/>
      <c r="WC19" s="114"/>
      <c r="WD19" s="114"/>
      <c r="WE19" s="114"/>
      <c r="WF19" s="114"/>
      <c r="WG19" s="114"/>
      <c r="WH19" s="114"/>
      <c r="WI19" s="114"/>
      <c r="WJ19" s="114"/>
      <c r="WK19" s="114"/>
      <c r="WL19" s="114"/>
      <c r="WM19" s="114"/>
      <c r="WN19" s="114"/>
      <c r="WO19" s="114"/>
      <c r="WP19" s="114"/>
      <c r="WQ19" s="114"/>
      <c r="WR19" s="114"/>
      <c r="WS19" s="114"/>
      <c r="WT19" s="114"/>
      <c r="WU19" s="114"/>
      <c r="WV19" s="114"/>
      <c r="WW19" s="114"/>
      <c r="WX19" s="114"/>
      <c r="WY19" s="114"/>
      <c r="WZ19" s="114"/>
      <c r="XA19" s="114"/>
      <c r="XB19" s="114"/>
      <c r="XC19" s="114"/>
      <c r="XD19" s="114"/>
      <c r="XE19" s="114"/>
      <c r="XF19" s="114"/>
      <c r="XG19" s="114"/>
      <c r="XH19" s="114"/>
      <c r="XI19" s="114"/>
      <c r="XJ19" s="114"/>
      <c r="XK19" s="114"/>
      <c r="XL19" s="114"/>
      <c r="XM19" s="114"/>
      <c r="XN19" s="114"/>
      <c r="XO19" s="114"/>
      <c r="XP19" s="114"/>
      <c r="XQ19" s="114"/>
      <c r="XR19" s="114"/>
      <c r="XS19" s="114"/>
      <c r="XT19" s="114"/>
      <c r="XU19" s="114"/>
      <c r="XV19" s="114"/>
      <c r="XW19" s="114"/>
      <c r="XX19" s="114"/>
      <c r="XY19" s="114"/>
      <c r="XZ19" s="114"/>
      <c r="YA19" s="114"/>
      <c r="YB19" s="114"/>
      <c r="YC19" s="114"/>
      <c r="YD19" s="114"/>
      <c r="YE19" s="114"/>
      <c r="YF19" s="114"/>
      <c r="YG19" s="114"/>
      <c r="YH19" s="114"/>
      <c r="YI19" s="114"/>
      <c r="YJ19" s="114"/>
      <c r="YK19" s="114"/>
      <c r="YL19" s="114"/>
      <c r="YM19" s="114"/>
      <c r="YN19" s="114"/>
      <c r="YO19" s="114"/>
      <c r="YP19" s="114"/>
      <c r="YQ19" s="114"/>
      <c r="YR19" s="114"/>
      <c r="YS19" s="114"/>
      <c r="YT19" s="114"/>
      <c r="YU19" s="114"/>
      <c r="YV19" s="114"/>
      <c r="YW19" s="114"/>
      <c r="YX19" s="114"/>
      <c r="YY19" s="114"/>
      <c r="YZ19" s="114"/>
      <c r="ZA19" s="114"/>
      <c r="ZB19" s="114"/>
      <c r="ZC19" s="114"/>
      <c r="ZD19" s="114"/>
      <c r="ZE19" s="114"/>
      <c r="ZF19" s="114"/>
      <c r="ZG19" s="114"/>
      <c r="ZH19" s="114"/>
      <c r="ZI19" s="114"/>
      <c r="ZJ19" s="114"/>
      <c r="ZK19" s="114"/>
      <c r="ZL19" s="114"/>
      <c r="ZM19" s="114"/>
      <c r="ZN19" s="114"/>
      <c r="ZO19" s="114"/>
      <c r="ZP19" s="114"/>
      <c r="ZQ19" s="114"/>
      <c r="ZR19" s="114"/>
      <c r="ZS19" s="114"/>
      <c r="ZT19" s="114"/>
      <c r="ZU19" s="114"/>
      <c r="ZV19" s="114"/>
      <c r="ZW19" s="114"/>
      <c r="ZX19" s="114"/>
      <c r="ZY19" s="114"/>
      <c r="ZZ19" s="114"/>
      <c r="AAA19" s="114"/>
      <c r="AAB19" s="114"/>
      <c r="AAC19" s="114"/>
      <c r="AAD19" s="114"/>
      <c r="AAE19" s="114"/>
      <c r="AAF19" s="114"/>
      <c r="AAG19" s="114"/>
      <c r="AAH19" s="114"/>
      <c r="AAI19" s="114"/>
      <c r="AAJ19" s="114"/>
      <c r="AAK19" s="114"/>
      <c r="AAL19" s="114"/>
      <c r="AAM19" s="114"/>
      <c r="AAN19" s="114"/>
      <c r="AAO19" s="114"/>
      <c r="AAP19" s="114"/>
      <c r="AAQ19" s="114"/>
      <c r="AAR19" s="114"/>
      <c r="AAS19" s="114"/>
      <c r="AAT19" s="114"/>
      <c r="AAU19" s="114"/>
      <c r="AAV19" s="114"/>
      <c r="AAW19" s="114"/>
      <c r="AAX19" s="114"/>
      <c r="AAY19" s="114"/>
      <c r="AAZ19" s="114"/>
      <c r="ABA19" s="114"/>
      <c r="ABB19" s="114"/>
      <c r="ABC19" s="114"/>
      <c r="ABD19" s="114"/>
      <c r="ABE19" s="114"/>
      <c r="ABF19" s="114"/>
      <c r="ABG19" s="114"/>
      <c r="ABH19" s="114"/>
      <c r="ABI19" s="114"/>
      <c r="ABJ19" s="114"/>
      <c r="ABK19" s="114"/>
      <c r="ABL19" s="114"/>
      <c r="ABM19" s="114"/>
      <c r="ABN19" s="114"/>
      <c r="ABO19" s="114"/>
      <c r="ABP19" s="114"/>
      <c r="ABQ19" s="114"/>
      <c r="ABR19" s="114"/>
      <c r="ABS19" s="114"/>
      <c r="ABT19" s="114"/>
      <c r="ABU19" s="114"/>
      <c r="ABV19" s="114"/>
      <c r="ABW19" s="114"/>
      <c r="ABX19" s="114"/>
      <c r="ABY19" s="114"/>
      <c r="ABZ19" s="114"/>
      <c r="ACA19" s="114"/>
      <c r="ACB19" s="114"/>
      <c r="ACC19" s="114"/>
      <c r="ACD19" s="114"/>
      <c r="ACE19" s="114"/>
      <c r="ACF19" s="114"/>
      <c r="ACG19" s="114"/>
      <c r="ACH19" s="114"/>
      <c r="ACI19" s="114"/>
      <c r="ACJ19" s="114"/>
      <c r="ACK19" s="114"/>
      <c r="ACL19" s="114"/>
      <c r="ACM19" s="114"/>
      <c r="ACN19" s="114"/>
      <c r="ACO19" s="114"/>
      <c r="ACP19" s="114"/>
      <c r="ACQ19" s="114"/>
      <c r="ACR19" s="114"/>
      <c r="ACS19" s="114"/>
      <c r="ACT19" s="114"/>
      <c r="ACU19" s="114"/>
      <c r="ACV19" s="114"/>
      <c r="ACW19" s="114"/>
      <c r="ACX19" s="114"/>
      <c r="ACY19" s="114"/>
      <c r="ACZ19" s="114"/>
      <c r="ADA19" s="114"/>
      <c r="ADB19" s="114"/>
      <c r="ADC19" s="114"/>
      <c r="ADD19" s="114"/>
      <c r="ADE19" s="114"/>
      <c r="ADF19" s="114"/>
      <c r="ADG19" s="114"/>
      <c r="ADH19" s="114"/>
      <c r="ADI19" s="114"/>
      <c r="ADJ19" s="114"/>
      <c r="ADK19" s="114"/>
      <c r="ADL19" s="114"/>
      <c r="ADM19" s="114"/>
      <c r="ADN19" s="114"/>
      <c r="ADO19" s="114"/>
      <c r="ADP19" s="114"/>
      <c r="ADQ19" s="114"/>
      <c r="ADR19" s="114"/>
      <c r="ADS19" s="114"/>
      <c r="ADT19" s="114"/>
      <c r="ADU19" s="114"/>
      <c r="ADV19" s="114"/>
      <c r="ADW19" s="114"/>
      <c r="ADX19" s="114"/>
      <c r="ADY19" s="114"/>
      <c r="ADZ19" s="114"/>
      <c r="AEA19" s="114"/>
      <c r="AEB19" s="114"/>
      <c r="AEC19" s="114"/>
      <c r="AED19" s="114"/>
      <c r="AEE19" s="114"/>
      <c r="AEF19" s="114"/>
      <c r="AEG19" s="114"/>
      <c r="AEH19" s="114"/>
      <c r="AEI19" s="114"/>
      <c r="AEJ19" s="114"/>
      <c r="AEK19" s="114"/>
      <c r="AEL19" s="114"/>
      <c r="AEM19" s="114"/>
      <c r="AEN19" s="114"/>
      <c r="AEO19" s="114"/>
      <c r="AEP19" s="114"/>
      <c r="AEQ19" s="114"/>
      <c r="AER19" s="114"/>
      <c r="AES19" s="114"/>
      <c r="AET19" s="114"/>
      <c r="AEU19" s="114"/>
      <c r="AEV19" s="114"/>
      <c r="AEW19" s="114"/>
      <c r="AEX19" s="114"/>
      <c r="AEY19" s="114"/>
      <c r="AEZ19" s="114"/>
      <c r="AFA19" s="114"/>
      <c r="AFB19" s="114"/>
      <c r="AFC19" s="114"/>
      <c r="AFD19" s="114"/>
      <c r="AFE19" s="114"/>
      <c r="AFF19" s="114"/>
      <c r="AFG19" s="114"/>
      <c r="AFH19" s="114"/>
      <c r="AFI19" s="114"/>
      <c r="AFJ19" s="114"/>
      <c r="AFK19" s="114"/>
      <c r="AFL19" s="114"/>
      <c r="AFM19" s="114"/>
      <c r="AFN19" s="114"/>
      <c r="AFO19" s="114"/>
      <c r="AFP19" s="114"/>
      <c r="AFQ19" s="114"/>
      <c r="AFR19" s="114"/>
      <c r="AFS19" s="114"/>
      <c r="AFT19" s="114"/>
      <c r="AFU19" s="114"/>
      <c r="AFV19" s="114"/>
      <c r="AFW19" s="114"/>
      <c r="AFX19" s="114"/>
      <c r="AFY19" s="114"/>
      <c r="AFZ19" s="114"/>
      <c r="AGA19" s="114"/>
      <c r="AGB19" s="114"/>
      <c r="AGC19" s="114"/>
      <c r="AGD19" s="114"/>
      <c r="AGE19" s="114"/>
      <c r="AGF19" s="114"/>
      <c r="AGG19" s="114"/>
      <c r="AGH19" s="114"/>
      <c r="AGI19" s="114"/>
      <c r="AGJ19" s="114"/>
      <c r="AGK19" s="114"/>
      <c r="AGL19" s="114"/>
      <c r="AGM19" s="114"/>
      <c r="AGN19" s="114"/>
      <c r="AGO19" s="114"/>
      <c r="AGP19" s="114"/>
      <c r="AGQ19" s="114"/>
      <c r="AGR19" s="114"/>
      <c r="AGS19" s="114"/>
      <c r="AGT19" s="114"/>
      <c r="AGU19" s="114"/>
      <c r="AGV19" s="114"/>
      <c r="AGW19" s="114"/>
      <c r="AGX19" s="114"/>
      <c r="AGY19" s="114"/>
      <c r="AGZ19" s="114"/>
      <c r="AHA19" s="114"/>
      <c r="AHB19" s="114"/>
      <c r="AHC19" s="114"/>
      <c r="AHD19" s="114"/>
      <c r="AHE19" s="114"/>
      <c r="AHF19" s="114"/>
      <c r="AHG19" s="114"/>
      <c r="AHH19" s="114"/>
      <c r="AHI19" s="114"/>
      <c r="AHJ19" s="114"/>
      <c r="AHK19" s="114"/>
      <c r="AHL19" s="114"/>
      <c r="AHM19" s="114"/>
      <c r="AHN19" s="114"/>
      <c r="AHO19" s="114"/>
      <c r="AHP19" s="114"/>
      <c r="AHQ19" s="114"/>
      <c r="AHR19" s="114"/>
      <c r="AHS19" s="114"/>
      <c r="AHT19" s="114"/>
      <c r="AHU19" s="114"/>
      <c r="AHV19" s="114"/>
      <c r="AHW19" s="114"/>
      <c r="AHX19" s="114"/>
      <c r="AHY19" s="114"/>
      <c r="AHZ19" s="114"/>
      <c r="AIA19" s="114"/>
      <c r="AIB19" s="114"/>
      <c r="AIC19" s="114"/>
      <c r="AID19" s="114"/>
      <c r="AIE19" s="114"/>
      <c r="AIF19" s="114"/>
      <c r="AIG19" s="114"/>
      <c r="AIH19" s="114"/>
      <c r="AII19" s="114"/>
      <c r="AIJ19" s="114"/>
      <c r="AIK19" s="114"/>
      <c r="AIL19" s="114"/>
      <c r="AIM19" s="114"/>
      <c r="AIN19" s="114"/>
      <c r="AIO19" s="114"/>
      <c r="AIP19" s="114"/>
      <c r="AIQ19" s="114"/>
      <c r="AIR19" s="114"/>
      <c r="AIS19" s="114"/>
      <c r="AIT19" s="114"/>
      <c r="AIU19" s="114"/>
      <c r="AIV19" s="114"/>
      <c r="AIW19" s="114"/>
      <c r="AIX19" s="114"/>
      <c r="AIY19" s="114"/>
      <c r="AIZ19" s="114"/>
      <c r="AJA19" s="114"/>
      <c r="AJB19" s="114"/>
      <c r="AJC19" s="114"/>
      <c r="AJD19" s="114"/>
      <c r="AJE19" s="114"/>
      <c r="AJF19" s="114"/>
      <c r="AJG19" s="114"/>
      <c r="AJH19" s="114"/>
      <c r="AJI19" s="114"/>
      <c r="AJJ19" s="114"/>
      <c r="AJK19" s="114"/>
      <c r="AJL19" s="114"/>
      <c r="AJM19" s="114"/>
      <c r="AJN19" s="114"/>
      <c r="AJO19" s="114"/>
      <c r="AJP19" s="114"/>
      <c r="AJQ19" s="114"/>
      <c r="AJR19" s="114"/>
      <c r="AJS19" s="114"/>
      <c r="AJT19" s="114"/>
      <c r="AJU19" s="114"/>
      <c r="AJV19" s="114"/>
      <c r="AJW19" s="114"/>
      <c r="AJX19" s="114"/>
      <c r="AJY19" s="114"/>
      <c r="AJZ19" s="114"/>
      <c r="AKA19" s="114"/>
      <c r="AKB19" s="114"/>
      <c r="AKC19" s="114"/>
      <c r="AKD19" s="114"/>
      <c r="AKE19" s="114"/>
      <c r="AKF19" s="114"/>
      <c r="AKG19" s="114"/>
      <c r="AKH19" s="114"/>
      <c r="AKI19" s="114"/>
      <c r="AKJ19" s="114"/>
      <c r="AKK19" s="114"/>
      <c r="AKL19" s="114"/>
    </row>
    <row r="20" spans="1:974" ht="15" customHeight="1" x14ac:dyDescent="0.3">
      <c r="A20" s="116"/>
      <c r="B20" s="117"/>
      <c r="C20" s="462"/>
      <c r="D20" s="118" t="s">
        <v>3075</v>
      </c>
      <c r="E20" s="119">
        <v>180</v>
      </c>
      <c r="F20" s="120">
        <v>500</v>
      </c>
      <c r="G20" s="121">
        <f>E20*F20</f>
        <v>90000</v>
      </c>
    </row>
    <row r="21" spans="1:974" ht="15" customHeight="1" x14ac:dyDescent="0.3">
      <c r="A21" s="158"/>
      <c r="B21" s="159"/>
      <c r="C21" s="463"/>
      <c r="D21" s="464" t="s">
        <v>2828</v>
      </c>
      <c r="E21" s="465"/>
      <c r="F21" s="466"/>
      <c r="G21" s="127">
        <f>SUM(G19:G20)</f>
        <v>130000</v>
      </c>
    </row>
    <row r="22" spans="1:974" s="115" customFormat="1" ht="15" customHeight="1" x14ac:dyDescent="0.3">
      <c r="A22" s="116">
        <v>8470230</v>
      </c>
      <c r="B22" s="117">
        <v>428090</v>
      </c>
      <c r="C22" s="461" t="s">
        <v>3076</v>
      </c>
      <c r="D22" s="130" t="s">
        <v>3077</v>
      </c>
      <c r="E22" s="131">
        <v>2</v>
      </c>
      <c r="F22" s="132">
        <v>17000</v>
      </c>
      <c r="G22" s="133">
        <f>E22*F22</f>
        <v>34000</v>
      </c>
      <c r="H22" s="114"/>
      <c r="I22" s="114"/>
      <c r="J22" s="114"/>
      <c r="K22" s="114"/>
      <c r="L22" s="114"/>
      <c r="M22" s="114"/>
      <c r="N22" s="114"/>
      <c r="O22" s="114"/>
      <c r="P22" s="114"/>
      <c r="Q22" s="114"/>
      <c r="R22" s="114"/>
      <c r="S22" s="114"/>
      <c r="T22" s="114"/>
      <c r="U22" s="114"/>
      <c r="V22" s="114"/>
      <c r="W22" s="114"/>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4"/>
      <c r="AY22" s="114"/>
      <c r="AZ22" s="114"/>
      <c r="BA22" s="114"/>
      <c r="BB22" s="114"/>
      <c r="BC22" s="114"/>
      <c r="BD22" s="114"/>
      <c r="BE22" s="114"/>
      <c r="BF22" s="114"/>
      <c r="BG22" s="114"/>
      <c r="BH22" s="114"/>
      <c r="BI22" s="114"/>
      <c r="BJ22" s="114"/>
      <c r="BK22" s="114"/>
      <c r="BL22" s="114"/>
      <c r="BM22" s="114"/>
      <c r="BN22" s="114"/>
      <c r="BO22" s="114"/>
      <c r="BP22" s="114"/>
      <c r="BQ22" s="114"/>
      <c r="BR22" s="114"/>
      <c r="BS22" s="114"/>
      <c r="BT22" s="114"/>
      <c r="BU22" s="114"/>
      <c r="BV22" s="114"/>
      <c r="BW22" s="114"/>
      <c r="BX22" s="114"/>
      <c r="BY22" s="114"/>
      <c r="BZ22" s="114"/>
      <c r="CA22" s="114"/>
      <c r="CB22" s="114"/>
      <c r="CC22" s="114"/>
      <c r="CD22" s="114"/>
      <c r="CE22" s="114"/>
      <c r="CF22" s="114"/>
      <c r="CG22" s="114"/>
      <c r="CH22" s="114"/>
      <c r="CI22" s="114"/>
      <c r="CJ22" s="114"/>
      <c r="CK22" s="114"/>
      <c r="CL22" s="114"/>
      <c r="CM22" s="114"/>
      <c r="CN22" s="114"/>
      <c r="CO22" s="114"/>
      <c r="CP22" s="114"/>
      <c r="CQ22" s="114"/>
      <c r="CR22" s="114"/>
      <c r="CS22" s="114"/>
      <c r="CT22" s="114"/>
      <c r="CU22" s="114"/>
      <c r="CV22" s="114"/>
      <c r="CW22" s="114"/>
      <c r="CX22" s="114"/>
      <c r="CY22" s="114"/>
      <c r="CZ22" s="114"/>
      <c r="DA22" s="114"/>
      <c r="DB22" s="114"/>
      <c r="DC22" s="114"/>
      <c r="DD22" s="114"/>
      <c r="DE22" s="114"/>
      <c r="DF22" s="114"/>
      <c r="DG22" s="114"/>
      <c r="DH22" s="114"/>
      <c r="DI22" s="114"/>
      <c r="DJ22" s="114"/>
      <c r="DK22" s="114"/>
      <c r="DL22" s="114"/>
      <c r="DM22" s="114"/>
      <c r="DN22" s="114"/>
      <c r="DO22" s="114"/>
      <c r="DP22" s="114"/>
      <c r="DQ22" s="114"/>
      <c r="DR22" s="114"/>
      <c r="DS22" s="114"/>
      <c r="DT22" s="114"/>
      <c r="DU22" s="114"/>
      <c r="DV22" s="114"/>
      <c r="DW22" s="114"/>
      <c r="DX22" s="114"/>
      <c r="DY22" s="114"/>
      <c r="DZ22" s="114"/>
      <c r="EA22" s="114"/>
      <c r="EB22" s="114"/>
      <c r="EC22" s="114"/>
      <c r="ED22" s="114"/>
      <c r="EE22" s="114"/>
      <c r="EF22" s="114"/>
      <c r="EG22" s="114"/>
      <c r="EH22" s="114"/>
      <c r="EI22" s="114"/>
      <c r="EJ22" s="114"/>
      <c r="EK22" s="114"/>
      <c r="EL22" s="114"/>
      <c r="EM22" s="114"/>
      <c r="EN22" s="114"/>
      <c r="EO22" s="114"/>
      <c r="EP22" s="114"/>
      <c r="EQ22" s="114"/>
      <c r="ER22" s="114"/>
      <c r="ES22" s="114"/>
      <c r="ET22" s="114"/>
      <c r="EU22" s="114"/>
      <c r="EV22" s="114"/>
      <c r="EW22" s="114"/>
      <c r="EX22" s="114"/>
      <c r="EY22" s="114"/>
      <c r="EZ22" s="114"/>
      <c r="FA22" s="114"/>
      <c r="FB22" s="114"/>
      <c r="FC22" s="114"/>
      <c r="FD22" s="114"/>
      <c r="FE22" s="114"/>
      <c r="FF22" s="114"/>
      <c r="FG22" s="114"/>
      <c r="FH22" s="114"/>
      <c r="FI22" s="114"/>
      <c r="FJ22" s="114"/>
      <c r="FK22" s="114"/>
      <c r="FL22" s="114"/>
      <c r="FM22" s="114"/>
      <c r="FN22" s="114"/>
      <c r="FO22" s="114"/>
      <c r="FP22" s="114"/>
      <c r="FQ22" s="114"/>
      <c r="FR22" s="114"/>
      <c r="FS22" s="114"/>
      <c r="FT22" s="114"/>
      <c r="FU22" s="114"/>
      <c r="FV22" s="114"/>
      <c r="FW22" s="114"/>
      <c r="FX22" s="114"/>
      <c r="FY22" s="114"/>
      <c r="FZ22" s="114"/>
      <c r="GA22" s="114"/>
      <c r="GB22" s="114"/>
      <c r="GC22" s="114"/>
      <c r="GD22" s="114"/>
      <c r="GE22" s="114"/>
      <c r="GF22" s="114"/>
      <c r="GG22" s="114"/>
      <c r="GH22" s="114"/>
      <c r="GI22" s="114"/>
      <c r="GJ22" s="114"/>
      <c r="GK22" s="114"/>
      <c r="GL22" s="114"/>
      <c r="GM22" s="114"/>
      <c r="GN22" s="114"/>
      <c r="GO22" s="114"/>
      <c r="GP22" s="114"/>
      <c r="GQ22" s="114"/>
      <c r="GR22" s="114"/>
      <c r="GS22" s="114"/>
      <c r="GT22" s="114"/>
      <c r="GU22" s="114"/>
      <c r="GV22" s="114"/>
      <c r="GW22" s="114"/>
      <c r="GX22" s="114"/>
      <c r="GY22" s="114"/>
      <c r="GZ22" s="114"/>
      <c r="HA22" s="114"/>
      <c r="HB22" s="114"/>
      <c r="HC22" s="114"/>
      <c r="HD22" s="114"/>
      <c r="HE22" s="114"/>
      <c r="HF22" s="114"/>
      <c r="HG22" s="114"/>
      <c r="HH22" s="114"/>
      <c r="HI22" s="114"/>
      <c r="HJ22" s="114"/>
      <c r="HK22" s="114"/>
      <c r="HL22" s="114"/>
      <c r="HM22" s="114"/>
      <c r="HN22" s="114"/>
      <c r="HO22" s="114"/>
      <c r="HP22" s="114"/>
      <c r="HQ22" s="114"/>
      <c r="HR22" s="114"/>
      <c r="HS22" s="114"/>
      <c r="HT22" s="114"/>
      <c r="HU22" s="114"/>
      <c r="HV22" s="114"/>
      <c r="HW22" s="114"/>
      <c r="HX22" s="114"/>
      <c r="HY22" s="114"/>
      <c r="HZ22" s="114"/>
      <c r="IA22" s="114"/>
      <c r="IB22" s="114"/>
      <c r="IC22" s="114"/>
      <c r="ID22" s="114"/>
      <c r="IE22" s="114"/>
      <c r="IF22" s="114"/>
      <c r="IG22" s="114"/>
      <c r="IH22" s="114"/>
      <c r="II22" s="114"/>
      <c r="IJ22" s="114"/>
      <c r="IK22" s="114"/>
      <c r="IL22" s="114"/>
      <c r="IM22" s="114"/>
      <c r="IN22" s="114"/>
      <c r="IO22" s="114"/>
      <c r="IP22" s="114"/>
      <c r="IQ22" s="114"/>
      <c r="IR22" s="114"/>
      <c r="IS22" s="114"/>
      <c r="IT22" s="114"/>
      <c r="IU22" s="114"/>
      <c r="IV22" s="114"/>
      <c r="IW22" s="114"/>
      <c r="IX22" s="114"/>
      <c r="IY22" s="114"/>
      <c r="IZ22" s="114"/>
      <c r="JA22" s="114"/>
      <c r="JB22" s="114"/>
      <c r="JC22" s="114"/>
      <c r="JD22" s="114"/>
      <c r="JE22" s="114"/>
      <c r="JF22" s="114"/>
      <c r="JG22" s="114"/>
      <c r="JH22" s="114"/>
      <c r="JI22" s="114"/>
      <c r="JJ22" s="114"/>
      <c r="JK22" s="114"/>
      <c r="JL22" s="114"/>
      <c r="JM22" s="114"/>
      <c r="JN22" s="114"/>
      <c r="JO22" s="114"/>
      <c r="JP22" s="114"/>
      <c r="JQ22" s="114"/>
      <c r="JR22" s="114"/>
      <c r="JS22" s="114"/>
      <c r="JT22" s="114"/>
      <c r="JU22" s="114"/>
      <c r="JV22" s="114"/>
      <c r="JW22" s="114"/>
      <c r="JX22" s="114"/>
      <c r="JY22" s="114"/>
      <c r="JZ22" s="114"/>
      <c r="KA22" s="114"/>
      <c r="KB22" s="114"/>
      <c r="KC22" s="114"/>
      <c r="KD22" s="114"/>
      <c r="KE22" s="114"/>
      <c r="KF22" s="114"/>
      <c r="KG22" s="114"/>
      <c r="KH22" s="114"/>
      <c r="KI22" s="114"/>
      <c r="KJ22" s="114"/>
      <c r="KK22" s="114"/>
      <c r="KL22" s="114"/>
      <c r="KM22" s="114"/>
      <c r="KN22" s="114"/>
      <c r="KO22" s="114"/>
      <c r="KP22" s="114"/>
      <c r="KQ22" s="114"/>
      <c r="KR22" s="114"/>
      <c r="KS22" s="114"/>
      <c r="KT22" s="114"/>
      <c r="KU22" s="114"/>
      <c r="KV22" s="114"/>
      <c r="KW22" s="114"/>
      <c r="KX22" s="114"/>
      <c r="KY22" s="114"/>
      <c r="KZ22" s="114"/>
      <c r="LA22" s="114"/>
      <c r="LB22" s="114"/>
      <c r="LC22" s="114"/>
      <c r="LD22" s="114"/>
      <c r="LE22" s="114"/>
      <c r="LF22" s="114"/>
      <c r="LG22" s="114"/>
      <c r="LH22" s="114"/>
      <c r="LI22" s="114"/>
      <c r="LJ22" s="114"/>
      <c r="LK22" s="114"/>
      <c r="LL22" s="114"/>
      <c r="LM22" s="114"/>
      <c r="LN22" s="114"/>
      <c r="LO22" s="114"/>
      <c r="LP22" s="114"/>
      <c r="LQ22" s="114"/>
      <c r="LR22" s="114"/>
      <c r="LS22" s="114"/>
      <c r="LT22" s="114"/>
      <c r="LU22" s="114"/>
      <c r="LV22" s="114"/>
      <c r="LW22" s="114"/>
      <c r="LX22" s="114"/>
      <c r="LY22" s="114"/>
      <c r="LZ22" s="114"/>
      <c r="MA22" s="114"/>
      <c r="MB22" s="114"/>
      <c r="MC22" s="114"/>
      <c r="MD22" s="114"/>
      <c r="ME22" s="114"/>
      <c r="MF22" s="114"/>
      <c r="MG22" s="114"/>
      <c r="MH22" s="114"/>
      <c r="MI22" s="114"/>
      <c r="MJ22" s="114"/>
      <c r="MK22" s="114"/>
      <c r="ML22" s="114"/>
      <c r="MM22" s="114"/>
      <c r="MN22" s="114"/>
      <c r="MO22" s="114"/>
      <c r="MP22" s="114"/>
      <c r="MQ22" s="114"/>
      <c r="MR22" s="114"/>
      <c r="MS22" s="114"/>
      <c r="MT22" s="114"/>
      <c r="MU22" s="114"/>
      <c r="MV22" s="114"/>
      <c r="MW22" s="114"/>
      <c r="MX22" s="114"/>
      <c r="MY22" s="114"/>
      <c r="MZ22" s="114"/>
      <c r="NA22" s="114"/>
      <c r="NB22" s="114"/>
      <c r="NC22" s="114"/>
      <c r="ND22" s="114"/>
      <c r="NE22" s="114"/>
      <c r="NF22" s="114"/>
      <c r="NG22" s="114"/>
      <c r="NH22" s="114"/>
      <c r="NI22" s="114"/>
      <c r="NJ22" s="114"/>
      <c r="NK22" s="114"/>
      <c r="NL22" s="114"/>
      <c r="NM22" s="114"/>
      <c r="NN22" s="114"/>
      <c r="NO22" s="114"/>
      <c r="NP22" s="114"/>
      <c r="NQ22" s="114"/>
      <c r="NR22" s="114"/>
      <c r="NS22" s="114"/>
      <c r="NT22" s="114"/>
      <c r="NU22" s="114"/>
      <c r="NV22" s="114"/>
      <c r="NW22" s="114"/>
      <c r="NX22" s="114"/>
      <c r="NY22" s="114"/>
      <c r="NZ22" s="114"/>
      <c r="OA22" s="114"/>
      <c r="OB22" s="114"/>
      <c r="OC22" s="114"/>
      <c r="OD22" s="114"/>
      <c r="OE22" s="114"/>
      <c r="OF22" s="114"/>
      <c r="OG22" s="114"/>
      <c r="OH22" s="114"/>
      <c r="OI22" s="114"/>
      <c r="OJ22" s="114"/>
      <c r="OK22" s="114"/>
      <c r="OL22" s="114"/>
      <c r="OM22" s="114"/>
      <c r="ON22" s="114"/>
      <c r="OO22" s="114"/>
      <c r="OP22" s="114"/>
      <c r="OQ22" s="114"/>
      <c r="OR22" s="114"/>
      <c r="OS22" s="114"/>
      <c r="OT22" s="114"/>
      <c r="OU22" s="114"/>
      <c r="OV22" s="114"/>
      <c r="OW22" s="114"/>
      <c r="OX22" s="114"/>
      <c r="OY22" s="114"/>
      <c r="OZ22" s="114"/>
      <c r="PA22" s="114"/>
      <c r="PB22" s="114"/>
      <c r="PC22" s="114"/>
      <c r="PD22" s="114"/>
      <c r="PE22" s="114"/>
      <c r="PF22" s="114"/>
      <c r="PG22" s="114"/>
      <c r="PH22" s="114"/>
      <c r="PI22" s="114"/>
      <c r="PJ22" s="114"/>
      <c r="PK22" s="114"/>
      <c r="PL22" s="114"/>
      <c r="PM22" s="114"/>
      <c r="PN22" s="114"/>
      <c r="PO22" s="114"/>
      <c r="PP22" s="114"/>
      <c r="PQ22" s="114"/>
      <c r="PR22" s="114"/>
      <c r="PS22" s="114"/>
      <c r="PT22" s="114"/>
      <c r="PU22" s="114"/>
      <c r="PV22" s="114"/>
      <c r="PW22" s="114"/>
      <c r="PX22" s="114"/>
      <c r="PY22" s="114"/>
      <c r="PZ22" s="114"/>
      <c r="QA22" s="114"/>
      <c r="QB22" s="114"/>
      <c r="QC22" s="114"/>
      <c r="QD22" s="114"/>
      <c r="QE22" s="114"/>
      <c r="QF22" s="114"/>
      <c r="QG22" s="114"/>
      <c r="QH22" s="114"/>
      <c r="QI22" s="114"/>
      <c r="QJ22" s="114"/>
      <c r="QK22" s="114"/>
      <c r="QL22" s="114"/>
      <c r="QM22" s="114"/>
      <c r="QN22" s="114"/>
      <c r="QO22" s="114"/>
      <c r="QP22" s="114"/>
      <c r="QQ22" s="114"/>
      <c r="QR22" s="114"/>
      <c r="QS22" s="114"/>
      <c r="QT22" s="114"/>
      <c r="QU22" s="114"/>
      <c r="QV22" s="114"/>
      <c r="QW22" s="114"/>
      <c r="QX22" s="114"/>
      <c r="QY22" s="114"/>
      <c r="QZ22" s="114"/>
      <c r="RA22" s="114"/>
      <c r="RB22" s="114"/>
      <c r="RC22" s="114"/>
      <c r="RD22" s="114"/>
      <c r="RE22" s="114"/>
      <c r="RF22" s="114"/>
      <c r="RG22" s="114"/>
      <c r="RH22" s="114"/>
      <c r="RI22" s="114"/>
      <c r="RJ22" s="114"/>
      <c r="RK22" s="114"/>
      <c r="RL22" s="114"/>
      <c r="RM22" s="114"/>
      <c r="RN22" s="114"/>
      <c r="RO22" s="114"/>
      <c r="RP22" s="114"/>
      <c r="RQ22" s="114"/>
      <c r="RR22" s="114"/>
      <c r="RS22" s="114"/>
      <c r="RT22" s="114"/>
      <c r="RU22" s="114"/>
      <c r="RV22" s="114"/>
      <c r="RW22" s="114"/>
      <c r="RX22" s="114"/>
      <c r="RY22" s="114"/>
      <c r="RZ22" s="114"/>
      <c r="SA22" s="114"/>
      <c r="SB22" s="114"/>
      <c r="SC22" s="114"/>
      <c r="SD22" s="114"/>
      <c r="SE22" s="114"/>
      <c r="SF22" s="114"/>
      <c r="SG22" s="114"/>
      <c r="SH22" s="114"/>
      <c r="SI22" s="114"/>
      <c r="SJ22" s="114"/>
      <c r="SK22" s="114"/>
      <c r="SL22" s="114"/>
      <c r="SM22" s="114"/>
      <c r="SN22" s="114"/>
      <c r="SO22" s="114"/>
      <c r="SP22" s="114"/>
      <c r="SQ22" s="114"/>
      <c r="SR22" s="114"/>
      <c r="SS22" s="114"/>
      <c r="ST22" s="114"/>
      <c r="SU22" s="114"/>
      <c r="SV22" s="114"/>
      <c r="SW22" s="114"/>
      <c r="SX22" s="114"/>
      <c r="SY22" s="114"/>
      <c r="SZ22" s="114"/>
      <c r="TA22" s="114"/>
      <c r="TB22" s="114"/>
      <c r="TC22" s="114"/>
      <c r="TD22" s="114"/>
      <c r="TE22" s="114"/>
      <c r="TF22" s="114"/>
      <c r="TG22" s="114"/>
      <c r="TH22" s="114"/>
      <c r="TI22" s="114"/>
      <c r="TJ22" s="114"/>
      <c r="TK22" s="114"/>
      <c r="TL22" s="114"/>
      <c r="TM22" s="114"/>
      <c r="TN22" s="114"/>
      <c r="TO22" s="114"/>
      <c r="TP22" s="114"/>
      <c r="TQ22" s="114"/>
      <c r="TR22" s="114"/>
      <c r="TS22" s="114"/>
      <c r="TT22" s="114"/>
      <c r="TU22" s="114"/>
      <c r="TV22" s="114"/>
      <c r="TW22" s="114"/>
      <c r="TX22" s="114"/>
      <c r="TY22" s="114"/>
      <c r="TZ22" s="114"/>
      <c r="UA22" s="114"/>
      <c r="UB22" s="114"/>
      <c r="UC22" s="114"/>
      <c r="UD22" s="114"/>
      <c r="UE22" s="114"/>
      <c r="UF22" s="114"/>
      <c r="UG22" s="114"/>
      <c r="UH22" s="114"/>
      <c r="UI22" s="114"/>
      <c r="UJ22" s="114"/>
      <c r="UK22" s="114"/>
      <c r="UL22" s="114"/>
      <c r="UM22" s="114"/>
      <c r="UN22" s="114"/>
      <c r="UO22" s="114"/>
      <c r="UP22" s="114"/>
      <c r="UQ22" s="114"/>
      <c r="UR22" s="114"/>
      <c r="US22" s="114"/>
      <c r="UT22" s="114"/>
      <c r="UU22" s="114"/>
      <c r="UV22" s="114"/>
      <c r="UW22" s="114"/>
      <c r="UX22" s="114"/>
      <c r="UY22" s="114"/>
      <c r="UZ22" s="114"/>
      <c r="VA22" s="114"/>
      <c r="VB22" s="114"/>
      <c r="VC22" s="114"/>
      <c r="VD22" s="114"/>
      <c r="VE22" s="114"/>
      <c r="VF22" s="114"/>
      <c r="VG22" s="114"/>
      <c r="VH22" s="114"/>
      <c r="VI22" s="114"/>
      <c r="VJ22" s="114"/>
      <c r="VK22" s="114"/>
      <c r="VL22" s="114"/>
      <c r="VM22" s="114"/>
      <c r="VN22" s="114"/>
      <c r="VO22" s="114"/>
      <c r="VP22" s="114"/>
      <c r="VQ22" s="114"/>
      <c r="VR22" s="114"/>
      <c r="VS22" s="114"/>
      <c r="VT22" s="114"/>
      <c r="VU22" s="114"/>
      <c r="VV22" s="114"/>
      <c r="VW22" s="114"/>
      <c r="VX22" s="114"/>
      <c r="VY22" s="114"/>
      <c r="VZ22" s="114"/>
      <c r="WA22" s="114"/>
      <c r="WB22" s="114"/>
      <c r="WC22" s="114"/>
      <c r="WD22" s="114"/>
      <c r="WE22" s="114"/>
      <c r="WF22" s="114"/>
      <c r="WG22" s="114"/>
      <c r="WH22" s="114"/>
      <c r="WI22" s="114"/>
      <c r="WJ22" s="114"/>
      <c r="WK22" s="114"/>
      <c r="WL22" s="114"/>
      <c r="WM22" s="114"/>
      <c r="WN22" s="114"/>
      <c r="WO22" s="114"/>
      <c r="WP22" s="114"/>
      <c r="WQ22" s="114"/>
      <c r="WR22" s="114"/>
      <c r="WS22" s="114"/>
      <c r="WT22" s="114"/>
      <c r="WU22" s="114"/>
      <c r="WV22" s="114"/>
      <c r="WW22" s="114"/>
      <c r="WX22" s="114"/>
      <c r="WY22" s="114"/>
      <c r="WZ22" s="114"/>
      <c r="XA22" s="114"/>
      <c r="XB22" s="114"/>
      <c r="XC22" s="114"/>
      <c r="XD22" s="114"/>
      <c r="XE22" s="114"/>
      <c r="XF22" s="114"/>
      <c r="XG22" s="114"/>
      <c r="XH22" s="114"/>
      <c r="XI22" s="114"/>
      <c r="XJ22" s="114"/>
      <c r="XK22" s="114"/>
      <c r="XL22" s="114"/>
      <c r="XM22" s="114"/>
      <c r="XN22" s="114"/>
      <c r="XO22" s="114"/>
      <c r="XP22" s="114"/>
      <c r="XQ22" s="114"/>
      <c r="XR22" s="114"/>
      <c r="XS22" s="114"/>
      <c r="XT22" s="114"/>
      <c r="XU22" s="114"/>
      <c r="XV22" s="114"/>
      <c r="XW22" s="114"/>
      <c r="XX22" s="114"/>
      <c r="XY22" s="114"/>
      <c r="XZ22" s="114"/>
      <c r="YA22" s="114"/>
      <c r="YB22" s="114"/>
      <c r="YC22" s="114"/>
      <c r="YD22" s="114"/>
      <c r="YE22" s="114"/>
      <c r="YF22" s="114"/>
      <c r="YG22" s="114"/>
      <c r="YH22" s="114"/>
      <c r="YI22" s="114"/>
      <c r="YJ22" s="114"/>
      <c r="YK22" s="114"/>
      <c r="YL22" s="114"/>
      <c r="YM22" s="114"/>
      <c r="YN22" s="114"/>
      <c r="YO22" s="114"/>
      <c r="YP22" s="114"/>
      <c r="YQ22" s="114"/>
      <c r="YR22" s="114"/>
      <c r="YS22" s="114"/>
      <c r="YT22" s="114"/>
      <c r="YU22" s="114"/>
      <c r="YV22" s="114"/>
      <c r="YW22" s="114"/>
      <c r="YX22" s="114"/>
      <c r="YY22" s="114"/>
      <c r="YZ22" s="114"/>
      <c r="ZA22" s="114"/>
      <c r="ZB22" s="114"/>
      <c r="ZC22" s="114"/>
      <c r="ZD22" s="114"/>
      <c r="ZE22" s="114"/>
      <c r="ZF22" s="114"/>
      <c r="ZG22" s="114"/>
      <c r="ZH22" s="114"/>
      <c r="ZI22" s="114"/>
      <c r="ZJ22" s="114"/>
      <c r="ZK22" s="114"/>
      <c r="ZL22" s="114"/>
      <c r="ZM22" s="114"/>
      <c r="ZN22" s="114"/>
      <c r="ZO22" s="114"/>
      <c r="ZP22" s="114"/>
      <c r="ZQ22" s="114"/>
      <c r="ZR22" s="114"/>
      <c r="ZS22" s="114"/>
      <c r="ZT22" s="114"/>
      <c r="ZU22" s="114"/>
      <c r="ZV22" s="114"/>
      <c r="ZW22" s="114"/>
      <c r="ZX22" s="114"/>
      <c r="ZY22" s="114"/>
      <c r="ZZ22" s="114"/>
      <c r="AAA22" s="114"/>
      <c r="AAB22" s="114"/>
      <c r="AAC22" s="114"/>
      <c r="AAD22" s="114"/>
      <c r="AAE22" s="114"/>
      <c r="AAF22" s="114"/>
      <c r="AAG22" s="114"/>
      <c r="AAH22" s="114"/>
      <c r="AAI22" s="114"/>
      <c r="AAJ22" s="114"/>
      <c r="AAK22" s="114"/>
      <c r="AAL22" s="114"/>
      <c r="AAM22" s="114"/>
      <c r="AAN22" s="114"/>
      <c r="AAO22" s="114"/>
      <c r="AAP22" s="114"/>
      <c r="AAQ22" s="114"/>
      <c r="AAR22" s="114"/>
      <c r="AAS22" s="114"/>
      <c r="AAT22" s="114"/>
      <c r="AAU22" s="114"/>
      <c r="AAV22" s="114"/>
      <c r="AAW22" s="114"/>
      <c r="AAX22" s="114"/>
      <c r="AAY22" s="114"/>
      <c r="AAZ22" s="114"/>
      <c r="ABA22" s="114"/>
      <c r="ABB22" s="114"/>
      <c r="ABC22" s="114"/>
      <c r="ABD22" s="114"/>
      <c r="ABE22" s="114"/>
      <c r="ABF22" s="114"/>
      <c r="ABG22" s="114"/>
      <c r="ABH22" s="114"/>
      <c r="ABI22" s="114"/>
      <c r="ABJ22" s="114"/>
      <c r="ABK22" s="114"/>
      <c r="ABL22" s="114"/>
      <c r="ABM22" s="114"/>
      <c r="ABN22" s="114"/>
      <c r="ABO22" s="114"/>
      <c r="ABP22" s="114"/>
      <c r="ABQ22" s="114"/>
      <c r="ABR22" s="114"/>
      <c r="ABS22" s="114"/>
      <c r="ABT22" s="114"/>
      <c r="ABU22" s="114"/>
      <c r="ABV22" s="114"/>
      <c r="ABW22" s="114"/>
      <c r="ABX22" s="114"/>
      <c r="ABY22" s="114"/>
      <c r="ABZ22" s="114"/>
      <c r="ACA22" s="114"/>
      <c r="ACB22" s="114"/>
      <c r="ACC22" s="114"/>
      <c r="ACD22" s="114"/>
      <c r="ACE22" s="114"/>
      <c r="ACF22" s="114"/>
      <c r="ACG22" s="114"/>
      <c r="ACH22" s="114"/>
      <c r="ACI22" s="114"/>
      <c r="ACJ22" s="114"/>
      <c r="ACK22" s="114"/>
      <c r="ACL22" s="114"/>
      <c r="ACM22" s="114"/>
      <c r="ACN22" s="114"/>
      <c r="ACO22" s="114"/>
      <c r="ACP22" s="114"/>
      <c r="ACQ22" s="114"/>
      <c r="ACR22" s="114"/>
      <c r="ACS22" s="114"/>
      <c r="ACT22" s="114"/>
      <c r="ACU22" s="114"/>
      <c r="ACV22" s="114"/>
      <c r="ACW22" s="114"/>
      <c r="ACX22" s="114"/>
      <c r="ACY22" s="114"/>
      <c r="ACZ22" s="114"/>
      <c r="ADA22" s="114"/>
      <c r="ADB22" s="114"/>
      <c r="ADC22" s="114"/>
      <c r="ADD22" s="114"/>
      <c r="ADE22" s="114"/>
      <c r="ADF22" s="114"/>
      <c r="ADG22" s="114"/>
      <c r="ADH22" s="114"/>
      <c r="ADI22" s="114"/>
      <c r="ADJ22" s="114"/>
      <c r="ADK22" s="114"/>
      <c r="ADL22" s="114"/>
      <c r="ADM22" s="114"/>
      <c r="ADN22" s="114"/>
      <c r="ADO22" s="114"/>
      <c r="ADP22" s="114"/>
      <c r="ADQ22" s="114"/>
      <c r="ADR22" s="114"/>
      <c r="ADS22" s="114"/>
      <c r="ADT22" s="114"/>
      <c r="ADU22" s="114"/>
      <c r="ADV22" s="114"/>
      <c r="ADW22" s="114"/>
      <c r="ADX22" s="114"/>
      <c r="ADY22" s="114"/>
      <c r="ADZ22" s="114"/>
      <c r="AEA22" s="114"/>
      <c r="AEB22" s="114"/>
      <c r="AEC22" s="114"/>
      <c r="AED22" s="114"/>
      <c r="AEE22" s="114"/>
      <c r="AEF22" s="114"/>
      <c r="AEG22" s="114"/>
      <c r="AEH22" s="114"/>
      <c r="AEI22" s="114"/>
      <c r="AEJ22" s="114"/>
      <c r="AEK22" s="114"/>
      <c r="AEL22" s="114"/>
      <c r="AEM22" s="114"/>
      <c r="AEN22" s="114"/>
      <c r="AEO22" s="114"/>
      <c r="AEP22" s="114"/>
      <c r="AEQ22" s="114"/>
      <c r="AER22" s="114"/>
      <c r="AES22" s="114"/>
      <c r="AET22" s="114"/>
      <c r="AEU22" s="114"/>
      <c r="AEV22" s="114"/>
      <c r="AEW22" s="114"/>
      <c r="AEX22" s="114"/>
      <c r="AEY22" s="114"/>
      <c r="AEZ22" s="114"/>
      <c r="AFA22" s="114"/>
      <c r="AFB22" s="114"/>
      <c r="AFC22" s="114"/>
      <c r="AFD22" s="114"/>
      <c r="AFE22" s="114"/>
      <c r="AFF22" s="114"/>
      <c r="AFG22" s="114"/>
      <c r="AFH22" s="114"/>
      <c r="AFI22" s="114"/>
      <c r="AFJ22" s="114"/>
      <c r="AFK22" s="114"/>
      <c r="AFL22" s="114"/>
      <c r="AFM22" s="114"/>
      <c r="AFN22" s="114"/>
      <c r="AFO22" s="114"/>
      <c r="AFP22" s="114"/>
      <c r="AFQ22" s="114"/>
      <c r="AFR22" s="114"/>
      <c r="AFS22" s="114"/>
      <c r="AFT22" s="114"/>
      <c r="AFU22" s="114"/>
      <c r="AFV22" s="114"/>
      <c r="AFW22" s="114"/>
      <c r="AFX22" s="114"/>
      <c r="AFY22" s="114"/>
      <c r="AFZ22" s="114"/>
      <c r="AGA22" s="114"/>
      <c r="AGB22" s="114"/>
      <c r="AGC22" s="114"/>
      <c r="AGD22" s="114"/>
      <c r="AGE22" s="114"/>
      <c r="AGF22" s="114"/>
      <c r="AGG22" s="114"/>
      <c r="AGH22" s="114"/>
      <c r="AGI22" s="114"/>
      <c r="AGJ22" s="114"/>
      <c r="AGK22" s="114"/>
      <c r="AGL22" s="114"/>
      <c r="AGM22" s="114"/>
      <c r="AGN22" s="114"/>
      <c r="AGO22" s="114"/>
      <c r="AGP22" s="114"/>
      <c r="AGQ22" s="114"/>
      <c r="AGR22" s="114"/>
      <c r="AGS22" s="114"/>
      <c r="AGT22" s="114"/>
      <c r="AGU22" s="114"/>
      <c r="AGV22" s="114"/>
      <c r="AGW22" s="114"/>
      <c r="AGX22" s="114"/>
      <c r="AGY22" s="114"/>
      <c r="AGZ22" s="114"/>
      <c r="AHA22" s="114"/>
      <c r="AHB22" s="114"/>
      <c r="AHC22" s="114"/>
      <c r="AHD22" s="114"/>
      <c r="AHE22" s="114"/>
      <c r="AHF22" s="114"/>
      <c r="AHG22" s="114"/>
      <c r="AHH22" s="114"/>
      <c r="AHI22" s="114"/>
      <c r="AHJ22" s="114"/>
      <c r="AHK22" s="114"/>
      <c r="AHL22" s="114"/>
      <c r="AHM22" s="114"/>
      <c r="AHN22" s="114"/>
      <c r="AHO22" s="114"/>
      <c r="AHP22" s="114"/>
      <c r="AHQ22" s="114"/>
      <c r="AHR22" s="114"/>
      <c r="AHS22" s="114"/>
      <c r="AHT22" s="114"/>
      <c r="AHU22" s="114"/>
      <c r="AHV22" s="114"/>
      <c r="AHW22" s="114"/>
      <c r="AHX22" s="114"/>
      <c r="AHY22" s="114"/>
      <c r="AHZ22" s="114"/>
      <c r="AIA22" s="114"/>
      <c r="AIB22" s="114"/>
      <c r="AIC22" s="114"/>
      <c r="AID22" s="114"/>
      <c r="AIE22" s="114"/>
      <c r="AIF22" s="114"/>
      <c r="AIG22" s="114"/>
      <c r="AIH22" s="114"/>
      <c r="AII22" s="114"/>
      <c r="AIJ22" s="114"/>
      <c r="AIK22" s="114"/>
      <c r="AIL22" s="114"/>
      <c r="AIM22" s="114"/>
      <c r="AIN22" s="114"/>
      <c r="AIO22" s="114"/>
      <c r="AIP22" s="114"/>
      <c r="AIQ22" s="114"/>
      <c r="AIR22" s="114"/>
      <c r="AIS22" s="114"/>
      <c r="AIT22" s="114"/>
      <c r="AIU22" s="114"/>
      <c r="AIV22" s="114"/>
      <c r="AIW22" s="114"/>
      <c r="AIX22" s="114"/>
      <c r="AIY22" s="114"/>
      <c r="AIZ22" s="114"/>
      <c r="AJA22" s="114"/>
      <c r="AJB22" s="114"/>
      <c r="AJC22" s="114"/>
      <c r="AJD22" s="114"/>
      <c r="AJE22" s="114"/>
      <c r="AJF22" s="114"/>
      <c r="AJG22" s="114"/>
      <c r="AJH22" s="114"/>
      <c r="AJI22" s="114"/>
      <c r="AJJ22" s="114"/>
      <c r="AJK22" s="114"/>
      <c r="AJL22" s="114"/>
      <c r="AJM22" s="114"/>
      <c r="AJN22" s="114"/>
      <c r="AJO22" s="114"/>
      <c r="AJP22" s="114"/>
      <c r="AJQ22" s="114"/>
      <c r="AJR22" s="114"/>
      <c r="AJS22" s="114"/>
      <c r="AJT22" s="114"/>
      <c r="AJU22" s="114"/>
      <c r="AJV22" s="114"/>
      <c r="AJW22" s="114"/>
      <c r="AJX22" s="114"/>
      <c r="AJY22" s="114"/>
      <c r="AJZ22" s="114"/>
      <c r="AKA22" s="114"/>
      <c r="AKB22" s="114"/>
      <c r="AKC22" s="114"/>
      <c r="AKD22" s="114"/>
      <c r="AKE22" s="114"/>
      <c r="AKF22" s="114"/>
      <c r="AKG22" s="114"/>
      <c r="AKH22" s="114"/>
      <c r="AKI22" s="114"/>
      <c r="AKJ22" s="114"/>
      <c r="AKK22" s="114"/>
      <c r="AKL22" s="114"/>
    </row>
    <row r="23" spans="1:974" ht="15" customHeight="1" x14ac:dyDescent="0.3">
      <c r="A23" s="116"/>
      <c r="B23" s="117"/>
      <c r="C23" s="462"/>
      <c r="D23" s="138" t="s">
        <v>3078</v>
      </c>
      <c r="E23" s="139">
        <v>2</v>
      </c>
      <c r="F23" s="140">
        <v>9000</v>
      </c>
      <c r="G23" s="141">
        <f>E23*F23</f>
        <v>18000</v>
      </c>
    </row>
    <row r="24" spans="1:974" ht="15" customHeight="1" x14ac:dyDescent="0.3">
      <c r="A24" s="116"/>
      <c r="B24" s="117"/>
      <c r="C24" s="462"/>
      <c r="D24" s="138" t="s">
        <v>3079</v>
      </c>
      <c r="E24" s="139">
        <v>3</v>
      </c>
      <c r="F24" s="140">
        <v>8000</v>
      </c>
      <c r="G24" s="141">
        <f>E24*F24</f>
        <v>24000</v>
      </c>
    </row>
    <row r="25" spans="1:974" ht="15" customHeight="1" x14ac:dyDescent="0.3">
      <c r="A25" s="116"/>
      <c r="B25" s="117"/>
      <c r="C25" s="462"/>
      <c r="D25" s="118" t="s">
        <v>3080</v>
      </c>
      <c r="E25" s="119">
        <v>3</v>
      </c>
      <c r="F25" s="120">
        <v>6600</v>
      </c>
      <c r="G25" s="121">
        <f>E25*F25</f>
        <v>19800</v>
      </c>
    </row>
    <row r="26" spans="1:974" ht="15" customHeight="1" x14ac:dyDescent="0.3">
      <c r="A26" s="116"/>
      <c r="B26" s="117"/>
      <c r="C26" s="463"/>
      <c r="D26" s="464" t="s">
        <v>2827</v>
      </c>
      <c r="E26" s="465"/>
      <c r="F26" s="466"/>
      <c r="G26" s="127">
        <f>SUM(G22:G25)</f>
        <v>95800</v>
      </c>
    </row>
    <row r="27" spans="1:974" s="115" customFormat="1" ht="15" customHeight="1" x14ac:dyDescent="0.3">
      <c r="A27" s="103">
        <v>8470230</v>
      </c>
      <c r="B27" s="104">
        <v>425510</v>
      </c>
      <c r="C27" s="461" t="s">
        <v>3081</v>
      </c>
      <c r="D27" s="130" t="s">
        <v>3082</v>
      </c>
      <c r="E27" s="131">
        <v>20</v>
      </c>
      <c r="F27" s="132">
        <v>1000</v>
      </c>
      <c r="G27" s="133">
        <f t="shared" si="0"/>
        <v>20000</v>
      </c>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14"/>
      <c r="AG27" s="114"/>
      <c r="AH27" s="114"/>
      <c r="AI27" s="114"/>
      <c r="AJ27" s="114"/>
      <c r="AK27" s="114"/>
      <c r="AL27" s="114"/>
      <c r="AM27" s="114"/>
      <c r="AN27" s="114"/>
      <c r="AO27" s="114"/>
      <c r="AP27" s="114"/>
      <c r="AQ27" s="114"/>
      <c r="AR27" s="114"/>
      <c r="AS27" s="114"/>
      <c r="AT27" s="114"/>
      <c r="AU27" s="114"/>
      <c r="AV27" s="114"/>
      <c r="AW27" s="114"/>
      <c r="AX27" s="114"/>
      <c r="AY27" s="114"/>
      <c r="AZ27" s="114"/>
      <c r="BA27" s="114"/>
      <c r="BB27" s="114"/>
      <c r="BC27" s="114"/>
      <c r="BD27" s="114"/>
      <c r="BE27" s="114"/>
      <c r="BF27" s="114"/>
      <c r="BG27" s="114"/>
      <c r="BH27" s="114"/>
      <c r="BI27" s="114"/>
      <c r="BJ27" s="114"/>
      <c r="BK27" s="114"/>
      <c r="BL27" s="114"/>
      <c r="BM27" s="114"/>
      <c r="BN27" s="114"/>
      <c r="BO27" s="114"/>
      <c r="BP27" s="114"/>
      <c r="BQ27" s="114"/>
      <c r="BR27" s="114"/>
      <c r="BS27" s="114"/>
      <c r="BT27" s="114"/>
      <c r="BU27" s="114"/>
      <c r="BV27" s="114"/>
      <c r="BW27" s="114"/>
      <c r="BX27" s="114"/>
      <c r="BY27" s="114"/>
      <c r="BZ27" s="114"/>
      <c r="CA27" s="114"/>
      <c r="CB27" s="114"/>
      <c r="CC27" s="114"/>
      <c r="CD27" s="114"/>
      <c r="CE27" s="114"/>
      <c r="CF27" s="114"/>
      <c r="CG27" s="114"/>
      <c r="CH27" s="114"/>
      <c r="CI27" s="114"/>
      <c r="CJ27" s="114"/>
      <c r="CK27" s="114"/>
      <c r="CL27" s="114"/>
      <c r="CM27" s="114"/>
      <c r="CN27" s="114"/>
      <c r="CO27" s="114"/>
      <c r="CP27" s="114"/>
      <c r="CQ27" s="114"/>
      <c r="CR27" s="114"/>
      <c r="CS27" s="114"/>
      <c r="CT27" s="114"/>
      <c r="CU27" s="114"/>
      <c r="CV27" s="114"/>
      <c r="CW27" s="114"/>
      <c r="CX27" s="114"/>
      <c r="CY27" s="114"/>
      <c r="CZ27" s="114"/>
      <c r="DA27" s="114"/>
      <c r="DB27" s="114"/>
      <c r="DC27" s="114"/>
      <c r="DD27" s="114"/>
      <c r="DE27" s="114"/>
      <c r="DF27" s="114"/>
      <c r="DG27" s="114"/>
      <c r="DH27" s="114"/>
      <c r="DI27" s="114"/>
      <c r="DJ27" s="114"/>
      <c r="DK27" s="114"/>
      <c r="DL27" s="114"/>
      <c r="DM27" s="114"/>
      <c r="DN27" s="114"/>
      <c r="DO27" s="114"/>
      <c r="DP27" s="114"/>
      <c r="DQ27" s="114"/>
      <c r="DR27" s="114"/>
      <c r="DS27" s="114"/>
      <c r="DT27" s="114"/>
      <c r="DU27" s="114"/>
      <c r="DV27" s="114"/>
      <c r="DW27" s="114"/>
      <c r="DX27" s="114"/>
      <c r="DY27" s="114"/>
      <c r="DZ27" s="114"/>
      <c r="EA27" s="114"/>
      <c r="EB27" s="114"/>
      <c r="EC27" s="114"/>
      <c r="ED27" s="114"/>
      <c r="EE27" s="114"/>
      <c r="EF27" s="114"/>
      <c r="EG27" s="114"/>
      <c r="EH27" s="114"/>
      <c r="EI27" s="114"/>
      <c r="EJ27" s="114"/>
      <c r="EK27" s="114"/>
      <c r="EL27" s="114"/>
      <c r="EM27" s="114"/>
      <c r="EN27" s="114"/>
      <c r="EO27" s="114"/>
      <c r="EP27" s="114"/>
      <c r="EQ27" s="114"/>
      <c r="ER27" s="114"/>
      <c r="ES27" s="114"/>
      <c r="ET27" s="114"/>
      <c r="EU27" s="114"/>
      <c r="EV27" s="114"/>
      <c r="EW27" s="114"/>
      <c r="EX27" s="114"/>
      <c r="EY27" s="114"/>
      <c r="EZ27" s="114"/>
      <c r="FA27" s="114"/>
      <c r="FB27" s="114"/>
      <c r="FC27" s="114"/>
      <c r="FD27" s="114"/>
      <c r="FE27" s="114"/>
      <c r="FF27" s="114"/>
      <c r="FG27" s="114"/>
      <c r="FH27" s="114"/>
      <c r="FI27" s="114"/>
      <c r="FJ27" s="114"/>
      <c r="FK27" s="114"/>
      <c r="FL27" s="114"/>
      <c r="FM27" s="114"/>
      <c r="FN27" s="114"/>
      <c r="FO27" s="114"/>
      <c r="FP27" s="114"/>
      <c r="FQ27" s="114"/>
      <c r="FR27" s="114"/>
      <c r="FS27" s="114"/>
      <c r="FT27" s="114"/>
      <c r="FU27" s="114"/>
      <c r="FV27" s="114"/>
      <c r="FW27" s="114"/>
      <c r="FX27" s="114"/>
      <c r="FY27" s="114"/>
      <c r="FZ27" s="114"/>
      <c r="GA27" s="114"/>
      <c r="GB27" s="114"/>
      <c r="GC27" s="114"/>
      <c r="GD27" s="114"/>
      <c r="GE27" s="114"/>
      <c r="GF27" s="114"/>
      <c r="GG27" s="114"/>
      <c r="GH27" s="114"/>
      <c r="GI27" s="114"/>
      <c r="GJ27" s="114"/>
      <c r="GK27" s="114"/>
      <c r="GL27" s="114"/>
      <c r="GM27" s="114"/>
      <c r="GN27" s="114"/>
      <c r="GO27" s="114"/>
      <c r="GP27" s="114"/>
      <c r="GQ27" s="114"/>
      <c r="GR27" s="114"/>
      <c r="GS27" s="114"/>
      <c r="GT27" s="114"/>
      <c r="GU27" s="114"/>
      <c r="GV27" s="114"/>
      <c r="GW27" s="114"/>
      <c r="GX27" s="114"/>
      <c r="GY27" s="114"/>
      <c r="GZ27" s="114"/>
      <c r="HA27" s="114"/>
      <c r="HB27" s="114"/>
      <c r="HC27" s="114"/>
      <c r="HD27" s="114"/>
      <c r="HE27" s="114"/>
      <c r="HF27" s="114"/>
      <c r="HG27" s="114"/>
      <c r="HH27" s="114"/>
      <c r="HI27" s="114"/>
      <c r="HJ27" s="114"/>
      <c r="HK27" s="114"/>
      <c r="HL27" s="114"/>
      <c r="HM27" s="114"/>
      <c r="HN27" s="114"/>
      <c r="HO27" s="114"/>
      <c r="HP27" s="114"/>
      <c r="HQ27" s="114"/>
      <c r="HR27" s="114"/>
      <c r="HS27" s="114"/>
      <c r="HT27" s="114"/>
      <c r="HU27" s="114"/>
      <c r="HV27" s="114"/>
      <c r="HW27" s="114"/>
      <c r="HX27" s="114"/>
      <c r="HY27" s="114"/>
      <c r="HZ27" s="114"/>
      <c r="IA27" s="114"/>
      <c r="IB27" s="114"/>
      <c r="IC27" s="114"/>
      <c r="ID27" s="114"/>
      <c r="IE27" s="114"/>
      <c r="IF27" s="114"/>
      <c r="IG27" s="114"/>
      <c r="IH27" s="114"/>
      <c r="II27" s="114"/>
      <c r="IJ27" s="114"/>
      <c r="IK27" s="114"/>
      <c r="IL27" s="114"/>
      <c r="IM27" s="114"/>
      <c r="IN27" s="114"/>
      <c r="IO27" s="114"/>
      <c r="IP27" s="114"/>
      <c r="IQ27" s="114"/>
      <c r="IR27" s="114"/>
      <c r="IS27" s="114"/>
      <c r="IT27" s="114"/>
      <c r="IU27" s="114"/>
      <c r="IV27" s="114"/>
      <c r="IW27" s="114"/>
      <c r="IX27" s="114"/>
      <c r="IY27" s="114"/>
      <c r="IZ27" s="114"/>
      <c r="JA27" s="114"/>
      <c r="JB27" s="114"/>
      <c r="JC27" s="114"/>
      <c r="JD27" s="114"/>
      <c r="JE27" s="114"/>
      <c r="JF27" s="114"/>
      <c r="JG27" s="114"/>
      <c r="JH27" s="114"/>
      <c r="JI27" s="114"/>
      <c r="JJ27" s="114"/>
      <c r="JK27" s="114"/>
      <c r="JL27" s="114"/>
      <c r="JM27" s="114"/>
      <c r="JN27" s="114"/>
      <c r="JO27" s="114"/>
      <c r="JP27" s="114"/>
      <c r="JQ27" s="114"/>
      <c r="JR27" s="114"/>
      <c r="JS27" s="114"/>
      <c r="JT27" s="114"/>
      <c r="JU27" s="114"/>
      <c r="JV27" s="114"/>
      <c r="JW27" s="114"/>
      <c r="JX27" s="114"/>
      <c r="JY27" s="114"/>
      <c r="JZ27" s="114"/>
      <c r="KA27" s="114"/>
      <c r="KB27" s="114"/>
      <c r="KC27" s="114"/>
      <c r="KD27" s="114"/>
      <c r="KE27" s="114"/>
      <c r="KF27" s="114"/>
      <c r="KG27" s="114"/>
      <c r="KH27" s="114"/>
      <c r="KI27" s="114"/>
      <c r="KJ27" s="114"/>
      <c r="KK27" s="114"/>
      <c r="KL27" s="114"/>
      <c r="KM27" s="114"/>
      <c r="KN27" s="114"/>
      <c r="KO27" s="114"/>
      <c r="KP27" s="114"/>
      <c r="KQ27" s="114"/>
      <c r="KR27" s="114"/>
      <c r="KS27" s="114"/>
      <c r="KT27" s="114"/>
      <c r="KU27" s="114"/>
      <c r="KV27" s="114"/>
      <c r="KW27" s="114"/>
      <c r="KX27" s="114"/>
      <c r="KY27" s="114"/>
      <c r="KZ27" s="114"/>
      <c r="LA27" s="114"/>
      <c r="LB27" s="114"/>
      <c r="LC27" s="114"/>
      <c r="LD27" s="114"/>
      <c r="LE27" s="114"/>
      <c r="LF27" s="114"/>
      <c r="LG27" s="114"/>
      <c r="LH27" s="114"/>
      <c r="LI27" s="114"/>
      <c r="LJ27" s="114"/>
      <c r="LK27" s="114"/>
      <c r="LL27" s="114"/>
      <c r="LM27" s="114"/>
      <c r="LN27" s="114"/>
      <c r="LO27" s="114"/>
      <c r="LP27" s="114"/>
      <c r="LQ27" s="114"/>
      <c r="LR27" s="114"/>
      <c r="LS27" s="114"/>
      <c r="LT27" s="114"/>
      <c r="LU27" s="114"/>
      <c r="LV27" s="114"/>
      <c r="LW27" s="114"/>
      <c r="LX27" s="114"/>
      <c r="LY27" s="114"/>
      <c r="LZ27" s="114"/>
      <c r="MA27" s="114"/>
      <c r="MB27" s="114"/>
      <c r="MC27" s="114"/>
      <c r="MD27" s="114"/>
      <c r="ME27" s="114"/>
      <c r="MF27" s="114"/>
      <c r="MG27" s="114"/>
      <c r="MH27" s="114"/>
      <c r="MI27" s="114"/>
      <c r="MJ27" s="114"/>
      <c r="MK27" s="114"/>
      <c r="ML27" s="114"/>
      <c r="MM27" s="114"/>
      <c r="MN27" s="114"/>
      <c r="MO27" s="114"/>
      <c r="MP27" s="114"/>
      <c r="MQ27" s="114"/>
      <c r="MR27" s="114"/>
      <c r="MS27" s="114"/>
      <c r="MT27" s="114"/>
      <c r="MU27" s="114"/>
      <c r="MV27" s="114"/>
      <c r="MW27" s="114"/>
      <c r="MX27" s="114"/>
      <c r="MY27" s="114"/>
      <c r="MZ27" s="114"/>
      <c r="NA27" s="114"/>
      <c r="NB27" s="114"/>
      <c r="NC27" s="114"/>
      <c r="ND27" s="114"/>
      <c r="NE27" s="114"/>
      <c r="NF27" s="114"/>
      <c r="NG27" s="114"/>
      <c r="NH27" s="114"/>
      <c r="NI27" s="114"/>
      <c r="NJ27" s="114"/>
      <c r="NK27" s="114"/>
      <c r="NL27" s="114"/>
      <c r="NM27" s="114"/>
      <c r="NN27" s="114"/>
      <c r="NO27" s="114"/>
      <c r="NP27" s="114"/>
      <c r="NQ27" s="114"/>
      <c r="NR27" s="114"/>
      <c r="NS27" s="114"/>
      <c r="NT27" s="114"/>
      <c r="NU27" s="114"/>
      <c r="NV27" s="114"/>
      <c r="NW27" s="114"/>
      <c r="NX27" s="114"/>
      <c r="NY27" s="114"/>
      <c r="NZ27" s="114"/>
      <c r="OA27" s="114"/>
      <c r="OB27" s="114"/>
      <c r="OC27" s="114"/>
      <c r="OD27" s="114"/>
      <c r="OE27" s="114"/>
      <c r="OF27" s="114"/>
      <c r="OG27" s="114"/>
      <c r="OH27" s="114"/>
      <c r="OI27" s="114"/>
      <c r="OJ27" s="114"/>
      <c r="OK27" s="114"/>
      <c r="OL27" s="114"/>
      <c r="OM27" s="114"/>
      <c r="ON27" s="114"/>
      <c r="OO27" s="114"/>
      <c r="OP27" s="114"/>
      <c r="OQ27" s="114"/>
      <c r="OR27" s="114"/>
      <c r="OS27" s="114"/>
      <c r="OT27" s="114"/>
      <c r="OU27" s="114"/>
      <c r="OV27" s="114"/>
      <c r="OW27" s="114"/>
      <c r="OX27" s="114"/>
      <c r="OY27" s="114"/>
      <c r="OZ27" s="114"/>
      <c r="PA27" s="114"/>
      <c r="PB27" s="114"/>
      <c r="PC27" s="114"/>
      <c r="PD27" s="114"/>
      <c r="PE27" s="114"/>
      <c r="PF27" s="114"/>
      <c r="PG27" s="114"/>
      <c r="PH27" s="114"/>
      <c r="PI27" s="114"/>
      <c r="PJ27" s="114"/>
      <c r="PK27" s="114"/>
      <c r="PL27" s="114"/>
      <c r="PM27" s="114"/>
      <c r="PN27" s="114"/>
      <c r="PO27" s="114"/>
      <c r="PP27" s="114"/>
      <c r="PQ27" s="114"/>
      <c r="PR27" s="114"/>
      <c r="PS27" s="114"/>
      <c r="PT27" s="114"/>
      <c r="PU27" s="114"/>
      <c r="PV27" s="114"/>
      <c r="PW27" s="114"/>
      <c r="PX27" s="114"/>
      <c r="PY27" s="114"/>
      <c r="PZ27" s="114"/>
      <c r="QA27" s="114"/>
      <c r="QB27" s="114"/>
      <c r="QC27" s="114"/>
      <c r="QD27" s="114"/>
      <c r="QE27" s="114"/>
      <c r="QF27" s="114"/>
      <c r="QG27" s="114"/>
      <c r="QH27" s="114"/>
      <c r="QI27" s="114"/>
      <c r="QJ27" s="114"/>
      <c r="QK27" s="114"/>
      <c r="QL27" s="114"/>
      <c r="QM27" s="114"/>
      <c r="QN27" s="114"/>
      <c r="QO27" s="114"/>
      <c r="QP27" s="114"/>
      <c r="QQ27" s="114"/>
      <c r="QR27" s="114"/>
      <c r="QS27" s="114"/>
      <c r="QT27" s="114"/>
      <c r="QU27" s="114"/>
      <c r="QV27" s="114"/>
      <c r="QW27" s="114"/>
      <c r="QX27" s="114"/>
      <c r="QY27" s="114"/>
      <c r="QZ27" s="114"/>
      <c r="RA27" s="114"/>
      <c r="RB27" s="114"/>
      <c r="RC27" s="114"/>
      <c r="RD27" s="114"/>
      <c r="RE27" s="114"/>
      <c r="RF27" s="114"/>
      <c r="RG27" s="114"/>
      <c r="RH27" s="114"/>
      <c r="RI27" s="114"/>
      <c r="RJ27" s="114"/>
      <c r="RK27" s="114"/>
      <c r="RL27" s="114"/>
      <c r="RM27" s="114"/>
      <c r="RN27" s="114"/>
      <c r="RO27" s="114"/>
      <c r="RP27" s="114"/>
      <c r="RQ27" s="114"/>
      <c r="RR27" s="114"/>
      <c r="RS27" s="114"/>
      <c r="RT27" s="114"/>
      <c r="RU27" s="114"/>
      <c r="RV27" s="114"/>
      <c r="RW27" s="114"/>
      <c r="RX27" s="114"/>
      <c r="RY27" s="114"/>
      <c r="RZ27" s="114"/>
      <c r="SA27" s="114"/>
      <c r="SB27" s="114"/>
      <c r="SC27" s="114"/>
      <c r="SD27" s="114"/>
      <c r="SE27" s="114"/>
      <c r="SF27" s="114"/>
      <c r="SG27" s="114"/>
      <c r="SH27" s="114"/>
      <c r="SI27" s="114"/>
      <c r="SJ27" s="114"/>
      <c r="SK27" s="114"/>
      <c r="SL27" s="114"/>
      <c r="SM27" s="114"/>
      <c r="SN27" s="114"/>
      <c r="SO27" s="114"/>
      <c r="SP27" s="114"/>
      <c r="SQ27" s="114"/>
      <c r="SR27" s="114"/>
      <c r="SS27" s="114"/>
      <c r="ST27" s="114"/>
      <c r="SU27" s="114"/>
      <c r="SV27" s="114"/>
      <c r="SW27" s="114"/>
      <c r="SX27" s="114"/>
      <c r="SY27" s="114"/>
      <c r="SZ27" s="114"/>
      <c r="TA27" s="114"/>
      <c r="TB27" s="114"/>
      <c r="TC27" s="114"/>
      <c r="TD27" s="114"/>
      <c r="TE27" s="114"/>
      <c r="TF27" s="114"/>
      <c r="TG27" s="114"/>
      <c r="TH27" s="114"/>
      <c r="TI27" s="114"/>
      <c r="TJ27" s="114"/>
      <c r="TK27" s="114"/>
      <c r="TL27" s="114"/>
      <c r="TM27" s="114"/>
      <c r="TN27" s="114"/>
      <c r="TO27" s="114"/>
      <c r="TP27" s="114"/>
      <c r="TQ27" s="114"/>
      <c r="TR27" s="114"/>
      <c r="TS27" s="114"/>
      <c r="TT27" s="114"/>
      <c r="TU27" s="114"/>
      <c r="TV27" s="114"/>
      <c r="TW27" s="114"/>
      <c r="TX27" s="114"/>
      <c r="TY27" s="114"/>
      <c r="TZ27" s="114"/>
      <c r="UA27" s="114"/>
      <c r="UB27" s="114"/>
      <c r="UC27" s="114"/>
      <c r="UD27" s="114"/>
      <c r="UE27" s="114"/>
      <c r="UF27" s="114"/>
      <c r="UG27" s="114"/>
      <c r="UH27" s="114"/>
      <c r="UI27" s="114"/>
      <c r="UJ27" s="114"/>
      <c r="UK27" s="114"/>
      <c r="UL27" s="114"/>
      <c r="UM27" s="114"/>
      <c r="UN27" s="114"/>
      <c r="UO27" s="114"/>
      <c r="UP27" s="114"/>
      <c r="UQ27" s="114"/>
      <c r="UR27" s="114"/>
      <c r="US27" s="114"/>
      <c r="UT27" s="114"/>
      <c r="UU27" s="114"/>
      <c r="UV27" s="114"/>
      <c r="UW27" s="114"/>
      <c r="UX27" s="114"/>
      <c r="UY27" s="114"/>
      <c r="UZ27" s="114"/>
      <c r="VA27" s="114"/>
      <c r="VB27" s="114"/>
      <c r="VC27" s="114"/>
      <c r="VD27" s="114"/>
      <c r="VE27" s="114"/>
      <c r="VF27" s="114"/>
      <c r="VG27" s="114"/>
      <c r="VH27" s="114"/>
      <c r="VI27" s="114"/>
      <c r="VJ27" s="114"/>
      <c r="VK27" s="114"/>
      <c r="VL27" s="114"/>
      <c r="VM27" s="114"/>
      <c r="VN27" s="114"/>
      <c r="VO27" s="114"/>
      <c r="VP27" s="114"/>
      <c r="VQ27" s="114"/>
      <c r="VR27" s="114"/>
      <c r="VS27" s="114"/>
      <c r="VT27" s="114"/>
      <c r="VU27" s="114"/>
      <c r="VV27" s="114"/>
      <c r="VW27" s="114"/>
      <c r="VX27" s="114"/>
      <c r="VY27" s="114"/>
      <c r="VZ27" s="114"/>
      <c r="WA27" s="114"/>
      <c r="WB27" s="114"/>
      <c r="WC27" s="114"/>
      <c r="WD27" s="114"/>
      <c r="WE27" s="114"/>
      <c r="WF27" s="114"/>
      <c r="WG27" s="114"/>
      <c r="WH27" s="114"/>
      <c r="WI27" s="114"/>
      <c r="WJ27" s="114"/>
      <c r="WK27" s="114"/>
      <c r="WL27" s="114"/>
      <c r="WM27" s="114"/>
      <c r="WN27" s="114"/>
      <c r="WO27" s="114"/>
      <c r="WP27" s="114"/>
      <c r="WQ27" s="114"/>
      <c r="WR27" s="114"/>
      <c r="WS27" s="114"/>
      <c r="WT27" s="114"/>
      <c r="WU27" s="114"/>
      <c r="WV27" s="114"/>
      <c r="WW27" s="114"/>
      <c r="WX27" s="114"/>
      <c r="WY27" s="114"/>
      <c r="WZ27" s="114"/>
      <c r="XA27" s="114"/>
      <c r="XB27" s="114"/>
      <c r="XC27" s="114"/>
      <c r="XD27" s="114"/>
      <c r="XE27" s="114"/>
      <c r="XF27" s="114"/>
      <c r="XG27" s="114"/>
      <c r="XH27" s="114"/>
      <c r="XI27" s="114"/>
      <c r="XJ27" s="114"/>
      <c r="XK27" s="114"/>
      <c r="XL27" s="114"/>
      <c r="XM27" s="114"/>
      <c r="XN27" s="114"/>
      <c r="XO27" s="114"/>
      <c r="XP27" s="114"/>
      <c r="XQ27" s="114"/>
      <c r="XR27" s="114"/>
      <c r="XS27" s="114"/>
      <c r="XT27" s="114"/>
      <c r="XU27" s="114"/>
      <c r="XV27" s="114"/>
      <c r="XW27" s="114"/>
      <c r="XX27" s="114"/>
      <c r="XY27" s="114"/>
      <c r="XZ27" s="114"/>
      <c r="YA27" s="114"/>
      <c r="YB27" s="114"/>
      <c r="YC27" s="114"/>
      <c r="YD27" s="114"/>
      <c r="YE27" s="114"/>
      <c r="YF27" s="114"/>
      <c r="YG27" s="114"/>
      <c r="YH27" s="114"/>
      <c r="YI27" s="114"/>
      <c r="YJ27" s="114"/>
      <c r="YK27" s="114"/>
      <c r="YL27" s="114"/>
      <c r="YM27" s="114"/>
      <c r="YN27" s="114"/>
      <c r="YO27" s="114"/>
      <c r="YP27" s="114"/>
      <c r="YQ27" s="114"/>
      <c r="YR27" s="114"/>
      <c r="YS27" s="114"/>
      <c r="YT27" s="114"/>
      <c r="YU27" s="114"/>
      <c r="YV27" s="114"/>
      <c r="YW27" s="114"/>
      <c r="YX27" s="114"/>
      <c r="YY27" s="114"/>
      <c r="YZ27" s="114"/>
      <c r="ZA27" s="114"/>
      <c r="ZB27" s="114"/>
      <c r="ZC27" s="114"/>
      <c r="ZD27" s="114"/>
      <c r="ZE27" s="114"/>
      <c r="ZF27" s="114"/>
      <c r="ZG27" s="114"/>
      <c r="ZH27" s="114"/>
      <c r="ZI27" s="114"/>
      <c r="ZJ27" s="114"/>
      <c r="ZK27" s="114"/>
      <c r="ZL27" s="114"/>
      <c r="ZM27" s="114"/>
      <c r="ZN27" s="114"/>
      <c r="ZO27" s="114"/>
      <c r="ZP27" s="114"/>
      <c r="ZQ27" s="114"/>
      <c r="ZR27" s="114"/>
      <c r="ZS27" s="114"/>
      <c r="ZT27" s="114"/>
      <c r="ZU27" s="114"/>
      <c r="ZV27" s="114"/>
      <c r="ZW27" s="114"/>
      <c r="ZX27" s="114"/>
      <c r="ZY27" s="114"/>
      <c r="ZZ27" s="114"/>
      <c r="AAA27" s="114"/>
      <c r="AAB27" s="114"/>
      <c r="AAC27" s="114"/>
      <c r="AAD27" s="114"/>
      <c r="AAE27" s="114"/>
      <c r="AAF27" s="114"/>
      <c r="AAG27" s="114"/>
      <c r="AAH27" s="114"/>
      <c r="AAI27" s="114"/>
      <c r="AAJ27" s="114"/>
      <c r="AAK27" s="114"/>
      <c r="AAL27" s="114"/>
      <c r="AAM27" s="114"/>
      <c r="AAN27" s="114"/>
      <c r="AAO27" s="114"/>
      <c r="AAP27" s="114"/>
      <c r="AAQ27" s="114"/>
      <c r="AAR27" s="114"/>
      <c r="AAS27" s="114"/>
      <c r="AAT27" s="114"/>
      <c r="AAU27" s="114"/>
      <c r="AAV27" s="114"/>
      <c r="AAW27" s="114"/>
      <c r="AAX27" s="114"/>
      <c r="AAY27" s="114"/>
      <c r="AAZ27" s="114"/>
      <c r="ABA27" s="114"/>
      <c r="ABB27" s="114"/>
      <c r="ABC27" s="114"/>
      <c r="ABD27" s="114"/>
      <c r="ABE27" s="114"/>
      <c r="ABF27" s="114"/>
      <c r="ABG27" s="114"/>
      <c r="ABH27" s="114"/>
      <c r="ABI27" s="114"/>
      <c r="ABJ27" s="114"/>
      <c r="ABK27" s="114"/>
      <c r="ABL27" s="114"/>
      <c r="ABM27" s="114"/>
      <c r="ABN27" s="114"/>
      <c r="ABO27" s="114"/>
      <c r="ABP27" s="114"/>
      <c r="ABQ27" s="114"/>
      <c r="ABR27" s="114"/>
      <c r="ABS27" s="114"/>
      <c r="ABT27" s="114"/>
      <c r="ABU27" s="114"/>
      <c r="ABV27" s="114"/>
      <c r="ABW27" s="114"/>
      <c r="ABX27" s="114"/>
      <c r="ABY27" s="114"/>
      <c r="ABZ27" s="114"/>
      <c r="ACA27" s="114"/>
      <c r="ACB27" s="114"/>
      <c r="ACC27" s="114"/>
      <c r="ACD27" s="114"/>
      <c r="ACE27" s="114"/>
      <c r="ACF27" s="114"/>
      <c r="ACG27" s="114"/>
      <c r="ACH27" s="114"/>
      <c r="ACI27" s="114"/>
      <c r="ACJ27" s="114"/>
      <c r="ACK27" s="114"/>
      <c r="ACL27" s="114"/>
      <c r="ACM27" s="114"/>
      <c r="ACN27" s="114"/>
      <c r="ACO27" s="114"/>
      <c r="ACP27" s="114"/>
      <c r="ACQ27" s="114"/>
      <c r="ACR27" s="114"/>
      <c r="ACS27" s="114"/>
      <c r="ACT27" s="114"/>
      <c r="ACU27" s="114"/>
      <c r="ACV27" s="114"/>
      <c r="ACW27" s="114"/>
      <c r="ACX27" s="114"/>
      <c r="ACY27" s="114"/>
      <c r="ACZ27" s="114"/>
      <c r="ADA27" s="114"/>
      <c r="ADB27" s="114"/>
      <c r="ADC27" s="114"/>
      <c r="ADD27" s="114"/>
      <c r="ADE27" s="114"/>
      <c r="ADF27" s="114"/>
      <c r="ADG27" s="114"/>
      <c r="ADH27" s="114"/>
      <c r="ADI27" s="114"/>
      <c r="ADJ27" s="114"/>
      <c r="ADK27" s="114"/>
      <c r="ADL27" s="114"/>
      <c r="ADM27" s="114"/>
      <c r="ADN27" s="114"/>
      <c r="ADO27" s="114"/>
      <c r="ADP27" s="114"/>
      <c r="ADQ27" s="114"/>
      <c r="ADR27" s="114"/>
      <c r="ADS27" s="114"/>
      <c r="ADT27" s="114"/>
      <c r="ADU27" s="114"/>
      <c r="ADV27" s="114"/>
      <c r="ADW27" s="114"/>
      <c r="ADX27" s="114"/>
      <c r="ADY27" s="114"/>
      <c r="ADZ27" s="114"/>
      <c r="AEA27" s="114"/>
      <c r="AEB27" s="114"/>
      <c r="AEC27" s="114"/>
      <c r="AED27" s="114"/>
      <c r="AEE27" s="114"/>
      <c r="AEF27" s="114"/>
      <c r="AEG27" s="114"/>
      <c r="AEH27" s="114"/>
      <c r="AEI27" s="114"/>
      <c r="AEJ27" s="114"/>
      <c r="AEK27" s="114"/>
      <c r="AEL27" s="114"/>
      <c r="AEM27" s="114"/>
      <c r="AEN27" s="114"/>
      <c r="AEO27" s="114"/>
      <c r="AEP27" s="114"/>
      <c r="AEQ27" s="114"/>
      <c r="AER27" s="114"/>
      <c r="AES27" s="114"/>
      <c r="AET27" s="114"/>
      <c r="AEU27" s="114"/>
      <c r="AEV27" s="114"/>
      <c r="AEW27" s="114"/>
      <c r="AEX27" s="114"/>
      <c r="AEY27" s="114"/>
      <c r="AEZ27" s="114"/>
      <c r="AFA27" s="114"/>
      <c r="AFB27" s="114"/>
      <c r="AFC27" s="114"/>
      <c r="AFD27" s="114"/>
      <c r="AFE27" s="114"/>
      <c r="AFF27" s="114"/>
      <c r="AFG27" s="114"/>
      <c r="AFH27" s="114"/>
      <c r="AFI27" s="114"/>
      <c r="AFJ27" s="114"/>
      <c r="AFK27" s="114"/>
      <c r="AFL27" s="114"/>
      <c r="AFM27" s="114"/>
      <c r="AFN27" s="114"/>
      <c r="AFO27" s="114"/>
      <c r="AFP27" s="114"/>
      <c r="AFQ27" s="114"/>
      <c r="AFR27" s="114"/>
      <c r="AFS27" s="114"/>
      <c r="AFT27" s="114"/>
      <c r="AFU27" s="114"/>
      <c r="AFV27" s="114"/>
      <c r="AFW27" s="114"/>
      <c r="AFX27" s="114"/>
      <c r="AFY27" s="114"/>
      <c r="AFZ27" s="114"/>
      <c r="AGA27" s="114"/>
      <c r="AGB27" s="114"/>
      <c r="AGC27" s="114"/>
      <c r="AGD27" s="114"/>
      <c r="AGE27" s="114"/>
      <c r="AGF27" s="114"/>
      <c r="AGG27" s="114"/>
      <c r="AGH27" s="114"/>
      <c r="AGI27" s="114"/>
      <c r="AGJ27" s="114"/>
      <c r="AGK27" s="114"/>
      <c r="AGL27" s="114"/>
      <c r="AGM27" s="114"/>
      <c r="AGN27" s="114"/>
      <c r="AGO27" s="114"/>
      <c r="AGP27" s="114"/>
      <c r="AGQ27" s="114"/>
      <c r="AGR27" s="114"/>
      <c r="AGS27" s="114"/>
      <c r="AGT27" s="114"/>
      <c r="AGU27" s="114"/>
      <c r="AGV27" s="114"/>
      <c r="AGW27" s="114"/>
      <c r="AGX27" s="114"/>
      <c r="AGY27" s="114"/>
      <c r="AGZ27" s="114"/>
      <c r="AHA27" s="114"/>
      <c r="AHB27" s="114"/>
      <c r="AHC27" s="114"/>
      <c r="AHD27" s="114"/>
      <c r="AHE27" s="114"/>
      <c r="AHF27" s="114"/>
      <c r="AHG27" s="114"/>
      <c r="AHH27" s="114"/>
      <c r="AHI27" s="114"/>
      <c r="AHJ27" s="114"/>
      <c r="AHK27" s="114"/>
      <c r="AHL27" s="114"/>
      <c r="AHM27" s="114"/>
      <c r="AHN27" s="114"/>
      <c r="AHO27" s="114"/>
      <c r="AHP27" s="114"/>
      <c r="AHQ27" s="114"/>
      <c r="AHR27" s="114"/>
      <c r="AHS27" s="114"/>
      <c r="AHT27" s="114"/>
      <c r="AHU27" s="114"/>
      <c r="AHV27" s="114"/>
      <c r="AHW27" s="114"/>
      <c r="AHX27" s="114"/>
      <c r="AHY27" s="114"/>
      <c r="AHZ27" s="114"/>
      <c r="AIA27" s="114"/>
      <c r="AIB27" s="114"/>
      <c r="AIC27" s="114"/>
      <c r="AID27" s="114"/>
      <c r="AIE27" s="114"/>
      <c r="AIF27" s="114"/>
      <c r="AIG27" s="114"/>
      <c r="AIH27" s="114"/>
      <c r="AII27" s="114"/>
      <c r="AIJ27" s="114"/>
      <c r="AIK27" s="114"/>
      <c r="AIL27" s="114"/>
      <c r="AIM27" s="114"/>
      <c r="AIN27" s="114"/>
      <c r="AIO27" s="114"/>
      <c r="AIP27" s="114"/>
      <c r="AIQ27" s="114"/>
      <c r="AIR27" s="114"/>
      <c r="AIS27" s="114"/>
      <c r="AIT27" s="114"/>
      <c r="AIU27" s="114"/>
      <c r="AIV27" s="114"/>
      <c r="AIW27" s="114"/>
      <c r="AIX27" s="114"/>
      <c r="AIY27" s="114"/>
      <c r="AIZ27" s="114"/>
      <c r="AJA27" s="114"/>
      <c r="AJB27" s="114"/>
      <c r="AJC27" s="114"/>
      <c r="AJD27" s="114"/>
      <c r="AJE27" s="114"/>
      <c r="AJF27" s="114"/>
      <c r="AJG27" s="114"/>
      <c r="AJH27" s="114"/>
      <c r="AJI27" s="114"/>
      <c r="AJJ27" s="114"/>
      <c r="AJK27" s="114"/>
      <c r="AJL27" s="114"/>
      <c r="AJM27" s="114"/>
      <c r="AJN27" s="114"/>
      <c r="AJO27" s="114"/>
      <c r="AJP27" s="114"/>
      <c r="AJQ27" s="114"/>
      <c r="AJR27" s="114"/>
      <c r="AJS27" s="114"/>
      <c r="AJT27" s="114"/>
      <c r="AJU27" s="114"/>
      <c r="AJV27" s="114"/>
      <c r="AJW27" s="114"/>
      <c r="AJX27" s="114"/>
      <c r="AJY27" s="114"/>
      <c r="AJZ27" s="114"/>
      <c r="AKA27" s="114"/>
      <c r="AKB27" s="114"/>
      <c r="AKC27" s="114"/>
      <c r="AKD27" s="114"/>
      <c r="AKE27" s="114"/>
      <c r="AKF27" s="114"/>
      <c r="AKG27" s="114"/>
      <c r="AKH27" s="114"/>
      <c r="AKI27" s="114"/>
      <c r="AKJ27" s="114"/>
      <c r="AKK27" s="114"/>
      <c r="AKL27" s="114"/>
    </row>
    <row r="28" spans="1:974" ht="15" customHeight="1" x14ac:dyDescent="0.3">
      <c r="A28" s="116"/>
      <c r="B28" s="117"/>
      <c r="C28" s="462"/>
      <c r="D28" s="138" t="s">
        <v>3083</v>
      </c>
      <c r="E28" s="139">
        <v>20</v>
      </c>
      <c r="F28" s="140">
        <v>2200</v>
      </c>
      <c r="G28" s="141">
        <f t="shared" si="0"/>
        <v>44000</v>
      </c>
    </row>
    <row r="29" spans="1:974" ht="15" customHeight="1" x14ac:dyDescent="0.3">
      <c r="A29" s="116"/>
      <c r="B29" s="117"/>
      <c r="C29" s="463"/>
      <c r="D29" s="464" t="s">
        <v>2824</v>
      </c>
      <c r="E29" s="465"/>
      <c r="F29" s="466"/>
      <c r="G29" s="127">
        <f>SUM(G27:G28)</f>
        <v>64000</v>
      </c>
    </row>
    <row r="30" spans="1:974" s="115" customFormat="1" ht="15" customHeight="1" x14ac:dyDescent="0.3">
      <c r="A30" s="103">
        <v>8470230</v>
      </c>
      <c r="B30" s="104">
        <v>425550</v>
      </c>
      <c r="C30" s="461" t="s">
        <v>3084</v>
      </c>
      <c r="D30" s="130" t="s">
        <v>3082</v>
      </c>
      <c r="E30" s="131">
        <v>40</v>
      </c>
      <c r="F30" s="132">
        <v>1100</v>
      </c>
      <c r="G30" s="133">
        <f t="shared" si="0"/>
        <v>44000</v>
      </c>
      <c r="H30" s="114"/>
      <c r="I30" s="114"/>
      <c r="J30" s="114"/>
      <c r="K30" s="114"/>
      <c r="L30" s="114"/>
      <c r="M30" s="114"/>
      <c r="N30" s="114"/>
      <c r="O30" s="114"/>
      <c r="P30" s="114"/>
      <c r="Q30" s="114"/>
      <c r="R30" s="114"/>
      <c r="S30" s="114"/>
      <c r="T30" s="114"/>
      <c r="U30" s="114"/>
      <c r="V30" s="114"/>
      <c r="W30" s="114"/>
      <c r="X30" s="114"/>
      <c r="Y30" s="114"/>
      <c r="Z30" s="114"/>
      <c r="AA30" s="114"/>
      <c r="AB30" s="114"/>
      <c r="AC30" s="114"/>
      <c r="AD30" s="114"/>
      <c r="AE30" s="114"/>
      <c r="AF30" s="114"/>
      <c r="AG30" s="114"/>
      <c r="AH30" s="114"/>
      <c r="AI30" s="114"/>
      <c r="AJ30" s="114"/>
      <c r="AK30" s="114"/>
      <c r="AL30" s="114"/>
      <c r="AM30" s="114"/>
      <c r="AN30" s="114"/>
      <c r="AO30" s="114"/>
      <c r="AP30" s="114"/>
      <c r="AQ30" s="114"/>
      <c r="AR30" s="114"/>
      <c r="AS30" s="114"/>
      <c r="AT30" s="114"/>
      <c r="AU30" s="114"/>
      <c r="AV30" s="114"/>
      <c r="AW30" s="114"/>
      <c r="AX30" s="114"/>
      <c r="AY30" s="114"/>
      <c r="AZ30" s="114"/>
      <c r="BA30" s="114"/>
      <c r="BB30" s="114"/>
      <c r="BC30" s="114"/>
      <c r="BD30" s="114"/>
      <c r="BE30" s="114"/>
      <c r="BF30" s="114"/>
      <c r="BG30" s="114"/>
      <c r="BH30" s="114"/>
      <c r="BI30" s="114"/>
      <c r="BJ30" s="114"/>
      <c r="BK30" s="114"/>
      <c r="BL30" s="114"/>
      <c r="BM30" s="114"/>
      <c r="BN30" s="114"/>
      <c r="BO30" s="114"/>
      <c r="BP30" s="114"/>
      <c r="BQ30" s="114"/>
      <c r="BR30" s="114"/>
      <c r="BS30" s="114"/>
      <c r="BT30" s="114"/>
      <c r="BU30" s="114"/>
      <c r="BV30" s="114"/>
      <c r="BW30" s="114"/>
      <c r="BX30" s="114"/>
      <c r="BY30" s="114"/>
      <c r="BZ30" s="114"/>
      <c r="CA30" s="114"/>
      <c r="CB30" s="114"/>
      <c r="CC30" s="114"/>
      <c r="CD30" s="114"/>
      <c r="CE30" s="114"/>
      <c r="CF30" s="114"/>
      <c r="CG30" s="114"/>
      <c r="CH30" s="114"/>
      <c r="CI30" s="114"/>
      <c r="CJ30" s="114"/>
      <c r="CK30" s="114"/>
      <c r="CL30" s="114"/>
      <c r="CM30" s="114"/>
      <c r="CN30" s="114"/>
      <c r="CO30" s="114"/>
      <c r="CP30" s="114"/>
      <c r="CQ30" s="114"/>
      <c r="CR30" s="114"/>
      <c r="CS30" s="114"/>
      <c r="CT30" s="114"/>
      <c r="CU30" s="114"/>
      <c r="CV30" s="114"/>
      <c r="CW30" s="114"/>
      <c r="CX30" s="114"/>
      <c r="CY30" s="114"/>
      <c r="CZ30" s="114"/>
      <c r="DA30" s="114"/>
      <c r="DB30" s="114"/>
      <c r="DC30" s="114"/>
      <c r="DD30" s="114"/>
      <c r="DE30" s="114"/>
      <c r="DF30" s="114"/>
      <c r="DG30" s="114"/>
      <c r="DH30" s="114"/>
      <c r="DI30" s="114"/>
      <c r="DJ30" s="114"/>
      <c r="DK30" s="114"/>
      <c r="DL30" s="114"/>
      <c r="DM30" s="114"/>
      <c r="DN30" s="114"/>
      <c r="DO30" s="114"/>
      <c r="DP30" s="114"/>
      <c r="DQ30" s="114"/>
      <c r="DR30" s="114"/>
      <c r="DS30" s="114"/>
      <c r="DT30" s="114"/>
      <c r="DU30" s="114"/>
      <c r="DV30" s="114"/>
      <c r="DW30" s="114"/>
      <c r="DX30" s="114"/>
      <c r="DY30" s="114"/>
      <c r="DZ30" s="114"/>
      <c r="EA30" s="114"/>
      <c r="EB30" s="114"/>
      <c r="EC30" s="114"/>
      <c r="ED30" s="114"/>
      <c r="EE30" s="114"/>
      <c r="EF30" s="114"/>
      <c r="EG30" s="114"/>
      <c r="EH30" s="114"/>
      <c r="EI30" s="114"/>
      <c r="EJ30" s="114"/>
      <c r="EK30" s="114"/>
      <c r="EL30" s="114"/>
      <c r="EM30" s="114"/>
      <c r="EN30" s="114"/>
      <c r="EO30" s="114"/>
      <c r="EP30" s="114"/>
      <c r="EQ30" s="114"/>
      <c r="ER30" s="114"/>
      <c r="ES30" s="114"/>
      <c r="ET30" s="114"/>
      <c r="EU30" s="114"/>
      <c r="EV30" s="114"/>
      <c r="EW30" s="114"/>
      <c r="EX30" s="114"/>
      <c r="EY30" s="114"/>
      <c r="EZ30" s="114"/>
      <c r="FA30" s="114"/>
      <c r="FB30" s="114"/>
      <c r="FC30" s="114"/>
      <c r="FD30" s="114"/>
      <c r="FE30" s="114"/>
      <c r="FF30" s="114"/>
      <c r="FG30" s="114"/>
      <c r="FH30" s="114"/>
      <c r="FI30" s="114"/>
      <c r="FJ30" s="114"/>
      <c r="FK30" s="114"/>
      <c r="FL30" s="114"/>
      <c r="FM30" s="114"/>
      <c r="FN30" s="114"/>
      <c r="FO30" s="114"/>
      <c r="FP30" s="114"/>
      <c r="FQ30" s="114"/>
      <c r="FR30" s="114"/>
      <c r="FS30" s="114"/>
      <c r="FT30" s="114"/>
      <c r="FU30" s="114"/>
      <c r="FV30" s="114"/>
      <c r="FW30" s="114"/>
      <c r="FX30" s="114"/>
      <c r="FY30" s="114"/>
      <c r="FZ30" s="114"/>
      <c r="GA30" s="114"/>
      <c r="GB30" s="114"/>
      <c r="GC30" s="114"/>
      <c r="GD30" s="114"/>
      <c r="GE30" s="114"/>
      <c r="GF30" s="114"/>
      <c r="GG30" s="114"/>
      <c r="GH30" s="114"/>
      <c r="GI30" s="114"/>
      <c r="GJ30" s="114"/>
      <c r="GK30" s="114"/>
      <c r="GL30" s="114"/>
      <c r="GM30" s="114"/>
      <c r="GN30" s="114"/>
      <c r="GO30" s="114"/>
      <c r="GP30" s="114"/>
      <c r="GQ30" s="114"/>
      <c r="GR30" s="114"/>
      <c r="GS30" s="114"/>
      <c r="GT30" s="114"/>
      <c r="GU30" s="114"/>
      <c r="GV30" s="114"/>
      <c r="GW30" s="114"/>
      <c r="GX30" s="114"/>
      <c r="GY30" s="114"/>
      <c r="GZ30" s="114"/>
      <c r="HA30" s="114"/>
      <c r="HB30" s="114"/>
      <c r="HC30" s="114"/>
      <c r="HD30" s="114"/>
      <c r="HE30" s="114"/>
      <c r="HF30" s="114"/>
      <c r="HG30" s="114"/>
      <c r="HH30" s="114"/>
      <c r="HI30" s="114"/>
      <c r="HJ30" s="114"/>
      <c r="HK30" s="114"/>
      <c r="HL30" s="114"/>
      <c r="HM30" s="114"/>
      <c r="HN30" s="114"/>
      <c r="HO30" s="114"/>
      <c r="HP30" s="114"/>
      <c r="HQ30" s="114"/>
      <c r="HR30" s="114"/>
      <c r="HS30" s="114"/>
      <c r="HT30" s="114"/>
      <c r="HU30" s="114"/>
      <c r="HV30" s="114"/>
      <c r="HW30" s="114"/>
      <c r="HX30" s="114"/>
      <c r="HY30" s="114"/>
      <c r="HZ30" s="114"/>
      <c r="IA30" s="114"/>
      <c r="IB30" s="114"/>
      <c r="IC30" s="114"/>
      <c r="ID30" s="114"/>
      <c r="IE30" s="114"/>
      <c r="IF30" s="114"/>
      <c r="IG30" s="114"/>
      <c r="IH30" s="114"/>
      <c r="II30" s="114"/>
      <c r="IJ30" s="114"/>
      <c r="IK30" s="114"/>
      <c r="IL30" s="114"/>
      <c r="IM30" s="114"/>
      <c r="IN30" s="114"/>
      <c r="IO30" s="114"/>
      <c r="IP30" s="114"/>
      <c r="IQ30" s="114"/>
      <c r="IR30" s="114"/>
      <c r="IS30" s="114"/>
      <c r="IT30" s="114"/>
      <c r="IU30" s="114"/>
      <c r="IV30" s="114"/>
      <c r="IW30" s="114"/>
      <c r="IX30" s="114"/>
      <c r="IY30" s="114"/>
      <c r="IZ30" s="114"/>
      <c r="JA30" s="114"/>
      <c r="JB30" s="114"/>
      <c r="JC30" s="114"/>
      <c r="JD30" s="114"/>
      <c r="JE30" s="114"/>
      <c r="JF30" s="114"/>
      <c r="JG30" s="114"/>
      <c r="JH30" s="114"/>
      <c r="JI30" s="114"/>
      <c r="JJ30" s="114"/>
      <c r="JK30" s="114"/>
      <c r="JL30" s="114"/>
      <c r="JM30" s="114"/>
      <c r="JN30" s="114"/>
      <c r="JO30" s="114"/>
      <c r="JP30" s="114"/>
      <c r="JQ30" s="114"/>
      <c r="JR30" s="114"/>
      <c r="JS30" s="114"/>
      <c r="JT30" s="114"/>
      <c r="JU30" s="114"/>
      <c r="JV30" s="114"/>
      <c r="JW30" s="114"/>
      <c r="JX30" s="114"/>
      <c r="JY30" s="114"/>
      <c r="JZ30" s="114"/>
      <c r="KA30" s="114"/>
      <c r="KB30" s="114"/>
      <c r="KC30" s="114"/>
      <c r="KD30" s="114"/>
      <c r="KE30" s="114"/>
      <c r="KF30" s="114"/>
      <c r="KG30" s="114"/>
      <c r="KH30" s="114"/>
      <c r="KI30" s="114"/>
      <c r="KJ30" s="114"/>
      <c r="KK30" s="114"/>
      <c r="KL30" s="114"/>
      <c r="KM30" s="114"/>
      <c r="KN30" s="114"/>
      <c r="KO30" s="114"/>
      <c r="KP30" s="114"/>
      <c r="KQ30" s="114"/>
      <c r="KR30" s="114"/>
      <c r="KS30" s="114"/>
      <c r="KT30" s="114"/>
      <c r="KU30" s="114"/>
      <c r="KV30" s="114"/>
      <c r="KW30" s="114"/>
      <c r="KX30" s="114"/>
      <c r="KY30" s="114"/>
      <c r="KZ30" s="114"/>
      <c r="LA30" s="114"/>
      <c r="LB30" s="114"/>
      <c r="LC30" s="114"/>
      <c r="LD30" s="114"/>
      <c r="LE30" s="114"/>
      <c r="LF30" s="114"/>
      <c r="LG30" s="114"/>
      <c r="LH30" s="114"/>
      <c r="LI30" s="114"/>
      <c r="LJ30" s="114"/>
      <c r="LK30" s="114"/>
      <c r="LL30" s="114"/>
      <c r="LM30" s="114"/>
      <c r="LN30" s="114"/>
      <c r="LO30" s="114"/>
      <c r="LP30" s="114"/>
      <c r="LQ30" s="114"/>
      <c r="LR30" s="114"/>
      <c r="LS30" s="114"/>
      <c r="LT30" s="114"/>
      <c r="LU30" s="114"/>
      <c r="LV30" s="114"/>
      <c r="LW30" s="114"/>
      <c r="LX30" s="114"/>
      <c r="LY30" s="114"/>
      <c r="LZ30" s="114"/>
      <c r="MA30" s="114"/>
      <c r="MB30" s="114"/>
      <c r="MC30" s="114"/>
      <c r="MD30" s="114"/>
      <c r="ME30" s="114"/>
      <c r="MF30" s="114"/>
      <c r="MG30" s="114"/>
      <c r="MH30" s="114"/>
      <c r="MI30" s="114"/>
      <c r="MJ30" s="114"/>
      <c r="MK30" s="114"/>
      <c r="ML30" s="114"/>
      <c r="MM30" s="114"/>
      <c r="MN30" s="114"/>
      <c r="MO30" s="114"/>
      <c r="MP30" s="114"/>
      <c r="MQ30" s="114"/>
      <c r="MR30" s="114"/>
      <c r="MS30" s="114"/>
      <c r="MT30" s="114"/>
      <c r="MU30" s="114"/>
      <c r="MV30" s="114"/>
      <c r="MW30" s="114"/>
      <c r="MX30" s="114"/>
      <c r="MY30" s="114"/>
      <c r="MZ30" s="114"/>
      <c r="NA30" s="114"/>
      <c r="NB30" s="114"/>
      <c r="NC30" s="114"/>
      <c r="ND30" s="114"/>
      <c r="NE30" s="114"/>
      <c r="NF30" s="114"/>
      <c r="NG30" s="114"/>
      <c r="NH30" s="114"/>
      <c r="NI30" s="114"/>
      <c r="NJ30" s="114"/>
      <c r="NK30" s="114"/>
      <c r="NL30" s="114"/>
      <c r="NM30" s="114"/>
      <c r="NN30" s="114"/>
      <c r="NO30" s="114"/>
      <c r="NP30" s="114"/>
      <c r="NQ30" s="114"/>
      <c r="NR30" s="114"/>
      <c r="NS30" s="114"/>
      <c r="NT30" s="114"/>
      <c r="NU30" s="114"/>
      <c r="NV30" s="114"/>
      <c r="NW30" s="114"/>
      <c r="NX30" s="114"/>
      <c r="NY30" s="114"/>
      <c r="NZ30" s="114"/>
      <c r="OA30" s="114"/>
      <c r="OB30" s="114"/>
      <c r="OC30" s="114"/>
      <c r="OD30" s="114"/>
      <c r="OE30" s="114"/>
      <c r="OF30" s="114"/>
      <c r="OG30" s="114"/>
      <c r="OH30" s="114"/>
      <c r="OI30" s="114"/>
      <c r="OJ30" s="114"/>
      <c r="OK30" s="114"/>
      <c r="OL30" s="114"/>
      <c r="OM30" s="114"/>
      <c r="ON30" s="114"/>
      <c r="OO30" s="114"/>
      <c r="OP30" s="114"/>
      <c r="OQ30" s="114"/>
      <c r="OR30" s="114"/>
      <c r="OS30" s="114"/>
      <c r="OT30" s="114"/>
      <c r="OU30" s="114"/>
      <c r="OV30" s="114"/>
      <c r="OW30" s="114"/>
      <c r="OX30" s="114"/>
      <c r="OY30" s="114"/>
      <c r="OZ30" s="114"/>
      <c r="PA30" s="114"/>
      <c r="PB30" s="114"/>
      <c r="PC30" s="114"/>
      <c r="PD30" s="114"/>
      <c r="PE30" s="114"/>
      <c r="PF30" s="114"/>
      <c r="PG30" s="114"/>
      <c r="PH30" s="114"/>
      <c r="PI30" s="114"/>
      <c r="PJ30" s="114"/>
      <c r="PK30" s="114"/>
      <c r="PL30" s="114"/>
      <c r="PM30" s="114"/>
      <c r="PN30" s="114"/>
      <c r="PO30" s="114"/>
      <c r="PP30" s="114"/>
      <c r="PQ30" s="114"/>
      <c r="PR30" s="114"/>
      <c r="PS30" s="114"/>
      <c r="PT30" s="114"/>
      <c r="PU30" s="114"/>
      <c r="PV30" s="114"/>
      <c r="PW30" s="114"/>
      <c r="PX30" s="114"/>
      <c r="PY30" s="114"/>
      <c r="PZ30" s="114"/>
      <c r="QA30" s="114"/>
      <c r="QB30" s="114"/>
      <c r="QC30" s="114"/>
      <c r="QD30" s="114"/>
      <c r="QE30" s="114"/>
      <c r="QF30" s="114"/>
      <c r="QG30" s="114"/>
      <c r="QH30" s="114"/>
      <c r="QI30" s="114"/>
      <c r="QJ30" s="114"/>
      <c r="QK30" s="114"/>
      <c r="QL30" s="114"/>
      <c r="QM30" s="114"/>
      <c r="QN30" s="114"/>
      <c r="QO30" s="114"/>
      <c r="QP30" s="114"/>
      <c r="QQ30" s="114"/>
      <c r="QR30" s="114"/>
      <c r="QS30" s="114"/>
      <c r="QT30" s="114"/>
      <c r="QU30" s="114"/>
      <c r="QV30" s="114"/>
      <c r="QW30" s="114"/>
      <c r="QX30" s="114"/>
      <c r="QY30" s="114"/>
      <c r="QZ30" s="114"/>
      <c r="RA30" s="114"/>
      <c r="RB30" s="114"/>
      <c r="RC30" s="114"/>
      <c r="RD30" s="114"/>
      <c r="RE30" s="114"/>
      <c r="RF30" s="114"/>
      <c r="RG30" s="114"/>
      <c r="RH30" s="114"/>
      <c r="RI30" s="114"/>
      <c r="RJ30" s="114"/>
      <c r="RK30" s="114"/>
      <c r="RL30" s="114"/>
      <c r="RM30" s="114"/>
      <c r="RN30" s="114"/>
      <c r="RO30" s="114"/>
      <c r="RP30" s="114"/>
      <c r="RQ30" s="114"/>
      <c r="RR30" s="114"/>
      <c r="RS30" s="114"/>
      <c r="RT30" s="114"/>
      <c r="RU30" s="114"/>
      <c r="RV30" s="114"/>
      <c r="RW30" s="114"/>
      <c r="RX30" s="114"/>
      <c r="RY30" s="114"/>
      <c r="RZ30" s="114"/>
      <c r="SA30" s="114"/>
      <c r="SB30" s="114"/>
      <c r="SC30" s="114"/>
      <c r="SD30" s="114"/>
      <c r="SE30" s="114"/>
      <c r="SF30" s="114"/>
      <c r="SG30" s="114"/>
      <c r="SH30" s="114"/>
      <c r="SI30" s="114"/>
      <c r="SJ30" s="114"/>
      <c r="SK30" s="114"/>
      <c r="SL30" s="114"/>
      <c r="SM30" s="114"/>
      <c r="SN30" s="114"/>
      <c r="SO30" s="114"/>
      <c r="SP30" s="114"/>
      <c r="SQ30" s="114"/>
      <c r="SR30" s="114"/>
      <c r="SS30" s="114"/>
      <c r="ST30" s="114"/>
      <c r="SU30" s="114"/>
      <c r="SV30" s="114"/>
      <c r="SW30" s="114"/>
      <c r="SX30" s="114"/>
      <c r="SY30" s="114"/>
      <c r="SZ30" s="114"/>
      <c r="TA30" s="114"/>
      <c r="TB30" s="114"/>
      <c r="TC30" s="114"/>
      <c r="TD30" s="114"/>
      <c r="TE30" s="114"/>
      <c r="TF30" s="114"/>
      <c r="TG30" s="114"/>
      <c r="TH30" s="114"/>
      <c r="TI30" s="114"/>
      <c r="TJ30" s="114"/>
      <c r="TK30" s="114"/>
      <c r="TL30" s="114"/>
      <c r="TM30" s="114"/>
      <c r="TN30" s="114"/>
      <c r="TO30" s="114"/>
      <c r="TP30" s="114"/>
      <c r="TQ30" s="114"/>
      <c r="TR30" s="114"/>
      <c r="TS30" s="114"/>
      <c r="TT30" s="114"/>
      <c r="TU30" s="114"/>
      <c r="TV30" s="114"/>
      <c r="TW30" s="114"/>
      <c r="TX30" s="114"/>
      <c r="TY30" s="114"/>
      <c r="TZ30" s="114"/>
      <c r="UA30" s="114"/>
      <c r="UB30" s="114"/>
      <c r="UC30" s="114"/>
      <c r="UD30" s="114"/>
      <c r="UE30" s="114"/>
      <c r="UF30" s="114"/>
      <c r="UG30" s="114"/>
      <c r="UH30" s="114"/>
      <c r="UI30" s="114"/>
      <c r="UJ30" s="114"/>
      <c r="UK30" s="114"/>
      <c r="UL30" s="114"/>
      <c r="UM30" s="114"/>
      <c r="UN30" s="114"/>
      <c r="UO30" s="114"/>
      <c r="UP30" s="114"/>
      <c r="UQ30" s="114"/>
      <c r="UR30" s="114"/>
      <c r="US30" s="114"/>
      <c r="UT30" s="114"/>
      <c r="UU30" s="114"/>
      <c r="UV30" s="114"/>
      <c r="UW30" s="114"/>
      <c r="UX30" s="114"/>
      <c r="UY30" s="114"/>
      <c r="UZ30" s="114"/>
      <c r="VA30" s="114"/>
      <c r="VB30" s="114"/>
      <c r="VC30" s="114"/>
      <c r="VD30" s="114"/>
      <c r="VE30" s="114"/>
      <c r="VF30" s="114"/>
      <c r="VG30" s="114"/>
      <c r="VH30" s="114"/>
      <c r="VI30" s="114"/>
      <c r="VJ30" s="114"/>
      <c r="VK30" s="114"/>
      <c r="VL30" s="114"/>
      <c r="VM30" s="114"/>
      <c r="VN30" s="114"/>
      <c r="VO30" s="114"/>
      <c r="VP30" s="114"/>
      <c r="VQ30" s="114"/>
      <c r="VR30" s="114"/>
      <c r="VS30" s="114"/>
      <c r="VT30" s="114"/>
      <c r="VU30" s="114"/>
      <c r="VV30" s="114"/>
      <c r="VW30" s="114"/>
      <c r="VX30" s="114"/>
      <c r="VY30" s="114"/>
      <c r="VZ30" s="114"/>
      <c r="WA30" s="114"/>
      <c r="WB30" s="114"/>
      <c r="WC30" s="114"/>
      <c r="WD30" s="114"/>
      <c r="WE30" s="114"/>
      <c r="WF30" s="114"/>
      <c r="WG30" s="114"/>
      <c r="WH30" s="114"/>
      <c r="WI30" s="114"/>
      <c r="WJ30" s="114"/>
      <c r="WK30" s="114"/>
      <c r="WL30" s="114"/>
      <c r="WM30" s="114"/>
      <c r="WN30" s="114"/>
      <c r="WO30" s="114"/>
      <c r="WP30" s="114"/>
      <c r="WQ30" s="114"/>
      <c r="WR30" s="114"/>
      <c r="WS30" s="114"/>
      <c r="WT30" s="114"/>
      <c r="WU30" s="114"/>
      <c r="WV30" s="114"/>
      <c r="WW30" s="114"/>
      <c r="WX30" s="114"/>
      <c r="WY30" s="114"/>
      <c r="WZ30" s="114"/>
      <c r="XA30" s="114"/>
      <c r="XB30" s="114"/>
      <c r="XC30" s="114"/>
      <c r="XD30" s="114"/>
      <c r="XE30" s="114"/>
      <c r="XF30" s="114"/>
      <c r="XG30" s="114"/>
      <c r="XH30" s="114"/>
      <c r="XI30" s="114"/>
      <c r="XJ30" s="114"/>
      <c r="XK30" s="114"/>
      <c r="XL30" s="114"/>
      <c r="XM30" s="114"/>
      <c r="XN30" s="114"/>
      <c r="XO30" s="114"/>
      <c r="XP30" s="114"/>
      <c r="XQ30" s="114"/>
      <c r="XR30" s="114"/>
      <c r="XS30" s="114"/>
      <c r="XT30" s="114"/>
      <c r="XU30" s="114"/>
      <c r="XV30" s="114"/>
      <c r="XW30" s="114"/>
      <c r="XX30" s="114"/>
      <c r="XY30" s="114"/>
      <c r="XZ30" s="114"/>
      <c r="YA30" s="114"/>
      <c r="YB30" s="114"/>
      <c r="YC30" s="114"/>
      <c r="YD30" s="114"/>
      <c r="YE30" s="114"/>
      <c r="YF30" s="114"/>
      <c r="YG30" s="114"/>
      <c r="YH30" s="114"/>
      <c r="YI30" s="114"/>
      <c r="YJ30" s="114"/>
      <c r="YK30" s="114"/>
      <c r="YL30" s="114"/>
      <c r="YM30" s="114"/>
      <c r="YN30" s="114"/>
      <c r="YO30" s="114"/>
      <c r="YP30" s="114"/>
      <c r="YQ30" s="114"/>
      <c r="YR30" s="114"/>
      <c r="YS30" s="114"/>
      <c r="YT30" s="114"/>
      <c r="YU30" s="114"/>
      <c r="YV30" s="114"/>
      <c r="YW30" s="114"/>
      <c r="YX30" s="114"/>
      <c r="YY30" s="114"/>
      <c r="YZ30" s="114"/>
      <c r="ZA30" s="114"/>
      <c r="ZB30" s="114"/>
      <c r="ZC30" s="114"/>
      <c r="ZD30" s="114"/>
      <c r="ZE30" s="114"/>
      <c r="ZF30" s="114"/>
      <c r="ZG30" s="114"/>
      <c r="ZH30" s="114"/>
      <c r="ZI30" s="114"/>
      <c r="ZJ30" s="114"/>
      <c r="ZK30" s="114"/>
      <c r="ZL30" s="114"/>
      <c r="ZM30" s="114"/>
      <c r="ZN30" s="114"/>
      <c r="ZO30" s="114"/>
      <c r="ZP30" s="114"/>
      <c r="ZQ30" s="114"/>
      <c r="ZR30" s="114"/>
      <c r="ZS30" s="114"/>
      <c r="ZT30" s="114"/>
      <c r="ZU30" s="114"/>
      <c r="ZV30" s="114"/>
      <c r="ZW30" s="114"/>
      <c r="ZX30" s="114"/>
      <c r="ZY30" s="114"/>
      <c r="ZZ30" s="114"/>
      <c r="AAA30" s="114"/>
      <c r="AAB30" s="114"/>
      <c r="AAC30" s="114"/>
      <c r="AAD30" s="114"/>
      <c r="AAE30" s="114"/>
      <c r="AAF30" s="114"/>
      <c r="AAG30" s="114"/>
      <c r="AAH30" s="114"/>
      <c r="AAI30" s="114"/>
      <c r="AAJ30" s="114"/>
      <c r="AAK30" s="114"/>
      <c r="AAL30" s="114"/>
      <c r="AAM30" s="114"/>
      <c r="AAN30" s="114"/>
      <c r="AAO30" s="114"/>
      <c r="AAP30" s="114"/>
      <c r="AAQ30" s="114"/>
      <c r="AAR30" s="114"/>
      <c r="AAS30" s="114"/>
      <c r="AAT30" s="114"/>
      <c r="AAU30" s="114"/>
      <c r="AAV30" s="114"/>
      <c r="AAW30" s="114"/>
      <c r="AAX30" s="114"/>
      <c r="AAY30" s="114"/>
      <c r="AAZ30" s="114"/>
      <c r="ABA30" s="114"/>
      <c r="ABB30" s="114"/>
      <c r="ABC30" s="114"/>
      <c r="ABD30" s="114"/>
      <c r="ABE30" s="114"/>
      <c r="ABF30" s="114"/>
      <c r="ABG30" s="114"/>
      <c r="ABH30" s="114"/>
      <c r="ABI30" s="114"/>
      <c r="ABJ30" s="114"/>
      <c r="ABK30" s="114"/>
      <c r="ABL30" s="114"/>
      <c r="ABM30" s="114"/>
      <c r="ABN30" s="114"/>
      <c r="ABO30" s="114"/>
      <c r="ABP30" s="114"/>
      <c r="ABQ30" s="114"/>
      <c r="ABR30" s="114"/>
      <c r="ABS30" s="114"/>
      <c r="ABT30" s="114"/>
      <c r="ABU30" s="114"/>
      <c r="ABV30" s="114"/>
      <c r="ABW30" s="114"/>
      <c r="ABX30" s="114"/>
      <c r="ABY30" s="114"/>
      <c r="ABZ30" s="114"/>
      <c r="ACA30" s="114"/>
      <c r="ACB30" s="114"/>
      <c r="ACC30" s="114"/>
      <c r="ACD30" s="114"/>
      <c r="ACE30" s="114"/>
      <c r="ACF30" s="114"/>
      <c r="ACG30" s="114"/>
      <c r="ACH30" s="114"/>
      <c r="ACI30" s="114"/>
      <c r="ACJ30" s="114"/>
      <c r="ACK30" s="114"/>
      <c r="ACL30" s="114"/>
      <c r="ACM30" s="114"/>
      <c r="ACN30" s="114"/>
      <c r="ACO30" s="114"/>
      <c r="ACP30" s="114"/>
      <c r="ACQ30" s="114"/>
      <c r="ACR30" s="114"/>
      <c r="ACS30" s="114"/>
      <c r="ACT30" s="114"/>
      <c r="ACU30" s="114"/>
      <c r="ACV30" s="114"/>
      <c r="ACW30" s="114"/>
      <c r="ACX30" s="114"/>
      <c r="ACY30" s="114"/>
      <c r="ACZ30" s="114"/>
      <c r="ADA30" s="114"/>
      <c r="ADB30" s="114"/>
      <c r="ADC30" s="114"/>
      <c r="ADD30" s="114"/>
      <c r="ADE30" s="114"/>
      <c r="ADF30" s="114"/>
      <c r="ADG30" s="114"/>
      <c r="ADH30" s="114"/>
      <c r="ADI30" s="114"/>
      <c r="ADJ30" s="114"/>
      <c r="ADK30" s="114"/>
      <c r="ADL30" s="114"/>
      <c r="ADM30" s="114"/>
      <c r="ADN30" s="114"/>
      <c r="ADO30" s="114"/>
      <c r="ADP30" s="114"/>
      <c r="ADQ30" s="114"/>
      <c r="ADR30" s="114"/>
      <c r="ADS30" s="114"/>
      <c r="ADT30" s="114"/>
      <c r="ADU30" s="114"/>
      <c r="ADV30" s="114"/>
      <c r="ADW30" s="114"/>
      <c r="ADX30" s="114"/>
      <c r="ADY30" s="114"/>
      <c r="ADZ30" s="114"/>
      <c r="AEA30" s="114"/>
      <c r="AEB30" s="114"/>
      <c r="AEC30" s="114"/>
      <c r="AED30" s="114"/>
      <c r="AEE30" s="114"/>
      <c r="AEF30" s="114"/>
      <c r="AEG30" s="114"/>
      <c r="AEH30" s="114"/>
      <c r="AEI30" s="114"/>
      <c r="AEJ30" s="114"/>
      <c r="AEK30" s="114"/>
      <c r="AEL30" s="114"/>
      <c r="AEM30" s="114"/>
      <c r="AEN30" s="114"/>
      <c r="AEO30" s="114"/>
      <c r="AEP30" s="114"/>
      <c r="AEQ30" s="114"/>
      <c r="AER30" s="114"/>
      <c r="AES30" s="114"/>
      <c r="AET30" s="114"/>
      <c r="AEU30" s="114"/>
      <c r="AEV30" s="114"/>
      <c r="AEW30" s="114"/>
      <c r="AEX30" s="114"/>
      <c r="AEY30" s="114"/>
      <c r="AEZ30" s="114"/>
      <c r="AFA30" s="114"/>
      <c r="AFB30" s="114"/>
      <c r="AFC30" s="114"/>
      <c r="AFD30" s="114"/>
      <c r="AFE30" s="114"/>
      <c r="AFF30" s="114"/>
      <c r="AFG30" s="114"/>
      <c r="AFH30" s="114"/>
      <c r="AFI30" s="114"/>
      <c r="AFJ30" s="114"/>
      <c r="AFK30" s="114"/>
      <c r="AFL30" s="114"/>
      <c r="AFM30" s="114"/>
      <c r="AFN30" s="114"/>
      <c r="AFO30" s="114"/>
      <c r="AFP30" s="114"/>
      <c r="AFQ30" s="114"/>
      <c r="AFR30" s="114"/>
      <c r="AFS30" s="114"/>
      <c r="AFT30" s="114"/>
      <c r="AFU30" s="114"/>
      <c r="AFV30" s="114"/>
      <c r="AFW30" s="114"/>
      <c r="AFX30" s="114"/>
      <c r="AFY30" s="114"/>
      <c r="AFZ30" s="114"/>
      <c r="AGA30" s="114"/>
      <c r="AGB30" s="114"/>
      <c r="AGC30" s="114"/>
      <c r="AGD30" s="114"/>
      <c r="AGE30" s="114"/>
      <c r="AGF30" s="114"/>
      <c r="AGG30" s="114"/>
      <c r="AGH30" s="114"/>
      <c r="AGI30" s="114"/>
      <c r="AGJ30" s="114"/>
      <c r="AGK30" s="114"/>
      <c r="AGL30" s="114"/>
      <c r="AGM30" s="114"/>
      <c r="AGN30" s="114"/>
      <c r="AGO30" s="114"/>
      <c r="AGP30" s="114"/>
      <c r="AGQ30" s="114"/>
      <c r="AGR30" s="114"/>
      <c r="AGS30" s="114"/>
      <c r="AGT30" s="114"/>
      <c r="AGU30" s="114"/>
      <c r="AGV30" s="114"/>
      <c r="AGW30" s="114"/>
      <c r="AGX30" s="114"/>
      <c r="AGY30" s="114"/>
      <c r="AGZ30" s="114"/>
      <c r="AHA30" s="114"/>
      <c r="AHB30" s="114"/>
      <c r="AHC30" s="114"/>
      <c r="AHD30" s="114"/>
      <c r="AHE30" s="114"/>
      <c r="AHF30" s="114"/>
      <c r="AHG30" s="114"/>
      <c r="AHH30" s="114"/>
      <c r="AHI30" s="114"/>
      <c r="AHJ30" s="114"/>
      <c r="AHK30" s="114"/>
      <c r="AHL30" s="114"/>
      <c r="AHM30" s="114"/>
      <c r="AHN30" s="114"/>
      <c r="AHO30" s="114"/>
      <c r="AHP30" s="114"/>
      <c r="AHQ30" s="114"/>
      <c r="AHR30" s="114"/>
      <c r="AHS30" s="114"/>
      <c r="AHT30" s="114"/>
      <c r="AHU30" s="114"/>
      <c r="AHV30" s="114"/>
      <c r="AHW30" s="114"/>
      <c r="AHX30" s="114"/>
      <c r="AHY30" s="114"/>
      <c r="AHZ30" s="114"/>
      <c r="AIA30" s="114"/>
      <c r="AIB30" s="114"/>
      <c r="AIC30" s="114"/>
      <c r="AID30" s="114"/>
      <c r="AIE30" s="114"/>
      <c r="AIF30" s="114"/>
      <c r="AIG30" s="114"/>
      <c r="AIH30" s="114"/>
      <c r="AII30" s="114"/>
      <c r="AIJ30" s="114"/>
      <c r="AIK30" s="114"/>
      <c r="AIL30" s="114"/>
      <c r="AIM30" s="114"/>
      <c r="AIN30" s="114"/>
      <c r="AIO30" s="114"/>
      <c r="AIP30" s="114"/>
      <c r="AIQ30" s="114"/>
      <c r="AIR30" s="114"/>
      <c r="AIS30" s="114"/>
      <c r="AIT30" s="114"/>
      <c r="AIU30" s="114"/>
      <c r="AIV30" s="114"/>
      <c r="AIW30" s="114"/>
      <c r="AIX30" s="114"/>
      <c r="AIY30" s="114"/>
      <c r="AIZ30" s="114"/>
      <c r="AJA30" s="114"/>
      <c r="AJB30" s="114"/>
      <c r="AJC30" s="114"/>
      <c r="AJD30" s="114"/>
      <c r="AJE30" s="114"/>
      <c r="AJF30" s="114"/>
      <c r="AJG30" s="114"/>
      <c r="AJH30" s="114"/>
      <c r="AJI30" s="114"/>
      <c r="AJJ30" s="114"/>
      <c r="AJK30" s="114"/>
      <c r="AJL30" s="114"/>
      <c r="AJM30" s="114"/>
      <c r="AJN30" s="114"/>
      <c r="AJO30" s="114"/>
      <c r="AJP30" s="114"/>
      <c r="AJQ30" s="114"/>
      <c r="AJR30" s="114"/>
      <c r="AJS30" s="114"/>
      <c r="AJT30" s="114"/>
      <c r="AJU30" s="114"/>
      <c r="AJV30" s="114"/>
      <c r="AJW30" s="114"/>
      <c r="AJX30" s="114"/>
      <c r="AJY30" s="114"/>
      <c r="AJZ30" s="114"/>
      <c r="AKA30" s="114"/>
      <c r="AKB30" s="114"/>
      <c r="AKC30" s="114"/>
      <c r="AKD30" s="114"/>
      <c r="AKE30" s="114"/>
      <c r="AKF30" s="114"/>
      <c r="AKG30" s="114"/>
      <c r="AKH30" s="114"/>
      <c r="AKI30" s="114"/>
      <c r="AKJ30" s="114"/>
      <c r="AKK30" s="114"/>
      <c r="AKL30" s="114"/>
    </row>
    <row r="31" spans="1:974" ht="15" customHeight="1" x14ac:dyDescent="0.3">
      <c r="A31" s="116"/>
      <c r="B31" s="117"/>
      <c r="C31" s="462"/>
      <c r="D31" s="138" t="s">
        <v>3086</v>
      </c>
      <c r="E31" s="139">
        <v>40</v>
      </c>
      <c r="F31" s="140">
        <v>7700</v>
      </c>
      <c r="G31" s="141">
        <f t="shared" si="0"/>
        <v>308000</v>
      </c>
    </row>
    <row r="32" spans="1:974" ht="15" customHeight="1" x14ac:dyDescent="0.3">
      <c r="A32" s="116"/>
      <c r="B32" s="117"/>
      <c r="C32" s="462"/>
      <c r="D32" s="118" t="s">
        <v>3087</v>
      </c>
      <c r="E32" s="119">
        <v>40</v>
      </c>
      <c r="F32" s="120">
        <v>6000</v>
      </c>
      <c r="G32" s="121">
        <f t="shared" si="0"/>
        <v>240000</v>
      </c>
    </row>
    <row r="33" spans="1:974" ht="15" customHeight="1" x14ac:dyDescent="0.3">
      <c r="A33" s="116"/>
      <c r="B33" s="117"/>
      <c r="C33" s="462"/>
      <c r="D33" s="464" t="s">
        <v>2825</v>
      </c>
      <c r="E33" s="465"/>
      <c r="F33" s="466"/>
      <c r="G33" s="127">
        <f>SUM(G30:G32)</f>
        <v>592000</v>
      </c>
    </row>
    <row r="34" spans="1:974" s="182" customFormat="1" ht="15" customHeight="1" x14ac:dyDescent="0.3">
      <c r="A34" s="103">
        <v>8470230</v>
      </c>
      <c r="B34" s="104">
        <v>425761</v>
      </c>
      <c r="C34" s="461" t="s">
        <v>3088</v>
      </c>
      <c r="D34" s="151" t="s">
        <v>3089</v>
      </c>
      <c r="E34" s="152">
        <v>20</v>
      </c>
      <c r="F34" s="153">
        <v>15000</v>
      </c>
      <c r="G34" s="141">
        <f>E34*F34</f>
        <v>300000</v>
      </c>
      <c r="H34" s="181"/>
      <c r="I34" s="181"/>
      <c r="J34" s="181"/>
      <c r="K34" s="181"/>
      <c r="L34" s="181"/>
      <c r="M34" s="181"/>
      <c r="N34" s="181"/>
      <c r="O34" s="181"/>
      <c r="P34" s="181"/>
      <c r="Q34" s="181"/>
      <c r="R34" s="181"/>
      <c r="S34" s="181"/>
      <c r="T34" s="181"/>
      <c r="U34" s="181"/>
      <c r="V34" s="181"/>
      <c r="W34" s="181"/>
      <c r="X34" s="181"/>
      <c r="Y34" s="181"/>
      <c r="Z34" s="181"/>
      <c r="AA34" s="181"/>
      <c r="AB34" s="181"/>
      <c r="AC34" s="181"/>
      <c r="AD34" s="181"/>
      <c r="AE34" s="181"/>
      <c r="AF34" s="181"/>
      <c r="AG34" s="181"/>
      <c r="AH34" s="181"/>
      <c r="AI34" s="181"/>
      <c r="AJ34" s="181"/>
      <c r="AK34" s="181"/>
      <c r="AL34" s="181"/>
      <c r="AM34" s="181"/>
      <c r="AN34" s="181"/>
      <c r="AO34" s="181"/>
      <c r="AP34" s="181"/>
      <c r="AQ34" s="181"/>
      <c r="AR34" s="181"/>
      <c r="AS34" s="181"/>
      <c r="AT34" s="181"/>
      <c r="AU34" s="181"/>
      <c r="AV34" s="181"/>
      <c r="AW34" s="181"/>
      <c r="AX34" s="181"/>
      <c r="AY34" s="181"/>
      <c r="AZ34" s="181"/>
      <c r="BA34" s="181"/>
      <c r="BB34" s="181"/>
      <c r="BC34" s="181"/>
      <c r="BD34" s="181"/>
      <c r="BE34" s="181"/>
      <c r="BF34" s="181"/>
      <c r="BG34" s="181"/>
      <c r="BH34" s="181"/>
      <c r="BI34" s="181"/>
      <c r="BJ34" s="181"/>
      <c r="BK34" s="181"/>
      <c r="BL34" s="181"/>
      <c r="BM34" s="181"/>
      <c r="BN34" s="181"/>
      <c r="BO34" s="181"/>
      <c r="BP34" s="181"/>
      <c r="BQ34" s="181"/>
      <c r="BR34" s="181"/>
      <c r="BS34" s="181"/>
      <c r="BT34" s="181"/>
      <c r="BU34" s="181"/>
      <c r="BV34" s="181"/>
      <c r="BW34" s="181"/>
      <c r="BX34" s="181"/>
      <c r="BY34" s="181"/>
      <c r="BZ34" s="181"/>
      <c r="CA34" s="181"/>
      <c r="CB34" s="181"/>
      <c r="CC34" s="181"/>
      <c r="CD34" s="181"/>
      <c r="CE34" s="181"/>
      <c r="CF34" s="181"/>
      <c r="CG34" s="181"/>
      <c r="CH34" s="181"/>
      <c r="CI34" s="181"/>
      <c r="CJ34" s="181"/>
      <c r="CK34" s="181"/>
      <c r="CL34" s="181"/>
      <c r="CM34" s="181"/>
      <c r="CN34" s="181"/>
      <c r="CO34" s="181"/>
      <c r="CP34" s="181"/>
      <c r="CQ34" s="181"/>
      <c r="CR34" s="181"/>
      <c r="CS34" s="181"/>
      <c r="CT34" s="181"/>
      <c r="CU34" s="181"/>
      <c r="CV34" s="181"/>
      <c r="CW34" s="181"/>
      <c r="CX34" s="181"/>
      <c r="CY34" s="181"/>
      <c r="CZ34" s="181"/>
      <c r="DA34" s="181"/>
      <c r="DB34" s="181"/>
      <c r="DC34" s="181"/>
      <c r="DD34" s="181"/>
      <c r="DE34" s="181"/>
      <c r="DF34" s="181"/>
      <c r="DG34" s="181"/>
      <c r="DH34" s="181"/>
      <c r="DI34" s="181"/>
      <c r="DJ34" s="181"/>
      <c r="DK34" s="181"/>
      <c r="DL34" s="181"/>
      <c r="DM34" s="181"/>
      <c r="DN34" s="181"/>
      <c r="DO34" s="181"/>
      <c r="DP34" s="181"/>
      <c r="DQ34" s="181"/>
      <c r="DR34" s="181"/>
      <c r="DS34" s="181"/>
      <c r="DT34" s="181"/>
      <c r="DU34" s="181"/>
      <c r="DV34" s="181"/>
      <c r="DW34" s="181"/>
      <c r="DX34" s="181"/>
      <c r="DY34" s="181"/>
      <c r="DZ34" s="181"/>
      <c r="EA34" s="181"/>
      <c r="EB34" s="181"/>
      <c r="EC34" s="181"/>
      <c r="ED34" s="181"/>
      <c r="EE34" s="181"/>
      <c r="EF34" s="181"/>
      <c r="EG34" s="181"/>
      <c r="EH34" s="181"/>
      <c r="EI34" s="181"/>
      <c r="EJ34" s="181"/>
      <c r="EK34" s="181"/>
      <c r="EL34" s="181"/>
      <c r="EM34" s="181"/>
      <c r="EN34" s="181"/>
      <c r="EO34" s="181"/>
      <c r="EP34" s="181"/>
      <c r="EQ34" s="181"/>
      <c r="ER34" s="181"/>
      <c r="ES34" s="181"/>
      <c r="ET34" s="181"/>
      <c r="EU34" s="181"/>
      <c r="EV34" s="181"/>
      <c r="EW34" s="181"/>
      <c r="EX34" s="181"/>
      <c r="EY34" s="181"/>
      <c r="EZ34" s="181"/>
      <c r="FA34" s="181"/>
      <c r="FB34" s="181"/>
      <c r="FC34" s="181"/>
      <c r="FD34" s="181"/>
      <c r="FE34" s="181"/>
      <c r="FF34" s="181"/>
      <c r="FG34" s="181"/>
      <c r="FH34" s="181"/>
      <c r="FI34" s="181"/>
      <c r="FJ34" s="181"/>
      <c r="FK34" s="181"/>
      <c r="FL34" s="181"/>
      <c r="FM34" s="181"/>
      <c r="FN34" s="181"/>
      <c r="FO34" s="181"/>
      <c r="FP34" s="181"/>
      <c r="FQ34" s="181"/>
      <c r="FR34" s="181"/>
      <c r="FS34" s="181"/>
      <c r="FT34" s="181"/>
      <c r="FU34" s="181"/>
      <c r="FV34" s="181"/>
      <c r="FW34" s="181"/>
      <c r="FX34" s="181"/>
      <c r="FY34" s="181"/>
      <c r="FZ34" s="181"/>
      <c r="GA34" s="181"/>
      <c r="GB34" s="181"/>
      <c r="GC34" s="181"/>
      <c r="GD34" s="181"/>
      <c r="GE34" s="181"/>
      <c r="GF34" s="181"/>
      <c r="GG34" s="181"/>
      <c r="GH34" s="181"/>
      <c r="GI34" s="181"/>
      <c r="GJ34" s="181"/>
      <c r="GK34" s="181"/>
      <c r="GL34" s="181"/>
      <c r="GM34" s="181"/>
      <c r="GN34" s="181"/>
      <c r="GO34" s="181"/>
      <c r="GP34" s="181"/>
      <c r="GQ34" s="181"/>
      <c r="GR34" s="181"/>
      <c r="GS34" s="181"/>
      <c r="GT34" s="181"/>
      <c r="GU34" s="181"/>
      <c r="GV34" s="181"/>
      <c r="GW34" s="181"/>
      <c r="GX34" s="181"/>
      <c r="GY34" s="181"/>
      <c r="GZ34" s="181"/>
      <c r="HA34" s="181"/>
      <c r="HB34" s="181"/>
      <c r="HC34" s="181"/>
      <c r="HD34" s="181"/>
      <c r="HE34" s="181"/>
      <c r="HF34" s="181"/>
      <c r="HG34" s="181"/>
      <c r="HH34" s="181"/>
      <c r="HI34" s="181"/>
      <c r="HJ34" s="181"/>
      <c r="HK34" s="181"/>
      <c r="HL34" s="181"/>
      <c r="HM34" s="181"/>
      <c r="HN34" s="181"/>
      <c r="HO34" s="181"/>
      <c r="HP34" s="181"/>
      <c r="HQ34" s="181"/>
      <c r="HR34" s="181"/>
      <c r="HS34" s="181"/>
      <c r="HT34" s="181"/>
      <c r="HU34" s="181"/>
      <c r="HV34" s="181"/>
      <c r="HW34" s="181"/>
      <c r="HX34" s="181"/>
      <c r="HY34" s="181"/>
      <c r="HZ34" s="181"/>
      <c r="IA34" s="181"/>
      <c r="IB34" s="181"/>
      <c r="IC34" s="181"/>
      <c r="ID34" s="181"/>
      <c r="IE34" s="181"/>
      <c r="IF34" s="181"/>
      <c r="IG34" s="181"/>
      <c r="IH34" s="181"/>
      <c r="II34" s="181"/>
      <c r="IJ34" s="181"/>
      <c r="IK34" s="181"/>
      <c r="IL34" s="181"/>
      <c r="IM34" s="181"/>
      <c r="IN34" s="181"/>
      <c r="IO34" s="181"/>
      <c r="IP34" s="181"/>
      <c r="IQ34" s="181"/>
      <c r="IR34" s="181"/>
      <c r="IS34" s="181"/>
      <c r="IT34" s="181"/>
      <c r="IU34" s="181"/>
      <c r="IV34" s="181"/>
      <c r="IW34" s="181"/>
      <c r="IX34" s="181"/>
      <c r="IY34" s="181"/>
      <c r="IZ34" s="181"/>
      <c r="JA34" s="181"/>
      <c r="JB34" s="181"/>
      <c r="JC34" s="181"/>
      <c r="JD34" s="181"/>
      <c r="JE34" s="181"/>
      <c r="JF34" s="181"/>
      <c r="JG34" s="181"/>
      <c r="JH34" s="181"/>
      <c r="JI34" s="181"/>
      <c r="JJ34" s="181"/>
      <c r="JK34" s="181"/>
      <c r="JL34" s="181"/>
      <c r="JM34" s="181"/>
      <c r="JN34" s="181"/>
      <c r="JO34" s="181"/>
      <c r="JP34" s="181"/>
      <c r="JQ34" s="181"/>
      <c r="JR34" s="181"/>
      <c r="JS34" s="181"/>
      <c r="JT34" s="181"/>
      <c r="JU34" s="181"/>
      <c r="JV34" s="181"/>
      <c r="JW34" s="181"/>
      <c r="JX34" s="181"/>
      <c r="JY34" s="181"/>
      <c r="JZ34" s="181"/>
      <c r="KA34" s="181"/>
      <c r="KB34" s="181"/>
      <c r="KC34" s="181"/>
      <c r="KD34" s="181"/>
      <c r="KE34" s="181"/>
      <c r="KF34" s="181"/>
      <c r="KG34" s="181"/>
      <c r="KH34" s="181"/>
      <c r="KI34" s="181"/>
      <c r="KJ34" s="181"/>
      <c r="KK34" s="181"/>
      <c r="KL34" s="181"/>
      <c r="KM34" s="181"/>
      <c r="KN34" s="181"/>
      <c r="KO34" s="181"/>
      <c r="KP34" s="181"/>
      <c r="KQ34" s="181"/>
      <c r="KR34" s="181"/>
      <c r="KS34" s="181"/>
      <c r="KT34" s="181"/>
      <c r="KU34" s="181"/>
      <c r="KV34" s="181"/>
      <c r="KW34" s="181"/>
      <c r="KX34" s="181"/>
      <c r="KY34" s="181"/>
      <c r="KZ34" s="181"/>
      <c r="LA34" s="181"/>
      <c r="LB34" s="181"/>
      <c r="LC34" s="181"/>
      <c r="LD34" s="181"/>
      <c r="LE34" s="181"/>
      <c r="LF34" s="181"/>
      <c r="LG34" s="181"/>
      <c r="LH34" s="181"/>
      <c r="LI34" s="181"/>
      <c r="LJ34" s="181"/>
      <c r="LK34" s="181"/>
      <c r="LL34" s="181"/>
      <c r="LM34" s="181"/>
      <c r="LN34" s="181"/>
      <c r="LO34" s="181"/>
      <c r="LP34" s="181"/>
      <c r="LQ34" s="181"/>
      <c r="LR34" s="181"/>
      <c r="LS34" s="181"/>
      <c r="LT34" s="181"/>
      <c r="LU34" s="181"/>
      <c r="LV34" s="181"/>
      <c r="LW34" s="181"/>
      <c r="LX34" s="181"/>
      <c r="LY34" s="181"/>
      <c r="LZ34" s="181"/>
      <c r="MA34" s="181"/>
      <c r="MB34" s="181"/>
      <c r="MC34" s="181"/>
      <c r="MD34" s="181"/>
      <c r="ME34" s="181"/>
      <c r="MF34" s="181"/>
      <c r="MG34" s="181"/>
      <c r="MH34" s="181"/>
      <c r="MI34" s="181"/>
      <c r="MJ34" s="181"/>
      <c r="MK34" s="181"/>
      <c r="ML34" s="181"/>
      <c r="MM34" s="181"/>
      <c r="MN34" s="181"/>
      <c r="MO34" s="181"/>
      <c r="MP34" s="181"/>
      <c r="MQ34" s="181"/>
      <c r="MR34" s="181"/>
      <c r="MS34" s="181"/>
      <c r="MT34" s="181"/>
      <c r="MU34" s="181"/>
      <c r="MV34" s="181"/>
      <c r="MW34" s="181"/>
      <c r="MX34" s="181"/>
      <c r="MY34" s="181"/>
      <c r="MZ34" s="181"/>
      <c r="NA34" s="181"/>
      <c r="NB34" s="181"/>
      <c r="NC34" s="181"/>
      <c r="ND34" s="181"/>
      <c r="NE34" s="181"/>
      <c r="NF34" s="181"/>
      <c r="NG34" s="181"/>
      <c r="NH34" s="181"/>
      <c r="NI34" s="181"/>
      <c r="NJ34" s="181"/>
      <c r="NK34" s="181"/>
      <c r="NL34" s="181"/>
      <c r="NM34" s="181"/>
      <c r="NN34" s="181"/>
      <c r="NO34" s="181"/>
      <c r="NP34" s="181"/>
      <c r="NQ34" s="181"/>
      <c r="NR34" s="181"/>
      <c r="NS34" s="181"/>
      <c r="NT34" s="181"/>
      <c r="NU34" s="181"/>
      <c r="NV34" s="181"/>
      <c r="NW34" s="181"/>
      <c r="NX34" s="181"/>
      <c r="NY34" s="181"/>
      <c r="NZ34" s="181"/>
      <c r="OA34" s="181"/>
      <c r="OB34" s="181"/>
      <c r="OC34" s="181"/>
      <c r="OD34" s="181"/>
      <c r="OE34" s="181"/>
      <c r="OF34" s="181"/>
      <c r="OG34" s="181"/>
      <c r="OH34" s="181"/>
      <c r="OI34" s="181"/>
      <c r="OJ34" s="181"/>
      <c r="OK34" s="181"/>
      <c r="OL34" s="181"/>
      <c r="OM34" s="181"/>
      <c r="ON34" s="181"/>
      <c r="OO34" s="181"/>
      <c r="OP34" s="181"/>
      <c r="OQ34" s="181"/>
      <c r="OR34" s="181"/>
      <c r="OS34" s="181"/>
      <c r="OT34" s="181"/>
      <c r="OU34" s="181"/>
      <c r="OV34" s="181"/>
      <c r="OW34" s="181"/>
      <c r="OX34" s="181"/>
      <c r="OY34" s="181"/>
      <c r="OZ34" s="181"/>
      <c r="PA34" s="181"/>
      <c r="PB34" s="181"/>
      <c r="PC34" s="181"/>
      <c r="PD34" s="181"/>
      <c r="PE34" s="181"/>
      <c r="PF34" s="181"/>
      <c r="PG34" s="181"/>
      <c r="PH34" s="181"/>
      <c r="PI34" s="181"/>
      <c r="PJ34" s="181"/>
      <c r="PK34" s="181"/>
      <c r="PL34" s="181"/>
      <c r="PM34" s="181"/>
      <c r="PN34" s="181"/>
      <c r="PO34" s="181"/>
      <c r="PP34" s="181"/>
      <c r="PQ34" s="181"/>
      <c r="PR34" s="181"/>
      <c r="PS34" s="181"/>
      <c r="PT34" s="181"/>
      <c r="PU34" s="181"/>
      <c r="PV34" s="181"/>
      <c r="PW34" s="181"/>
      <c r="PX34" s="181"/>
      <c r="PY34" s="181"/>
      <c r="PZ34" s="181"/>
      <c r="QA34" s="181"/>
      <c r="QB34" s="181"/>
      <c r="QC34" s="181"/>
      <c r="QD34" s="181"/>
      <c r="QE34" s="181"/>
      <c r="QF34" s="181"/>
      <c r="QG34" s="181"/>
      <c r="QH34" s="181"/>
      <c r="QI34" s="181"/>
      <c r="QJ34" s="181"/>
      <c r="QK34" s="181"/>
      <c r="QL34" s="181"/>
      <c r="QM34" s="181"/>
      <c r="QN34" s="181"/>
      <c r="QO34" s="181"/>
      <c r="QP34" s="181"/>
      <c r="QQ34" s="181"/>
      <c r="QR34" s="181"/>
      <c r="QS34" s="181"/>
      <c r="QT34" s="181"/>
      <c r="QU34" s="181"/>
      <c r="QV34" s="181"/>
      <c r="QW34" s="181"/>
      <c r="QX34" s="181"/>
      <c r="QY34" s="181"/>
      <c r="QZ34" s="181"/>
      <c r="RA34" s="181"/>
      <c r="RB34" s="181"/>
      <c r="RC34" s="181"/>
      <c r="RD34" s="181"/>
      <c r="RE34" s="181"/>
      <c r="RF34" s="181"/>
      <c r="RG34" s="181"/>
      <c r="RH34" s="181"/>
      <c r="RI34" s="181"/>
      <c r="RJ34" s="181"/>
      <c r="RK34" s="181"/>
      <c r="RL34" s="181"/>
      <c r="RM34" s="181"/>
      <c r="RN34" s="181"/>
      <c r="RO34" s="181"/>
      <c r="RP34" s="181"/>
      <c r="RQ34" s="181"/>
      <c r="RR34" s="181"/>
      <c r="RS34" s="181"/>
      <c r="RT34" s="181"/>
      <c r="RU34" s="181"/>
      <c r="RV34" s="181"/>
      <c r="RW34" s="181"/>
      <c r="RX34" s="181"/>
      <c r="RY34" s="181"/>
      <c r="RZ34" s="181"/>
      <c r="SA34" s="181"/>
      <c r="SB34" s="181"/>
      <c r="SC34" s="181"/>
      <c r="SD34" s="181"/>
      <c r="SE34" s="181"/>
      <c r="SF34" s="181"/>
      <c r="SG34" s="181"/>
      <c r="SH34" s="181"/>
      <c r="SI34" s="181"/>
      <c r="SJ34" s="181"/>
      <c r="SK34" s="181"/>
      <c r="SL34" s="181"/>
      <c r="SM34" s="181"/>
      <c r="SN34" s="181"/>
      <c r="SO34" s="181"/>
      <c r="SP34" s="181"/>
      <c r="SQ34" s="181"/>
      <c r="SR34" s="181"/>
      <c r="SS34" s="181"/>
      <c r="ST34" s="181"/>
      <c r="SU34" s="181"/>
      <c r="SV34" s="181"/>
      <c r="SW34" s="181"/>
      <c r="SX34" s="181"/>
      <c r="SY34" s="181"/>
      <c r="SZ34" s="181"/>
      <c r="TA34" s="181"/>
      <c r="TB34" s="181"/>
      <c r="TC34" s="181"/>
      <c r="TD34" s="181"/>
      <c r="TE34" s="181"/>
      <c r="TF34" s="181"/>
      <c r="TG34" s="181"/>
      <c r="TH34" s="181"/>
      <c r="TI34" s="181"/>
      <c r="TJ34" s="181"/>
      <c r="TK34" s="181"/>
      <c r="TL34" s="181"/>
      <c r="TM34" s="181"/>
      <c r="TN34" s="181"/>
      <c r="TO34" s="181"/>
      <c r="TP34" s="181"/>
      <c r="TQ34" s="181"/>
      <c r="TR34" s="181"/>
      <c r="TS34" s="181"/>
      <c r="TT34" s="181"/>
      <c r="TU34" s="181"/>
      <c r="TV34" s="181"/>
      <c r="TW34" s="181"/>
      <c r="TX34" s="181"/>
      <c r="TY34" s="181"/>
      <c r="TZ34" s="181"/>
      <c r="UA34" s="181"/>
      <c r="UB34" s="181"/>
      <c r="UC34" s="181"/>
      <c r="UD34" s="181"/>
      <c r="UE34" s="181"/>
      <c r="UF34" s="181"/>
      <c r="UG34" s="181"/>
      <c r="UH34" s="181"/>
      <c r="UI34" s="181"/>
      <c r="UJ34" s="181"/>
      <c r="UK34" s="181"/>
      <c r="UL34" s="181"/>
      <c r="UM34" s="181"/>
      <c r="UN34" s="181"/>
      <c r="UO34" s="181"/>
      <c r="UP34" s="181"/>
      <c r="UQ34" s="181"/>
      <c r="UR34" s="181"/>
      <c r="US34" s="181"/>
      <c r="UT34" s="181"/>
      <c r="UU34" s="181"/>
      <c r="UV34" s="181"/>
      <c r="UW34" s="181"/>
      <c r="UX34" s="181"/>
      <c r="UY34" s="181"/>
      <c r="UZ34" s="181"/>
      <c r="VA34" s="181"/>
      <c r="VB34" s="181"/>
      <c r="VC34" s="181"/>
      <c r="VD34" s="181"/>
      <c r="VE34" s="181"/>
      <c r="VF34" s="181"/>
      <c r="VG34" s="181"/>
      <c r="VH34" s="181"/>
      <c r="VI34" s="181"/>
      <c r="VJ34" s="181"/>
      <c r="VK34" s="181"/>
      <c r="VL34" s="181"/>
      <c r="VM34" s="181"/>
      <c r="VN34" s="181"/>
      <c r="VO34" s="181"/>
      <c r="VP34" s="181"/>
      <c r="VQ34" s="181"/>
      <c r="VR34" s="181"/>
      <c r="VS34" s="181"/>
      <c r="VT34" s="181"/>
      <c r="VU34" s="181"/>
      <c r="VV34" s="181"/>
      <c r="VW34" s="181"/>
      <c r="VX34" s="181"/>
      <c r="VY34" s="181"/>
      <c r="VZ34" s="181"/>
      <c r="WA34" s="181"/>
      <c r="WB34" s="181"/>
      <c r="WC34" s="181"/>
      <c r="WD34" s="181"/>
      <c r="WE34" s="181"/>
      <c r="WF34" s="181"/>
      <c r="WG34" s="181"/>
      <c r="WH34" s="181"/>
      <c r="WI34" s="181"/>
      <c r="WJ34" s="181"/>
      <c r="WK34" s="181"/>
      <c r="WL34" s="181"/>
      <c r="WM34" s="181"/>
      <c r="WN34" s="181"/>
      <c r="WO34" s="181"/>
      <c r="WP34" s="181"/>
      <c r="WQ34" s="181"/>
      <c r="WR34" s="181"/>
      <c r="WS34" s="181"/>
      <c r="WT34" s="181"/>
      <c r="WU34" s="181"/>
      <c r="WV34" s="181"/>
      <c r="WW34" s="181"/>
      <c r="WX34" s="181"/>
      <c r="WY34" s="181"/>
      <c r="WZ34" s="181"/>
      <c r="XA34" s="181"/>
      <c r="XB34" s="181"/>
      <c r="XC34" s="181"/>
      <c r="XD34" s="181"/>
      <c r="XE34" s="181"/>
      <c r="XF34" s="181"/>
      <c r="XG34" s="181"/>
      <c r="XH34" s="181"/>
      <c r="XI34" s="181"/>
      <c r="XJ34" s="181"/>
      <c r="XK34" s="181"/>
      <c r="XL34" s="181"/>
      <c r="XM34" s="181"/>
      <c r="XN34" s="181"/>
      <c r="XO34" s="181"/>
      <c r="XP34" s="181"/>
      <c r="XQ34" s="181"/>
      <c r="XR34" s="181"/>
      <c r="XS34" s="181"/>
      <c r="XT34" s="181"/>
      <c r="XU34" s="181"/>
      <c r="XV34" s="181"/>
      <c r="XW34" s="181"/>
      <c r="XX34" s="181"/>
      <c r="XY34" s="181"/>
      <c r="XZ34" s="181"/>
      <c r="YA34" s="181"/>
      <c r="YB34" s="181"/>
      <c r="YC34" s="181"/>
      <c r="YD34" s="181"/>
      <c r="YE34" s="181"/>
      <c r="YF34" s="181"/>
      <c r="YG34" s="181"/>
      <c r="YH34" s="181"/>
      <c r="YI34" s="181"/>
      <c r="YJ34" s="181"/>
      <c r="YK34" s="181"/>
      <c r="YL34" s="181"/>
      <c r="YM34" s="181"/>
      <c r="YN34" s="181"/>
      <c r="YO34" s="181"/>
      <c r="YP34" s="181"/>
      <c r="YQ34" s="181"/>
      <c r="YR34" s="181"/>
      <c r="YS34" s="181"/>
      <c r="YT34" s="181"/>
      <c r="YU34" s="181"/>
      <c r="YV34" s="181"/>
      <c r="YW34" s="181"/>
      <c r="YX34" s="181"/>
      <c r="YY34" s="181"/>
      <c r="YZ34" s="181"/>
      <c r="ZA34" s="181"/>
      <c r="ZB34" s="181"/>
      <c r="ZC34" s="181"/>
      <c r="ZD34" s="181"/>
      <c r="ZE34" s="181"/>
      <c r="ZF34" s="181"/>
      <c r="ZG34" s="181"/>
      <c r="ZH34" s="181"/>
      <c r="ZI34" s="181"/>
      <c r="ZJ34" s="181"/>
      <c r="ZK34" s="181"/>
      <c r="ZL34" s="181"/>
      <c r="ZM34" s="181"/>
      <c r="ZN34" s="181"/>
      <c r="ZO34" s="181"/>
      <c r="ZP34" s="181"/>
      <c r="ZQ34" s="181"/>
      <c r="ZR34" s="181"/>
      <c r="ZS34" s="181"/>
      <c r="ZT34" s="181"/>
      <c r="ZU34" s="181"/>
      <c r="ZV34" s="181"/>
      <c r="ZW34" s="181"/>
      <c r="ZX34" s="181"/>
      <c r="ZY34" s="181"/>
      <c r="ZZ34" s="181"/>
      <c r="AAA34" s="181"/>
      <c r="AAB34" s="181"/>
      <c r="AAC34" s="181"/>
      <c r="AAD34" s="181"/>
      <c r="AAE34" s="181"/>
      <c r="AAF34" s="181"/>
      <c r="AAG34" s="181"/>
      <c r="AAH34" s="181"/>
      <c r="AAI34" s="181"/>
      <c r="AAJ34" s="181"/>
      <c r="AAK34" s="181"/>
      <c r="AAL34" s="181"/>
      <c r="AAM34" s="181"/>
      <c r="AAN34" s="181"/>
      <c r="AAO34" s="181"/>
      <c r="AAP34" s="181"/>
      <c r="AAQ34" s="181"/>
      <c r="AAR34" s="181"/>
      <c r="AAS34" s="181"/>
      <c r="AAT34" s="181"/>
      <c r="AAU34" s="181"/>
      <c r="AAV34" s="181"/>
      <c r="AAW34" s="181"/>
      <c r="AAX34" s="181"/>
      <c r="AAY34" s="181"/>
      <c r="AAZ34" s="181"/>
      <c r="ABA34" s="181"/>
      <c r="ABB34" s="181"/>
      <c r="ABC34" s="181"/>
      <c r="ABD34" s="181"/>
      <c r="ABE34" s="181"/>
      <c r="ABF34" s="181"/>
      <c r="ABG34" s="181"/>
      <c r="ABH34" s="181"/>
      <c r="ABI34" s="181"/>
      <c r="ABJ34" s="181"/>
      <c r="ABK34" s="181"/>
      <c r="ABL34" s="181"/>
      <c r="ABM34" s="181"/>
      <c r="ABN34" s="181"/>
      <c r="ABO34" s="181"/>
      <c r="ABP34" s="181"/>
      <c r="ABQ34" s="181"/>
      <c r="ABR34" s="181"/>
      <c r="ABS34" s="181"/>
      <c r="ABT34" s="181"/>
      <c r="ABU34" s="181"/>
      <c r="ABV34" s="181"/>
      <c r="ABW34" s="181"/>
      <c r="ABX34" s="181"/>
      <c r="ABY34" s="181"/>
      <c r="ABZ34" s="181"/>
      <c r="ACA34" s="181"/>
      <c r="ACB34" s="181"/>
      <c r="ACC34" s="181"/>
      <c r="ACD34" s="181"/>
      <c r="ACE34" s="181"/>
      <c r="ACF34" s="181"/>
      <c r="ACG34" s="181"/>
      <c r="ACH34" s="181"/>
      <c r="ACI34" s="181"/>
      <c r="ACJ34" s="181"/>
      <c r="ACK34" s="181"/>
      <c r="ACL34" s="181"/>
      <c r="ACM34" s="181"/>
      <c r="ACN34" s="181"/>
      <c r="ACO34" s="181"/>
      <c r="ACP34" s="181"/>
      <c r="ACQ34" s="181"/>
      <c r="ACR34" s="181"/>
      <c r="ACS34" s="181"/>
      <c r="ACT34" s="181"/>
      <c r="ACU34" s="181"/>
      <c r="ACV34" s="181"/>
      <c r="ACW34" s="181"/>
      <c r="ACX34" s="181"/>
      <c r="ACY34" s="181"/>
      <c r="ACZ34" s="181"/>
      <c r="ADA34" s="181"/>
      <c r="ADB34" s="181"/>
      <c r="ADC34" s="181"/>
      <c r="ADD34" s="181"/>
      <c r="ADE34" s="181"/>
      <c r="ADF34" s="181"/>
      <c r="ADG34" s="181"/>
      <c r="ADH34" s="181"/>
      <c r="ADI34" s="181"/>
      <c r="ADJ34" s="181"/>
      <c r="ADK34" s="181"/>
      <c r="ADL34" s="181"/>
      <c r="ADM34" s="181"/>
      <c r="ADN34" s="181"/>
      <c r="ADO34" s="181"/>
      <c r="ADP34" s="181"/>
      <c r="ADQ34" s="181"/>
      <c r="ADR34" s="181"/>
      <c r="ADS34" s="181"/>
      <c r="ADT34" s="181"/>
      <c r="ADU34" s="181"/>
      <c r="ADV34" s="181"/>
      <c r="ADW34" s="181"/>
      <c r="ADX34" s="181"/>
      <c r="ADY34" s="181"/>
      <c r="ADZ34" s="181"/>
      <c r="AEA34" s="181"/>
      <c r="AEB34" s="181"/>
      <c r="AEC34" s="181"/>
      <c r="AED34" s="181"/>
      <c r="AEE34" s="181"/>
      <c r="AEF34" s="181"/>
      <c r="AEG34" s="181"/>
      <c r="AEH34" s="181"/>
      <c r="AEI34" s="181"/>
      <c r="AEJ34" s="181"/>
      <c r="AEK34" s="181"/>
      <c r="AEL34" s="181"/>
      <c r="AEM34" s="181"/>
      <c r="AEN34" s="181"/>
      <c r="AEO34" s="181"/>
      <c r="AEP34" s="181"/>
      <c r="AEQ34" s="181"/>
      <c r="AER34" s="181"/>
      <c r="AES34" s="181"/>
      <c r="AET34" s="181"/>
      <c r="AEU34" s="181"/>
      <c r="AEV34" s="181"/>
      <c r="AEW34" s="181"/>
      <c r="AEX34" s="181"/>
      <c r="AEY34" s="181"/>
      <c r="AEZ34" s="181"/>
      <c r="AFA34" s="181"/>
      <c r="AFB34" s="181"/>
      <c r="AFC34" s="181"/>
      <c r="AFD34" s="181"/>
      <c r="AFE34" s="181"/>
      <c r="AFF34" s="181"/>
      <c r="AFG34" s="181"/>
      <c r="AFH34" s="181"/>
      <c r="AFI34" s="181"/>
      <c r="AFJ34" s="181"/>
      <c r="AFK34" s="181"/>
      <c r="AFL34" s="181"/>
      <c r="AFM34" s="181"/>
      <c r="AFN34" s="181"/>
      <c r="AFO34" s="181"/>
      <c r="AFP34" s="181"/>
      <c r="AFQ34" s="181"/>
      <c r="AFR34" s="181"/>
      <c r="AFS34" s="181"/>
      <c r="AFT34" s="181"/>
      <c r="AFU34" s="181"/>
      <c r="AFV34" s="181"/>
      <c r="AFW34" s="181"/>
      <c r="AFX34" s="181"/>
      <c r="AFY34" s="181"/>
      <c r="AFZ34" s="181"/>
      <c r="AGA34" s="181"/>
      <c r="AGB34" s="181"/>
      <c r="AGC34" s="181"/>
      <c r="AGD34" s="181"/>
      <c r="AGE34" s="181"/>
      <c r="AGF34" s="181"/>
      <c r="AGG34" s="181"/>
      <c r="AGH34" s="181"/>
      <c r="AGI34" s="181"/>
      <c r="AGJ34" s="181"/>
      <c r="AGK34" s="181"/>
      <c r="AGL34" s="181"/>
      <c r="AGM34" s="181"/>
      <c r="AGN34" s="181"/>
      <c r="AGO34" s="181"/>
      <c r="AGP34" s="181"/>
      <c r="AGQ34" s="181"/>
      <c r="AGR34" s="181"/>
      <c r="AGS34" s="181"/>
      <c r="AGT34" s="181"/>
      <c r="AGU34" s="181"/>
      <c r="AGV34" s="181"/>
      <c r="AGW34" s="181"/>
      <c r="AGX34" s="181"/>
      <c r="AGY34" s="181"/>
      <c r="AGZ34" s="181"/>
      <c r="AHA34" s="181"/>
      <c r="AHB34" s="181"/>
      <c r="AHC34" s="181"/>
      <c r="AHD34" s="181"/>
      <c r="AHE34" s="181"/>
      <c r="AHF34" s="181"/>
      <c r="AHG34" s="181"/>
      <c r="AHH34" s="181"/>
      <c r="AHI34" s="181"/>
      <c r="AHJ34" s="181"/>
      <c r="AHK34" s="181"/>
      <c r="AHL34" s="181"/>
      <c r="AHM34" s="181"/>
      <c r="AHN34" s="181"/>
      <c r="AHO34" s="181"/>
      <c r="AHP34" s="181"/>
      <c r="AHQ34" s="181"/>
      <c r="AHR34" s="181"/>
      <c r="AHS34" s="181"/>
      <c r="AHT34" s="181"/>
      <c r="AHU34" s="181"/>
      <c r="AHV34" s="181"/>
      <c r="AHW34" s="181"/>
      <c r="AHX34" s="181"/>
      <c r="AHY34" s="181"/>
      <c r="AHZ34" s="181"/>
      <c r="AIA34" s="181"/>
      <c r="AIB34" s="181"/>
      <c r="AIC34" s="181"/>
      <c r="AID34" s="181"/>
      <c r="AIE34" s="181"/>
      <c r="AIF34" s="181"/>
      <c r="AIG34" s="181"/>
      <c r="AIH34" s="181"/>
      <c r="AII34" s="181"/>
      <c r="AIJ34" s="181"/>
      <c r="AIK34" s="181"/>
      <c r="AIL34" s="181"/>
      <c r="AIM34" s="181"/>
      <c r="AIN34" s="181"/>
      <c r="AIO34" s="181"/>
      <c r="AIP34" s="181"/>
      <c r="AIQ34" s="181"/>
      <c r="AIR34" s="181"/>
      <c r="AIS34" s="181"/>
      <c r="AIT34" s="181"/>
      <c r="AIU34" s="181"/>
      <c r="AIV34" s="181"/>
      <c r="AIW34" s="181"/>
      <c r="AIX34" s="181"/>
      <c r="AIY34" s="181"/>
      <c r="AIZ34" s="181"/>
      <c r="AJA34" s="181"/>
      <c r="AJB34" s="181"/>
      <c r="AJC34" s="181"/>
      <c r="AJD34" s="181"/>
      <c r="AJE34" s="181"/>
      <c r="AJF34" s="181"/>
      <c r="AJG34" s="181"/>
      <c r="AJH34" s="181"/>
      <c r="AJI34" s="181"/>
      <c r="AJJ34" s="181"/>
      <c r="AJK34" s="181"/>
      <c r="AJL34" s="181"/>
      <c r="AJM34" s="181"/>
      <c r="AJN34" s="181"/>
      <c r="AJO34" s="181"/>
      <c r="AJP34" s="181"/>
      <c r="AJQ34" s="181"/>
      <c r="AJR34" s="181"/>
      <c r="AJS34" s="181"/>
      <c r="AJT34" s="181"/>
      <c r="AJU34" s="181"/>
      <c r="AJV34" s="181"/>
      <c r="AJW34" s="181"/>
      <c r="AJX34" s="181"/>
      <c r="AJY34" s="181"/>
      <c r="AJZ34" s="181"/>
      <c r="AKA34" s="181"/>
      <c r="AKB34" s="181"/>
      <c r="AKC34" s="181"/>
      <c r="AKD34" s="181"/>
      <c r="AKE34" s="181"/>
      <c r="AKF34" s="181"/>
      <c r="AKG34" s="181"/>
      <c r="AKH34" s="181"/>
      <c r="AKI34" s="181"/>
      <c r="AKJ34" s="181"/>
      <c r="AKK34" s="181"/>
      <c r="AKL34" s="181"/>
    </row>
    <row r="35" spans="1:974" s="182" customFormat="1" ht="15" customHeight="1" x14ac:dyDescent="0.3">
      <c r="A35" s="158"/>
      <c r="B35" s="159"/>
      <c r="C35" s="463"/>
      <c r="D35" s="464" t="s">
        <v>2835</v>
      </c>
      <c r="E35" s="465"/>
      <c r="F35" s="466"/>
      <c r="G35" s="127">
        <f>SUM(G34)</f>
        <v>300000</v>
      </c>
      <c r="H35" s="181"/>
      <c r="I35" s="181"/>
      <c r="J35" s="181"/>
      <c r="K35" s="181"/>
      <c r="L35" s="181"/>
      <c r="M35" s="181"/>
      <c r="N35" s="181"/>
      <c r="O35" s="181"/>
      <c r="P35" s="181"/>
      <c r="Q35" s="181"/>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1"/>
      <c r="BN35" s="181"/>
      <c r="BO35" s="181"/>
      <c r="BP35" s="181"/>
      <c r="BQ35" s="181"/>
      <c r="BR35" s="181"/>
      <c r="BS35" s="181"/>
      <c r="BT35" s="181"/>
      <c r="BU35" s="181"/>
      <c r="BV35" s="181"/>
      <c r="BW35" s="181"/>
      <c r="BX35" s="181"/>
      <c r="BY35" s="181"/>
      <c r="BZ35" s="181"/>
      <c r="CA35" s="181"/>
      <c r="CB35" s="181"/>
      <c r="CC35" s="181"/>
      <c r="CD35" s="181"/>
      <c r="CE35" s="181"/>
      <c r="CF35" s="181"/>
      <c r="CG35" s="181"/>
      <c r="CH35" s="181"/>
      <c r="CI35" s="181"/>
      <c r="CJ35" s="181"/>
      <c r="CK35" s="181"/>
      <c r="CL35" s="181"/>
      <c r="CM35" s="181"/>
      <c r="CN35" s="181"/>
      <c r="CO35" s="181"/>
      <c r="CP35" s="181"/>
      <c r="CQ35" s="181"/>
      <c r="CR35" s="181"/>
      <c r="CS35" s="181"/>
      <c r="CT35" s="181"/>
      <c r="CU35" s="181"/>
      <c r="CV35" s="181"/>
      <c r="CW35" s="181"/>
      <c r="CX35" s="181"/>
      <c r="CY35" s="181"/>
      <c r="CZ35" s="181"/>
      <c r="DA35" s="181"/>
      <c r="DB35" s="181"/>
      <c r="DC35" s="181"/>
      <c r="DD35" s="181"/>
      <c r="DE35" s="181"/>
      <c r="DF35" s="181"/>
      <c r="DG35" s="181"/>
      <c r="DH35" s="181"/>
      <c r="DI35" s="181"/>
      <c r="DJ35" s="181"/>
      <c r="DK35" s="181"/>
      <c r="DL35" s="181"/>
      <c r="DM35" s="181"/>
      <c r="DN35" s="181"/>
      <c r="DO35" s="181"/>
      <c r="DP35" s="181"/>
      <c r="DQ35" s="181"/>
      <c r="DR35" s="181"/>
      <c r="DS35" s="181"/>
      <c r="DT35" s="181"/>
      <c r="DU35" s="181"/>
      <c r="DV35" s="181"/>
      <c r="DW35" s="181"/>
      <c r="DX35" s="181"/>
      <c r="DY35" s="181"/>
      <c r="DZ35" s="181"/>
      <c r="EA35" s="181"/>
      <c r="EB35" s="181"/>
      <c r="EC35" s="181"/>
      <c r="ED35" s="181"/>
      <c r="EE35" s="181"/>
      <c r="EF35" s="181"/>
      <c r="EG35" s="181"/>
      <c r="EH35" s="181"/>
      <c r="EI35" s="181"/>
      <c r="EJ35" s="181"/>
      <c r="EK35" s="181"/>
      <c r="EL35" s="181"/>
      <c r="EM35" s="181"/>
      <c r="EN35" s="181"/>
      <c r="EO35" s="181"/>
      <c r="EP35" s="181"/>
      <c r="EQ35" s="181"/>
      <c r="ER35" s="181"/>
      <c r="ES35" s="181"/>
      <c r="ET35" s="181"/>
      <c r="EU35" s="181"/>
      <c r="EV35" s="181"/>
      <c r="EW35" s="181"/>
      <c r="EX35" s="181"/>
      <c r="EY35" s="181"/>
      <c r="EZ35" s="181"/>
      <c r="FA35" s="181"/>
      <c r="FB35" s="181"/>
      <c r="FC35" s="181"/>
      <c r="FD35" s="181"/>
      <c r="FE35" s="181"/>
      <c r="FF35" s="181"/>
      <c r="FG35" s="181"/>
      <c r="FH35" s="181"/>
      <c r="FI35" s="181"/>
      <c r="FJ35" s="181"/>
      <c r="FK35" s="181"/>
      <c r="FL35" s="181"/>
      <c r="FM35" s="181"/>
      <c r="FN35" s="181"/>
      <c r="FO35" s="181"/>
      <c r="FP35" s="181"/>
      <c r="FQ35" s="181"/>
      <c r="FR35" s="181"/>
      <c r="FS35" s="181"/>
      <c r="FT35" s="181"/>
      <c r="FU35" s="181"/>
      <c r="FV35" s="181"/>
      <c r="FW35" s="181"/>
      <c r="FX35" s="181"/>
      <c r="FY35" s="181"/>
      <c r="FZ35" s="181"/>
      <c r="GA35" s="181"/>
      <c r="GB35" s="181"/>
      <c r="GC35" s="181"/>
      <c r="GD35" s="181"/>
      <c r="GE35" s="181"/>
      <c r="GF35" s="181"/>
      <c r="GG35" s="181"/>
      <c r="GH35" s="181"/>
      <c r="GI35" s="181"/>
      <c r="GJ35" s="181"/>
      <c r="GK35" s="181"/>
      <c r="GL35" s="181"/>
      <c r="GM35" s="181"/>
      <c r="GN35" s="181"/>
      <c r="GO35" s="181"/>
      <c r="GP35" s="181"/>
      <c r="GQ35" s="181"/>
      <c r="GR35" s="181"/>
      <c r="GS35" s="181"/>
      <c r="GT35" s="181"/>
      <c r="GU35" s="181"/>
      <c r="GV35" s="181"/>
      <c r="GW35" s="181"/>
      <c r="GX35" s="181"/>
      <c r="GY35" s="181"/>
      <c r="GZ35" s="181"/>
      <c r="HA35" s="181"/>
      <c r="HB35" s="181"/>
      <c r="HC35" s="181"/>
      <c r="HD35" s="181"/>
      <c r="HE35" s="181"/>
      <c r="HF35" s="181"/>
      <c r="HG35" s="181"/>
      <c r="HH35" s="181"/>
      <c r="HI35" s="181"/>
      <c r="HJ35" s="181"/>
      <c r="HK35" s="181"/>
      <c r="HL35" s="181"/>
      <c r="HM35" s="181"/>
      <c r="HN35" s="181"/>
      <c r="HO35" s="181"/>
      <c r="HP35" s="181"/>
      <c r="HQ35" s="181"/>
      <c r="HR35" s="181"/>
      <c r="HS35" s="181"/>
      <c r="HT35" s="181"/>
      <c r="HU35" s="181"/>
      <c r="HV35" s="181"/>
      <c r="HW35" s="181"/>
      <c r="HX35" s="181"/>
      <c r="HY35" s="181"/>
      <c r="HZ35" s="181"/>
      <c r="IA35" s="181"/>
      <c r="IB35" s="181"/>
      <c r="IC35" s="181"/>
      <c r="ID35" s="181"/>
      <c r="IE35" s="181"/>
      <c r="IF35" s="181"/>
      <c r="IG35" s="181"/>
      <c r="IH35" s="181"/>
      <c r="II35" s="181"/>
      <c r="IJ35" s="181"/>
      <c r="IK35" s="181"/>
      <c r="IL35" s="181"/>
      <c r="IM35" s="181"/>
      <c r="IN35" s="181"/>
      <c r="IO35" s="181"/>
      <c r="IP35" s="181"/>
      <c r="IQ35" s="181"/>
      <c r="IR35" s="181"/>
      <c r="IS35" s="181"/>
      <c r="IT35" s="181"/>
      <c r="IU35" s="181"/>
      <c r="IV35" s="181"/>
      <c r="IW35" s="181"/>
      <c r="IX35" s="181"/>
      <c r="IY35" s="181"/>
      <c r="IZ35" s="181"/>
      <c r="JA35" s="181"/>
      <c r="JB35" s="181"/>
      <c r="JC35" s="181"/>
      <c r="JD35" s="181"/>
      <c r="JE35" s="181"/>
      <c r="JF35" s="181"/>
      <c r="JG35" s="181"/>
      <c r="JH35" s="181"/>
      <c r="JI35" s="181"/>
      <c r="JJ35" s="181"/>
      <c r="JK35" s="181"/>
      <c r="JL35" s="181"/>
      <c r="JM35" s="181"/>
      <c r="JN35" s="181"/>
      <c r="JO35" s="181"/>
      <c r="JP35" s="181"/>
      <c r="JQ35" s="181"/>
      <c r="JR35" s="181"/>
      <c r="JS35" s="181"/>
      <c r="JT35" s="181"/>
      <c r="JU35" s="181"/>
      <c r="JV35" s="181"/>
      <c r="JW35" s="181"/>
      <c r="JX35" s="181"/>
      <c r="JY35" s="181"/>
      <c r="JZ35" s="181"/>
      <c r="KA35" s="181"/>
      <c r="KB35" s="181"/>
      <c r="KC35" s="181"/>
      <c r="KD35" s="181"/>
      <c r="KE35" s="181"/>
      <c r="KF35" s="181"/>
      <c r="KG35" s="181"/>
      <c r="KH35" s="181"/>
      <c r="KI35" s="181"/>
      <c r="KJ35" s="181"/>
      <c r="KK35" s="181"/>
      <c r="KL35" s="181"/>
      <c r="KM35" s="181"/>
      <c r="KN35" s="181"/>
      <c r="KO35" s="181"/>
      <c r="KP35" s="181"/>
      <c r="KQ35" s="181"/>
      <c r="KR35" s="181"/>
      <c r="KS35" s="181"/>
      <c r="KT35" s="181"/>
      <c r="KU35" s="181"/>
      <c r="KV35" s="181"/>
      <c r="KW35" s="181"/>
      <c r="KX35" s="181"/>
      <c r="KY35" s="181"/>
      <c r="KZ35" s="181"/>
      <c r="LA35" s="181"/>
      <c r="LB35" s="181"/>
      <c r="LC35" s="181"/>
      <c r="LD35" s="181"/>
      <c r="LE35" s="181"/>
      <c r="LF35" s="181"/>
      <c r="LG35" s="181"/>
      <c r="LH35" s="181"/>
      <c r="LI35" s="181"/>
      <c r="LJ35" s="181"/>
      <c r="LK35" s="181"/>
      <c r="LL35" s="181"/>
      <c r="LM35" s="181"/>
      <c r="LN35" s="181"/>
      <c r="LO35" s="181"/>
      <c r="LP35" s="181"/>
      <c r="LQ35" s="181"/>
      <c r="LR35" s="181"/>
      <c r="LS35" s="181"/>
      <c r="LT35" s="181"/>
      <c r="LU35" s="181"/>
      <c r="LV35" s="181"/>
      <c r="LW35" s="181"/>
      <c r="LX35" s="181"/>
      <c r="LY35" s="181"/>
      <c r="LZ35" s="181"/>
      <c r="MA35" s="181"/>
      <c r="MB35" s="181"/>
      <c r="MC35" s="181"/>
      <c r="MD35" s="181"/>
      <c r="ME35" s="181"/>
      <c r="MF35" s="181"/>
      <c r="MG35" s="181"/>
      <c r="MH35" s="181"/>
      <c r="MI35" s="181"/>
      <c r="MJ35" s="181"/>
      <c r="MK35" s="181"/>
      <c r="ML35" s="181"/>
      <c r="MM35" s="181"/>
      <c r="MN35" s="181"/>
      <c r="MO35" s="181"/>
      <c r="MP35" s="181"/>
      <c r="MQ35" s="181"/>
      <c r="MR35" s="181"/>
      <c r="MS35" s="181"/>
      <c r="MT35" s="181"/>
      <c r="MU35" s="181"/>
      <c r="MV35" s="181"/>
      <c r="MW35" s="181"/>
      <c r="MX35" s="181"/>
      <c r="MY35" s="181"/>
      <c r="MZ35" s="181"/>
      <c r="NA35" s="181"/>
      <c r="NB35" s="181"/>
      <c r="NC35" s="181"/>
      <c r="ND35" s="181"/>
      <c r="NE35" s="181"/>
      <c r="NF35" s="181"/>
      <c r="NG35" s="181"/>
      <c r="NH35" s="181"/>
      <c r="NI35" s="181"/>
      <c r="NJ35" s="181"/>
      <c r="NK35" s="181"/>
      <c r="NL35" s="181"/>
      <c r="NM35" s="181"/>
      <c r="NN35" s="181"/>
      <c r="NO35" s="181"/>
      <c r="NP35" s="181"/>
      <c r="NQ35" s="181"/>
      <c r="NR35" s="181"/>
      <c r="NS35" s="181"/>
      <c r="NT35" s="181"/>
      <c r="NU35" s="181"/>
      <c r="NV35" s="181"/>
      <c r="NW35" s="181"/>
      <c r="NX35" s="181"/>
      <c r="NY35" s="181"/>
      <c r="NZ35" s="181"/>
      <c r="OA35" s="181"/>
      <c r="OB35" s="181"/>
      <c r="OC35" s="181"/>
      <c r="OD35" s="181"/>
      <c r="OE35" s="181"/>
      <c r="OF35" s="181"/>
      <c r="OG35" s="181"/>
      <c r="OH35" s="181"/>
      <c r="OI35" s="181"/>
      <c r="OJ35" s="181"/>
      <c r="OK35" s="181"/>
      <c r="OL35" s="181"/>
      <c r="OM35" s="181"/>
      <c r="ON35" s="181"/>
      <c r="OO35" s="181"/>
      <c r="OP35" s="181"/>
      <c r="OQ35" s="181"/>
      <c r="OR35" s="181"/>
      <c r="OS35" s="181"/>
      <c r="OT35" s="181"/>
      <c r="OU35" s="181"/>
      <c r="OV35" s="181"/>
      <c r="OW35" s="181"/>
      <c r="OX35" s="181"/>
      <c r="OY35" s="181"/>
      <c r="OZ35" s="181"/>
      <c r="PA35" s="181"/>
      <c r="PB35" s="181"/>
      <c r="PC35" s="181"/>
      <c r="PD35" s="181"/>
      <c r="PE35" s="181"/>
      <c r="PF35" s="181"/>
      <c r="PG35" s="181"/>
      <c r="PH35" s="181"/>
      <c r="PI35" s="181"/>
      <c r="PJ35" s="181"/>
      <c r="PK35" s="181"/>
      <c r="PL35" s="181"/>
      <c r="PM35" s="181"/>
      <c r="PN35" s="181"/>
      <c r="PO35" s="181"/>
      <c r="PP35" s="181"/>
      <c r="PQ35" s="181"/>
      <c r="PR35" s="181"/>
      <c r="PS35" s="181"/>
      <c r="PT35" s="181"/>
      <c r="PU35" s="181"/>
      <c r="PV35" s="181"/>
      <c r="PW35" s="181"/>
      <c r="PX35" s="181"/>
      <c r="PY35" s="181"/>
      <c r="PZ35" s="181"/>
      <c r="QA35" s="181"/>
      <c r="QB35" s="181"/>
      <c r="QC35" s="181"/>
      <c r="QD35" s="181"/>
      <c r="QE35" s="181"/>
      <c r="QF35" s="181"/>
      <c r="QG35" s="181"/>
      <c r="QH35" s="181"/>
      <c r="QI35" s="181"/>
      <c r="QJ35" s="181"/>
      <c r="QK35" s="181"/>
      <c r="QL35" s="181"/>
      <c r="QM35" s="181"/>
      <c r="QN35" s="181"/>
      <c r="QO35" s="181"/>
      <c r="QP35" s="181"/>
      <c r="QQ35" s="181"/>
      <c r="QR35" s="181"/>
      <c r="QS35" s="181"/>
      <c r="QT35" s="181"/>
      <c r="QU35" s="181"/>
      <c r="QV35" s="181"/>
      <c r="QW35" s="181"/>
      <c r="QX35" s="181"/>
      <c r="QY35" s="181"/>
      <c r="QZ35" s="181"/>
      <c r="RA35" s="181"/>
      <c r="RB35" s="181"/>
      <c r="RC35" s="181"/>
      <c r="RD35" s="181"/>
      <c r="RE35" s="181"/>
      <c r="RF35" s="181"/>
      <c r="RG35" s="181"/>
      <c r="RH35" s="181"/>
      <c r="RI35" s="181"/>
      <c r="RJ35" s="181"/>
      <c r="RK35" s="181"/>
      <c r="RL35" s="181"/>
      <c r="RM35" s="181"/>
      <c r="RN35" s="181"/>
      <c r="RO35" s="181"/>
      <c r="RP35" s="181"/>
      <c r="RQ35" s="181"/>
      <c r="RR35" s="181"/>
      <c r="RS35" s="181"/>
      <c r="RT35" s="181"/>
      <c r="RU35" s="181"/>
      <c r="RV35" s="181"/>
      <c r="RW35" s="181"/>
      <c r="RX35" s="181"/>
      <c r="RY35" s="181"/>
      <c r="RZ35" s="181"/>
      <c r="SA35" s="181"/>
      <c r="SB35" s="181"/>
      <c r="SC35" s="181"/>
      <c r="SD35" s="181"/>
      <c r="SE35" s="181"/>
      <c r="SF35" s="181"/>
      <c r="SG35" s="181"/>
      <c r="SH35" s="181"/>
      <c r="SI35" s="181"/>
      <c r="SJ35" s="181"/>
      <c r="SK35" s="181"/>
      <c r="SL35" s="181"/>
      <c r="SM35" s="181"/>
      <c r="SN35" s="181"/>
      <c r="SO35" s="181"/>
      <c r="SP35" s="181"/>
      <c r="SQ35" s="181"/>
      <c r="SR35" s="181"/>
      <c r="SS35" s="181"/>
      <c r="ST35" s="181"/>
      <c r="SU35" s="181"/>
      <c r="SV35" s="181"/>
      <c r="SW35" s="181"/>
      <c r="SX35" s="181"/>
      <c r="SY35" s="181"/>
      <c r="SZ35" s="181"/>
      <c r="TA35" s="181"/>
      <c r="TB35" s="181"/>
      <c r="TC35" s="181"/>
      <c r="TD35" s="181"/>
      <c r="TE35" s="181"/>
      <c r="TF35" s="181"/>
      <c r="TG35" s="181"/>
      <c r="TH35" s="181"/>
      <c r="TI35" s="181"/>
      <c r="TJ35" s="181"/>
      <c r="TK35" s="181"/>
      <c r="TL35" s="181"/>
      <c r="TM35" s="181"/>
      <c r="TN35" s="181"/>
      <c r="TO35" s="181"/>
      <c r="TP35" s="181"/>
      <c r="TQ35" s="181"/>
      <c r="TR35" s="181"/>
      <c r="TS35" s="181"/>
      <c r="TT35" s="181"/>
      <c r="TU35" s="181"/>
      <c r="TV35" s="181"/>
      <c r="TW35" s="181"/>
      <c r="TX35" s="181"/>
      <c r="TY35" s="181"/>
      <c r="TZ35" s="181"/>
      <c r="UA35" s="181"/>
      <c r="UB35" s="181"/>
      <c r="UC35" s="181"/>
      <c r="UD35" s="181"/>
      <c r="UE35" s="181"/>
      <c r="UF35" s="181"/>
      <c r="UG35" s="181"/>
      <c r="UH35" s="181"/>
      <c r="UI35" s="181"/>
      <c r="UJ35" s="181"/>
      <c r="UK35" s="181"/>
      <c r="UL35" s="181"/>
      <c r="UM35" s="181"/>
      <c r="UN35" s="181"/>
      <c r="UO35" s="181"/>
      <c r="UP35" s="181"/>
      <c r="UQ35" s="181"/>
      <c r="UR35" s="181"/>
      <c r="US35" s="181"/>
      <c r="UT35" s="181"/>
      <c r="UU35" s="181"/>
      <c r="UV35" s="181"/>
      <c r="UW35" s="181"/>
      <c r="UX35" s="181"/>
      <c r="UY35" s="181"/>
      <c r="UZ35" s="181"/>
      <c r="VA35" s="181"/>
      <c r="VB35" s="181"/>
      <c r="VC35" s="181"/>
      <c r="VD35" s="181"/>
      <c r="VE35" s="181"/>
      <c r="VF35" s="181"/>
      <c r="VG35" s="181"/>
      <c r="VH35" s="181"/>
      <c r="VI35" s="181"/>
      <c r="VJ35" s="181"/>
      <c r="VK35" s="181"/>
      <c r="VL35" s="181"/>
      <c r="VM35" s="181"/>
      <c r="VN35" s="181"/>
      <c r="VO35" s="181"/>
      <c r="VP35" s="181"/>
      <c r="VQ35" s="181"/>
      <c r="VR35" s="181"/>
      <c r="VS35" s="181"/>
      <c r="VT35" s="181"/>
      <c r="VU35" s="181"/>
      <c r="VV35" s="181"/>
      <c r="VW35" s="181"/>
      <c r="VX35" s="181"/>
      <c r="VY35" s="181"/>
      <c r="VZ35" s="181"/>
      <c r="WA35" s="181"/>
      <c r="WB35" s="181"/>
      <c r="WC35" s="181"/>
      <c r="WD35" s="181"/>
      <c r="WE35" s="181"/>
      <c r="WF35" s="181"/>
      <c r="WG35" s="181"/>
      <c r="WH35" s="181"/>
      <c r="WI35" s="181"/>
      <c r="WJ35" s="181"/>
      <c r="WK35" s="181"/>
      <c r="WL35" s="181"/>
      <c r="WM35" s="181"/>
      <c r="WN35" s="181"/>
      <c r="WO35" s="181"/>
      <c r="WP35" s="181"/>
      <c r="WQ35" s="181"/>
      <c r="WR35" s="181"/>
      <c r="WS35" s="181"/>
      <c r="WT35" s="181"/>
      <c r="WU35" s="181"/>
      <c r="WV35" s="181"/>
      <c r="WW35" s="181"/>
      <c r="WX35" s="181"/>
      <c r="WY35" s="181"/>
      <c r="WZ35" s="181"/>
      <c r="XA35" s="181"/>
      <c r="XB35" s="181"/>
      <c r="XC35" s="181"/>
      <c r="XD35" s="181"/>
      <c r="XE35" s="181"/>
      <c r="XF35" s="181"/>
      <c r="XG35" s="181"/>
      <c r="XH35" s="181"/>
      <c r="XI35" s="181"/>
      <c r="XJ35" s="181"/>
      <c r="XK35" s="181"/>
      <c r="XL35" s="181"/>
      <c r="XM35" s="181"/>
      <c r="XN35" s="181"/>
      <c r="XO35" s="181"/>
      <c r="XP35" s="181"/>
      <c r="XQ35" s="181"/>
      <c r="XR35" s="181"/>
      <c r="XS35" s="181"/>
      <c r="XT35" s="181"/>
      <c r="XU35" s="181"/>
      <c r="XV35" s="181"/>
      <c r="XW35" s="181"/>
      <c r="XX35" s="181"/>
      <c r="XY35" s="181"/>
      <c r="XZ35" s="181"/>
      <c r="YA35" s="181"/>
      <c r="YB35" s="181"/>
      <c r="YC35" s="181"/>
      <c r="YD35" s="181"/>
      <c r="YE35" s="181"/>
      <c r="YF35" s="181"/>
      <c r="YG35" s="181"/>
      <c r="YH35" s="181"/>
      <c r="YI35" s="181"/>
      <c r="YJ35" s="181"/>
      <c r="YK35" s="181"/>
      <c r="YL35" s="181"/>
      <c r="YM35" s="181"/>
      <c r="YN35" s="181"/>
      <c r="YO35" s="181"/>
      <c r="YP35" s="181"/>
      <c r="YQ35" s="181"/>
      <c r="YR35" s="181"/>
      <c r="YS35" s="181"/>
      <c r="YT35" s="181"/>
      <c r="YU35" s="181"/>
      <c r="YV35" s="181"/>
      <c r="YW35" s="181"/>
      <c r="YX35" s="181"/>
      <c r="YY35" s="181"/>
      <c r="YZ35" s="181"/>
      <c r="ZA35" s="181"/>
      <c r="ZB35" s="181"/>
      <c r="ZC35" s="181"/>
      <c r="ZD35" s="181"/>
      <c r="ZE35" s="181"/>
      <c r="ZF35" s="181"/>
      <c r="ZG35" s="181"/>
      <c r="ZH35" s="181"/>
      <c r="ZI35" s="181"/>
      <c r="ZJ35" s="181"/>
      <c r="ZK35" s="181"/>
      <c r="ZL35" s="181"/>
      <c r="ZM35" s="181"/>
      <c r="ZN35" s="181"/>
      <c r="ZO35" s="181"/>
      <c r="ZP35" s="181"/>
      <c r="ZQ35" s="181"/>
      <c r="ZR35" s="181"/>
      <c r="ZS35" s="181"/>
      <c r="ZT35" s="181"/>
      <c r="ZU35" s="181"/>
      <c r="ZV35" s="181"/>
      <c r="ZW35" s="181"/>
      <c r="ZX35" s="181"/>
      <c r="ZY35" s="181"/>
      <c r="ZZ35" s="181"/>
      <c r="AAA35" s="181"/>
      <c r="AAB35" s="181"/>
      <c r="AAC35" s="181"/>
      <c r="AAD35" s="181"/>
      <c r="AAE35" s="181"/>
      <c r="AAF35" s="181"/>
      <c r="AAG35" s="181"/>
      <c r="AAH35" s="181"/>
      <c r="AAI35" s="181"/>
      <c r="AAJ35" s="181"/>
      <c r="AAK35" s="181"/>
      <c r="AAL35" s="181"/>
      <c r="AAM35" s="181"/>
      <c r="AAN35" s="181"/>
      <c r="AAO35" s="181"/>
      <c r="AAP35" s="181"/>
      <c r="AAQ35" s="181"/>
      <c r="AAR35" s="181"/>
      <c r="AAS35" s="181"/>
      <c r="AAT35" s="181"/>
      <c r="AAU35" s="181"/>
      <c r="AAV35" s="181"/>
      <c r="AAW35" s="181"/>
      <c r="AAX35" s="181"/>
      <c r="AAY35" s="181"/>
      <c r="AAZ35" s="181"/>
      <c r="ABA35" s="181"/>
      <c r="ABB35" s="181"/>
      <c r="ABC35" s="181"/>
      <c r="ABD35" s="181"/>
      <c r="ABE35" s="181"/>
      <c r="ABF35" s="181"/>
      <c r="ABG35" s="181"/>
      <c r="ABH35" s="181"/>
      <c r="ABI35" s="181"/>
      <c r="ABJ35" s="181"/>
      <c r="ABK35" s="181"/>
      <c r="ABL35" s="181"/>
      <c r="ABM35" s="181"/>
      <c r="ABN35" s="181"/>
      <c r="ABO35" s="181"/>
      <c r="ABP35" s="181"/>
      <c r="ABQ35" s="181"/>
      <c r="ABR35" s="181"/>
      <c r="ABS35" s="181"/>
      <c r="ABT35" s="181"/>
      <c r="ABU35" s="181"/>
      <c r="ABV35" s="181"/>
      <c r="ABW35" s="181"/>
      <c r="ABX35" s="181"/>
      <c r="ABY35" s="181"/>
      <c r="ABZ35" s="181"/>
      <c r="ACA35" s="181"/>
      <c r="ACB35" s="181"/>
      <c r="ACC35" s="181"/>
      <c r="ACD35" s="181"/>
      <c r="ACE35" s="181"/>
      <c r="ACF35" s="181"/>
      <c r="ACG35" s="181"/>
      <c r="ACH35" s="181"/>
      <c r="ACI35" s="181"/>
      <c r="ACJ35" s="181"/>
      <c r="ACK35" s="181"/>
      <c r="ACL35" s="181"/>
      <c r="ACM35" s="181"/>
      <c r="ACN35" s="181"/>
      <c r="ACO35" s="181"/>
      <c r="ACP35" s="181"/>
      <c r="ACQ35" s="181"/>
      <c r="ACR35" s="181"/>
      <c r="ACS35" s="181"/>
      <c r="ACT35" s="181"/>
      <c r="ACU35" s="181"/>
      <c r="ACV35" s="181"/>
      <c r="ACW35" s="181"/>
      <c r="ACX35" s="181"/>
      <c r="ACY35" s="181"/>
      <c r="ACZ35" s="181"/>
      <c r="ADA35" s="181"/>
      <c r="ADB35" s="181"/>
      <c r="ADC35" s="181"/>
      <c r="ADD35" s="181"/>
      <c r="ADE35" s="181"/>
      <c r="ADF35" s="181"/>
      <c r="ADG35" s="181"/>
      <c r="ADH35" s="181"/>
      <c r="ADI35" s="181"/>
      <c r="ADJ35" s="181"/>
      <c r="ADK35" s="181"/>
      <c r="ADL35" s="181"/>
      <c r="ADM35" s="181"/>
      <c r="ADN35" s="181"/>
      <c r="ADO35" s="181"/>
      <c r="ADP35" s="181"/>
      <c r="ADQ35" s="181"/>
      <c r="ADR35" s="181"/>
      <c r="ADS35" s="181"/>
      <c r="ADT35" s="181"/>
      <c r="ADU35" s="181"/>
      <c r="ADV35" s="181"/>
      <c r="ADW35" s="181"/>
      <c r="ADX35" s="181"/>
      <c r="ADY35" s="181"/>
      <c r="ADZ35" s="181"/>
      <c r="AEA35" s="181"/>
      <c r="AEB35" s="181"/>
      <c r="AEC35" s="181"/>
      <c r="AED35" s="181"/>
      <c r="AEE35" s="181"/>
      <c r="AEF35" s="181"/>
      <c r="AEG35" s="181"/>
      <c r="AEH35" s="181"/>
      <c r="AEI35" s="181"/>
      <c r="AEJ35" s="181"/>
      <c r="AEK35" s="181"/>
      <c r="AEL35" s="181"/>
      <c r="AEM35" s="181"/>
      <c r="AEN35" s="181"/>
      <c r="AEO35" s="181"/>
      <c r="AEP35" s="181"/>
      <c r="AEQ35" s="181"/>
      <c r="AER35" s="181"/>
      <c r="AES35" s="181"/>
      <c r="AET35" s="181"/>
      <c r="AEU35" s="181"/>
      <c r="AEV35" s="181"/>
      <c r="AEW35" s="181"/>
      <c r="AEX35" s="181"/>
      <c r="AEY35" s="181"/>
      <c r="AEZ35" s="181"/>
      <c r="AFA35" s="181"/>
      <c r="AFB35" s="181"/>
      <c r="AFC35" s="181"/>
      <c r="AFD35" s="181"/>
      <c r="AFE35" s="181"/>
      <c r="AFF35" s="181"/>
      <c r="AFG35" s="181"/>
      <c r="AFH35" s="181"/>
      <c r="AFI35" s="181"/>
      <c r="AFJ35" s="181"/>
      <c r="AFK35" s="181"/>
      <c r="AFL35" s="181"/>
      <c r="AFM35" s="181"/>
      <c r="AFN35" s="181"/>
      <c r="AFO35" s="181"/>
      <c r="AFP35" s="181"/>
      <c r="AFQ35" s="181"/>
      <c r="AFR35" s="181"/>
      <c r="AFS35" s="181"/>
      <c r="AFT35" s="181"/>
      <c r="AFU35" s="181"/>
      <c r="AFV35" s="181"/>
      <c r="AFW35" s="181"/>
      <c r="AFX35" s="181"/>
      <c r="AFY35" s="181"/>
      <c r="AFZ35" s="181"/>
      <c r="AGA35" s="181"/>
      <c r="AGB35" s="181"/>
      <c r="AGC35" s="181"/>
      <c r="AGD35" s="181"/>
      <c r="AGE35" s="181"/>
      <c r="AGF35" s="181"/>
      <c r="AGG35" s="181"/>
      <c r="AGH35" s="181"/>
      <c r="AGI35" s="181"/>
      <c r="AGJ35" s="181"/>
      <c r="AGK35" s="181"/>
      <c r="AGL35" s="181"/>
      <c r="AGM35" s="181"/>
      <c r="AGN35" s="181"/>
      <c r="AGO35" s="181"/>
      <c r="AGP35" s="181"/>
      <c r="AGQ35" s="181"/>
      <c r="AGR35" s="181"/>
      <c r="AGS35" s="181"/>
      <c r="AGT35" s="181"/>
      <c r="AGU35" s="181"/>
      <c r="AGV35" s="181"/>
      <c r="AGW35" s="181"/>
      <c r="AGX35" s="181"/>
      <c r="AGY35" s="181"/>
      <c r="AGZ35" s="181"/>
      <c r="AHA35" s="181"/>
      <c r="AHB35" s="181"/>
      <c r="AHC35" s="181"/>
      <c r="AHD35" s="181"/>
      <c r="AHE35" s="181"/>
      <c r="AHF35" s="181"/>
      <c r="AHG35" s="181"/>
      <c r="AHH35" s="181"/>
      <c r="AHI35" s="181"/>
      <c r="AHJ35" s="181"/>
      <c r="AHK35" s="181"/>
      <c r="AHL35" s="181"/>
      <c r="AHM35" s="181"/>
      <c r="AHN35" s="181"/>
      <c r="AHO35" s="181"/>
      <c r="AHP35" s="181"/>
      <c r="AHQ35" s="181"/>
      <c r="AHR35" s="181"/>
      <c r="AHS35" s="181"/>
      <c r="AHT35" s="181"/>
      <c r="AHU35" s="181"/>
      <c r="AHV35" s="181"/>
      <c r="AHW35" s="181"/>
      <c r="AHX35" s="181"/>
      <c r="AHY35" s="181"/>
      <c r="AHZ35" s="181"/>
      <c r="AIA35" s="181"/>
      <c r="AIB35" s="181"/>
      <c r="AIC35" s="181"/>
      <c r="AID35" s="181"/>
      <c r="AIE35" s="181"/>
      <c r="AIF35" s="181"/>
      <c r="AIG35" s="181"/>
      <c r="AIH35" s="181"/>
      <c r="AII35" s="181"/>
      <c r="AIJ35" s="181"/>
      <c r="AIK35" s="181"/>
      <c r="AIL35" s="181"/>
      <c r="AIM35" s="181"/>
      <c r="AIN35" s="181"/>
      <c r="AIO35" s="181"/>
      <c r="AIP35" s="181"/>
      <c r="AIQ35" s="181"/>
      <c r="AIR35" s="181"/>
      <c r="AIS35" s="181"/>
      <c r="AIT35" s="181"/>
      <c r="AIU35" s="181"/>
      <c r="AIV35" s="181"/>
      <c r="AIW35" s="181"/>
      <c r="AIX35" s="181"/>
      <c r="AIY35" s="181"/>
      <c r="AIZ35" s="181"/>
      <c r="AJA35" s="181"/>
      <c r="AJB35" s="181"/>
      <c r="AJC35" s="181"/>
      <c r="AJD35" s="181"/>
      <c r="AJE35" s="181"/>
      <c r="AJF35" s="181"/>
      <c r="AJG35" s="181"/>
      <c r="AJH35" s="181"/>
      <c r="AJI35" s="181"/>
      <c r="AJJ35" s="181"/>
      <c r="AJK35" s="181"/>
      <c r="AJL35" s="181"/>
      <c r="AJM35" s="181"/>
      <c r="AJN35" s="181"/>
      <c r="AJO35" s="181"/>
      <c r="AJP35" s="181"/>
      <c r="AJQ35" s="181"/>
      <c r="AJR35" s="181"/>
      <c r="AJS35" s="181"/>
      <c r="AJT35" s="181"/>
      <c r="AJU35" s="181"/>
      <c r="AJV35" s="181"/>
      <c r="AJW35" s="181"/>
      <c r="AJX35" s="181"/>
      <c r="AJY35" s="181"/>
      <c r="AJZ35" s="181"/>
      <c r="AKA35" s="181"/>
      <c r="AKB35" s="181"/>
      <c r="AKC35" s="181"/>
      <c r="AKD35" s="181"/>
      <c r="AKE35" s="181"/>
      <c r="AKF35" s="181"/>
      <c r="AKG35" s="181"/>
      <c r="AKH35" s="181"/>
      <c r="AKI35" s="181"/>
      <c r="AKJ35" s="181"/>
      <c r="AKK35" s="181"/>
      <c r="AKL35" s="181"/>
    </row>
    <row r="36" spans="1:974" s="115" customFormat="1" ht="15" customHeight="1" x14ac:dyDescent="0.3">
      <c r="A36" s="116">
        <v>8470230</v>
      </c>
      <c r="B36" s="117">
        <v>425762</v>
      </c>
      <c r="C36" s="462" t="s">
        <v>3090</v>
      </c>
      <c r="D36" s="151" t="s">
        <v>3091</v>
      </c>
      <c r="E36" s="152">
        <v>20</v>
      </c>
      <c r="F36" s="153">
        <v>15000</v>
      </c>
      <c r="G36" s="154">
        <f>E36*F36</f>
        <v>300000</v>
      </c>
      <c r="H36" s="114"/>
      <c r="I36" s="114"/>
      <c r="J36" s="114"/>
      <c r="K36" s="114"/>
      <c r="L36" s="114"/>
      <c r="M36" s="114"/>
      <c r="N36" s="114"/>
      <c r="O36" s="114"/>
      <c r="P36" s="114"/>
      <c r="Q36" s="114"/>
      <c r="R36" s="114"/>
      <c r="S36" s="114"/>
      <c r="T36" s="114"/>
      <c r="U36" s="114"/>
      <c r="V36" s="114"/>
      <c r="W36" s="114"/>
      <c r="X36" s="114"/>
      <c r="Y36" s="114"/>
      <c r="Z36" s="114"/>
      <c r="AA36" s="114"/>
      <c r="AB36" s="114"/>
      <c r="AC36" s="114"/>
      <c r="AD36" s="114"/>
      <c r="AE36" s="114"/>
      <c r="AF36" s="114"/>
      <c r="AG36" s="114"/>
      <c r="AH36" s="114"/>
      <c r="AI36" s="114"/>
      <c r="AJ36" s="114"/>
      <c r="AK36" s="114"/>
      <c r="AL36" s="114"/>
      <c r="AM36" s="114"/>
      <c r="AN36" s="114"/>
      <c r="AO36" s="114"/>
      <c r="AP36" s="114"/>
      <c r="AQ36" s="114"/>
      <c r="AR36" s="114"/>
      <c r="AS36" s="114"/>
      <c r="AT36" s="114"/>
      <c r="AU36" s="114"/>
      <c r="AV36" s="114"/>
      <c r="AW36" s="114"/>
      <c r="AX36" s="114"/>
      <c r="AY36" s="114"/>
      <c r="AZ36" s="114"/>
      <c r="BA36" s="114"/>
      <c r="BB36" s="114"/>
      <c r="BC36" s="114"/>
      <c r="BD36" s="114"/>
      <c r="BE36" s="114"/>
      <c r="BF36" s="114"/>
      <c r="BG36" s="114"/>
      <c r="BH36" s="114"/>
      <c r="BI36" s="114"/>
      <c r="BJ36" s="114"/>
      <c r="BK36" s="114"/>
      <c r="BL36" s="114"/>
      <c r="BM36" s="114"/>
      <c r="BN36" s="114"/>
      <c r="BO36" s="114"/>
      <c r="BP36" s="114"/>
      <c r="BQ36" s="114"/>
      <c r="BR36" s="114"/>
      <c r="BS36" s="114"/>
      <c r="BT36" s="114"/>
      <c r="BU36" s="114"/>
      <c r="BV36" s="114"/>
      <c r="BW36" s="114"/>
      <c r="BX36" s="114"/>
      <c r="BY36" s="114"/>
      <c r="BZ36" s="114"/>
      <c r="CA36" s="114"/>
      <c r="CB36" s="114"/>
      <c r="CC36" s="114"/>
      <c r="CD36" s="114"/>
      <c r="CE36" s="114"/>
      <c r="CF36" s="114"/>
      <c r="CG36" s="114"/>
      <c r="CH36" s="114"/>
      <c r="CI36" s="114"/>
      <c r="CJ36" s="114"/>
      <c r="CK36" s="114"/>
      <c r="CL36" s="114"/>
      <c r="CM36" s="114"/>
      <c r="CN36" s="114"/>
      <c r="CO36" s="114"/>
      <c r="CP36" s="114"/>
      <c r="CQ36" s="114"/>
      <c r="CR36" s="114"/>
      <c r="CS36" s="114"/>
      <c r="CT36" s="114"/>
      <c r="CU36" s="114"/>
      <c r="CV36" s="114"/>
      <c r="CW36" s="114"/>
      <c r="CX36" s="114"/>
      <c r="CY36" s="114"/>
      <c r="CZ36" s="114"/>
      <c r="DA36" s="114"/>
      <c r="DB36" s="114"/>
      <c r="DC36" s="114"/>
      <c r="DD36" s="114"/>
      <c r="DE36" s="114"/>
      <c r="DF36" s="114"/>
      <c r="DG36" s="114"/>
      <c r="DH36" s="114"/>
      <c r="DI36" s="114"/>
      <c r="DJ36" s="114"/>
      <c r="DK36" s="114"/>
      <c r="DL36" s="114"/>
      <c r="DM36" s="114"/>
      <c r="DN36" s="114"/>
      <c r="DO36" s="114"/>
      <c r="DP36" s="114"/>
      <c r="DQ36" s="114"/>
      <c r="DR36" s="114"/>
      <c r="DS36" s="114"/>
      <c r="DT36" s="114"/>
      <c r="DU36" s="114"/>
      <c r="DV36" s="114"/>
      <c r="DW36" s="114"/>
      <c r="DX36" s="114"/>
      <c r="DY36" s="114"/>
      <c r="DZ36" s="114"/>
      <c r="EA36" s="114"/>
      <c r="EB36" s="114"/>
      <c r="EC36" s="114"/>
      <c r="ED36" s="114"/>
      <c r="EE36" s="114"/>
      <c r="EF36" s="114"/>
      <c r="EG36" s="114"/>
      <c r="EH36" s="114"/>
      <c r="EI36" s="114"/>
      <c r="EJ36" s="114"/>
      <c r="EK36" s="114"/>
      <c r="EL36" s="114"/>
      <c r="EM36" s="114"/>
      <c r="EN36" s="114"/>
      <c r="EO36" s="114"/>
      <c r="EP36" s="114"/>
      <c r="EQ36" s="114"/>
      <c r="ER36" s="114"/>
      <c r="ES36" s="114"/>
      <c r="ET36" s="114"/>
      <c r="EU36" s="114"/>
      <c r="EV36" s="114"/>
      <c r="EW36" s="114"/>
      <c r="EX36" s="114"/>
      <c r="EY36" s="114"/>
      <c r="EZ36" s="114"/>
      <c r="FA36" s="114"/>
      <c r="FB36" s="114"/>
      <c r="FC36" s="114"/>
      <c r="FD36" s="114"/>
      <c r="FE36" s="114"/>
      <c r="FF36" s="114"/>
      <c r="FG36" s="114"/>
      <c r="FH36" s="114"/>
      <c r="FI36" s="114"/>
      <c r="FJ36" s="114"/>
      <c r="FK36" s="114"/>
      <c r="FL36" s="114"/>
      <c r="FM36" s="114"/>
      <c r="FN36" s="114"/>
      <c r="FO36" s="114"/>
      <c r="FP36" s="114"/>
      <c r="FQ36" s="114"/>
      <c r="FR36" s="114"/>
      <c r="FS36" s="114"/>
      <c r="FT36" s="114"/>
      <c r="FU36" s="114"/>
      <c r="FV36" s="114"/>
      <c r="FW36" s="114"/>
      <c r="FX36" s="114"/>
      <c r="FY36" s="114"/>
      <c r="FZ36" s="114"/>
      <c r="GA36" s="114"/>
      <c r="GB36" s="114"/>
      <c r="GC36" s="114"/>
      <c r="GD36" s="114"/>
      <c r="GE36" s="114"/>
      <c r="GF36" s="114"/>
      <c r="GG36" s="114"/>
      <c r="GH36" s="114"/>
      <c r="GI36" s="114"/>
      <c r="GJ36" s="114"/>
      <c r="GK36" s="114"/>
      <c r="GL36" s="114"/>
      <c r="GM36" s="114"/>
      <c r="GN36" s="114"/>
      <c r="GO36" s="114"/>
      <c r="GP36" s="114"/>
      <c r="GQ36" s="114"/>
      <c r="GR36" s="114"/>
      <c r="GS36" s="114"/>
      <c r="GT36" s="114"/>
      <c r="GU36" s="114"/>
      <c r="GV36" s="114"/>
      <c r="GW36" s="114"/>
      <c r="GX36" s="114"/>
      <c r="GY36" s="114"/>
      <c r="GZ36" s="114"/>
      <c r="HA36" s="114"/>
      <c r="HB36" s="114"/>
      <c r="HC36" s="114"/>
      <c r="HD36" s="114"/>
      <c r="HE36" s="114"/>
      <c r="HF36" s="114"/>
      <c r="HG36" s="114"/>
      <c r="HH36" s="114"/>
      <c r="HI36" s="114"/>
      <c r="HJ36" s="114"/>
      <c r="HK36" s="114"/>
      <c r="HL36" s="114"/>
      <c r="HM36" s="114"/>
      <c r="HN36" s="114"/>
      <c r="HO36" s="114"/>
      <c r="HP36" s="114"/>
      <c r="HQ36" s="114"/>
      <c r="HR36" s="114"/>
      <c r="HS36" s="114"/>
      <c r="HT36" s="114"/>
      <c r="HU36" s="114"/>
      <c r="HV36" s="114"/>
      <c r="HW36" s="114"/>
      <c r="HX36" s="114"/>
      <c r="HY36" s="114"/>
      <c r="HZ36" s="114"/>
      <c r="IA36" s="114"/>
      <c r="IB36" s="114"/>
      <c r="IC36" s="114"/>
      <c r="ID36" s="114"/>
      <c r="IE36" s="114"/>
      <c r="IF36" s="114"/>
      <c r="IG36" s="114"/>
      <c r="IH36" s="114"/>
      <c r="II36" s="114"/>
      <c r="IJ36" s="114"/>
      <c r="IK36" s="114"/>
      <c r="IL36" s="114"/>
      <c r="IM36" s="114"/>
      <c r="IN36" s="114"/>
      <c r="IO36" s="114"/>
      <c r="IP36" s="114"/>
      <c r="IQ36" s="114"/>
      <c r="IR36" s="114"/>
      <c r="IS36" s="114"/>
      <c r="IT36" s="114"/>
      <c r="IU36" s="114"/>
      <c r="IV36" s="114"/>
      <c r="IW36" s="114"/>
      <c r="IX36" s="114"/>
      <c r="IY36" s="114"/>
      <c r="IZ36" s="114"/>
      <c r="JA36" s="114"/>
      <c r="JB36" s="114"/>
      <c r="JC36" s="114"/>
      <c r="JD36" s="114"/>
      <c r="JE36" s="114"/>
      <c r="JF36" s="114"/>
      <c r="JG36" s="114"/>
      <c r="JH36" s="114"/>
      <c r="JI36" s="114"/>
      <c r="JJ36" s="114"/>
      <c r="JK36" s="114"/>
      <c r="JL36" s="114"/>
      <c r="JM36" s="114"/>
      <c r="JN36" s="114"/>
      <c r="JO36" s="114"/>
      <c r="JP36" s="114"/>
      <c r="JQ36" s="114"/>
      <c r="JR36" s="114"/>
      <c r="JS36" s="114"/>
      <c r="JT36" s="114"/>
      <c r="JU36" s="114"/>
      <c r="JV36" s="114"/>
      <c r="JW36" s="114"/>
      <c r="JX36" s="114"/>
      <c r="JY36" s="114"/>
      <c r="JZ36" s="114"/>
      <c r="KA36" s="114"/>
      <c r="KB36" s="114"/>
      <c r="KC36" s="114"/>
      <c r="KD36" s="114"/>
      <c r="KE36" s="114"/>
      <c r="KF36" s="114"/>
      <c r="KG36" s="114"/>
      <c r="KH36" s="114"/>
      <c r="KI36" s="114"/>
      <c r="KJ36" s="114"/>
      <c r="KK36" s="114"/>
      <c r="KL36" s="114"/>
      <c r="KM36" s="114"/>
      <c r="KN36" s="114"/>
      <c r="KO36" s="114"/>
      <c r="KP36" s="114"/>
      <c r="KQ36" s="114"/>
      <c r="KR36" s="114"/>
      <c r="KS36" s="114"/>
      <c r="KT36" s="114"/>
      <c r="KU36" s="114"/>
      <c r="KV36" s="114"/>
      <c r="KW36" s="114"/>
      <c r="KX36" s="114"/>
      <c r="KY36" s="114"/>
      <c r="KZ36" s="114"/>
      <c r="LA36" s="114"/>
      <c r="LB36" s="114"/>
      <c r="LC36" s="114"/>
      <c r="LD36" s="114"/>
      <c r="LE36" s="114"/>
      <c r="LF36" s="114"/>
      <c r="LG36" s="114"/>
      <c r="LH36" s="114"/>
      <c r="LI36" s="114"/>
      <c r="LJ36" s="114"/>
      <c r="LK36" s="114"/>
      <c r="LL36" s="114"/>
      <c r="LM36" s="114"/>
      <c r="LN36" s="114"/>
      <c r="LO36" s="114"/>
      <c r="LP36" s="114"/>
      <c r="LQ36" s="114"/>
      <c r="LR36" s="114"/>
      <c r="LS36" s="114"/>
      <c r="LT36" s="114"/>
      <c r="LU36" s="114"/>
      <c r="LV36" s="114"/>
      <c r="LW36" s="114"/>
      <c r="LX36" s="114"/>
      <c r="LY36" s="114"/>
      <c r="LZ36" s="114"/>
      <c r="MA36" s="114"/>
      <c r="MB36" s="114"/>
      <c r="MC36" s="114"/>
      <c r="MD36" s="114"/>
      <c r="ME36" s="114"/>
      <c r="MF36" s="114"/>
      <c r="MG36" s="114"/>
      <c r="MH36" s="114"/>
      <c r="MI36" s="114"/>
      <c r="MJ36" s="114"/>
      <c r="MK36" s="114"/>
      <c r="ML36" s="114"/>
      <c r="MM36" s="114"/>
      <c r="MN36" s="114"/>
      <c r="MO36" s="114"/>
      <c r="MP36" s="114"/>
      <c r="MQ36" s="114"/>
      <c r="MR36" s="114"/>
      <c r="MS36" s="114"/>
      <c r="MT36" s="114"/>
      <c r="MU36" s="114"/>
      <c r="MV36" s="114"/>
      <c r="MW36" s="114"/>
      <c r="MX36" s="114"/>
      <c r="MY36" s="114"/>
      <c r="MZ36" s="114"/>
      <c r="NA36" s="114"/>
      <c r="NB36" s="114"/>
      <c r="NC36" s="114"/>
      <c r="ND36" s="114"/>
      <c r="NE36" s="114"/>
      <c r="NF36" s="114"/>
      <c r="NG36" s="114"/>
      <c r="NH36" s="114"/>
      <c r="NI36" s="114"/>
      <c r="NJ36" s="114"/>
      <c r="NK36" s="114"/>
      <c r="NL36" s="114"/>
      <c r="NM36" s="114"/>
      <c r="NN36" s="114"/>
      <c r="NO36" s="114"/>
      <c r="NP36" s="114"/>
      <c r="NQ36" s="114"/>
      <c r="NR36" s="114"/>
      <c r="NS36" s="114"/>
      <c r="NT36" s="114"/>
      <c r="NU36" s="114"/>
      <c r="NV36" s="114"/>
      <c r="NW36" s="114"/>
      <c r="NX36" s="114"/>
      <c r="NY36" s="114"/>
      <c r="NZ36" s="114"/>
      <c r="OA36" s="114"/>
      <c r="OB36" s="114"/>
      <c r="OC36" s="114"/>
      <c r="OD36" s="114"/>
      <c r="OE36" s="114"/>
      <c r="OF36" s="114"/>
      <c r="OG36" s="114"/>
      <c r="OH36" s="114"/>
      <c r="OI36" s="114"/>
      <c r="OJ36" s="114"/>
      <c r="OK36" s="114"/>
      <c r="OL36" s="114"/>
      <c r="OM36" s="114"/>
      <c r="ON36" s="114"/>
      <c r="OO36" s="114"/>
      <c r="OP36" s="114"/>
      <c r="OQ36" s="114"/>
      <c r="OR36" s="114"/>
      <c r="OS36" s="114"/>
      <c r="OT36" s="114"/>
      <c r="OU36" s="114"/>
      <c r="OV36" s="114"/>
      <c r="OW36" s="114"/>
      <c r="OX36" s="114"/>
      <c r="OY36" s="114"/>
      <c r="OZ36" s="114"/>
      <c r="PA36" s="114"/>
      <c r="PB36" s="114"/>
      <c r="PC36" s="114"/>
      <c r="PD36" s="114"/>
      <c r="PE36" s="114"/>
      <c r="PF36" s="114"/>
      <c r="PG36" s="114"/>
      <c r="PH36" s="114"/>
      <c r="PI36" s="114"/>
      <c r="PJ36" s="114"/>
      <c r="PK36" s="114"/>
      <c r="PL36" s="114"/>
      <c r="PM36" s="114"/>
      <c r="PN36" s="114"/>
      <c r="PO36" s="114"/>
      <c r="PP36" s="114"/>
      <c r="PQ36" s="114"/>
      <c r="PR36" s="114"/>
      <c r="PS36" s="114"/>
      <c r="PT36" s="114"/>
      <c r="PU36" s="114"/>
      <c r="PV36" s="114"/>
      <c r="PW36" s="114"/>
      <c r="PX36" s="114"/>
      <c r="PY36" s="114"/>
      <c r="PZ36" s="114"/>
      <c r="QA36" s="114"/>
      <c r="QB36" s="114"/>
      <c r="QC36" s="114"/>
      <c r="QD36" s="114"/>
      <c r="QE36" s="114"/>
      <c r="QF36" s="114"/>
      <c r="QG36" s="114"/>
      <c r="QH36" s="114"/>
      <c r="QI36" s="114"/>
      <c r="QJ36" s="114"/>
      <c r="QK36" s="114"/>
      <c r="QL36" s="114"/>
      <c r="QM36" s="114"/>
      <c r="QN36" s="114"/>
      <c r="QO36" s="114"/>
      <c r="QP36" s="114"/>
      <c r="QQ36" s="114"/>
      <c r="QR36" s="114"/>
      <c r="QS36" s="114"/>
      <c r="QT36" s="114"/>
      <c r="QU36" s="114"/>
      <c r="QV36" s="114"/>
      <c r="QW36" s="114"/>
      <c r="QX36" s="114"/>
      <c r="QY36" s="114"/>
      <c r="QZ36" s="114"/>
      <c r="RA36" s="114"/>
      <c r="RB36" s="114"/>
      <c r="RC36" s="114"/>
      <c r="RD36" s="114"/>
      <c r="RE36" s="114"/>
      <c r="RF36" s="114"/>
      <c r="RG36" s="114"/>
      <c r="RH36" s="114"/>
      <c r="RI36" s="114"/>
      <c r="RJ36" s="114"/>
      <c r="RK36" s="114"/>
      <c r="RL36" s="114"/>
      <c r="RM36" s="114"/>
      <c r="RN36" s="114"/>
      <c r="RO36" s="114"/>
      <c r="RP36" s="114"/>
      <c r="RQ36" s="114"/>
      <c r="RR36" s="114"/>
      <c r="RS36" s="114"/>
      <c r="RT36" s="114"/>
      <c r="RU36" s="114"/>
      <c r="RV36" s="114"/>
      <c r="RW36" s="114"/>
      <c r="RX36" s="114"/>
      <c r="RY36" s="114"/>
      <c r="RZ36" s="114"/>
      <c r="SA36" s="114"/>
      <c r="SB36" s="114"/>
      <c r="SC36" s="114"/>
      <c r="SD36" s="114"/>
      <c r="SE36" s="114"/>
      <c r="SF36" s="114"/>
      <c r="SG36" s="114"/>
      <c r="SH36" s="114"/>
      <c r="SI36" s="114"/>
      <c r="SJ36" s="114"/>
      <c r="SK36" s="114"/>
      <c r="SL36" s="114"/>
      <c r="SM36" s="114"/>
      <c r="SN36" s="114"/>
      <c r="SO36" s="114"/>
      <c r="SP36" s="114"/>
      <c r="SQ36" s="114"/>
      <c r="SR36" s="114"/>
      <c r="SS36" s="114"/>
      <c r="ST36" s="114"/>
      <c r="SU36" s="114"/>
      <c r="SV36" s="114"/>
      <c r="SW36" s="114"/>
      <c r="SX36" s="114"/>
      <c r="SY36" s="114"/>
      <c r="SZ36" s="114"/>
      <c r="TA36" s="114"/>
      <c r="TB36" s="114"/>
      <c r="TC36" s="114"/>
      <c r="TD36" s="114"/>
      <c r="TE36" s="114"/>
      <c r="TF36" s="114"/>
      <c r="TG36" s="114"/>
      <c r="TH36" s="114"/>
      <c r="TI36" s="114"/>
      <c r="TJ36" s="114"/>
      <c r="TK36" s="114"/>
      <c r="TL36" s="114"/>
      <c r="TM36" s="114"/>
      <c r="TN36" s="114"/>
      <c r="TO36" s="114"/>
      <c r="TP36" s="114"/>
      <c r="TQ36" s="114"/>
      <c r="TR36" s="114"/>
      <c r="TS36" s="114"/>
      <c r="TT36" s="114"/>
      <c r="TU36" s="114"/>
      <c r="TV36" s="114"/>
      <c r="TW36" s="114"/>
      <c r="TX36" s="114"/>
      <c r="TY36" s="114"/>
      <c r="TZ36" s="114"/>
      <c r="UA36" s="114"/>
      <c r="UB36" s="114"/>
      <c r="UC36" s="114"/>
      <c r="UD36" s="114"/>
      <c r="UE36" s="114"/>
      <c r="UF36" s="114"/>
      <c r="UG36" s="114"/>
      <c r="UH36" s="114"/>
      <c r="UI36" s="114"/>
      <c r="UJ36" s="114"/>
      <c r="UK36" s="114"/>
      <c r="UL36" s="114"/>
      <c r="UM36" s="114"/>
      <c r="UN36" s="114"/>
      <c r="UO36" s="114"/>
      <c r="UP36" s="114"/>
      <c r="UQ36" s="114"/>
      <c r="UR36" s="114"/>
      <c r="US36" s="114"/>
      <c r="UT36" s="114"/>
      <c r="UU36" s="114"/>
      <c r="UV36" s="114"/>
      <c r="UW36" s="114"/>
      <c r="UX36" s="114"/>
      <c r="UY36" s="114"/>
      <c r="UZ36" s="114"/>
      <c r="VA36" s="114"/>
      <c r="VB36" s="114"/>
      <c r="VC36" s="114"/>
      <c r="VD36" s="114"/>
      <c r="VE36" s="114"/>
      <c r="VF36" s="114"/>
      <c r="VG36" s="114"/>
      <c r="VH36" s="114"/>
      <c r="VI36" s="114"/>
      <c r="VJ36" s="114"/>
      <c r="VK36" s="114"/>
      <c r="VL36" s="114"/>
      <c r="VM36" s="114"/>
      <c r="VN36" s="114"/>
      <c r="VO36" s="114"/>
      <c r="VP36" s="114"/>
      <c r="VQ36" s="114"/>
      <c r="VR36" s="114"/>
      <c r="VS36" s="114"/>
      <c r="VT36" s="114"/>
      <c r="VU36" s="114"/>
      <c r="VV36" s="114"/>
      <c r="VW36" s="114"/>
      <c r="VX36" s="114"/>
      <c r="VY36" s="114"/>
      <c r="VZ36" s="114"/>
      <c r="WA36" s="114"/>
      <c r="WB36" s="114"/>
      <c r="WC36" s="114"/>
      <c r="WD36" s="114"/>
      <c r="WE36" s="114"/>
      <c r="WF36" s="114"/>
      <c r="WG36" s="114"/>
      <c r="WH36" s="114"/>
      <c r="WI36" s="114"/>
      <c r="WJ36" s="114"/>
      <c r="WK36" s="114"/>
      <c r="WL36" s="114"/>
      <c r="WM36" s="114"/>
      <c r="WN36" s="114"/>
      <c r="WO36" s="114"/>
      <c r="WP36" s="114"/>
      <c r="WQ36" s="114"/>
      <c r="WR36" s="114"/>
      <c r="WS36" s="114"/>
      <c r="WT36" s="114"/>
      <c r="WU36" s="114"/>
      <c r="WV36" s="114"/>
      <c r="WW36" s="114"/>
      <c r="WX36" s="114"/>
      <c r="WY36" s="114"/>
      <c r="WZ36" s="114"/>
      <c r="XA36" s="114"/>
      <c r="XB36" s="114"/>
      <c r="XC36" s="114"/>
      <c r="XD36" s="114"/>
      <c r="XE36" s="114"/>
      <c r="XF36" s="114"/>
      <c r="XG36" s="114"/>
      <c r="XH36" s="114"/>
      <c r="XI36" s="114"/>
      <c r="XJ36" s="114"/>
      <c r="XK36" s="114"/>
      <c r="XL36" s="114"/>
      <c r="XM36" s="114"/>
      <c r="XN36" s="114"/>
      <c r="XO36" s="114"/>
      <c r="XP36" s="114"/>
      <c r="XQ36" s="114"/>
      <c r="XR36" s="114"/>
      <c r="XS36" s="114"/>
      <c r="XT36" s="114"/>
      <c r="XU36" s="114"/>
      <c r="XV36" s="114"/>
      <c r="XW36" s="114"/>
      <c r="XX36" s="114"/>
      <c r="XY36" s="114"/>
      <c r="XZ36" s="114"/>
      <c r="YA36" s="114"/>
      <c r="YB36" s="114"/>
      <c r="YC36" s="114"/>
      <c r="YD36" s="114"/>
      <c r="YE36" s="114"/>
      <c r="YF36" s="114"/>
      <c r="YG36" s="114"/>
      <c r="YH36" s="114"/>
      <c r="YI36" s="114"/>
      <c r="YJ36" s="114"/>
      <c r="YK36" s="114"/>
      <c r="YL36" s="114"/>
      <c r="YM36" s="114"/>
      <c r="YN36" s="114"/>
      <c r="YO36" s="114"/>
      <c r="YP36" s="114"/>
      <c r="YQ36" s="114"/>
      <c r="YR36" s="114"/>
      <c r="YS36" s="114"/>
      <c r="YT36" s="114"/>
      <c r="YU36" s="114"/>
      <c r="YV36" s="114"/>
      <c r="YW36" s="114"/>
      <c r="YX36" s="114"/>
      <c r="YY36" s="114"/>
      <c r="YZ36" s="114"/>
      <c r="ZA36" s="114"/>
      <c r="ZB36" s="114"/>
      <c r="ZC36" s="114"/>
      <c r="ZD36" s="114"/>
      <c r="ZE36" s="114"/>
      <c r="ZF36" s="114"/>
      <c r="ZG36" s="114"/>
      <c r="ZH36" s="114"/>
      <c r="ZI36" s="114"/>
      <c r="ZJ36" s="114"/>
      <c r="ZK36" s="114"/>
      <c r="ZL36" s="114"/>
      <c r="ZM36" s="114"/>
      <c r="ZN36" s="114"/>
      <c r="ZO36" s="114"/>
      <c r="ZP36" s="114"/>
      <c r="ZQ36" s="114"/>
      <c r="ZR36" s="114"/>
      <c r="ZS36" s="114"/>
      <c r="ZT36" s="114"/>
      <c r="ZU36" s="114"/>
      <c r="ZV36" s="114"/>
      <c r="ZW36" s="114"/>
      <c r="ZX36" s="114"/>
      <c r="ZY36" s="114"/>
      <c r="ZZ36" s="114"/>
      <c r="AAA36" s="114"/>
      <c r="AAB36" s="114"/>
      <c r="AAC36" s="114"/>
      <c r="AAD36" s="114"/>
      <c r="AAE36" s="114"/>
      <c r="AAF36" s="114"/>
      <c r="AAG36" s="114"/>
      <c r="AAH36" s="114"/>
      <c r="AAI36" s="114"/>
      <c r="AAJ36" s="114"/>
      <c r="AAK36" s="114"/>
      <c r="AAL36" s="114"/>
      <c r="AAM36" s="114"/>
      <c r="AAN36" s="114"/>
      <c r="AAO36" s="114"/>
      <c r="AAP36" s="114"/>
      <c r="AAQ36" s="114"/>
      <c r="AAR36" s="114"/>
      <c r="AAS36" s="114"/>
      <c r="AAT36" s="114"/>
      <c r="AAU36" s="114"/>
      <c r="AAV36" s="114"/>
      <c r="AAW36" s="114"/>
      <c r="AAX36" s="114"/>
      <c r="AAY36" s="114"/>
      <c r="AAZ36" s="114"/>
      <c r="ABA36" s="114"/>
      <c r="ABB36" s="114"/>
      <c r="ABC36" s="114"/>
      <c r="ABD36" s="114"/>
      <c r="ABE36" s="114"/>
      <c r="ABF36" s="114"/>
      <c r="ABG36" s="114"/>
      <c r="ABH36" s="114"/>
      <c r="ABI36" s="114"/>
      <c r="ABJ36" s="114"/>
      <c r="ABK36" s="114"/>
      <c r="ABL36" s="114"/>
      <c r="ABM36" s="114"/>
      <c r="ABN36" s="114"/>
      <c r="ABO36" s="114"/>
      <c r="ABP36" s="114"/>
      <c r="ABQ36" s="114"/>
      <c r="ABR36" s="114"/>
      <c r="ABS36" s="114"/>
      <c r="ABT36" s="114"/>
      <c r="ABU36" s="114"/>
      <c r="ABV36" s="114"/>
      <c r="ABW36" s="114"/>
      <c r="ABX36" s="114"/>
      <c r="ABY36" s="114"/>
      <c r="ABZ36" s="114"/>
      <c r="ACA36" s="114"/>
      <c r="ACB36" s="114"/>
      <c r="ACC36" s="114"/>
      <c r="ACD36" s="114"/>
      <c r="ACE36" s="114"/>
      <c r="ACF36" s="114"/>
      <c r="ACG36" s="114"/>
      <c r="ACH36" s="114"/>
      <c r="ACI36" s="114"/>
      <c r="ACJ36" s="114"/>
      <c r="ACK36" s="114"/>
      <c r="ACL36" s="114"/>
      <c r="ACM36" s="114"/>
      <c r="ACN36" s="114"/>
      <c r="ACO36" s="114"/>
      <c r="ACP36" s="114"/>
      <c r="ACQ36" s="114"/>
      <c r="ACR36" s="114"/>
      <c r="ACS36" s="114"/>
      <c r="ACT36" s="114"/>
      <c r="ACU36" s="114"/>
      <c r="ACV36" s="114"/>
      <c r="ACW36" s="114"/>
      <c r="ACX36" s="114"/>
      <c r="ACY36" s="114"/>
      <c r="ACZ36" s="114"/>
      <c r="ADA36" s="114"/>
      <c r="ADB36" s="114"/>
      <c r="ADC36" s="114"/>
      <c r="ADD36" s="114"/>
      <c r="ADE36" s="114"/>
      <c r="ADF36" s="114"/>
      <c r="ADG36" s="114"/>
      <c r="ADH36" s="114"/>
      <c r="ADI36" s="114"/>
      <c r="ADJ36" s="114"/>
      <c r="ADK36" s="114"/>
      <c r="ADL36" s="114"/>
      <c r="ADM36" s="114"/>
      <c r="ADN36" s="114"/>
      <c r="ADO36" s="114"/>
      <c r="ADP36" s="114"/>
      <c r="ADQ36" s="114"/>
      <c r="ADR36" s="114"/>
      <c r="ADS36" s="114"/>
      <c r="ADT36" s="114"/>
      <c r="ADU36" s="114"/>
      <c r="ADV36" s="114"/>
      <c r="ADW36" s="114"/>
      <c r="ADX36" s="114"/>
      <c r="ADY36" s="114"/>
      <c r="ADZ36" s="114"/>
      <c r="AEA36" s="114"/>
      <c r="AEB36" s="114"/>
      <c r="AEC36" s="114"/>
      <c r="AED36" s="114"/>
      <c r="AEE36" s="114"/>
      <c r="AEF36" s="114"/>
      <c r="AEG36" s="114"/>
      <c r="AEH36" s="114"/>
      <c r="AEI36" s="114"/>
      <c r="AEJ36" s="114"/>
      <c r="AEK36" s="114"/>
      <c r="AEL36" s="114"/>
      <c r="AEM36" s="114"/>
      <c r="AEN36" s="114"/>
      <c r="AEO36" s="114"/>
      <c r="AEP36" s="114"/>
      <c r="AEQ36" s="114"/>
      <c r="AER36" s="114"/>
      <c r="AES36" s="114"/>
      <c r="AET36" s="114"/>
      <c r="AEU36" s="114"/>
      <c r="AEV36" s="114"/>
      <c r="AEW36" s="114"/>
      <c r="AEX36" s="114"/>
      <c r="AEY36" s="114"/>
      <c r="AEZ36" s="114"/>
      <c r="AFA36" s="114"/>
      <c r="AFB36" s="114"/>
      <c r="AFC36" s="114"/>
      <c r="AFD36" s="114"/>
      <c r="AFE36" s="114"/>
      <c r="AFF36" s="114"/>
      <c r="AFG36" s="114"/>
      <c r="AFH36" s="114"/>
      <c r="AFI36" s="114"/>
      <c r="AFJ36" s="114"/>
      <c r="AFK36" s="114"/>
      <c r="AFL36" s="114"/>
      <c r="AFM36" s="114"/>
      <c r="AFN36" s="114"/>
      <c r="AFO36" s="114"/>
      <c r="AFP36" s="114"/>
      <c r="AFQ36" s="114"/>
      <c r="AFR36" s="114"/>
      <c r="AFS36" s="114"/>
      <c r="AFT36" s="114"/>
      <c r="AFU36" s="114"/>
      <c r="AFV36" s="114"/>
      <c r="AFW36" s="114"/>
      <c r="AFX36" s="114"/>
      <c r="AFY36" s="114"/>
      <c r="AFZ36" s="114"/>
      <c r="AGA36" s="114"/>
      <c r="AGB36" s="114"/>
      <c r="AGC36" s="114"/>
      <c r="AGD36" s="114"/>
      <c r="AGE36" s="114"/>
      <c r="AGF36" s="114"/>
      <c r="AGG36" s="114"/>
      <c r="AGH36" s="114"/>
      <c r="AGI36" s="114"/>
      <c r="AGJ36" s="114"/>
      <c r="AGK36" s="114"/>
      <c r="AGL36" s="114"/>
      <c r="AGM36" s="114"/>
      <c r="AGN36" s="114"/>
      <c r="AGO36" s="114"/>
      <c r="AGP36" s="114"/>
      <c r="AGQ36" s="114"/>
      <c r="AGR36" s="114"/>
      <c r="AGS36" s="114"/>
      <c r="AGT36" s="114"/>
      <c r="AGU36" s="114"/>
      <c r="AGV36" s="114"/>
      <c r="AGW36" s="114"/>
      <c r="AGX36" s="114"/>
      <c r="AGY36" s="114"/>
      <c r="AGZ36" s="114"/>
      <c r="AHA36" s="114"/>
      <c r="AHB36" s="114"/>
      <c r="AHC36" s="114"/>
      <c r="AHD36" s="114"/>
      <c r="AHE36" s="114"/>
      <c r="AHF36" s="114"/>
      <c r="AHG36" s="114"/>
      <c r="AHH36" s="114"/>
      <c r="AHI36" s="114"/>
      <c r="AHJ36" s="114"/>
      <c r="AHK36" s="114"/>
      <c r="AHL36" s="114"/>
      <c r="AHM36" s="114"/>
      <c r="AHN36" s="114"/>
      <c r="AHO36" s="114"/>
      <c r="AHP36" s="114"/>
      <c r="AHQ36" s="114"/>
      <c r="AHR36" s="114"/>
      <c r="AHS36" s="114"/>
      <c r="AHT36" s="114"/>
      <c r="AHU36" s="114"/>
      <c r="AHV36" s="114"/>
      <c r="AHW36" s="114"/>
      <c r="AHX36" s="114"/>
      <c r="AHY36" s="114"/>
      <c r="AHZ36" s="114"/>
      <c r="AIA36" s="114"/>
      <c r="AIB36" s="114"/>
      <c r="AIC36" s="114"/>
      <c r="AID36" s="114"/>
      <c r="AIE36" s="114"/>
      <c r="AIF36" s="114"/>
      <c r="AIG36" s="114"/>
      <c r="AIH36" s="114"/>
      <c r="AII36" s="114"/>
      <c r="AIJ36" s="114"/>
      <c r="AIK36" s="114"/>
      <c r="AIL36" s="114"/>
      <c r="AIM36" s="114"/>
      <c r="AIN36" s="114"/>
      <c r="AIO36" s="114"/>
      <c r="AIP36" s="114"/>
      <c r="AIQ36" s="114"/>
      <c r="AIR36" s="114"/>
      <c r="AIS36" s="114"/>
      <c r="AIT36" s="114"/>
      <c r="AIU36" s="114"/>
      <c r="AIV36" s="114"/>
      <c r="AIW36" s="114"/>
      <c r="AIX36" s="114"/>
      <c r="AIY36" s="114"/>
      <c r="AIZ36" s="114"/>
      <c r="AJA36" s="114"/>
      <c r="AJB36" s="114"/>
      <c r="AJC36" s="114"/>
      <c r="AJD36" s="114"/>
      <c r="AJE36" s="114"/>
      <c r="AJF36" s="114"/>
      <c r="AJG36" s="114"/>
      <c r="AJH36" s="114"/>
      <c r="AJI36" s="114"/>
      <c r="AJJ36" s="114"/>
      <c r="AJK36" s="114"/>
      <c r="AJL36" s="114"/>
      <c r="AJM36" s="114"/>
      <c r="AJN36" s="114"/>
      <c r="AJO36" s="114"/>
      <c r="AJP36" s="114"/>
      <c r="AJQ36" s="114"/>
      <c r="AJR36" s="114"/>
      <c r="AJS36" s="114"/>
      <c r="AJT36" s="114"/>
      <c r="AJU36" s="114"/>
      <c r="AJV36" s="114"/>
      <c r="AJW36" s="114"/>
      <c r="AJX36" s="114"/>
      <c r="AJY36" s="114"/>
      <c r="AJZ36" s="114"/>
      <c r="AKA36" s="114"/>
      <c r="AKB36" s="114"/>
      <c r="AKC36" s="114"/>
      <c r="AKD36" s="114"/>
      <c r="AKE36" s="114"/>
      <c r="AKF36" s="114"/>
      <c r="AKG36" s="114"/>
      <c r="AKH36" s="114"/>
      <c r="AKI36" s="114"/>
      <c r="AKJ36" s="114"/>
      <c r="AKK36" s="114"/>
      <c r="AKL36" s="114"/>
    </row>
    <row r="37" spans="1:974" s="115" customFormat="1" ht="15" customHeight="1" x14ac:dyDescent="0.3">
      <c r="A37" s="158"/>
      <c r="B37" s="159"/>
      <c r="C37" s="463"/>
      <c r="D37" s="464" t="s">
        <v>2836</v>
      </c>
      <c r="E37" s="465"/>
      <c r="F37" s="466"/>
      <c r="G37" s="127">
        <f>SUM(G36)</f>
        <v>300000</v>
      </c>
      <c r="H37" s="114"/>
      <c r="I37" s="114"/>
      <c r="J37" s="114"/>
      <c r="K37" s="114"/>
      <c r="L37" s="114"/>
      <c r="M37" s="114"/>
      <c r="N37" s="114"/>
      <c r="O37" s="114"/>
      <c r="P37" s="114"/>
      <c r="Q37" s="114"/>
      <c r="R37" s="114"/>
      <c r="S37" s="114"/>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4"/>
      <c r="AX37" s="114"/>
      <c r="AY37" s="114"/>
      <c r="AZ37" s="114"/>
      <c r="BA37" s="114"/>
      <c r="BB37" s="114"/>
      <c r="BC37" s="114"/>
      <c r="BD37" s="114"/>
      <c r="BE37" s="114"/>
      <c r="BF37" s="114"/>
      <c r="BG37" s="114"/>
      <c r="BH37" s="114"/>
      <c r="BI37" s="114"/>
      <c r="BJ37" s="114"/>
      <c r="BK37" s="114"/>
      <c r="BL37" s="114"/>
      <c r="BM37" s="114"/>
      <c r="BN37" s="114"/>
      <c r="BO37" s="114"/>
      <c r="BP37" s="114"/>
      <c r="BQ37" s="114"/>
      <c r="BR37" s="114"/>
      <c r="BS37" s="114"/>
      <c r="BT37" s="114"/>
      <c r="BU37" s="114"/>
      <c r="BV37" s="114"/>
      <c r="BW37" s="114"/>
      <c r="BX37" s="114"/>
      <c r="BY37" s="114"/>
      <c r="BZ37" s="114"/>
      <c r="CA37" s="114"/>
      <c r="CB37" s="114"/>
      <c r="CC37" s="114"/>
      <c r="CD37" s="114"/>
      <c r="CE37" s="114"/>
      <c r="CF37" s="114"/>
      <c r="CG37" s="114"/>
      <c r="CH37" s="114"/>
      <c r="CI37" s="114"/>
      <c r="CJ37" s="114"/>
      <c r="CK37" s="114"/>
      <c r="CL37" s="114"/>
      <c r="CM37" s="114"/>
      <c r="CN37" s="114"/>
      <c r="CO37" s="114"/>
      <c r="CP37" s="114"/>
      <c r="CQ37" s="114"/>
      <c r="CR37" s="114"/>
      <c r="CS37" s="114"/>
      <c r="CT37" s="114"/>
      <c r="CU37" s="114"/>
      <c r="CV37" s="114"/>
      <c r="CW37" s="114"/>
      <c r="CX37" s="114"/>
      <c r="CY37" s="114"/>
      <c r="CZ37" s="114"/>
      <c r="DA37" s="114"/>
      <c r="DB37" s="114"/>
      <c r="DC37" s="114"/>
      <c r="DD37" s="114"/>
      <c r="DE37" s="114"/>
      <c r="DF37" s="114"/>
      <c r="DG37" s="114"/>
      <c r="DH37" s="114"/>
      <c r="DI37" s="114"/>
      <c r="DJ37" s="114"/>
      <c r="DK37" s="114"/>
      <c r="DL37" s="114"/>
      <c r="DM37" s="114"/>
      <c r="DN37" s="114"/>
      <c r="DO37" s="114"/>
      <c r="DP37" s="114"/>
      <c r="DQ37" s="114"/>
      <c r="DR37" s="114"/>
      <c r="DS37" s="114"/>
      <c r="DT37" s="114"/>
      <c r="DU37" s="114"/>
      <c r="DV37" s="114"/>
      <c r="DW37" s="114"/>
      <c r="DX37" s="114"/>
      <c r="DY37" s="114"/>
      <c r="DZ37" s="114"/>
      <c r="EA37" s="114"/>
      <c r="EB37" s="114"/>
      <c r="EC37" s="114"/>
      <c r="ED37" s="114"/>
      <c r="EE37" s="114"/>
      <c r="EF37" s="114"/>
      <c r="EG37" s="114"/>
      <c r="EH37" s="114"/>
      <c r="EI37" s="114"/>
      <c r="EJ37" s="114"/>
      <c r="EK37" s="114"/>
      <c r="EL37" s="114"/>
      <c r="EM37" s="114"/>
      <c r="EN37" s="114"/>
      <c r="EO37" s="114"/>
      <c r="EP37" s="114"/>
      <c r="EQ37" s="114"/>
      <c r="ER37" s="114"/>
      <c r="ES37" s="114"/>
      <c r="ET37" s="114"/>
      <c r="EU37" s="114"/>
      <c r="EV37" s="114"/>
      <c r="EW37" s="114"/>
      <c r="EX37" s="114"/>
      <c r="EY37" s="114"/>
      <c r="EZ37" s="114"/>
      <c r="FA37" s="114"/>
      <c r="FB37" s="114"/>
      <c r="FC37" s="114"/>
      <c r="FD37" s="114"/>
      <c r="FE37" s="114"/>
      <c r="FF37" s="114"/>
      <c r="FG37" s="114"/>
      <c r="FH37" s="114"/>
      <c r="FI37" s="114"/>
      <c r="FJ37" s="114"/>
      <c r="FK37" s="114"/>
      <c r="FL37" s="114"/>
      <c r="FM37" s="114"/>
      <c r="FN37" s="114"/>
      <c r="FO37" s="114"/>
      <c r="FP37" s="114"/>
      <c r="FQ37" s="114"/>
      <c r="FR37" s="114"/>
      <c r="FS37" s="114"/>
      <c r="FT37" s="114"/>
      <c r="FU37" s="114"/>
      <c r="FV37" s="114"/>
      <c r="FW37" s="114"/>
      <c r="FX37" s="114"/>
      <c r="FY37" s="114"/>
      <c r="FZ37" s="114"/>
      <c r="GA37" s="114"/>
      <c r="GB37" s="114"/>
      <c r="GC37" s="114"/>
      <c r="GD37" s="114"/>
      <c r="GE37" s="114"/>
      <c r="GF37" s="114"/>
      <c r="GG37" s="114"/>
      <c r="GH37" s="114"/>
      <c r="GI37" s="114"/>
      <c r="GJ37" s="114"/>
      <c r="GK37" s="114"/>
      <c r="GL37" s="114"/>
      <c r="GM37" s="114"/>
      <c r="GN37" s="114"/>
      <c r="GO37" s="114"/>
      <c r="GP37" s="114"/>
      <c r="GQ37" s="114"/>
      <c r="GR37" s="114"/>
      <c r="GS37" s="114"/>
      <c r="GT37" s="114"/>
      <c r="GU37" s="114"/>
      <c r="GV37" s="114"/>
      <c r="GW37" s="114"/>
      <c r="GX37" s="114"/>
      <c r="GY37" s="114"/>
      <c r="GZ37" s="114"/>
      <c r="HA37" s="114"/>
      <c r="HB37" s="114"/>
      <c r="HC37" s="114"/>
      <c r="HD37" s="114"/>
      <c r="HE37" s="114"/>
      <c r="HF37" s="114"/>
      <c r="HG37" s="114"/>
      <c r="HH37" s="114"/>
      <c r="HI37" s="114"/>
      <c r="HJ37" s="114"/>
      <c r="HK37" s="114"/>
      <c r="HL37" s="114"/>
      <c r="HM37" s="114"/>
      <c r="HN37" s="114"/>
      <c r="HO37" s="114"/>
      <c r="HP37" s="114"/>
      <c r="HQ37" s="114"/>
      <c r="HR37" s="114"/>
      <c r="HS37" s="114"/>
      <c r="HT37" s="114"/>
      <c r="HU37" s="114"/>
      <c r="HV37" s="114"/>
      <c r="HW37" s="114"/>
      <c r="HX37" s="114"/>
      <c r="HY37" s="114"/>
      <c r="HZ37" s="114"/>
      <c r="IA37" s="114"/>
      <c r="IB37" s="114"/>
      <c r="IC37" s="114"/>
      <c r="ID37" s="114"/>
      <c r="IE37" s="114"/>
      <c r="IF37" s="114"/>
      <c r="IG37" s="114"/>
      <c r="IH37" s="114"/>
      <c r="II37" s="114"/>
      <c r="IJ37" s="114"/>
      <c r="IK37" s="114"/>
      <c r="IL37" s="114"/>
      <c r="IM37" s="114"/>
      <c r="IN37" s="114"/>
      <c r="IO37" s="114"/>
      <c r="IP37" s="114"/>
      <c r="IQ37" s="114"/>
      <c r="IR37" s="114"/>
      <c r="IS37" s="114"/>
      <c r="IT37" s="114"/>
      <c r="IU37" s="114"/>
      <c r="IV37" s="114"/>
      <c r="IW37" s="114"/>
      <c r="IX37" s="114"/>
      <c r="IY37" s="114"/>
      <c r="IZ37" s="114"/>
      <c r="JA37" s="114"/>
      <c r="JB37" s="114"/>
      <c r="JC37" s="114"/>
      <c r="JD37" s="114"/>
      <c r="JE37" s="114"/>
      <c r="JF37" s="114"/>
      <c r="JG37" s="114"/>
      <c r="JH37" s="114"/>
      <c r="JI37" s="114"/>
      <c r="JJ37" s="114"/>
      <c r="JK37" s="114"/>
      <c r="JL37" s="114"/>
      <c r="JM37" s="114"/>
      <c r="JN37" s="114"/>
      <c r="JO37" s="114"/>
      <c r="JP37" s="114"/>
      <c r="JQ37" s="114"/>
      <c r="JR37" s="114"/>
      <c r="JS37" s="114"/>
      <c r="JT37" s="114"/>
      <c r="JU37" s="114"/>
      <c r="JV37" s="114"/>
      <c r="JW37" s="114"/>
      <c r="JX37" s="114"/>
      <c r="JY37" s="114"/>
      <c r="JZ37" s="114"/>
      <c r="KA37" s="114"/>
      <c r="KB37" s="114"/>
      <c r="KC37" s="114"/>
      <c r="KD37" s="114"/>
      <c r="KE37" s="114"/>
      <c r="KF37" s="114"/>
      <c r="KG37" s="114"/>
      <c r="KH37" s="114"/>
      <c r="KI37" s="114"/>
      <c r="KJ37" s="114"/>
      <c r="KK37" s="114"/>
      <c r="KL37" s="114"/>
      <c r="KM37" s="114"/>
      <c r="KN37" s="114"/>
      <c r="KO37" s="114"/>
      <c r="KP37" s="114"/>
      <c r="KQ37" s="114"/>
      <c r="KR37" s="114"/>
      <c r="KS37" s="114"/>
      <c r="KT37" s="114"/>
      <c r="KU37" s="114"/>
      <c r="KV37" s="114"/>
      <c r="KW37" s="114"/>
      <c r="KX37" s="114"/>
      <c r="KY37" s="114"/>
      <c r="KZ37" s="114"/>
      <c r="LA37" s="114"/>
      <c r="LB37" s="114"/>
      <c r="LC37" s="114"/>
      <c r="LD37" s="114"/>
      <c r="LE37" s="114"/>
      <c r="LF37" s="114"/>
      <c r="LG37" s="114"/>
      <c r="LH37" s="114"/>
      <c r="LI37" s="114"/>
      <c r="LJ37" s="114"/>
      <c r="LK37" s="114"/>
      <c r="LL37" s="114"/>
      <c r="LM37" s="114"/>
      <c r="LN37" s="114"/>
      <c r="LO37" s="114"/>
      <c r="LP37" s="114"/>
      <c r="LQ37" s="114"/>
      <c r="LR37" s="114"/>
      <c r="LS37" s="114"/>
      <c r="LT37" s="114"/>
      <c r="LU37" s="114"/>
      <c r="LV37" s="114"/>
      <c r="LW37" s="114"/>
      <c r="LX37" s="114"/>
      <c r="LY37" s="114"/>
      <c r="LZ37" s="114"/>
      <c r="MA37" s="114"/>
      <c r="MB37" s="114"/>
      <c r="MC37" s="114"/>
      <c r="MD37" s="114"/>
      <c r="ME37" s="114"/>
      <c r="MF37" s="114"/>
      <c r="MG37" s="114"/>
      <c r="MH37" s="114"/>
      <c r="MI37" s="114"/>
      <c r="MJ37" s="114"/>
      <c r="MK37" s="114"/>
      <c r="ML37" s="114"/>
      <c r="MM37" s="114"/>
      <c r="MN37" s="114"/>
      <c r="MO37" s="114"/>
      <c r="MP37" s="114"/>
      <c r="MQ37" s="114"/>
      <c r="MR37" s="114"/>
      <c r="MS37" s="114"/>
      <c r="MT37" s="114"/>
      <c r="MU37" s="114"/>
      <c r="MV37" s="114"/>
      <c r="MW37" s="114"/>
      <c r="MX37" s="114"/>
      <c r="MY37" s="114"/>
      <c r="MZ37" s="114"/>
      <c r="NA37" s="114"/>
      <c r="NB37" s="114"/>
      <c r="NC37" s="114"/>
      <c r="ND37" s="114"/>
      <c r="NE37" s="114"/>
      <c r="NF37" s="114"/>
      <c r="NG37" s="114"/>
      <c r="NH37" s="114"/>
      <c r="NI37" s="114"/>
      <c r="NJ37" s="114"/>
      <c r="NK37" s="114"/>
      <c r="NL37" s="114"/>
      <c r="NM37" s="114"/>
      <c r="NN37" s="114"/>
      <c r="NO37" s="114"/>
      <c r="NP37" s="114"/>
      <c r="NQ37" s="114"/>
      <c r="NR37" s="114"/>
      <c r="NS37" s="114"/>
      <c r="NT37" s="114"/>
      <c r="NU37" s="114"/>
      <c r="NV37" s="114"/>
      <c r="NW37" s="114"/>
      <c r="NX37" s="114"/>
      <c r="NY37" s="114"/>
      <c r="NZ37" s="114"/>
      <c r="OA37" s="114"/>
      <c r="OB37" s="114"/>
      <c r="OC37" s="114"/>
      <c r="OD37" s="114"/>
      <c r="OE37" s="114"/>
      <c r="OF37" s="114"/>
      <c r="OG37" s="114"/>
      <c r="OH37" s="114"/>
      <c r="OI37" s="114"/>
      <c r="OJ37" s="114"/>
      <c r="OK37" s="114"/>
      <c r="OL37" s="114"/>
      <c r="OM37" s="114"/>
      <c r="ON37" s="114"/>
      <c r="OO37" s="114"/>
      <c r="OP37" s="114"/>
      <c r="OQ37" s="114"/>
      <c r="OR37" s="114"/>
      <c r="OS37" s="114"/>
      <c r="OT37" s="114"/>
      <c r="OU37" s="114"/>
      <c r="OV37" s="114"/>
      <c r="OW37" s="114"/>
      <c r="OX37" s="114"/>
      <c r="OY37" s="114"/>
      <c r="OZ37" s="114"/>
      <c r="PA37" s="114"/>
      <c r="PB37" s="114"/>
      <c r="PC37" s="114"/>
      <c r="PD37" s="114"/>
      <c r="PE37" s="114"/>
      <c r="PF37" s="114"/>
      <c r="PG37" s="114"/>
      <c r="PH37" s="114"/>
      <c r="PI37" s="114"/>
      <c r="PJ37" s="114"/>
      <c r="PK37" s="114"/>
      <c r="PL37" s="114"/>
      <c r="PM37" s="114"/>
      <c r="PN37" s="114"/>
      <c r="PO37" s="114"/>
      <c r="PP37" s="114"/>
      <c r="PQ37" s="114"/>
      <c r="PR37" s="114"/>
      <c r="PS37" s="114"/>
      <c r="PT37" s="114"/>
      <c r="PU37" s="114"/>
      <c r="PV37" s="114"/>
      <c r="PW37" s="114"/>
      <c r="PX37" s="114"/>
      <c r="PY37" s="114"/>
      <c r="PZ37" s="114"/>
      <c r="QA37" s="114"/>
      <c r="QB37" s="114"/>
      <c r="QC37" s="114"/>
      <c r="QD37" s="114"/>
      <c r="QE37" s="114"/>
      <c r="QF37" s="114"/>
      <c r="QG37" s="114"/>
      <c r="QH37" s="114"/>
      <c r="QI37" s="114"/>
      <c r="QJ37" s="114"/>
      <c r="QK37" s="114"/>
      <c r="QL37" s="114"/>
      <c r="QM37" s="114"/>
      <c r="QN37" s="114"/>
      <c r="QO37" s="114"/>
      <c r="QP37" s="114"/>
      <c r="QQ37" s="114"/>
      <c r="QR37" s="114"/>
      <c r="QS37" s="114"/>
      <c r="QT37" s="114"/>
      <c r="QU37" s="114"/>
      <c r="QV37" s="114"/>
      <c r="QW37" s="114"/>
      <c r="QX37" s="114"/>
      <c r="QY37" s="114"/>
      <c r="QZ37" s="114"/>
      <c r="RA37" s="114"/>
      <c r="RB37" s="114"/>
      <c r="RC37" s="114"/>
      <c r="RD37" s="114"/>
      <c r="RE37" s="114"/>
      <c r="RF37" s="114"/>
      <c r="RG37" s="114"/>
      <c r="RH37" s="114"/>
      <c r="RI37" s="114"/>
      <c r="RJ37" s="114"/>
      <c r="RK37" s="114"/>
      <c r="RL37" s="114"/>
      <c r="RM37" s="114"/>
      <c r="RN37" s="114"/>
      <c r="RO37" s="114"/>
      <c r="RP37" s="114"/>
      <c r="RQ37" s="114"/>
      <c r="RR37" s="114"/>
      <c r="RS37" s="114"/>
      <c r="RT37" s="114"/>
      <c r="RU37" s="114"/>
      <c r="RV37" s="114"/>
      <c r="RW37" s="114"/>
      <c r="RX37" s="114"/>
      <c r="RY37" s="114"/>
      <c r="RZ37" s="114"/>
      <c r="SA37" s="114"/>
      <c r="SB37" s="114"/>
      <c r="SC37" s="114"/>
      <c r="SD37" s="114"/>
      <c r="SE37" s="114"/>
      <c r="SF37" s="114"/>
      <c r="SG37" s="114"/>
      <c r="SH37" s="114"/>
      <c r="SI37" s="114"/>
      <c r="SJ37" s="114"/>
      <c r="SK37" s="114"/>
      <c r="SL37" s="114"/>
      <c r="SM37" s="114"/>
      <c r="SN37" s="114"/>
      <c r="SO37" s="114"/>
      <c r="SP37" s="114"/>
      <c r="SQ37" s="114"/>
      <c r="SR37" s="114"/>
      <c r="SS37" s="114"/>
      <c r="ST37" s="114"/>
      <c r="SU37" s="114"/>
      <c r="SV37" s="114"/>
      <c r="SW37" s="114"/>
      <c r="SX37" s="114"/>
      <c r="SY37" s="114"/>
      <c r="SZ37" s="114"/>
      <c r="TA37" s="114"/>
      <c r="TB37" s="114"/>
      <c r="TC37" s="114"/>
      <c r="TD37" s="114"/>
      <c r="TE37" s="114"/>
      <c r="TF37" s="114"/>
      <c r="TG37" s="114"/>
      <c r="TH37" s="114"/>
      <c r="TI37" s="114"/>
      <c r="TJ37" s="114"/>
      <c r="TK37" s="114"/>
      <c r="TL37" s="114"/>
      <c r="TM37" s="114"/>
      <c r="TN37" s="114"/>
      <c r="TO37" s="114"/>
      <c r="TP37" s="114"/>
      <c r="TQ37" s="114"/>
      <c r="TR37" s="114"/>
      <c r="TS37" s="114"/>
      <c r="TT37" s="114"/>
      <c r="TU37" s="114"/>
      <c r="TV37" s="114"/>
      <c r="TW37" s="114"/>
      <c r="TX37" s="114"/>
      <c r="TY37" s="114"/>
      <c r="TZ37" s="114"/>
      <c r="UA37" s="114"/>
      <c r="UB37" s="114"/>
      <c r="UC37" s="114"/>
      <c r="UD37" s="114"/>
      <c r="UE37" s="114"/>
      <c r="UF37" s="114"/>
      <c r="UG37" s="114"/>
      <c r="UH37" s="114"/>
      <c r="UI37" s="114"/>
      <c r="UJ37" s="114"/>
      <c r="UK37" s="114"/>
      <c r="UL37" s="114"/>
      <c r="UM37" s="114"/>
      <c r="UN37" s="114"/>
      <c r="UO37" s="114"/>
      <c r="UP37" s="114"/>
      <c r="UQ37" s="114"/>
      <c r="UR37" s="114"/>
      <c r="US37" s="114"/>
      <c r="UT37" s="114"/>
      <c r="UU37" s="114"/>
      <c r="UV37" s="114"/>
      <c r="UW37" s="114"/>
      <c r="UX37" s="114"/>
      <c r="UY37" s="114"/>
      <c r="UZ37" s="114"/>
      <c r="VA37" s="114"/>
      <c r="VB37" s="114"/>
      <c r="VC37" s="114"/>
      <c r="VD37" s="114"/>
      <c r="VE37" s="114"/>
      <c r="VF37" s="114"/>
      <c r="VG37" s="114"/>
      <c r="VH37" s="114"/>
      <c r="VI37" s="114"/>
      <c r="VJ37" s="114"/>
      <c r="VK37" s="114"/>
      <c r="VL37" s="114"/>
      <c r="VM37" s="114"/>
      <c r="VN37" s="114"/>
      <c r="VO37" s="114"/>
      <c r="VP37" s="114"/>
      <c r="VQ37" s="114"/>
      <c r="VR37" s="114"/>
      <c r="VS37" s="114"/>
      <c r="VT37" s="114"/>
      <c r="VU37" s="114"/>
      <c r="VV37" s="114"/>
      <c r="VW37" s="114"/>
      <c r="VX37" s="114"/>
      <c r="VY37" s="114"/>
      <c r="VZ37" s="114"/>
      <c r="WA37" s="114"/>
      <c r="WB37" s="114"/>
      <c r="WC37" s="114"/>
      <c r="WD37" s="114"/>
      <c r="WE37" s="114"/>
      <c r="WF37" s="114"/>
      <c r="WG37" s="114"/>
      <c r="WH37" s="114"/>
      <c r="WI37" s="114"/>
      <c r="WJ37" s="114"/>
      <c r="WK37" s="114"/>
      <c r="WL37" s="114"/>
      <c r="WM37" s="114"/>
      <c r="WN37" s="114"/>
      <c r="WO37" s="114"/>
      <c r="WP37" s="114"/>
      <c r="WQ37" s="114"/>
      <c r="WR37" s="114"/>
      <c r="WS37" s="114"/>
      <c r="WT37" s="114"/>
      <c r="WU37" s="114"/>
      <c r="WV37" s="114"/>
      <c r="WW37" s="114"/>
      <c r="WX37" s="114"/>
      <c r="WY37" s="114"/>
      <c r="WZ37" s="114"/>
      <c r="XA37" s="114"/>
      <c r="XB37" s="114"/>
      <c r="XC37" s="114"/>
      <c r="XD37" s="114"/>
      <c r="XE37" s="114"/>
      <c r="XF37" s="114"/>
      <c r="XG37" s="114"/>
      <c r="XH37" s="114"/>
      <c r="XI37" s="114"/>
      <c r="XJ37" s="114"/>
      <c r="XK37" s="114"/>
      <c r="XL37" s="114"/>
      <c r="XM37" s="114"/>
      <c r="XN37" s="114"/>
      <c r="XO37" s="114"/>
      <c r="XP37" s="114"/>
      <c r="XQ37" s="114"/>
      <c r="XR37" s="114"/>
      <c r="XS37" s="114"/>
      <c r="XT37" s="114"/>
      <c r="XU37" s="114"/>
      <c r="XV37" s="114"/>
      <c r="XW37" s="114"/>
      <c r="XX37" s="114"/>
      <c r="XY37" s="114"/>
      <c r="XZ37" s="114"/>
      <c r="YA37" s="114"/>
      <c r="YB37" s="114"/>
      <c r="YC37" s="114"/>
      <c r="YD37" s="114"/>
      <c r="YE37" s="114"/>
      <c r="YF37" s="114"/>
      <c r="YG37" s="114"/>
      <c r="YH37" s="114"/>
      <c r="YI37" s="114"/>
      <c r="YJ37" s="114"/>
      <c r="YK37" s="114"/>
      <c r="YL37" s="114"/>
      <c r="YM37" s="114"/>
      <c r="YN37" s="114"/>
      <c r="YO37" s="114"/>
      <c r="YP37" s="114"/>
      <c r="YQ37" s="114"/>
      <c r="YR37" s="114"/>
      <c r="YS37" s="114"/>
      <c r="YT37" s="114"/>
      <c r="YU37" s="114"/>
      <c r="YV37" s="114"/>
      <c r="YW37" s="114"/>
      <c r="YX37" s="114"/>
      <c r="YY37" s="114"/>
      <c r="YZ37" s="114"/>
      <c r="ZA37" s="114"/>
      <c r="ZB37" s="114"/>
      <c r="ZC37" s="114"/>
      <c r="ZD37" s="114"/>
      <c r="ZE37" s="114"/>
      <c r="ZF37" s="114"/>
      <c r="ZG37" s="114"/>
      <c r="ZH37" s="114"/>
      <c r="ZI37" s="114"/>
      <c r="ZJ37" s="114"/>
      <c r="ZK37" s="114"/>
      <c r="ZL37" s="114"/>
      <c r="ZM37" s="114"/>
      <c r="ZN37" s="114"/>
      <c r="ZO37" s="114"/>
      <c r="ZP37" s="114"/>
      <c r="ZQ37" s="114"/>
      <c r="ZR37" s="114"/>
      <c r="ZS37" s="114"/>
      <c r="ZT37" s="114"/>
      <c r="ZU37" s="114"/>
      <c r="ZV37" s="114"/>
      <c r="ZW37" s="114"/>
      <c r="ZX37" s="114"/>
      <c r="ZY37" s="114"/>
      <c r="ZZ37" s="114"/>
      <c r="AAA37" s="114"/>
      <c r="AAB37" s="114"/>
      <c r="AAC37" s="114"/>
      <c r="AAD37" s="114"/>
      <c r="AAE37" s="114"/>
      <c r="AAF37" s="114"/>
      <c r="AAG37" s="114"/>
      <c r="AAH37" s="114"/>
      <c r="AAI37" s="114"/>
      <c r="AAJ37" s="114"/>
      <c r="AAK37" s="114"/>
      <c r="AAL37" s="114"/>
      <c r="AAM37" s="114"/>
      <c r="AAN37" s="114"/>
      <c r="AAO37" s="114"/>
      <c r="AAP37" s="114"/>
      <c r="AAQ37" s="114"/>
      <c r="AAR37" s="114"/>
      <c r="AAS37" s="114"/>
      <c r="AAT37" s="114"/>
      <c r="AAU37" s="114"/>
      <c r="AAV37" s="114"/>
      <c r="AAW37" s="114"/>
      <c r="AAX37" s="114"/>
      <c r="AAY37" s="114"/>
      <c r="AAZ37" s="114"/>
      <c r="ABA37" s="114"/>
      <c r="ABB37" s="114"/>
      <c r="ABC37" s="114"/>
      <c r="ABD37" s="114"/>
      <c r="ABE37" s="114"/>
      <c r="ABF37" s="114"/>
      <c r="ABG37" s="114"/>
      <c r="ABH37" s="114"/>
      <c r="ABI37" s="114"/>
      <c r="ABJ37" s="114"/>
      <c r="ABK37" s="114"/>
      <c r="ABL37" s="114"/>
      <c r="ABM37" s="114"/>
      <c r="ABN37" s="114"/>
      <c r="ABO37" s="114"/>
      <c r="ABP37" s="114"/>
      <c r="ABQ37" s="114"/>
      <c r="ABR37" s="114"/>
      <c r="ABS37" s="114"/>
      <c r="ABT37" s="114"/>
      <c r="ABU37" s="114"/>
      <c r="ABV37" s="114"/>
      <c r="ABW37" s="114"/>
      <c r="ABX37" s="114"/>
      <c r="ABY37" s="114"/>
      <c r="ABZ37" s="114"/>
      <c r="ACA37" s="114"/>
      <c r="ACB37" s="114"/>
      <c r="ACC37" s="114"/>
      <c r="ACD37" s="114"/>
      <c r="ACE37" s="114"/>
      <c r="ACF37" s="114"/>
      <c r="ACG37" s="114"/>
      <c r="ACH37" s="114"/>
      <c r="ACI37" s="114"/>
      <c r="ACJ37" s="114"/>
      <c r="ACK37" s="114"/>
      <c r="ACL37" s="114"/>
      <c r="ACM37" s="114"/>
      <c r="ACN37" s="114"/>
      <c r="ACO37" s="114"/>
      <c r="ACP37" s="114"/>
      <c r="ACQ37" s="114"/>
      <c r="ACR37" s="114"/>
      <c r="ACS37" s="114"/>
      <c r="ACT37" s="114"/>
      <c r="ACU37" s="114"/>
      <c r="ACV37" s="114"/>
      <c r="ACW37" s="114"/>
      <c r="ACX37" s="114"/>
      <c r="ACY37" s="114"/>
      <c r="ACZ37" s="114"/>
      <c r="ADA37" s="114"/>
      <c r="ADB37" s="114"/>
      <c r="ADC37" s="114"/>
      <c r="ADD37" s="114"/>
      <c r="ADE37" s="114"/>
      <c r="ADF37" s="114"/>
      <c r="ADG37" s="114"/>
      <c r="ADH37" s="114"/>
      <c r="ADI37" s="114"/>
      <c r="ADJ37" s="114"/>
      <c r="ADK37" s="114"/>
      <c r="ADL37" s="114"/>
      <c r="ADM37" s="114"/>
      <c r="ADN37" s="114"/>
      <c r="ADO37" s="114"/>
      <c r="ADP37" s="114"/>
      <c r="ADQ37" s="114"/>
      <c r="ADR37" s="114"/>
      <c r="ADS37" s="114"/>
      <c r="ADT37" s="114"/>
      <c r="ADU37" s="114"/>
      <c r="ADV37" s="114"/>
      <c r="ADW37" s="114"/>
      <c r="ADX37" s="114"/>
      <c r="ADY37" s="114"/>
      <c r="ADZ37" s="114"/>
      <c r="AEA37" s="114"/>
      <c r="AEB37" s="114"/>
      <c r="AEC37" s="114"/>
      <c r="AED37" s="114"/>
      <c r="AEE37" s="114"/>
      <c r="AEF37" s="114"/>
      <c r="AEG37" s="114"/>
      <c r="AEH37" s="114"/>
      <c r="AEI37" s="114"/>
      <c r="AEJ37" s="114"/>
      <c r="AEK37" s="114"/>
      <c r="AEL37" s="114"/>
      <c r="AEM37" s="114"/>
      <c r="AEN37" s="114"/>
      <c r="AEO37" s="114"/>
      <c r="AEP37" s="114"/>
      <c r="AEQ37" s="114"/>
      <c r="AER37" s="114"/>
      <c r="AES37" s="114"/>
      <c r="AET37" s="114"/>
      <c r="AEU37" s="114"/>
      <c r="AEV37" s="114"/>
      <c r="AEW37" s="114"/>
      <c r="AEX37" s="114"/>
      <c r="AEY37" s="114"/>
      <c r="AEZ37" s="114"/>
      <c r="AFA37" s="114"/>
      <c r="AFB37" s="114"/>
      <c r="AFC37" s="114"/>
      <c r="AFD37" s="114"/>
      <c r="AFE37" s="114"/>
      <c r="AFF37" s="114"/>
      <c r="AFG37" s="114"/>
      <c r="AFH37" s="114"/>
      <c r="AFI37" s="114"/>
      <c r="AFJ37" s="114"/>
      <c r="AFK37" s="114"/>
      <c r="AFL37" s="114"/>
      <c r="AFM37" s="114"/>
      <c r="AFN37" s="114"/>
      <c r="AFO37" s="114"/>
      <c r="AFP37" s="114"/>
      <c r="AFQ37" s="114"/>
      <c r="AFR37" s="114"/>
      <c r="AFS37" s="114"/>
      <c r="AFT37" s="114"/>
      <c r="AFU37" s="114"/>
      <c r="AFV37" s="114"/>
      <c r="AFW37" s="114"/>
      <c r="AFX37" s="114"/>
      <c r="AFY37" s="114"/>
      <c r="AFZ37" s="114"/>
      <c r="AGA37" s="114"/>
      <c r="AGB37" s="114"/>
      <c r="AGC37" s="114"/>
      <c r="AGD37" s="114"/>
      <c r="AGE37" s="114"/>
      <c r="AGF37" s="114"/>
      <c r="AGG37" s="114"/>
      <c r="AGH37" s="114"/>
      <c r="AGI37" s="114"/>
      <c r="AGJ37" s="114"/>
      <c r="AGK37" s="114"/>
      <c r="AGL37" s="114"/>
      <c r="AGM37" s="114"/>
      <c r="AGN37" s="114"/>
      <c r="AGO37" s="114"/>
      <c r="AGP37" s="114"/>
      <c r="AGQ37" s="114"/>
      <c r="AGR37" s="114"/>
      <c r="AGS37" s="114"/>
      <c r="AGT37" s="114"/>
      <c r="AGU37" s="114"/>
      <c r="AGV37" s="114"/>
      <c r="AGW37" s="114"/>
      <c r="AGX37" s="114"/>
      <c r="AGY37" s="114"/>
      <c r="AGZ37" s="114"/>
      <c r="AHA37" s="114"/>
      <c r="AHB37" s="114"/>
      <c r="AHC37" s="114"/>
      <c r="AHD37" s="114"/>
      <c r="AHE37" s="114"/>
      <c r="AHF37" s="114"/>
      <c r="AHG37" s="114"/>
      <c r="AHH37" s="114"/>
      <c r="AHI37" s="114"/>
      <c r="AHJ37" s="114"/>
      <c r="AHK37" s="114"/>
      <c r="AHL37" s="114"/>
      <c r="AHM37" s="114"/>
      <c r="AHN37" s="114"/>
      <c r="AHO37" s="114"/>
      <c r="AHP37" s="114"/>
      <c r="AHQ37" s="114"/>
      <c r="AHR37" s="114"/>
      <c r="AHS37" s="114"/>
      <c r="AHT37" s="114"/>
      <c r="AHU37" s="114"/>
      <c r="AHV37" s="114"/>
      <c r="AHW37" s="114"/>
      <c r="AHX37" s="114"/>
      <c r="AHY37" s="114"/>
      <c r="AHZ37" s="114"/>
      <c r="AIA37" s="114"/>
      <c r="AIB37" s="114"/>
      <c r="AIC37" s="114"/>
      <c r="AID37" s="114"/>
      <c r="AIE37" s="114"/>
      <c r="AIF37" s="114"/>
      <c r="AIG37" s="114"/>
      <c r="AIH37" s="114"/>
      <c r="AII37" s="114"/>
      <c r="AIJ37" s="114"/>
      <c r="AIK37" s="114"/>
      <c r="AIL37" s="114"/>
      <c r="AIM37" s="114"/>
      <c r="AIN37" s="114"/>
      <c r="AIO37" s="114"/>
      <c r="AIP37" s="114"/>
      <c r="AIQ37" s="114"/>
      <c r="AIR37" s="114"/>
      <c r="AIS37" s="114"/>
      <c r="AIT37" s="114"/>
      <c r="AIU37" s="114"/>
      <c r="AIV37" s="114"/>
      <c r="AIW37" s="114"/>
      <c r="AIX37" s="114"/>
      <c r="AIY37" s="114"/>
      <c r="AIZ37" s="114"/>
      <c r="AJA37" s="114"/>
      <c r="AJB37" s="114"/>
      <c r="AJC37" s="114"/>
      <c r="AJD37" s="114"/>
      <c r="AJE37" s="114"/>
      <c r="AJF37" s="114"/>
      <c r="AJG37" s="114"/>
      <c r="AJH37" s="114"/>
      <c r="AJI37" s="114"/>
      <c r="AJJ37" s="114"/>
      <c r="AJK37" s="114"/>
      <c r="AJL37" s="114"/>
      <c r="AJM37" s="114"/>
      <c r="AJN37" s="114"/>
      <c r="AJO37" s="114"/>
      <c r="AJP37" s="114"/>
      <c r="AJQ37" s="114"/>
      <c r="AJR37" s="114"/>
      <c r="AJS37" s="114"/>
      <c r="AJT37" s="114"/>
      <c r="AJU37" s="114"/>
      <c r="AJV37" s="114"/>
      <c r="AJW37" s="114"/>
      <c r="AJX37" s="114"/>
      <c r="AJY37" s="114"/>
      <c r="AJZ37" s="114"/>
      <c r="AKA37" s="114"/>
      <c r="AKB37" s="114"/>
      <c r="AKC37" s="114"/>
      <c r="AKD37" s="114"/>
      <c r="AKE37" s="114"/>
      <c r="AKF37" s="114"/>
      <c r="AKG37" s="114"/>
      <c r="AKH37" s="114"/>
      <c r="AKI37" s="114"/>
      <c r="AKJ37" s="114"/>
      <c r="AKK37" s="114"/>
      <c r="AKL37" s="114"/>
    </row>
    <row r="38" spans="1:974" s="115" customFormat="1" ht="15" customHeight="1" x14ac:dyDescent="0.3">
      <c r="A38" s="103">
        <v>8470230</v>
      </c>
      <c r="B38" s="104">
        <v>425749</v>
      </c>
      <c r="C38" s="461" t="s">
        <v>3186</v>
      </c>
      <c r="D38" s="186" t="s">
        <v>3227</v>
      </c>
      <c r="E38" s="187"/>
      <c r="F38" s="188"/>
      <c r="G38" s="189"/>
      <c r="H38" s="114"/>
      <c r="I38" s="114"/>
      <c r="J38" s="114"/>
      <c r="K38" s="114"/>
      <c r="L38" s="114"/>
      <c r="M38" s="114"/>
      <c r="N38" s="114"/>
      <c r="O38" s="114"/>
      <c r="P38" s="114"/>
      <c r="Q38" s="114"/>
      <c r="R38" s="114"/>
      <c r="S38" s="114"/>
      <c r="T38" s="114"/>
      <c r="U38" s="114"/>
      <c r="V38" s="114"/>
      <c r="W38" s="114"/>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4"/>
      <c r="AY38" s="114"/>
      <c r="AZ38" s="114"/>
      <c r="BA38" s="114"/>
      <c r="BB38" s="114"/>
      <c r="BC38" s="114"/>
      <c r="BD38" s="114"/>
      <c r="BE38" s="114"/>
      <c r="BF38" s="114"/>
      <c r="BG38" s="114"/>
      <c r="BH38" s="114"/>
      <c r="BI38" s="114"/>
      <c r="BJ38" s="114"/>
      <c r="BK38" s="114"/>
      <c r="BL38" s="114"/>
      <c r="BM38" s="114"/>
      <c r="BN38" s="114"/>
      <c r="BO38" s="114"/>
      <c r="BP38" s="114"/>
      <c r="BQ38" s="114"/>
      <c r="BR38" s="114"/>
      <c r="BS38" s="114"/>
      <c r="BT38" s="114"/>
      <c r="BU38" s="114"/>
      <c r="BV38" s="114"/>
      <c r="BW38" s="114"/>
      <c r="BX38" s="114"/>
      <c r="BY38" s="114"/>
      <c r="BZ38" s="114"/>
      <c r="CA38" s="114"/>
      <c r="CB38" s="114"/>
      <c r="CC38" s="114"/>
      <c r="CD38" s="114"/>
      <c r="CE38" s="114"/>
      <c r="CF38" s="114"/>
      <c r="CG38" s="114"/>
      <c r="CH38" s="114"/>
      <c r="CI38" s="114"/>
      <c r="CJ38" s="114"/>
      <c r="CK38" s="114"/>
      <c r="CL38" s="114"/>
      <c r="CM38" s="114"/>
      <c r="CN38" s="114"/>
      <c r="CO38" s="114"/>
      <c r="CP38" s="114"/>
      <c r="CQ38" s="114"/>
      <c r="CR38" s="114"/>
      <c r="CS38" s="114"/>
      <c r="CT38" s="114"/>
      <c r="CU38" s="114"/>
      <c r="CV38" s="114"/>
      <c r="CW38" s="114"/>
      <c r="CX38" s="114"/>
      <c r="CY38" s="114"/>
      <c r="CZ38" s="114"/>
      <c r="DA38" s="114"/>
      <c r="DB38" s="114"/>
      <c r="DC38" s="114"/>
      <c r="DD38" s="114"/>
      <c r="DE38" s="114"/>
      <c r="DF38" s="114"/>
      <c r="DG38" s="114"/>
      <c r="DH38" s="114"/>
      <c r="DI38" s="114"/>
      <c r="DJ38" s="114"/>
      <c r="DK38" s="114"/>
      <c r="DL38" s="114"/>
      <c r="DM38" s="114"/>
      <c r="DN38" s="114"/>
      <c r="DO38" s="114"/>
      <c r="DP38" s="114"/>
      <c r="DQ38" s="114"/>
      <c r="DR38" s="114"/>
      <c r="DS38" s="114"/>
      <c r="DT38" s="114"/>
      <c r="DU38" s="114"/>
      <c r="DV38" s="114"/>
      <c r="DW38" s="114"/>
      <c r="DX38" s="114"/>
      <c r="DY38" s="114"/>
      <c r="DZ38" s="114"/>
      <c r="EA38" s="114"/>
      <c r="EB38" s="114"/>
      <c r="EC38" s="114"/>
      <c r="ED38" s="114"/>
      <c r="EE38" s="114"/>
      <c r="EF38" s="114"/>
      <c r="EG38" s="114"/>
      <c r="EH38" s="114"/>
      <c r="EI38" s="114"/>
      <c r="EJ38" s="114"/>
      <c r="EK38" s="114"/>
      <c r="EL38" s="114"/>
      <c r="EM38" s="114"/>
      <c r="EN38" s="114"/>
      <c r="EO38" s="114"/>
      <c r="EP38" s="114"/>
      <c r="EQ38" s="114"/>
      <c r="ER38" s="114"/>
      <c r="ES38" s="114"/>
      <c r="ET38" s="114"/>
      <c r="EU38" s="114"/>
      <c r="EV38" s="114"/>
      <c r="EW38" s="114"/>
      <c r="EX38" s="114"/>
      <c r="EY38" s="114"/>
      <c r="EZ38" s="114"/>
      <c r="FA38" s="114"/>
      <c r="FB38" s="114"/>
      <c r="FC38" s="114"/>
      <c r="FD38" s="114"/>
      <c r="FE38" s="114"/>
      <c r="FF38" s="114"/>
      <c r="FG38" s="114"/>
      <c r="FH38" s="114"/>
      <c r="FI38" s="114"/>
      <c r="FJ38" s="114"/>
      <c r="FK38" s="114"/>
      <c r="FL38" s="114"/>
      <c r="FM38" s="114"/>
      <c r="FN38" s="114"/>
      <c r="FO38" s="114"/>
      <c r="FP38" s="114"/>
      <c r="FQ38" s="114"/>
      <c r="FR38" s="114"/>
      <c r="FS38" s="114"/>
      <c r="FT38" s="114"/>
      <c r="FU38" s="114"/>
      <c r="FV38" s="114"/>
      <c r="FW38" s="114"/>
      <c r="FX38" s="114"/>
      <c r="FY38" s="114"/>
      <c r="FZ38" s="114"/>
      <c r="GA38" s="114"/>
      <c r="GB38" s="114"/>
      <c r="GC38" s="114"/>
      <c r="GD38" s="114"/>
      <c r="GE38" s="114"/>
      <c r="GF38" s="114"/>
      <c r="GG38" s="114"/>
      <c r="GH38" s="114"/>
      <c r="GI38" s="114"/>
      <c r="GJ38" s="114"/>
      <c r="GK38" s="114"/>
      <c r="GL38" s="114"/>
      <c r="GM38" s="114"/>
      <c r="GN38" s="114"/>
      <c r="GO38" s="114"/>
      <c r="GP38" s="114"/>
      <c r="GQ38" s="114"/>
      <c r="GR38" s="114"/>
      <c r="GS38" s="114"/>
      <c r="GT38" s="114"/>
      <c r="GU38" s="114"/>
      <c r="GV38" s="114"/>
      <c r="GW38" s="114"/>
      <c r="GX38" s="114"/>
      <c r="GY38" s="114"/>
      <c r="GZ38" s="114"/>
      <c r="HA38" s="114"/>
      <c r="HB38" s="114"/>
      <c r="HC38" s="114"/>
      <c r="HD38" s="114"/>
      <c r="HE38" s="114"/>
      <c r="HF38" s="114"/>
      <c r="HG38" s="114"/>
      <c r="HH38" s="114"/>
      <c r="HI38" s="114"/>
      <c r="HJ38" s="114"/>
      <c r="HK38" s="114"/>
      <c r="HL38" s="114"/>
      <c r="HM38" s="114"/>
      <c r="HN38" s="114"/>
      <c r="HO38" s="114"/>
      <c r="HP38" s="114"/>
      <c r="HQ38" s="114"/>
      <c r="HR38" s="114"/>
      <c r="HS38" s="114"/>
      <c r="HT38" s="114"/>
      <c r="HU38" s="114"/>
      <c r="HV38" s="114"/>
      <c r="HW38" s="114"/>
      <c r="HX38" s="114"/>
      <c r="HY38" s="114"/>
      <c r="HZ38" s="114"/>
      <c r="IA38" s="114"/>
      <c r="IB38" s="114"/>
      <c r="IC38" s="114"/>
      <c r="ID38" s="114"/>
      <c r="IE38" s="114"/>
      <c r="IF38" s="114"/>
      <c r="IG38" s="114"/>
      <c r="IH38" s="114"/>
      <c r="II38" s="114"/>
      <c r="IJ38" s="114"/>
      <c r="IK38" s="114"/>
      <c r="IL38" s="114"/>
      <c r="IM38" s="114"/>
      <c r="IN38" s="114"/>
      <c r="IO38" s="114"/>
      <c r="IP38" s="114"/>
      <c r="IQ38" s="114"/>
      <c r="IR38" s="114"/>
      <c r="IS38" s="114"/>
      <c r="IT38" s="114"/>
      <c r="IU38" s="114"/>
      <c r="IV38" s="114"/>
      <c r="IW38" s="114"/>
      <c r="IX38" s="114"/>
      <c r="IY38" s="114"/>
      <c r="IZ38" s="114"/>
      <c r="JA38" s="114"/>
      <c r="JB38" s="114"/>
      <c r="JC38" s="114"/>
      <c r="JD38" s="114"/>
      <c r="JE38" s="114"/>
      <c r="JF38" s="114"/>
      <c r="JG38" s="114"/>
      <c r="JH38" s="114"/>
      <c r="JI38" s="114"/>
      <c r="JJ38" s="114"/>
      <c r="JK38" s="114"/>
      <c r="JL38" s="114"/>
      <c r="JM38" s="114"/>
      <c r="JN38" s="114"/>
      <c r="JO38" s="114"/>
      <c r="JP38" s="114"/>
      <c r="JQ38" s="114"/>
      <c r="JR38" s="114"/>
      <c r="JS38" s="114"/>
      <c r="JT38" s="114"/>
      <c r="JU38" s="114"/>
      <c r="JV38" s="114"/>
      <c r="JW38" s="114"/>
      <c r="JX38" s="114"/>
      <c r="JY38" s="114"/>
      <c r="JZ38" s="114"/>
      <c r="KA38" s="114"/>
      <c r="KB38" s="114"/>
      <c r="KC38" s="114"/>
      <c r="KD38" s="114"/>
      <c r="KE38" s="114"/>
      <c r="KF38" s="114"/>
      <c r="KG38" s="114"/>
      <c r="KH38" s="114"/>
      <c r="KI38" s="114"/>
      <c r="KJ38" s="114"/>
      <c r="KK38" s="114"/>
      <c r="KL38" s="114"/>
      <c r="KM38" s="114"/>
      <c r="KN38" s="114"/>
      <c r="KO38" s="114"/>
      <c r="KP38" s="114"/>
      <c r="KQ38" s="114"/>
      <c r="KR38" s="114"/>
      <c r="KS38" s="114"/>
      <c r="KT38" s="114"/>
      <c r="KU38" s="114"/>
      <c r="KV38" s="114"/>
      <c r="KW38" s="114"/>
      <c r="KX38" s="114"/>
      <c r="KY38" s="114"/>
      <c r="KZ38" s="114"/>
      <c r="LA38" s="114"/>
      <c r="LB38" s="114"/>
      <c r="LC38" s="114"/>
      <c r="LD38" s="114"/>
      <c r="LE38" s="114"/>
      <c r="LF38" s="114"/>
      <c r="LG38" s="114"/>
      <c r="LH38" s="114"/>
      <c r="LI38" s="114"/>
      <c r="LJ38" s="114"/>
      <c r="LK38" s="114"/>
      <c r="LL38" s="114"/>
      <c r="LM38" s="114"/>
      <c r="LN38" s="114"/>
      <c r="LO38" s="114"/>
      <c r="LP38" s="114"/>
      <c r="LQ38" s="114"/>
      <c r="LR38" s="114"/>
      <c r="LS38" s="114"/>
      <c r="LT38" s="114"/>
      <c r="LU38" s="114"/>
      <c r="LV38" s="114"/>
      <c r="LW38" s="114"/>
      <c r="LX38" s="114"/>
      <c r="LY38" s="114"/>
      <c r="LZ38" s="114"/>
      <c r="MA38" s="114"/>
      <c r="MB38" s="114"/>
      <c r="MC38" s="114"/>
      <c r="MD38" s="114"/>
      <c r="ME38" s="114"/>
      <c r="MF38" s="114"/>
      <c r="MG38" s="114"/>
      <c r="MH38" s="114"/>
      <c r="MI38" s="114"/>
      <c r="MJ38" s="114"/>
      <c r="MK38" s="114"/>
      <c r="ML38" s="114"/>
      <c r="MM38" s="114"/>
      <c r="MN38" s="114"/>
      <c r="MO38" s="114"/>
      <c r="MP38" s="114"/>
      <c r="MQ38" s="114"/>
      <c r="MR38" s="114"/>
      <c r="MS38" s="114"/>
      <c r="MT38" s="114"/>
      <c r="MU38" s="114"/>
      <c r="MV38" s="114"/>
      <c r="MW38" s="114"/>
      <c r="MX38" s="114"/>
      <c r="MY38" s="114"/>
      <c r="MZ38" s="114"/>
      <c r="NA38" s="114"/>
      <c r="NB38" s="114"/>
      <c r="NC38" s="114"/>
      <c r="ND38" s="114"/>
      <c r="NE38" s="114"/>
      <c r="NF38" s="114"/>
      <c r="NG38" s="114"/>
      <c r="NH38" s="114"/>
      <c r="NI38" s="114"/>
      <c r="NJ38" s="114"/>
      <c r="NK38" s="114"/>
      <c r="NL38" s="114"/>
      <c r="NM38" s="114"/>
      <c r="NN38" s="114"/>
      <c r="NO38" s="114"/>
      <c r="NP38" s="114"/>
      <c r="NQ38" s="114"/>
      <c r="NR38" s="114"/>
      <c r="NS38" s="114"/>
      <c r="NT38" s="114"/>
      <c r="NU38" s="114"/>
      <c r="NV38" s="114"/>
      <c r="NW38" s="114"/>
      <c r="NX38" s="114"/>
      <c r="NY38" s="114"/>
      <c r="NZ38" s="114"/>
      <c r="OA38" s="114"/>
      <c r="OB38" s="114"/>
      <c r="OC38" s="114"/>
      <c r="OD38" s="114"/>
      <c r="OE38" s="114"/>
      <c r="OF38" s="114"/>
      <c r="OG38" s="114"/>
      <c r="OH38" s="114"/>
      <c r="OI38" s="114"/>
      <c r="OJ38" s="114"/>
      <c r="OK38" s="114"/>
      <c r="OL38" s="114"/>
      <c r="OM38" s="114"/>
      <c r="ON38" s="114"/>
      <c r="OO38" s="114"/>
      <c r="OP38" s="114"/>
      <c r="OQ38" s="114"/>
      <c r="OR38" s="114"/>
      <c r="OS38" s="114"/>
      <c r="OT38" s="114"/>
      <c r="OU38" s="114"/>
      <c r="OV38" s="114"/>
      <c r="OW38" s="114"/>
      <c r="OX38" s="114"/>
      <c r="OY38" s="114"/>
      <c r="OZ38" s="114"/>
      <c r="PA38" s="114"/>
      <c r="PB38" s="114"/>
      <c r="PC38" s="114"/>
      <c r="PD38" s="114"/>
      <c r="PE38" s="114"/>
      <c r="PF38" s="114"/>
      <c r="PG38" s="114"/>
      <c r="PH38" s="114"/>
      <c r="PI38" s="114"/>
      <c r="PJ38" s="114"/>
      <c r="PK38" s="114"/>
      <c r="PL38" s="114"/>
      <c r="PM38" s="114"/>
      <c r="PN38" s="114"/>
      <c r="PO38" s="114"/>
      <c r="PP38" s="114"/>
      <c r="PQ38" s="114"/>
      <c r="PR38" s="114"/>
      <c r="PS38" s="114"/>
      <c r="PT38" s="114"/>
      <c r="PU38" s="114"/>
      <c r="PV38" s="114"/>
      <c r="PW38" s="114"/>
      <c r="PX38" s="114"/>
      <c r="PY38" s="114"/>
      <c r="PZ38" s="114"/>
      <c r="QA38" s="114"/>
      <c r="QB38" s="114"/>
      <c r="QC38" s="114"/>
      <c r="QD38" s="114"/>
      <c r="QE38" s="114"/>
      <c r="QF38" s="114"/>
      <c r="QG38" s="114"/>
      <c r="QH38" s="114"/>
      <c r="QI38" s="114"/>
      <c r="QJ38" s="114"/>
      <c r="QK38" s="114"/>
      <c r="QL38" s="114"/>
      <c r="QM38" s="114"/>
      <c r="QN38" s="114"/>
      <c r="QO38" s="114"/>
      <c r="QP38" s="114"/>
      <c r="QQ38" s="114"/>
      <c r="QR38" s="114"/>
      <c r="QS38" s="114"/>
      <c r="QT38" s="114"/>
      <c r="QU38" s="114"/>
      <c r="QV38" s="114"/>
      <c r="QW38" s="114"/>
      <c r="QX38" s="114"/>
      <c r="QY38" s="114"/>
      <c r="QZ38" s="114"/>
      <c r="RA38" s="114"/>
      <c r="RB38" s="114"/>
      <c r="RC38" s="114"/>
      <c r="RD38" s="114"/>
      <c r="RE38" s="114"/>
      <c r="RF38" s="114"/>
      <c r="RG38" s="114"/>
      <c r="RH38" s="114"/>
      <c r="RI38" s="114"/>
      <c r="RJ38" s="114"/>
      <c r="RK38" s="114"/>
      <c r="RL38" s="114"/>
      <c r="RM38" s="114"/>
      <c r="RN38" s="114"/>
      <c r="RO38" s="114"/>
      <c r="RP38" s="114"/>
      <c r="RQ38" s="114"/>
      <c r="RR38" s="114"/>
      <c r="RS38" s="114"/>
      <c r="RT38" s="114"/>
      <c r="RU38" s="114"/>
      <c r="RV38" s="114"/>
      <c r="RW38" s="114"/>
      <c r="RX38" s="114"/>
      <c r="RY38" s="114"/>
      <c r="RZ38" s="114"/>
      <c r="SA38" s="114"/>
      <c r="SB38" s="114"/>
      <c r="SC38" s="114"/>
      <c r="SD38" s="114"/>
      <c r="SE38" s="114"/>
      <c r="SF38" s="114"/>
      <c r="SG38" s="114"/>
      <c r="SH38" s="114"/>
      <c r="SI38" s="114"/>
      <c r="SJ38" s="114"/>
      <c r="SK38" s="114"/>
      <c r="SL38" s="114"/>
      <c r="SM38" s="114"/>
      <c r="SN38" s="114"/>
      <c r="SO38" s="114"/>
      <c r="SP38" s="114"/>
      <c r="SQ38" s="114"/>
      <c r="SR38" s="114"/>
      <c r="SS38" s="114"/>
      <c r="ST38" s="114"/>
      <c r="SU38" s="114"/>
      <c r="SV38" s="114"/>
      <c r="SW38" s="114"/>
      <c r="SX38" s="114"/>
      <c r="SY38" s="114"/>
      <c r="SZ38" s="114"/>
      <c r="TA38" s="114"/>
      <c r="TB38" s="114"/>
      <c r="TC38" s="114"/>
      <c r="TD38" s="114"/>
      <c r="TE38" s="114"/>
      <c r="TF38" s="114"/>
      <c r="TG38" s="114"/>
      <c r="TH38" s="114"/>
      <c r="TI38" s="114"/>
      <c r="TJ38" s="114"/>
      <c r="TK38" s="114"/>
      <c r="TL38" s="114"/>
      <c r="TM38" s="114"/>
      <c r="TN38" s="114"/>
      <c r="TO38" s="114"/>
      <c r="TP38" s="114"/>
      <c r="TQ38" s="114"/>
      <c r="TR38" s="114"/>
      <c r="TS38" s="114"/>
      <c r="TT38" s="114"/>
      <c r="TU38" s="114"/>
      <c r="TV38" s="114"/>
      <c r="TW38" s="114"/>
      <c r="TX38" s="114"/>
      <c r="TY38" s="114"/>
      <c r="TZ38" s="114"/>
      <c r="UA38" s="114"/>
      <c r="UB38" s="114"/>
      <c r="UC38" s="114"/>
      <c r="UD38" s="114"/>
      <c r="UE38" s="114"/>
      <c r="UF38" s="114"/>
      <c r="UG38" s="114"/>
      <c r="UH38" s="114"/>
      <c r="UI38" s="114"/>
      <c r="UJ38" s="114"/>
      <c r="UK38" s="114"/>
      <c r="UL38" s="114"/>
      <c r="UM38" s="114"/>
      <c r="UN38" s="114"/>
      <c r="UO38" s="114"/>
      <c r="UP38" s="114"/>
      <c r="UQ38" s="114"/>
      <c r="UR38" s="114"/>
      <c r="US38" s="114"/>
      <c r="UT38" s="114"/>
      <c r="UU38" s="114"/>
      <c r="UV38" s="114"/>
      <c r="UW38" s="114"/>
      <c r="UX38" s="114"/>
      <c r="UY38" s="114"/>
      <c r="UZ38" s="114"/>
      <c r="VA38" s="114"/>
      <c r="VB38" s="114"/>
      <c r="VC38" s="114"/>
      <c r="VD38" s="114"/>
      <c r="VE38" s="114"/>
      <c r="VF38" s="114"/>
      <c r="VG38" s="114"/>
      <c r="VH38" s="114"/>
      <c r="VI38" s="114"/>
      <c r="VJ38" s="114"/>
      <c r="VK38" s="114"/>
      <c r="VL38" s="114"/>
      <c r="VM38" s="114"/>
      <c r="VN38" s="114"/>
      <c r="VO38" s="114"/>
      <c r="VP38" s="114"/>
      <c r="VQ38" s="114"/>
      <c r="VR38" s="114"/>
      <c r="VS38" s="114"/>
      <c r="VT38" s="114"/>
      <c r="VU38" s="114"/>
      <c r="VV38" s="114"/>
      <c r="VW38" s="114"/>
      <c r="VX38" s="114"/>
      <c r="VY38" s="114"/>
      <c r="VZ38" s="114"/>
      <c r="WA38" s="114"/>
      <c r="WB38" s="114"/>
      <c r="WC38" s="114"/>
      <c r="WD38" s="114"/>
      <c r="WE38" s="114"/>
      <c r="WF38" s="114"/>
      <c r="WG38" s="114"/>
      <c r="WH38" s="114"/>
      <c r="WI38" s="114"/>
      <c r="WJ38" s="114"/>
      <c r="WK38" s="114"/>
      <c r="WL38" s="114"/>
      <c r="WM38" s="114"/>
      <c r="WN38" s="114"/>
      <c r="WO38" s="114"/>
      <c r="WP38" s="114"/>
      <c r="WQ38" s="114"/>
      <c r="WR38" s="114"/>
      <c r="WS38" s="114"/>
      <c r="WT38" s="114"/>
      <c r="WU38" s="114"/>
      <c r="WV38" s="114"/>
      <c r="WW38" s="114"/>
      <c r="WX38" s="114"/>
      <c r="WY38" s="114"/>
      <c r="WZ38" s="114"/>
      <c r="XA38" s="114"/>
      <c r="XB38" s="114"/>
      <c r="XC38" s="114"/>
      <c r="XD38" s="114"/>
      <c r="XE38" s="114"/>
      <c r="XF38" s="114"/>
      <c r="XG38" s="114"/>
      <c r="XH38" s="114"/>
      <c r="XI38" s="114"/>
      <c r="XJ38" s="114"/>
      <c r="XK38" s="114"/>
      <c r="XL38" s="114"/>
      <c r="XM38" s="114"/>
      <c r="XN38" s="114"/>
      <c r="XO38" s="114"/>
      <c r="XP38" s="114"/>
      <c r="XQ38" s="114"/>
      <c r="XR38" s="114"/>
      <c r="XS38" s="114"/>
      <c r="XT38" s="114"/>
      <c r="XU38" s="114"/>
      <c r="XV38" s="114"/>
      <c r="XW38" s="114"/>
      <c r="XX38" s="114"/>
      <c r="XY38" s="114"/>
      <c r="XZ38" s="114"/>
      <c r="YA38" s="114"/>
      <c r="YB38" s="114"/>
      <c r="YC38" s="114"/>
      <c r="YD38" s="114"/>
      <c r="YE38" s="114"/>
      <c r="YF38" s="114"/>
      <c r="YG38" s="114"/>
      <c r="YH38" s="114"/>
      <c r="YI38" s="114"/>
      <c r="YJ38" s="114"/>
      <c r="YK38" s="114"/>
      <c r="YL38" s="114"/>
      <c r="YM38" s="114"/>
      <c r="YN38" s="114"/>
      <c r="YO38" s="114"/>
      <c r="YP38" s="114"/>
      <c r="YQ38" s="114"/>
      <c r="YR38" s="114"/>
      <c r="YS38" s="114"/>
      <c r="YT38" s="114"/>
      <c r="YU38" s="114"/>
      <c r="YV38" s="114"/>
      <c r="YW38" s="114"/>
      <c r="YX38" s="114"/>
      <c r="YY38" s="114"/>
      <c r="YZ38" s="114"/>
      <c r="ZA38" s="114"/>
      <c r="ZB38" s="114"/>
      <c r="ZC38" s="114"/>
      <c r="ZD38" s="114"/>
      <c r="ZE38" s="114"/>
      <c r="ZF38" s="114"/>
      <c r="ZG38" s="114"/>
      <c r="ZH38" s="114"/>
      <c r="ZI38" s="114"/>
      <c r="ZJ38" s="114"/>
      <c r="ZK38" s="114"/>
      <c r="ZL38" s="114"/>
      <c r="ZM38" s="114"/>
      <c r="ZN38" s="114"/>
      <c r="ZO38" s="114"/>
      <c r="ZP38" s="114"/>
      <c r="ZQ38" s="114"/>
      <c r="ZR38" s="114"/>
      <c r="ZS38" s="114"/>
      <c r="ZT38" s="114"/>
      <c r="ZU38" s="114"/>
      <c r="ZV38" s="114"/>
      <c r="ZW38" s="114"/>
      <c r="ZX38" s="114"/>
      <c r="ZY38" s="114"/>
      <c r="ZZ38" s="114"/>
      <c r="AAA38" s="114"/>
      <c r="AAB38" s="114"/>
      <c r="AAC38" s="114"/>
      <c r="AAD38" s="114"/>
      <c r="AAE38" s="114"/>
      <c r="AAF38" s="114"/>
      <c r="AAG38" s="114"/>
      <c r="AAH38" s="114"/>
      <c r="AAI38" s="114"/>
      <c r="AAJ38" s="114"/>
      <c r="AAK38" s="114"/>
      <c r="AAL38" s="114"/>
      <c r="AAM38" s="114"/>
      <c r="AAN38" s="114"/>
      <c r="AAO38" s="114"/>
      <c r="AAP38" s="114"/>
      <c r="AAQ38" s="114"/>
      <c r="AAR38" s="114"/>
      <c r="AAS38" s="114"/>
      <c r="AAT38" s="114"/>
      <c r="AAU38" s="114"/>
      <c r="AAV38" s="114"/>
      <c r="AAW38" s="114"/>
      <c r="AAX38" s="114"/>
      <c r="AAY38" s="114"/>
      <c r="AAZ38" s="114"/>
      <c r="ABA38" s="114"/>
      <c r="ABB38" s="114"/>
      <c r="ABC38" s="114"/>
      <c r="ABD38" s="114"/>
      <c r="ABE38" s="114"/>
      <c r="ABF38" s="114"/>
      <c r="ABG38" s="114"/>
      <c r="ABH38" s="114"/>
      <c r="ABI38" s="114"/>
      <c r="ABJ38" s="114"/>
      <c r="ABK38" s="114"/>
      <c r="ABL38" s="114"/>
      <c r="ABM38" s="114"/>
      <c r="ABN38" s="114"/>
      <c r="ABO38" s="114"/>
      <c r="ABP38" s="114"/>
      <c r="ABQ38" s="114"/>
      <c r="ABR38" s="114"/>
      <c r="ABS38" s="114"/>
      <c r="ABT38" s="114"/>
      <c r="ABU38" s="114"/>
      <c r="ABV38" s="114"/>
      <c r="ABW38" s="114"/>
      <c r="ABX38" s="114"/>
      <c r="ABY38" s="114"/>
      <c r="ABZ38" s="114"/>
      <c r="ACA38" s="114"/>
      <c r="ACB38" s="114"/>
      <c r="ACC38" s="114"/>
      <c r="ACD38" s="114"/>
      <c r="ACE38" s="114"/>
      <c r="ACF38" s="114"/>
      <c r="ACG38" s="114"/>
      <c r="ACH38" s="114"/>
      <c r="ACI38" s="114"/>
      <c r="ACJ38" s="114"/>
      <c r="ACK38" s="114"/>
      <c r="ACL38" s="114"/>
      <c r="ACM38" s="114"/>
      <c r="ACN38" s="114"/>
      <c r="ACO38" s="114"/>
      <c r="ACP38" s="114"/>
      <c r="ACQ38" s="114"/>
      <c r="ACR38" s="114"/>
      <c r="ACS38" s="114"/>
      <c r="ACT38" s="114"/>
      <c r="ACU38" s="114"/>
      <c r="ACV38" s="114"/>
      <c r="ACW38" s="114"/>
      <c r="ACX38" s="114"/>
      <c r="ACY38" s="114"/>
      <c r="ACZ38" s="114"/>
      <c r="ADA38" s="114"/>
      <c r="ADB38" s="114"/>
      <c r="ADC38" s="114"/>
      <c r="ADD38" s="114"/>
      <c r="ADE38" s="114"/>
      <c r="ADF38" s="114"/>
      <c r="ADG38" s="114"/>
      <c r="ADH38" s="114"/>
      <c r="ADI38" s="114"/>
      <c r="ADJ38" s="114"/>
      <c r="ADK38" s="114"/>
      <c r="ADL38" s="114"/>
      <c r="ADM38" s="114"/>
      <c r="ADN38" s="114"/>
      <c r="ADO38" s="114"/>
      <c r="ADP38" s="114"/>
      <c r="ADQ38" s="114"/>
      <c r="ADR38" s="114"/>
      <c r="ADS38" s="114"/>
      <c r="ADT38" s="114"/>
      <c r="ADU38" s="114"/>
      <c r="ADV38" s="114"/>
      <c r="ADW38" s="114"/>
      <c r="ADX38" s="114"/>
      <c r="ADY38" s="114"/>
      <c r="ADZ38" s="114"/>
      <c r="AEA38" s="114"/>
      <c r="AEB38" s="114"/>
      <c r="AEC38" s="114"/>
      <c r="AED38" s="114"/>
      <c r="AEE38" s="114"/>
      <c r="AEF38" s="114"/>
      <c r="AEG38" s="114"/>
      <c r="AEH38" s="114"/>
      <c r="AEI38" s="114"/>
      <c r="AEJ38" s="114"/>
      <c r="AEK38" s="114"/>
      <c r="AEL38" s="114"/>
      <c r="AEM38" s="114"/>
      <c r="AEN38" s="114"/>
      <c r="AEO38" s="114"/>
      <c r="AEP38" s="114"/>
      <c r="AEQ38" s="114"/>
      <c r="AER38" s="114"/>
      <c r="AES38" s="114"/>
      <c r="AET38" s="114"/>
      <c r="AEU38" s="114"/>
      <c r="AEV38" s="114"/>
      <c r="AEW38" s="114"/>
      <c r="AEX38" s="114"/>
      <c r="AEY38" s="114"/>
      <c r="AEZ38" s="114"/>
      <c r="AFA38" s="114"/>
      <c r="AFB38" s="114"/>
      <c r="AFC38" s="114"/>
      <c r="AFD38" s="114"/>
      <c r="AFE38" s="114"/>
      <c r="AFF38" s="114"/>
      <c r="AFG38" s="114"/>
      <c r="AFH38" s="114"/>
      <c r="AFI38" s="114"/>
      <c r="AFJ38" s="114"/>
      <c r="AFK38" s="114"/>
      <c r="AFL38" s="114"/>
      <c r="AFM38" s="114"/>
      <c r="AFN38" s="114"/>
      <c r="AFO38" s="114"/>
      <c r="AFP38" s="114"/>
      <c r="AFQ38" s="114"/>
      <c r="AFR38" s="114"/>
      <c r="AFS38" s="114"/>
      <c r="AFT38" s="114"/>
      <c r="AFU38" s="114"/>
      <c r="AFV38" s="114"/>
      <c r="AFW38" s="114"/>
      <c r="AFX38" s="114"/>
      <c r="AFY38" s="114"/>
      <c r="AFZ38" s="114"/>
      <c r="AGA38" s="114"/>
      <c r="AGB38" s="114"/>
      <c r="AGC38" s="114"/>
      <c r="AGD38" s="114"/>
      <c r="AGE38" s="114"/>
      <c r="AGF38" s="114"/>
      <c r="AGG38" s="114"/>
      <c r="AGH38" s="114"/>
      <c r="AGI38" s="114"/>
      <c r="AGJ38" s="114"/>
      <c r="AGK38" s="114"/>
      <c r="AGL38" s="114"/>
      <c r="AGM38" s="114"/>
      <c r="AGN38" s="114"/>
      <c r="AGO38" s="114"/>
      <c r="AGP38" s="114"/>
      <c r="AGQ38" s="114"/>
      <c r="AGR38" s="114"/>
      <c r="AGS38" s="114"/>
      <c r="AGT38" s="114"/>
      <c r="AGU38" s="114"/>
      <c r="AGV38" s="114"/>
      <c r="AGW38" s="114"/>
      <c r="AGX38" s="114"/>
      <c r="AGY38" s="114"/>
      <c r="AGZ38" s="114"/>
      <c r="AHA38" s="114"/>
      <c r="AHB38" s="114"/>
      <c r="AHC38" s="114"/>
      <c r="AHD38" s="114"/>
      <c r="AHE38" s="114"/>
      <c r="AHF38" s="114"/>
      <c r="AHG38" s="114"/>
      <c r="AHH38" s="114"/>
      <c r="AHI38" s="114"/>
      <c r="AHJ38" s="114"/>
      <c r="AHK38" s="114"/>
      <c r="AHL38" s="114"/>
      <c r="AHM38" s="114"/>
      <c r="AHN38" s="114"/>
      <c r="AHO38" s="114"/>
      <c r="AHP38" s="114"/>
      <c r="AHQ38" s="114"/>
      <c r="AHR38" s="114"/>
      <c r="AHS38" s="114"/>
      <c r="AHT38" s="114"/>
      <c r="AHU38" s="114"/>
      <c r="AHV38" s="114"/>
      <c r="AHW38" s="114"/>
      <c r="AHX38" s="114"/>
      <c r="AHY38" s="114"/>
      <c r="AHZ38" s="114"/>
      <c r="AIA38" s="114"/>
      <c r="AIB38" s="114"/>
      <c r="AIC38" s="114"/>
      <c r="AID38" s="114"/>
      <c r="AIE38" s="114"/>
      <c r="AIF38" s="114"/>
      <c r="AIG38" s="114"/>
      <c r="AIH38" s="114"/>
      <c r="AII38" s="114"/>
      <c r="AIJ38" s="114"/>
      <c r="AIK38" s="114"/>
      <c r="AIL38" s="114"/>
      <c r="AIM38" s="114"/>
      <c r="AIN38" s="114"/>
      <c r="AIO38" s="114"/>
      <c r="AIP38" s="114"/>
      <c r="AIQ38" s="114"/>
      <c r="AIR38" s="114"/>
      <c r="AIS38" s="114"/>
      <c r="AIT38" s="114"/>
      <c r="AIU38" s="114"/>
      <c r="AIV38" s="114"/>
      <c r="AIW38" s="114"/>
      <c r="AIX38" s="114"/>
      <c r="AIY38" s="114"/>
      <c r="AIZ38" s="114"/>
      <c r="AJA38" s="114"/>
      <c r="AJB38" s="114"/>
      <c r="AJC38" s="114"/>
      <c r="AJD38" s="114"/>
      <c r="AJE38" s="114"/>
      <c r="AJF38" s="114"/>
      <c r="AJG38" s="114"/>
      <c r="AJH38" s="114"/>
      <c r="AJI38" s="114"/>
      <c r="AJJ38" s="114"/>
      <c r="AJK38" s="114"/>
      <c r="AJL38" s="114"/>
      <c r="AJM38" s="114"/>
      <c r="AJN38" s="114"/>
      <c r="AJO38" s="114"/>
      <c r="AJP38" s="114"/>
      <c r="AJQ38" s="114"/>
      <c r="AJR38" s="114"/>
      <c r="AJS38" s="114"/>
      <c r="AJT38" s="114"/>
      <c r="AJU38" s="114"/>
      <c r="AJV38" s="114"/>
      <c r="AJW38" s="114"/>
      <c r="AJX38" s="114"/>
      <c r="AJY38" s="114"/>
      <c r="AJZ38" s="114"/>
      <c r="AKA38" s="114"/>
      <c r="AKB38" s="114"/>
      <c r="AKC38" s="114"/>
      <c r="AKD38" s="114"/>
      <c r="AKE38" s="114"/>
      <c r="AKF38" s="114"/>
      <c r="AKG38" s="114"/>
      <c r="AKH38" s="114"/>
      <c r="AKI38" s="114"/>
      <c r="AKJ38" s="114"/>
      <c r="AKK38" s="114"/>
      <c r="AKL38" s="114"/>
    </row>
    <row r="39" spans="1:974" ht="15" customHeight="1" x14ac:dyDescent="0.3">
      <c r="A39" s="116"/>
      <c r="B39" s="117"/>
      <c r="C39" s="462"/>
      <c r="D39" s="138" t="s">
        <v>3094</v>
      </c>
      <c r="E39" s="139">
        <v>1</v>
      </c>
      <c r="F39" s="170">
        <f>26800*12</f>
        <v>321600</v>
      </c>
      <c r="G39" s="141">
        <f t="shared" ref="G39:G81" si="1">E39*F39</f>
        <v>321600</v>
      </c>
    </row>
    <row r="40" spans="1:974" ht="15" customHeight="1" x14ac:dyDescent="0.3">
      <c r="A40" s="116"/>
      <c r="B40" s="117"/>
      <c r="C40" s="462"/>
      <c r="D40" s="138" t="s">
        <v>3097</v>
      </c>
      <c r="E40" s="139">
        <v>1</v>
      </c>
      <c r="F40" s="170">
        <f>41000*12</f>
        <v>492000</v>
      </c>
      <c r="G40" s="141">
        <f t="shared" si="1"/>
        <v>492000</v>
      </c>
    </row>
    <row r="41" spans="1:974" ht="15" customHeight="1" x14ac:dyDescent="0.3">
      <c r="A41" s="116"/>
      <c r="B41" s="117"/>
      <c r="C41" s="462"/>
      <c r="D41" s="138" t="s">
        <v>3138</v>
      </c>
      <c r="E41" s="139">
        <v>13</v>
      </c>
      <c r="F41" s="170">
        <f>42500*12</f>
        <v>510000</v>
      </c>
      <c r="G41" s="141">
        <f t="shared" si="1"/>
        <v>6630000</v>
      </c>
    </row>
    <row r="42" spans="1:974" ht="15" customHeight="1" x14ac:dyDescent="0.3">
      <c r="A42" s="116"/>
      <c r="B42" s="117"/>
      <c r="C42" s="462"/>
      <c r="D42" s="138" t="s">
        <v>3228</v>
      </c>
      <c r="E42" s="139">
        <v>6</v>
      </c>
      <c r="F42" s="170">
        <f>37500*6</f>
        <v>225000</v>
      </c>
      <c r="G42" s="141">
        <f t="shared" si="1"/>
        <v>1350000</v>
      </c>
    </row>
    <row r="43" spans="1:974" ht="15" customHeight="1" x14ac:dyDescent="0.3">
      <c r="A43" s="116"/>
      <c r="B43" s="117"/>
      <c r="C43" s="462"/>
      <c r="D43" s="138" t="s">
        <v>3229</v>
      </c>
      <c r="E43" s="139">
        <v>70</v>
      </c>
      <c r="F43" s="170">
        <f>31500*6</f>
        <v>189000</v>
      </c>
      <c r="G43" s="141">
        <f t="shared" si="1"/>
        <v>13230000</v>
      </c>
    </row>
    <row r="44" spans="1:974" s="114" customFormat="1" ht="15" customHeight="1" x14ac:dyDescent="0.3">
      <c r="A44" s="116"/>
      <c r="B44" s="117"/>
      <c r="C44" s="462"/>
      <c r="D44" s="138" t="s">
        <v>3230</v>
      </c>
      <c r="E44" s="139">
        <v>98</v>
      </c>
      <c r="F44" s="170">
        <f>12000*6</f>
        <v>72000</v>
      </c>
      <c r="G44" s="141">
        <f t="shared" si="1"/>
        <v>7056000</v>
      </c>
    </row>
    <row r="45" spans="1:974" s="114" customFormat="1" ht="15" customHeight="1" x14ac:dyDescent="0.3">
      <c r="A45" s="116"/>
      <c r="B45" s="117"/>
      <c r="C45" s="462"/>
      <c r="D45" s="138" t="s">
        <v>3231</v>
      </c>
      <c r="E45" s="139">
        <v>1</v>
      </c>
      <c r="F45" s="170">
        <f>10000*6</f>
        <v>60000</v>
      </c>
      <c r="G45" s="141">
        <f t="shared" si="1"/>
        <v>60000</v>
      </c>
    </row>
    <row r="46" spans="1:974" s="114" customFormat="1" ht="15" customHeight="1" x14ac:dyDescent="0.3">
      <c r="A46" s="116"/>
      <c r="B46" s="117"/>
      <c r="C46" s="462"/>
      <c r="D46" s="138" t="s">
        <v>3232</v>
      </c>
      <c r="E46" s="139">
        <v>60</v>
      </c>
      <c r="F46" s="170">
        <f>8000*6</f>
        <v>48000</v>
      </c>
      <c r="G46" s="141">
        <f t="shared" si="1"/>
        <v>2880000</v>
      </c>
    </row>
    <row r="47" spans="1:974" s="114" customFormat="1" ht="15" customHeight="1" x14ac:dyDescent="0.3">
      <c r="A47" s="116"/>
      <c r="B47" s="117"/>
      <c r="C47" s="462"/>
      <c r="D47" s="138" t="s">
        <v>3233</v>
      </c>
      <c r="E47" s="139">
        <v>30</v>
      </c>
      <c r="F47" s="170">
        <f>4000*6</f>
        <v>24000</v>
      </c>
      <c r="G47" s="141">
        <f t="shared" si="1"/>
        <v>720000</v>
      </c>
    </row>
    <row r="48" spans="1:974" s="114" customFormat="1" ht="15" customHeight="1" x14ac:dyDescent="0.3">
      <c r="A48" s="116"/>
      <c r="B48" s="117"/>
      <c r="C48" s="462"/>
      <c r="D48" s="138" t="s">
        <v>3234</v>
      </c>
      <c r="E48" s="139">
        <v>9</v>
      </c>
      <c r="F48" s="170">
        <f>37500*12</f>
        <v>450000</v>
      </c>
      <c r="G48" s="141">
        <f t="shared" si="1"/>
        <v>4050000</v>
      </c>
    </row>
    <row r="49" spans="1:7" s="114" customFormat="1" ht="15" customHeight="1" x14ac:dyDescent="0.3">
      <c r="A49" s="116"/>
      <c r="B49" s="117"/>
      <c r="C49" s="462"/>
      <c r="D49" s="138" t="s">
        <v>3235</v>
      </c>
      <c r="E49" s="139">
        <v>36</v>
      </c>
      <c r="F49" s="170">
        <f>31500*12</f>
        <v>378000</v>
      </c>
      <c r="G49" s="141">
        <f t="shared" si="1"/>
        <v>13608000</v>
      </c>
    </row>
    <row r="50" spans="1:7" s="114" customFormat="1" ht="15" customHeight="1" x14ac:dyDescent="0.3">
      <c r="A50" s="116"/>
      <c r="B50" s="117"/>
      <c r="C50" s="462"/>
      <c r="D50" s="138" t="s">
        <v>3236</v>
      </c>
      <c r="E50" s="139">
        <v>62</v>
      </c>
      <c r="F50" s="170">
        <f>12000*12</f>
        <v>144000</v>
      </c>
      <c r="G50" s="141">
        <f t="shared" si="1"/>
        <v>8928000</v>
      </c>
    </row>
    <row r="51" spans="1:7" s="114" customFormat="1" ht="15" customHeight="1" x14ac:dyDescent="0.3">
      <c r="A51" s="116"/>
      <c r="B51" s="117"/>
      <c r="C51" s="462"/>
      <c r="D51" s="138" t="s">
        <v>3237</v>
      </c>
      <c r="E51" s="139">
        <v>1</v>
      </c>
      <c r="F51" s="170">
        <f>10000*12</f>
        <v>120000</v>
      </c>
      <c r="G51" s="141">
        <f t="shared" si="1"/>
        <v>120000</v>
      </c>
    </row>
    <row r="52" spans="1:7" s="114" customFormat="1" ht="15" customHeight="1" x14ac:dyDescent="0.3">
      <c r="A52" s="116"/>
      <c r="B52" s="117"/>
      <c r="C52" s="462"/>
      <c r="D52" s="138" t="s">
        <v>3238</v>
      </c>
      <c r="E52" s="139">
        <v>30</v>
      </c>
      <c r="F52" s="170">
        <f>8000*12</f>
        <v>96000</v>
      </c>
      <c r="G52" s="141">
        <f t="shared" si="1"/>
        <v>2880000</v>
      </c>
    </row>
    <row r="53" spans="1:7" s="114" customFormat="1" ht="15" customHeight="1" x14ac:dyDescent="0.3">
      <c r="A53" s="116"/>
      <c r="B53" s="117"/>
      <c r="C53" s="462"/>
      <c r="D53" s="138" t="s">
        <v>3239</v>
      </c>
      <c r="E53" s="139">
        <v>17</v>
      </c>
      <c r="F53" s="170">
        <f>4000*12</f>
        <v>48000</v>
      </c>
      <c r="G53" s="141">
        <f t="shared" si="1"/>
        <v>816000</v>
      </c>
    </row>
    <row r="54" spans="1:7" s="114" customFormat="1" ht="15" customHeight="1" x14ac:dyDescent="0.3">
      <c r="A54" s="116"/>
      <c r="B54" s="117"/>
      <c r="C54" s="462"/>
      <c r="D54" s="138" t="s">
        <v>3202</v>
      </c>
      <c r="E54" s="139">
        <v>59</v>
      </c>
      <c r="F54" s="170">
        <f>37500*12</f>
        <v>450000</v>
      </c>
      <c r="G54" s="141">
        <f t="shared" si="1"/>
        <v>26550000</v>
      </c>
    </row>
    <row r="55" spans="1:7" s="114" customFormat="1" ht="15" customHeight="1" x14ac:dyDescent="0.3">
      <c r="A55" s="116"/>
      <c r="B55" s="117"/>
      <c r="C55" s="462"/>
      <c r="D55" s="138" t="s">
        <v>3203</v>
      </c>
      <c r="E55" s="139">
        <v>70</v>
      </c>
      <c r="F55" s="170">
        <f>31500*12</f>
        <v>378000</v>
      </c>
      <c r="G55" s="141">
        <f t="shared" si="1"/>
        <v>26460000</v>
      </c>
    </row>
    <row r="56" spans="1:7" s="114" customFormat="1" ht="15" customHeight="1" x14ac:dyDescent="0.3">
      <c r="A56" s="116"/>
      <c r="B56" s="117"/>
      <c r="C56" s="462"/>
      <c r="D56" s="138" t="s">
        <v>3204</v>
      </c>
      <c r="E56" s="139">
        <v>60</v>
      </c>
      <c r="F56" s="170">
        <f>18000*12</f>
        <v>216000</v>
      </c>
      <c r="G56" s="141">
        <f t="shared" si="1"/>
        <v>12960000</v>
      </c>
    </row>
    <row r="57" spans="1:7" s="114" customFormat="1" ht="15" customHeight="1" x14ac:dyDescent="0.3">
      <c r="A57" s="116"/>
      <c r="B57" s="117"/>
      <c r="C57" s="462"/>
      <c r="D57" s="138" t="s">
        <v>3122</v>
      </c>
      <c r="E57" s="139">
        <v>420</v>
      </c>
      <c r="F57" s="170">
        <f>12000*12</f>
        <v>144000</v>
      </c>
      <c r="G57" s="141">
        <f t="shared" si="1"/>
        <v>60480000</v>
      </c>
    </row>
    <row r="58" spans="1:7" s="114" customFormat="1" ht="15" customHeight="1" x14ac:dyDescent="0.3">
      <c r="A58" s="116"/>
      <c r="B58" s="117"/>
      <c r="C58" s="462"/>
      <c r="D58" s="138" t="s">
        <v>3205</v>
      </c>
      <c r="E58" s="139">
        <v>15</v>
      </c>
      <c r="F58" s="170">
        <f>9200*12</f>
        <v>110400</v>
      </c>
      <c r="G58" s="141">
        <f t="shared" si="1"/>
        <v>1656000</v>
      </c>
    </row>
    <row r="59" spans="1:7" s="114" customFormat="1" ht="15" customHeight="1" x14ac:dyDescent="0.3">
      <c r="A59" s="116"/>
      <c r="B59" s="117"/>
      <c r="C59" s="462"/>
      <c r="D59" s="138" t="s">
        <v>3124</v>
      </c>
      <c r="E59" s="139">
        <v>60</v>
      </c>
      <c r="F59" s="170">
        <f>8000*12</f>
        <v>96000</v>
      </c>
      <c r="G59" s="141">
        <f t="shared" si="1"/>
        <v>5760000</v>
      </c>
    </row>
    <row r="60" spans="1:7" s="114" customFormat="1" ht="15" customHeight="1" x14ac:dyDescent="0.3">
      <c r="A60" s="116"/>
      <c r="B60" s="117"/>
      <c r="C60" s="462"/>
      <c r="D60" s="138" t="s">
        <v>3127</v>
      </c>
      <c r="E60" s="139">
        <v>30</v>
      </c>
      <c r="F60" s="170">
        <f>4000*12</f>
        <v>48000</v>
      </c>
      <c r="G60" s="141">
        <f t="shared" si="1"/>
        <v>1440000</v>
      </c>
    </row>
    <row r="61" spans="1:7" s="114" customFormat="1" ht="15" customHeight="1" x14ac:dyDescent="0.3">
      <c r="A61" s="116"/>
      <c r="B61" s="117"/>
      <c r="C61" s="462"/>
      <c r="D61" s="138" t="s">
        <v>3128</v>
      </c>
      <c r="E61" s="193">
        <f>(E44+E46+E50+E52+E57+E59+E56+E58)/2</f>
        <v>402.5</v>
      </c>
      <c r="F61" s="170">
        <f>2000*12</f>
        <v>24000</v>
      </c>
      <c r="G61" s="141">
        <f t="shared" si="1"/>
        <v>9660000</v>
      </c>
    </row>
    <row r="62" spans="1:7" s="114" customFormat="1" ht="15" customHeight="1" x14ac:dyDescent="0.3">
      <c r="A62" s="116"/>
      <c r="B62" s="117"/>
      <c r="C62" s="462"/>
      <c r="D62" s="138" t="s">
        <v>3130</v>
      </c>
      <c r="E62" s="139">
        <v>40</v>
      </c>
      <c r="F62" s="170">
        <f>39000*5</f>
        <v>195000</v>
      </c>
      <c r="G62" s="141">
        <f t="shared" si="1"/>
        <v>7800000</v>
      </c>
    </row>
    <row r="63" spans="1:7" s="114" customFormat="1" ht="15" customHeight="1" x14ac:dyDescent="0.3">
      <c r="A63" s="116"/>
      <c r="B63" s="117"/>
      <c r="C63" s="462"/>
      <c r="D63" s="194" t="s">
        <v>3240</v>
      </c>
      <c r="E63" s="195"/>
      <c r="F63" s="202"/>
      <c r="G63" s="203"/>
    </row>
    <row r="64" spans="1:7" s="114" customFormat="1" ht="15" customHeight="1" x14ac:dyDescent="0.3">
      <c r="A64" s="116"/>
      <c r="B64" s="117"/>
      <c r="C64" s="462"/>
      <c r="D64" s="130" t="s">
        <v>3132</v>
      </c>
      <c r="E64" s="131">
        <v>7</v>
      </c>
      <c r="F64" s="170">
        <f>37500*12</f>
        <v>450000</v>
      </c>
      <c r="G64" s="133">
        <f t="shared" si="1"/>
        <v>3150000</v>
      </c>
    </row>
    <row r="65" spans="1:7" s="114" customFormat="1" ht="15" customHeight="1" x14ac:dyDescent="0.3">
      <c r="A65" s="116"/>
      <c r="B65" s="117"/>
      <c r="C65" s="462"/>
      <c r="D65" s="138" t="s">
        <v>3133</v>
      </c>
      <c r="E65" s="139">
        <v>36</v>
      </c>
      <c r="F65" s="170">
        <f>31500*12</f>
        <v>378000</v>
      </c>
      <c r="G65" s="141">
        <f t="shared" si="1"/>
        <v>13608000</v>
      </c>
    </row>
    <row r="66" spans="1:7" s="114" customFormat="1" ht="15" customHeight="1" x14ac:dyDescent="0.3">
      <c r="A66" s="116"/>
      <c r="B66" s="117"/>
      <c r="C66" s="462"/>
      <c r="D66" s="138" t="s">
        <v>3140</v>
      </c>
      <c r="E66" s="139">
        <v>10</v>
      </c>
      <c r="F66" s="170">
        <f>18000*12</f>
        <v>216000</v>
      </c>
      <c r="G66" s="141">
        <f t="shared" si="1"/>
        <v>2160000</v>
      </c>
    </row>
    <row r="67" spans="1:7" s="114" customFormat="1" ht="15" customHeight="1" x14ac:dyDescent="0.3">
      <c r="A67" s="116"/>
      <c r="B67" s="117"/>
      <c r="C67" s="462"/>
      <c r="D67" s="138" t="s">
        <v>3134</v>
      </c>
      <c r="E67" s="139">
        <v>50</v>
      </c>
      <c r="F67" s="170">
        <f>12000*12</f>
        <v>144000</v>
      </c>
      <c r="G67" s="141">
        <f t="shared" si="1"/>
        <v>7200000</v>
      </c>
    </row>
    <row r="68" spans="1:7" s="114" customFormat="1" ht="15" customHeight="1" x14ac:dyDescent="0.3">
      <c r="A68" s="116"/>
      <c r="B68" s="117"/>
      <c r="C68" s="462"/>
      <c r="D68" s="138" t="s">
        <v>3136</v>
      </c>
      <c r="E68" s="139">
        <v>30</v>
      </c>
      <c r="F68" s="170">
        <f>8000*12</f>
        <v>96000</v>
      </c>
      <c r="G68" s="141">
        <f t="shared" si="1"/>
        <v>2880000</v>
      </c>
    </row>
    <row r="69" spans="1:7" s="114" customFormat="1" ht="15" customHeight="1" x14ac:dyDescent="0.3">
      <c r="A69" s="116"/>
      <c r="B69" s="117"/>
      <c r="C69" s="462"/>
      <c r="D69" s="138" t="s">
        <v>3137</v>
      </c>
      <c r="E69" s="139">
        <v>17</v>
      </c>
      <c r="F69" s="170">
        <f>4000*12</f>
        <v>48000</v>
      </c>
      <c r="G69" s="141">
        <f t="shared" si="1"/>
        <v>816000</v>
      </c>
    </row>
    <row r="70" spans="1:7" s="114" customFormat="1" ht="15" customHeight="1" x14ac:dyDescent="0.3">
      <c r="A70" s="116"/>
      <c r="B70" s="117"/>
      <c r="C70" s="462"/>
      <c r="D70" s="138" t="s">
        <v>3138</v>
      </c>
      <c r="E70" s="139">
        <v>2</v>
      </c>
      <c r="F70" s="170">
        <f>42500*12</f>
        <v>510000</v>
      </c>
      <c r="G70" s="141">
        <f t="shared" si="1"/>
        <v>1020000</v>
      </c>
    </row>
    <row r="71" spans="1:7" s="114" customFormat="1" ht="15" customHeight="1" x14ac:dyDescent="0.3">
      <c r="A71" s="116"/>
      <c r="B71" s="117"/>
      <c r="C71" s="462"/>
      <c r="D71" s="138" t="s">
        <v>3141</v>
      </c>
      <c r="E71" s="193">
        <f>(E66+E67+E68)/2</f>
        <v>45</v>
      </c>
      <c r="F71" s="200">
        <f>2000*12</f>
        <v>24000</v>
      </c>
      <c r="G71" s="141">
        <f t="shared" si="1"/>
        <v>1080000</v>
      </c>
    </row>
    <row r="72" spans="1:7" s="114" customFormat="1" ht="15" customHeight="1" x14ac:dyDescent="0.3">
      <c r="A72" s="116"/>
      <c r="B72" s="117"/>
      <c r="C72" s="462"/>
      <c r="D72" s="194" t="s">
        <v>3241</v>
      </c>
      <c r="E72" s="195"/>
      <c r="F72" s="207"/>
      <c r="G72" s="197"/>
    </row>
    <row r="73" spans="1:7" s="114" customFormat="1" ht="15" customHeight="1" x14ac:dyDescent="0.3">
      <c r="A73" s="116"/>
      <c r="B73" s="117"/>
      <c r="C73" s="462"/>
      <c r="D73" s="138" t="s">
        <v>3143</v>
      </c>
      <c r="E73" s="139">
        <v>15</v>
      </c>
      <c r="F73" s="170">
        <f>37500*5</f>
        <v>187500</v>
      </c>
      <c r="G73" s="141">
        <f t="shared" si="1"/>
        <v>2812500</v>
      </c>
    </row>
    <row r="74" spans="1:7" s="114" customFormat="1" ht="15" customHeight="1" x14ac:dyDescent="0.3">
      <c r="A74" s="116"/>
      <c r="B74" s="117"/>
      <c r="C74" s="462"/>
      <c r="D74" s="138" t="s">
        <v>3144</v>
      </c>
      <c r="E74" s="139">
        <v>70</v>
      </c>
      <c r="F74" s="170">
        <f>31500*5</f>
        <v>157500</v>
      </c>
      <c r="G74" s="141">
        <f t="shared" si="1"/>
        <v>11025000</v>
      </c>
    </row>
    <row r="75" spans="1:7" ht="15" customHeight="1" x14ac:dyDescent="0.3">
      <c r="A75" s="116"/>
      <c r="B75" s="117"/>
      <c r="C75" s="462"/>
      <c r="D75" s="138" t="s">
        <v>3145</v>
      </c>
      <c r="E75" s="139">
        <v>20</v>
      </c>
      <c r="F75" s="170">
        <f>18000*5</f>
        <v>90000</v>
      </c>
      <c r="G75" s="141">
        <f t="shared" si="1"/>
        <v>1800000</v>
      </c>
    </row>
    <row r="76" spans="1:7" ht="15" customHeight="1" x14ac:dyDescent="0.3">
      <c r="A76" s="116"/>
      <c r="B76" s="117"/>
      <c r="C76" s="462"/>
      <c r="D76" s="138" t="s">
        <v>3146</v>
      </c>
      <c r="E76" s="139">
        <v>100</v>
      </c>
      <c r="F76" s="170">
        <f>12000*5</f>
        <v>60000</v>
      </c>
      <c r="G76" s="141">
        <f t="shared" si="1"/>
        <v>6000000</v>
      </c>
    </row>
    <row r="77" spans="1:7" ht="15" customHeight="1" x14ac:dyDescent="0.3">
      <c r="A77" s="116"/>
      <c r="B77" s="117"/>
      <c r="C77" s="462"/>
      <c r="D77" s="138" t="s">
        <v>3147</v>
      </c>
      <c r="E77" s="139">
        <v>5</v>
      </c>
      <c r="F77" s="170">
        <f>9200*5</f>
        <v>46000</v>
      </c>
      <c r="G77" s="141">
        <f t="shared" si="1"/>
        <v>230000</v>
      </c>
    </row>
    <row r="78" spans="1:7" ht="15" customHeight="1" x14ac:dyDescent="0.3">
      <c r="A78" s="116"/>
      <c r="B78" s="117"/>
      <c r="C78" s="462"/>
      <c r="D78" s="138" t="s">
        <v>3148</v>
      </c>
      <c r="E78" s="139">
        <v>60</v>
      </c>
      <c r="F78" s="170">
        <f>8000*5</f>
        <v>40000</v>
      </c>
      <c r="G78" s="141">
        <f t="shared" si="1"/>
        <v>2400000</v>
      </c>
    </row>
    <row r="79" spans="1:7" ht="15" customHeight="1" x14ac:dyDescent="0.3">
      <c r="A79" s="116"/>
      <c r="B79" s="117"/>
      <c r="C79" s="462"/>
      <c r="D79" s="138" t="s">
        <v>3149</v>
      </c>
      <c r="E79" s="139">
        <v>30</v>
      </c>
      <c r="F79" s="170">
        <f>4000*5</f>
        <v>20000</v>
      </c>
      <c r="G79" s="141">
        <f t="shared" si="1"/>
        <v>600000</v>
      </c>
    </row>
    <row r="80" spans="1:7" ht="15" customHeight="1" x14ac:dyDescent="0.3">
      <c r="A80" s="116"/>
      <c r="B80" s="117"/>
      <c r="C80" s="462"/>
      <c r="D80" s="118" t="s">
        <v>3208</v>
      </c>
      <c r="E80" s="119">
        <v>3</v>
      </c>
      <c r="F80" s="170">
        <f>42500*5</f>
        <v>212500</v>
      </c>
      <c r="G80" s="121">
        <f t="shared" si="1"/>
        <v>637500</v>
      </c>
    </row>
    <row r="81" spans="1:974" ht="15" customHeight="1" x14ac:dyDescent="0.3">
      <c r="A81" s="116"/>
      <c r="B81" s="117"/>
      <c r="C81" s="462"/>
      <c r="D81" s="138" t="s">
        <v>3151</v>
      </c>
      <c r="E81" s="193">
        <f>(E75+E76+E77+E78)/2</f>
        <v>92.5</v>
      </c>
      <c r="F81" s="200">
        <f>2000*5</f>
        <v>10000</v>
      </c>
      <c r="G81" s="141">
        <f t="shared" si="1"/>
        <v>925000</v>
      </c>
    </row>
    <row r="82" spans="1:974" ht="15" customHeight="1" x14ac:dyDescent="0.3">
      <c r="A82" s="158"/>
      <c r="B82" s="159"/>
      <c r="C82" s="463"/>
      <c r="D82" s="464" t="s">
        <v>2834</v>
      </c>
      <c r="E82" s="465"/>
      <c r="F82" s="466"/>
      <c r="G82" s="127">
        <f>SUM(G39:G81)</f>
        <v>274251600</v>
      </c>
    </row>
    <row r="83" spans="1:974" s="115" customFormat="1" ht="15" customHeight="1" x14ac:dyDescent="0.3">
      <c r="A83" s="103">
        <v>8470230</v>
      </c>
      <c r="B83" s="104">
        <v>425745</v>
      </c>
      <c r="C83" s="461" t="s">
        <v>3152</v>
      </c>
      <c r="D83" s="130" t="s">
        <v>3242</v>
      </c>
      <c r="E83" s="208">
        <f>E44+E45+E46+E47</f>
        <v>189</v>
      </c>
      <c r="F83" s="132">
        <v>2500</v>
      </c>
      <c r="G83" s="133">
        <f>E83*F83</f>
        <v>472500</v>
      </c>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c r="AJ83" s="114"/>
      <c r="AK83" s="114"/>
      <c r="AL83" s="114"/>
      <c r="AM83" s="114"/>
      <c r="AN83" s="114"/>
      <c r="AO83" s="114"/>
      <c r="AP83" s="114"/>
      <c r="AQ83" s="114"/>
      <c r="AR83" s="114"/>
      <c r="AS83" s="114"/>
      <c r="AT83" s="114"/>
      <c r="AU83" s="114"/>
      <c r="AV83" s="114"/>
      <c r="AW83" s="114"/>
      <c r="AX83" s="114"/>
      <c r="AY83" s="114"/>
      <c r="AZ83" s="114"/>
      <c r="BA83" s="114"/>
      <c r="BB83" s="114"/>
      <c r="BC83" s="114"/>
      <c r="BD83" s="114"/>
      <c r="BE83" s="114"/>
      <c r="BF83" s="114"/>
      <c r="BG83" s="114"/>
      <c r="BH83" s="114"/>
      <c r="BI83" s="114"/>
      <c r="BJ83" s="114"/>
      <c r="BK83" s="114"/>
      <c r="BL83" s="114"/>
      <c r="BM83" s="114"/>
      <c r="BN83" s="114"/>
      <c r="BO83" s="114"/>
      <c r="BP83" s="114"/>
      <c r="BQ83" s="114"/>
      <c r="BR83" s="114"/>
      <c r="BS83" s="114"/>
      <c r="BT83" s="114"/>
      <c r="BU83" s="114"/>
      <c r="BV83" s="114"/>
      <c r="BW83" s="114"/>
      <c r="BX83" s="114"/>
      <c r="BY83" s="114"/>
      <c r="BZ83" s="114"/>
      <c r="CA83" s="114"/>
      <c r="CB83" s="114"/>
      <c r="CC83" s="114"/>
      <c r="CD83" s="114"/>
      <c r="CE83" s="114"/>
      <c r="CF83" s="114"/>
      <c r="CG83" s="114"/>
      <c r="CH83" s="114"/>
      <c r="CI83" s="114"/>
      <c r="CJ83" s="114"/>
      <c r="CK83" s="114"/>
      <c r="CL83" s="114"/>
      <c r="CM83" s="114"/>
      <c r="CN83" s="114"/>
      <c r="CO83" s="114"/>
      <c r="CP83" s="114"/>
      <c r="CQ83" s="114"/>
      <c r="CR83" s="114"/>
      <c r="CS83" s="114"/>
      <c r="CT83" s="114"/>
      <c r="CU83" s="114"/>
      <c r="CV83" s="114"/>
      <c r="CW83" s="114"/>
      <c r="CX83" s="114"/>
      <c r="CY83" s="114"/>
      <c r="CZ83" s="114"/>
      <c r="DA83" s="114"/>
      <c r="DB83" s="114"/>
      <c r="DC83" s="114"/>
      <c r="DD83" s="114"/>
      <c r="DE83" s="114"/>
      <c r="DF83" s="114"/>
      <c r="DG83" s="114"/>
      <c r="DH83" s="114"/>
      <c r="DI83" s="114"/>
      <c r="DJ83" s="114"/>
      <c r="DK83" s="114"/>
      <c r="DL83" s="114"/>
      <c r="DM83" s="114"/>
      <c r="DN83" s="114"/>
      <c r="DO83" s="114"/>
      <c r="DP83" s="114"/>
      <c r="DQ83" s="114"/>
      <c r="DR83" s="114"/>
      <c r="DS83" s="114"/>
      <c r="DT83" s="114"/>
      <c r="DU83" s="114"/>
      <c r="DV83" s="114"/>
      <c r="DW83" s="114"/>
      <c r="DX83" s="114"/>
      <c r="DY83" s="114"/>
      <c r="DZ83" s="114"/>
      <c r="EA83" s="114"/>
      <c r="EB83" s="114"/>
      <c r="EC83" s="114"/>
      <c r="ED83" s="114"/>
      <c r="EE83" s="114"/>
      <c r="EF83" s="114"/>
      <c r="EG83" s="114"/>
      <c r="EH83" s="114"/>
      <c r="EI83" s="114"/>
      <c r="EJ83" s="114"/>
      <c r="EK83" s="114"/>
      <c r="EL83" s="114"/>
      <c r="EM83" s="114"/>
      <c r="EN83" s="114"/>
      <c r="EO83" s="114"/>
      <c r="EP83" s="114"/>
      <c r="EQ83" s="114"/>
      <c r="ER83" s="114"/>
      <c r="ES83" s="114"/>
      <c r="ET83" s="114"/>
      <c r="EU83" s="114"/>
      <c r="EV83" s="114"/>
      <c r="EW83" s="114"/>
      <c r="EX83" s="114"/>
      <c r="EY83" s="114"/>
      <c r="EZ83" s="114"/>
      <c r="FA83" s="114"/>
      <c r="FB83" s="114"/>
      <c r="FC83" s="114"/>
      <c r="FD83" s="114"/>
      <c r="FE83" s="114"/>
      <c r="FF83" s="114"/>
      <c r="FG83" s="114"/>
      <c r="FH83" s="114"/>
      <c r="FI83" s="114"/>
      <c r="FJ83" s="114"/>
      <c r="FK83" s="114"/>
      <c r="FL83" s="114"/>
      <c r="FM83" s="114"/>
      <c r="FN83" s="114"/>
      <c r="FO83" s="114"/>
      <c r="FP83" s="114"/>
      <c r="FQ83" s="114"/>
      <c r="FR83" s="114"/>
      <c r="FS83" s="114"/>
      <c r="FT83" s="114"/>
      <c r="FU83" s="114"/>
      <c r="FV83" s="114"/>
      <c r="FW83" s="114"/>
      <c r="FX83" s="114"/>
      <c r="FY83" s="114"/>
      <c r="FZ83" s="114"/>
      <c r="GA83" s="114"/>
      <c r="GB83" s="114"/>
      <c r="GC83" s="114"/>
      <c r="GD83" s="114"/>
      <c r="GE83" s="114"/>
      <c r="GF83" s="114"/>
      <c r="GG83" s="114"/>
      <c r="GH83" s="114"/>
      <c r="GI83" s="114"/>
      <c r="GJ83" s="114"/>
      <c r="GK83" s="114"/>
      <c r="GL83" s="114"/>
      <c r="GM83" s="114"/>
      <c r="GN83" s="114"/>
      <c r="GO83" s="114"/>
      <c r="GP83" s="114"/>
      <c r="GQ83" s="114"/>
      <c r="GR83" s="114"/>
      <c r="GS83" s="114"/>
      <c r="GT83" s="114"/>
      <c r="GU83" s="114"/>
      <c r="GV83" s="114"/>
      <c r="GW83" s="114"/>
      <c r="GX83" s="114"/>
      <c r="GY83" s="114"/>
      <c r="GZ83" s="114"/>
      <c r="HA83" s="114"/>
      <c r="HB83" s="114"/>
      <c r="HC83" s="114"/>
      <c r="HD83" s="114"/>
      <c r="HE83" s="114"/>
      <c r="HF83" s="114"/>
      <c r="HG83" s="114"/>
      <c r="HH83" s="114"/>
      <c r="HI83" s="114"/>
      <c r="HJ83" s="114"/>
      <c r="HK83" s="114"/>
      <c r="HL83" s="114"/>
      <c r="HM83" s="114"/>
      <c r="HN83" s="114"/>
      <c r="HO83" s="114"/>
      <c r="HP83" s="114"/>
      <c r="HQ83" s="114"/>
      <c r="HR83" s="114"/>
      <c r="HS83" s="114"/>
      <c r="HT83" s="114"/>
      <c r="HU83" s="114"/>
      <c r="HV83" s="114"/>
      <c r="HW83" s="114"/>
      <c r="HX83" s="114"/>
      <c r="HY83" s="114"/>
      <c r="HZ83" s="114"/>
      <c r="IA83" s="114"/>
      <c r="IB83" s="114"/>
      <c r="IC83" s="114"/>
      <c r="ID83" s="114"/>
      <c r="IE83" s="114"/>
      <c r="IF83" s="114"/>
      <c r="IG83" s="114"/>
      <c r="IH83" s="114"/>
      <c r="II83" s="114"/>
      <c r="IJ83" s="114"/>
      <c r="IK83" s="114"/>
      <c r="IL83" s="114"/>
      <c r="IM83" s="114"/>
      <c r="IN83" s="114"/>
      <c r="IO83" s="114"/>
      <c r="IP83" s="114"/>
      <c r="IQ83" s="114"/>
      <c r="IR83" s="114"/>
      <c r="IS83" s="114"/>
      <c r="IT83" s="114"/>
      <c r="IU83" s="114"/>
      <c r="IV83" s="114"/>
      <c r="IW83" s="114"/>
      <c r="IX83" s="114"/>
      <c r="IY83" s="114"/>
      <c r="IZ83" s="114"/>
      <c r="JA83" s="114"/>
      <c r="JB83" s="114"/>
      <c r="JC83" s="114"/>
      <c r="JD83" s="114"/>
      <c r="JE83" s="114"/>
      <c r="JF83" s="114"/>
      <c r="JG83" s="114"/>
      <c r="JH83" s="114"/>
      <c r="JI83" s="114"/>
      <c r="JJ83" s="114"/>
      <c r="JK83" s="114"/>
      <c r="JL83" s="114"/>
      <c r="JM83" s="114"/>
      <c r="JN83" s="114"/>
      <c r="JO83" s="114"/>
      <c r="JP83" s="114"/>
      <c r="JQ83" s="114"/>
      <c r="JR83" s="114"/>
      <c r="JS83" s="114"/>
      <c r="JT83" s="114"/>
      <c r="JU83" s="114"/>
      <c r="JV83" s="114"/>
      <c r="JW83" s="114"/>
      <c r="JX83" s="114"/>
      <c r="JY83" s="114"/>
      <c r="JZ83" s="114"/>
      <c r="KA83" s="114"/>
      <c r="KB83" s="114"/>
      <c r="KC83" s="114"/>
      <c r="KD83" s="114"/>
      <c r="KE83" s="114"/>
      <c r="KF83" s="114"/>
      <c r="KG83" s="114"/>
      <c r="KH83" s="114"/>
      <c r="KI83" s="114"/>
      <c r="KJ83" s="114"/>
      <c r="KK83" s="114"/>
      <c r="KL83" s="114"/>
      <c r="KM83" s="114"/>
      <c r="KN83" s="114"/>
      <c r="KO83" s="114"/>
      <c r="KP83" s="114"/>
      <c r="KQ83" s="114"/>
      <c r="KR83" s="114"/>
      <c r="KS83" s="114"/>
      <c r="KT83" s="114"/>
      <c r="KU83" s="114"/>
      <c r="KV83" s="114"/>
      <c r="KW83" s="114"/>
      <c r="KX83" s="114"/>
      <c r="KY83" s="114"/>
      <c r="KZ83" s="114"/>
      <c r="LA83" s="114"/>
      <c r="LB83" s="114"/>
      <c r="LC83" s="114"/>
      <c r="LD83" s="114"/>
      <c r="LE83" s="114"/>
      <c r="LF83" s="114"/>
      <c r="LG83" s="114"/>
      <c r="LH83" s="114"/>
      <c r="LI83" s="114"/>
      <c r="LJ83" s="114"/>
      <c r="LK83" s="114"/>
      <c r="LL83" s="114"/>
      <c r="LM83" s="114"/>
      <c r="LN83" s="114"/>
      <c r="LO83" s="114"/>
      <c r="LP83" s="114"/>
      <c r="LQ83" s="114"/>
      <c r="LR83" s="114"/>
      <c r="LS83" s="114"/>
      <c r="LT83" s="114"/>
      <c r="LU83" s="114"/>
      <c r="LV83" s="114"/>
      <c r="LW83" s="114"/>
      <c r="LX83" s="114"/>
      <c r="LY83" s="114"/>
      <c r="LZ83" s="114"/>
      <c r="MA83" s="114"/>
      <c r="MB83" s="114"/>
      <c r="MC83" s="114"/>
      <c r="MD83" s="114"/>
      <c r="ME83" s="114"/>
      <c r="MF83" s="114"/>
      <c r="MG83" s="114"/>
      <c r="MH83" s="114"/>
      <c r="MI83" s="114"/>
      <c r="MJ83" s="114"/>
      <c r="MK83" s="114"/>
      <c r="ML83" s="114"/>
      <c r="MM83" s="114"/>
      <c r="MN83" s="114"/>
      <c r="MO83" s="114"/>
      <c r="MP83" s="114"/>
      <c r="MQ83" s="114"/>
      <c r="MR83" s="114"/>
      <c r="MS83" s="114"/>
      <c r="MT83" s="114"/>
      <c r="MU83" s="114"/>
      <c r="MV83" s="114"/>
      <c r="MW83" s="114"/>
      <c r="MX83" s="114"/>
      <c r="MY83" s="114"/>
      <c r="MZ83" s="114"/>
      <c r="NA83" s="114"/>
      <c r="NB83" s="114"/>
      <c r="NC83" s="114"/>
      <c r="ND83" s="114"/>
      <c r="NE83" s="114"/>
      <c r="NF83" s="114"/>
      <c r="NG83" s="114"/>
      <c r="NH83" s="114"/>
      <c r="NI83" s="114"/>
      <c r="NJ83" s="114"/>
      <c r="NK83" s="114"/>
      <c r="NL83" s="114"/>
      <c r="NM83" s="114"/>
      <c r="NN83" s="114"/>
      <c r="NO83" s="114"/>
      <c r="NP83" s="114"/>
      <c r="NQ83" s="114"/>
      <c r="NR83" s="114"/>
      <c r="NS83" s="114"/>
      <c r="NT83" s="114"/>
      <c r="NU83" s="114"/>
      <c r="NV83" s="114"/>
      <c r="NW83" s="114"/>
      <c r="NX83" s="114"/>
      <c r="NY83" s="114"/>
      <c r="NZ83" s="114"/>
      <c r="OA83" s="114"/>
      <c r="OB83" s="114"/>
      <c r="OC83" s="114"/>
      <c r="OD83" s="114"/>
      <c r="OE83" s="114"/>
      <c r="OF83" s="114"/>
      <c r="OG83" s="114"/>
      <c r="OH83" s="114"/>
      <c r="OI83" s="114"/>
      <c r="OJ83" s="114"/>
      <c r="OK83" s="114"/>
      <c r="OL83" s="114"/>
      <c r="OM83" s="114"/>
      <c r="ON83" s="114"/>
      <c r="OO83" s="114"/>
      <c r="OP83" s="114"/>
      <c r="OQ83" s="114"/>
      <c r="OR83" s="114"/>
      <c r="OS83" s="114"/>
      <c r="OT83" s="114"/>
      <c r="OU83" s="114"/>
      <c r="OV83" s="114"/>
      <c r="OW83" s="114"/>
      <c r="OX83" s="114"/>
      <c r="OY83" s="114"/>
      <c r="OZ83" s="114"/>
      <c r="PA83" s="114"/>
      <c r="PB83" s="114"/>
      <c r="PC83" s="114"/>
      <c r="PD83" s="114"/>
      <c r="PE83" s="114"/>
      <c r="PF83" s="114"/>
      <c r="PG83" s="114"/>
      <c r="PH83" s="114"/>
      <c r="PI83" s="114"/>
      <c r="PJ83" s="114"/>
      <c r="PK83" s="114"/>
      <c r="PL83" s="114"/>
      <c r="PM83" s="114"/>
      <c r="PN83" s="114"/>
      <c r="PO83" s="114"/>
      <c r="PP83" s="114"/>
      <c r="PQ83" s="114"/>
      <c r="PR83" s="114"/>
      <c r="PS83" s="114"/>
      <c r="PT83" s="114"/>
      <c r="PU83" s="114"/>
      <c r="PV83" s="114"/>
      <c r="PW83" s="114"/>
      <c r="PX83" s="114"/>
      <c r="PY83" s="114"/>
      <c r="PZ83" s="114"/>
      <c r="QA83" s="114"/>
      <c r="QB83" s="114"/>
      <c r="QC83" s="114"/>
      <c r="QD83" s="114"/>
      <c r="QE83" s="114"/>
      <c r="QF83" s="114"/>
      <c r="QG83" s="114"/>
      <c r="QH83" s="114"/>
      <c r="QI83" s="114"/>
      <c r="QJ83" s="114"/>
      <c r="QK83" s="114"/>
      <c r="QL83" s="114"/>
      <c r="QM83" s="114"/>
      <c r="QN83" s="114"/>
      <c r="QO83" s="114"/>
      <c r="QP83" s="114"/>
      <c r="QQ83" s="114"/>
      <c r="QR83" s="114"/>
      <c r="QS83" s="114"/>
      <c r="QT83" s="114"/>
      <c r="QU83" s="114"/>
      <c r="QV83" s="114"/>
      <c r="QW83" s="114"/>
      <c r="QX83" s="114"/>
      <c r="QY83" s="114"/>
      <c r="QZ83" s="114"/>
      <c r="RA83" s="114"/>
      <c r="RB83" s="114"/>
      <c r="RC83" s="114"/>
      <c r="RD83" s="114"/>
      <c r="RE83" s="114"/>
      <c r="RF83" s="114"/>
      <c r="RG83" s="114"/>
      <c r="RH83" s="114"/>
      <c r="RI83" s="114"/>
      <c r="RJ83" s="114"/>
      <c r="RK83" s="114"/>
      <c r="RL83" s="114"/>
      <c r="RM83" s="114"/>
      <c r="RN83" s="114"/>
      <c r="RO83" s="114"/>
      <c r="RP83" s="114"/>
      <c r="RQ83" s="114"/>
      <c r="RR83" s="114"/>
      <c r="RS83" s="114"/>
      <c r="RT83" s="114"/>
      <c r="RU83" s="114"/>
      <c r="RV83" s="114"/>
      <c r="RW83" s="114"/>
      <c r="RX83" s="114"/>
      <c r="RY83" s="114"/>
      <c r="RZ83" s="114"/>
      <c r="SA83" s="114"/>
      <c r="SB83" s="114"/>
      <c r="SC83" s="114"/>
      <c r="SD83" s="114"/>
      <c r="SE83" s="114"/>
      <c r="SF83" s="114"/>
      <c r="SG83" s="114"/>
      <c r="SH83" s="114"/>
      <c r="SI83" s="114"/>
      <c r="SJ83" s="114"/>
      <c r="SK83" s="114"/>
      <c r="SL83" s="114"/>
      <c r="SM83" s="114"/>
      <c r="SN83" s="114"/>
      <c r="SO83" s="114"/>
      <c r="SP83" s="114"/>
      <c r="SQ83" s="114"/>
      <c r="SR83" s="114"/>
      <c r="SS83" s="114"/>
      <c r="ST83" s="114"/>
      <c r="SU83" s="114"/>
      <c r="SV83" s="114"/>
      <c r="SW83" s="114"/>
      <c r="SX83" s="114"/>
      <c r="SY83" s="114"/>
      <c r="SZ83" s="114"/>
      <c r="TA83" s="114"/>
      <c r="TB83" s="114"/>
      <c r="TC83" s="114"/>
      <c r="TD83" s="114"/>
      <c r="TE83" s="114"/>
      <c r="TF83" s="114"/>
      <c r="TG83" s="114"/>
      <c r="TH83" s="114"/>
      <c r="TI83" s="114"/>
      <c r="TJ83" s="114"/>
      <c r="TK83" s="114"/>
      <c r="TL83" s="114"/>
      <c r="TM83" s="114"/>
      <c r="TN83" s="114"/>
      <c r="TO83" s="114"/>
      <c r="TP83" s="114"/>
      <c r="TQ83" s="114"/>
      <c r="TR83" s="114"/>
      <c r="TS83" s="114"/>
      <c r="TT83" s="114"/>
      <c r="TU83" s="114"/>
      <c r="TV83" s="114"/>
      <c r="TW83" s="114"/>
      <c r="TX83" s="114"/>
      <c r="TY83" s="114"/>
      <c r="TZ83" s="114"/>
      <c r="UA83" s="114"/>
      <c r="UB83" s="114"/>
      <c r="UC83" s="114"/>
      <c r="UD83" s="114"/>
      <c r="UE83" s="114"/>
      <c r="UF83" s="114"/>
      <c r="UG83" s="114"/>
      <c r="UH83" s="114"/>
      <c r="UI83" s="114"/>
      <c r="UJ83" s="114"/>
      <c r="UK83" s="114"/>
      <c r="UL83" s="114"/>
      <c r="UM83" s="114"/>
      <c r="UN83" s="114"/>
      <c r="UO83" s="114"/>
      <c r="UP83" s="114"/>
      <c r="UQ83" s="114"/>
      <c r="UR83" s="114"/>
      <c r="US83" s="114"/>
      <c r="UT83" s="114"/>
      <c r="UU83" s="114"/>
      <c r="UV83" s="114"/>
      <c r="UW83" s="114"/>
      <c r="UX83" s="114"/>
      <c r="UY83" s="114"/>
      <c r="UZ83" s="114"/>
      <c r="VA83" s="114"/>
      <c r="VB83" s="114"/>
      <c r="VC83" s="114"/>
      <c r="VD83" s="114"/>
      <c r="VE83" s="114"/>
      <c r="VF83" s="114"/>
      <c r="VG83" s="114"/>
      <c r="VH83" s="114"/>
      <c r="VI83" s="114"/>
      <c r="VJ83" s="114"/>
      <c r="VK83" s="114"/>
      <c r="VL83" s="114"/>
      <c r="VM83" s="114"/>
      <c r="VN83" s="114"/>
      <c r="VO83" s="114"/>
      <c r="VP83" s="114"/>
      <c r="VQ83" s="114"/>
      <c r="VR83" s="114"/>
      <c r="VS83" s="114"/>
      <c r="VT83" s="114"/>
      <c r="VU83" s="114"/>
      <c r="VV83" s="114"/>
      <c r="VW83" s="114"/>
      <c r="VX83" s="114"/>
      <c r="VY83" s="114"/>
      <c r="VZ83" s="114"/>
      <c r="WA83" s="114"/>
      <c r="WB83" s="114"/>
      <c r="WC83" s="114"/>
      <c r="WD83" s="114"/>
      <c r="WE83" s="114"/>
      <c r="WF83" s="114"/>
      <c r="WG83" s="114"/>
      <c r="WH83" s="114"/>
      <c r="WI83" s="114"/>
      <c r="WJ83" s="114"/>
      <c r="WK83" s="114"/>
      <c r="WL83" s="114"/>
      <c r="WM83" s="114"/>
      <c r="WN83" s="114"/>
      <c r="WO83" s="114"/>
      <c r="WP83" s="114"/>
      <c r="WQ83" s="114"/>
      <c r="WR83" s="114"/>
      <c r="WS83" s="114"/>
      <c r="WT83" s="114"/>
      <c r="WU83" s="114"/>
      <c r="WV83" s="114"/>
      <c r="WW83" s="114"/>
      <c r="WX83" s="114"/>
      <c r="WY83" s="114"/>
      <c r="WZ83" s="114"/>
      <c r="XA83" s="114"/>
      <c r="XB83" s="114"/>
      <c r="XC83" s="114"/>
      <c r="XD83" s="114"/>
      <c r="XE83" s="114"/>
      <c r="XF83" s="114"/>
      <c r="XG83" s="114"/>
      <c r="XH83" s="114"/>
      <c r="XI83" s="114"/>
      <c r="XJ83" s="114"/>
      <c r="XK83" s="114"/>
      <c r="XL83" s="114"/>
      <c r="XM83" s="114"/>
      <c r="XN83" s="114"/>
      <c r="XO83" s="114"/>
      <c r="XP83" s="114"/>
      <c r="XQ83" s="114"/>
      <c r="XR83" s="114"/>
      <c r="XS83" s="114"/>
      <c r="XT83" s="114"/>
      <c r="XU83" s="114"/>
      <c r="XV83" s="114"/>
      <c r="XW83" s="114"/>
      <c r="XX83" s="114"/>
      <c r="XY83" s="114"/>
      <c r="XZ83" s="114"/>
      <c r="YA83" s="114"/>
      <c r="YB83" s="114"/>
      <c r="YC83" s="114"/>
      <c r="YD83" s="114"/>
      <c r="YE83" s="114"/>
      <c r="YF83" s="114"/>
      <c r="YG83" s="114"/>
      <c r="YH83" s="114"/>
      <c r="YI83" s="114"/>
      <c r="YJ83" s="114"/>
      <c r="YK83" s="114"/>
      <c r="YL83" s="114"/>
      <c r="YM83" s="114"/>
      <c r="YN83" s="114"/>
      <c r="YO83" s="114"/>
      <c r="YP83" s="114"/>
      <c r="YQ83" s="114"/>
      <c r="YR83" s="114"/>
      <c r="YS83" s="114"/>
      <c r="YT83" s="114"/>
      <c r="YU83" s="114"/>
      <c r="YV83" s="114"/>
      <c r="YW83" s="114"/>
      <c r="YX83" s="114"/>
      <c r="YY83" s="114"/>
      <c r="YZ83" s="114"/>
      <c r="ZA83" s="114"/>
      <c r="ZB83" s="114"/>
      <c r="ZC83" s="114"/>
      <c r="ZD83" s="114"/>
      <c r="ZE83" s="114"/>
      <c r="ZF83" s="114"/>
      <c r="ZG83" s="114"/>
      <c r="ZH83" s="114"/>
      <c r="ZI83" s="114"/>
      <c r="ZJ83" s="114"/>
      <c r="ZK83" s="114"/>
      <c r="ZL83" s="114"/>
      <c r="ZM83" s="114"/>
      <c r="ZN83" s="114"/>
      <c r="ZO83" s="114"/>
      <c r="ZP83" s="114"/>
      <c r="ZQ83" s="114"/>
      <c r="ZR83" s="114"/>
      <c r="ZS83" s="114"/>
      <c r="ZT83" s="114"/>
      <c r="ZU83" s="114"/>
      <c r="ZV83" s="114"/>
      <c r="ZW83" s="114"/>
      <c r="ZX83" s="114"/>
      <c r="ZY83" s="114"/>
      <c r="ZZ83" s="114"/>
      <c r="AAA83" s="114"/>
      <c r="AAB83" s="114"/>
      <c r="AAC83" s="114"/>
      <c r="AAD83" s="114"/>
      <c r="AAE83" s="114"/>
      <c r="AAF83" s="114"/>
      <c r="AAG83" s="114"/>
      <c r="AAH83" s="114"/>
      <c r="AAI83" s="114"/>
      <c r="AAJ83" s="114"/>
      <c r="AAK83" s="114"/>
      <c r="AAL83" s="114"/>
      <c r="AAM83" s="114"/>
      <c r="AAN83" s="114"/>
      <c r="AAO83" s="114"/>
      <c r="AAP83" s="114"/>
      <c r="AAQ83" s="114"/>
      <c r="AAR83" s="114"/>
      <c r="AAS83" s="114"/>
      <c r="AAT83" s="114"/>
      <c r="AAU83" s="114"/>
      <c r="AAV83" s="114"/>
      <c r="AAW83" s="114"/>
      <c r="AAX83" s="114"/>
      <c r="AAY83" s="114"/>
      <c r="AAZ83" s="114"/>
      <c r="ABA83" s="114"/>
      <c r="ABB83" s="114"/>
      <c r="ABC83" s="114"/>
      <c r="ABD83" s="114"/>
      <c r="ABE83" s="114"/>
      <c r="ABF83" s="114"/>
      <c r="ABG83" s="114"/>
      <c r="ABH83" s="114"/>
      <c r="ABI83" s="114"/>
      <c r="ABJ83" s="114"/>
      <c r="ABK83" s="114"/>
      <c r="ABL83" s="114"/>
      <c r="ABM83" s="114"/>
      <c r="ABN83" s="114"/>
      <c r="ABO83" s="114"/>
      <c r="ABP83" s="114"/>
      <c r="ABQ83" s="114"/>
      <c r="ABR83" s="114"/>
      <c r="ABS83" s="114"/>
      <c r="ABT83" s="114"/>
      <c r="ABU83" s="114"/>
      <c r="ABV83" s="114"/>
      <c r="ABW83" s="114"/>
      <c r="ABX83" s="114"/>
      <c r="ABY83" s="114"/>
      <c r="ABZ83" s="114"/>
      <c r="ACA83" s="114"/>
      <c r="ACB83" s="114"/>
      <c r="ACC83" s="114"/>
      <c r="ACD83" s="114"/>
      <c r="ACE83" s="114"/>
      <c r="ACF83" s="114"/>
      <c r="ACG83" s="114"/>
      <c r="ACH83" s="114"/>
      <c r="ACI83" s="114"/>
      <c r="ACJ83" s="114"/>
      <c r="ACK83" s="114"/>
      <c r="ACL83" s="114"/>
      <c r="ACM83" s="114"/>
      <c r="ACN83" s="114"/>
      <c r="ACO83" s="114"/>
      <c r="ACP83" s="114"/>
      <c r="ACQ83" s="114"/>
      <c r="ACR83" s="114"/>
      <c r="ACS83" s="114"/>
      <c r="ACT83" s="114"/>
      <c r="ACU83" s="114"/>
      <c r="ACV83" s="114"/>
      <c r="ACW83" s="114"/>
      <c r="ACX83" s="114"/>
      <c r="ACY83" s="114"/>
      <c r="ACZ83" s="114"/>
      <c r="ADA83" s="114"/>
      <c r="ADB83" s="114"/>
      <c r="ADC83" s="114"/>
      <c r="ADD83" s="114"/>
      <c r="ADE83" s="114"/>
      <c r="ADF83" s="114"/>
      <c r="ADG83" s="114"/>
      <c r="ADH83" s="114"/>
      <c r="ADI83" s="114"/>
      <c r="ADJ83" s="114"/>
      <c r="ADK83" s="114"/>
      <c r="ADL83" s="114"/>
      <c r="ADM83" s="114"/>
      <c r="ADN83" s="114"/>
      <c r="ADO83" s="114"/>
      <c r="ADP83" s="114"/>
      <c r="ADQ83" s="114"/>
      <c r="ADR83" s="114"/>
      <c r="ADS83" s="114"/>
      <c r="ADT83" s="114"/>
      <c r="ADU83" s="114"/>
      <c r="ADV83" s="114"/>
      <c r="ADW83" s="114"/>
      <c r="ADX83" s="114"/>
      <c r="ADY83" s="114"/>
      <c r="ADZ83" s="114"/>
      <c r="AEA83" s="114"/>
      <c r="AEB83" s="114"/>
      <c r="AEC83" s="114"/>
      <c r="AED83" s="114"/>
      <c r="AEE83" s="114"/>
      <c r="AEF83" s="114"/>
      <c r="AEG83" s="114"/>
      <c r="AEH83" s="114"/>
      <c r="AEI83" s="114"/>
      <c r="AEJ83" s="114"/>
      <c r="AEK83" s="114"/>
      <c r="AEL83" s="114"/>
      <c r="AEM83" s="114"/>
      <c r="AEN83" s="114"/>
      <c r="AEO83" s="114"/>
      <c r="AEP83" s="114"/>
      <c r="AEQ83" s="114"/>
      <c r="AER83" s="114"/>
      <c r="AES83" s="114"/>
      <c r="AET83" s="114"/>
      <c r="AEU83" s="114"/>
      <c r="AEV83" s="114"/>
      <c r="AEW83" s="114"/>
      <c r="AEX83" s="114"/>
      <c r="AEY83" s="114"/>
      <c r="AEZ83" s="114"/>
      <c r="AFA83" s="114"/>
      <c r="AFB83" s="114"/>
      <c r="AFC83" s="114"/>
      <c r="AFD83" s="114"/>
      <c r="AFE83" s="114"/>
      <c r="AFF83" s="114"/>
      <c r="AFG83" s="114"/>
      <c r="AFH83" s="114"/>
      <c r="AFI83" s="114"/>
      <c r="AFJ83" s="114"/>
      <c r="AFK83" s="114"/>
      <c r="AFL83" s="114"/>
      <c r="AFM83" s="114"/>
      <c r="AFN83" s="114"/>
      <c r="AFO83" s="114"/>
      <c r="AFP83" s="114"/>
      <c r="AFQ83" s="114"/>
      <c r="AFR83" s="114"/>
      <c r="AFS83" s="114"/>
      <c r="AFT83" s="114"/>
      <c r="AFU83" s="114"/>
      <c r="AFV83" s="114"/>
      <c r="AFW83" s="114"/>
      <c r="AFX83" s="114"/>
      <c r="AFY83" s="114"/>
      <c r="AFZ83" s="114"/>
      <c r="AGA83" s="114"/>
      <c r="AGB83" s="114"/>
      <c r="AGC83" s="114"/>
      <c r="AGD83" s="114"/>
      <c r="AGE83" s="114"/>
      <c r="AGF83" s="114"/>
      <c r="AGG83" s="114"/>
      <c r="AGH83" s="114"/>
      <c r="AGI83" s="114"/>
      <c r="AGJ83" s="114"/>
      <c r="AGK83" s="114"/>
      <c r="AGL83" s="114"/>
      <c r="AGM83" s="114"/>
      <c r="AGN83" s="114"/>
      <c r="AGO83" s="114"/>
      <c r="AGP83" s="114"/>
      <c r="AGQ83" s="114"/>
      <c r="AGR83" s="114"/>
      <c r="AGS83" s="114"/>
      <c r="AGT83" s="114"/>
      <c r="AGU83" s="114"/>
      <c r="AGV83" s="114"/>
      <c r="AGW83" s="114"/>
      <c r="AGX83" s="114"/>
      <c r="AGY83" s="114"/>
      <c r="AGZ83" s="114"/>
      <c r="AHA83" s="114"/>
      <c r="AHB83" s="114"/>
      <c r="AHC83" s="114"/>
      <c r="AHD83" s="114"/>
      <c r="AHE83" s="114"/>
      <c r="AHF83" s="114"/>
      <c r="AHG83" s="114"/>
      <c r="AHH83" s="114"/>
      <c r="AHI83" s="114"/>
      <c r="AHJ83" s="114"/>
      <c r="AHK83" s="114"/>
      <c r="AHL83" s="114"/>
      <c r="AHM83" s="114"/>
      <c r="AHN83" s="114"/>
      <c r="AHO83" s="114"/>
      <c r="AHP83" s="114"/>
      <c r="AHQ83" s="114"/>
      <c r="AHR83" s="114"/>
      <c r="AHS83" s="114"/>
      <c r="AHT83" s="114"/>
      <c r="AHU83" s="114"/>
      <c r="AHV83" s="114"/>
      <c r="AHW83" s="114"/>
      <c r="AHX83" s="114"/>
      <c r="AHY83" s="114"/>
      <c r="AHZ83" s="114"/>
      <c r="AIA83" s="114"/>
      <c r="AIB83" s="114"/>
      <c r="AIC83" s="114"/>
      <c r="AID83" s="114"/>
      <c r="AIE83" s="114"/>
      <c r="AIF83" s="114"/>
      <c r="AIG83" s="114"/>
      <c r="AIH83" s="114"/>
      <c r="AII83" s="114"/>
      <c r="AIJ83" s="114"/>
      <c r="AIK83" s="114"/>
      <c r="AIL83" s="114"/>
      <c r="AIM83" s="114"/>
      <c r="AIN83" s="114"/>
      <c r="AIO83" s="114"/>
      <c r="AIP83" s="114"/>
      <c r="AIQ83" s="114"/>
      <c r="AIR83" s="114"/>
      <c r="AIS83" s="114"/>
      <c r="AIT83" s="114"/>
      <c r="AIU83" s="114"/>
      <c r="AIV83" s="114"/>
      <c r="AIW83" s="114"/>
      <c r="AIX83" s="114"/>
      <c r="AIY83" s="114"/>
      <c r="AIZ83" s="114"/>
      <c r="AJA83" s="114"/>
      <c r="AJB83" s="114"/>
      <c r="AJC83" s="114"/>
      <c r="AJD83" s="114"/>
      <c r="AJE83" s="114"/>
      <c r="AJF83" s="114"/>
      <c r="AJG83" s="114"/>
      <c r="AJH83" s="114"/>
      <c r="AJI83" s="114"/>
      <c r="AJJ83" s="114"/>
      <c r="AJK83" s="114"/>
      <c r="AJL83" s="114"/>
      <c r="AJM83" s="114"/>
      <c r="AJN83" s="114"/>
      <c r="AJO83" s="114"/>
      <c r="AJP83" s="114"/>
      <c r="AJQ83" s="114"/>
      <c r="AJR83" s="114"/>
      <c r="AJS83" s="114"/>
      <c r="AJT83" s="114"/>
      <c r="AJU83" s="114"/>
      <c r="AJV83" s="114"/>
      <c r="AJW83" s="114"/>
      <c r="AJX83" s="114"/>
      <c r="AJY83" s="114"/>
      <c r="AJZ83" s="114"/>
      <c r="AKA83" s="114"/>
      <c r="AKB83" s="114"/>
      <c r="AKC83" s="114"/>
      <c r="AKD83" s="114"/>
      <c r="AKE83" s="114"/>
      <c r="AKF83" s="114"/>
      <c r="AKG83" s="114"/>
      <c r="AKH83" s="114"/>
      <c r="AKI83" s="114"/>
      <c r="AKJ83" s="114"/>
      <c r="AKK83" s="114"/>
      <c r="AKL83" s="114"/>
    </row>
    <row r="84" spans="1:974" ht="15" customHeight="1" x14ac:dyDescent="0.3">
      <c r="A84" s="116"/>
      <c r="B84" s="117"/>
      <c r="C84" s="462"/>
      <c r="D84" s="138" t="s">
        <v>3243</v>
      </c>
      <c r="E84" s="193">
        <f>E50+E51+E52+E53</f>
        <v>110</v>
      </c>
      <c r="F84" s="140">
        <v>2500</v>
      </c>
      <c r="G84" s="141">
        <f>E84*F84</f>
        <v>275000</v>
      </c>
    </row>
    <row r="85" spans="1:974" ht="15" customHeight="1" x14ac:dyDescent="0.3">
      <c r="A85" s="116"/>
      <c r="B85" s="117"/>
      <c r="C85" s="462"/>
      <c r="D85" s="138" t="s">
        <v>3156</v>
      </c>
      <c r="E85" s="193">
        <f>E57+E59+E60+E56</f>
        <v>570</v>
      </c>
      <c r="F85" s="140">
        <v>3500</v>
      </c>
      <c r="G85" s="141">
        <f>E85*F85</f>
        <v>1995000</v>
      </c>
    </row>
    <row r="86" spans="1:974" ht="15" customHeight="1" x14ac:dyDescent="0.3">
      <c r="A86" s="116"/>
      <c r="B86" s="117"/>
      <c r="C86" s="462"/>
      <c r="D86" s="138" t="s">
        <v>3158</v>
      </c>
      <c r="E86" s="139">
        <v>185</v>
      </c>
      <c r="F86" s="140">
        <v>258</v>
      </c>
      <c r="G86" s="141">
        <f t="shared" ref="G86:G96" si="2">E86*F86</f>
        <v>47730</v>
      </c>
      <c r="H86" s="215" t="s">
        <v>3244</v>
      </c>
    </row>
    <row r="87" spans="1:974" ht="15" customHeight="1" x14ac:dyDescent="0.3">
      <c r="A87" s="116"/>
      <c r="B87" s="117"/>
      <c r="C87" s="462"/>
      <c r="D87" s="138" t="s">
        <v>3160</v>
      </c>
      <c r="E87" s="139">
        <v>185</v>
      </c>
      <c r="F87" s="140">
        <v>250</v>
      </c>
      <c r="G87" s="141">
        <f t="shared" si="2"/>
        <v>46250</v>
      </c>
      <c r="H87" s="215" t="s">
        <v>3244</v>
      </c>
    </row>
    <row r="88" spans="1:974" ht="15" customHeight="1" x14ac:dyDescent="0.3">
      <c r="A88" s="116"/>
      <c r="B88" s="117"/>
      <c r="C88" s="462"/>
      <c r="D88" s="138" t="s">
        <v>3245</v>
      </c>
      <c r="E88" s="193">
        <f>E66+E67+E68+E69</f>
        <v>107</v>
      </c>
      <c r="F88" s="140">
        <v>3500</v>
      </c>
      <c r="G88" s="141">
        <f t="shared" si="2"/>
        <v>374500</v>
      </c>
    </row>
    <row r="89" spans="1:974" ht="15" customHeight="1" x14ac:dyDescent="0.3">
      <c r="A89" s="116"/>
      <c r="B89" s="117"/>
      <c r="C89" s="462"/>
      <c r="D89" s="138" t="s">
        <v>3246</v>
      </c>
      <c r="E89" s="193">
        <f>(E66+E67+E68+E69)*0.7</f>
        <v>74.899999999999991</v>
      </c>
      <c r="F89" s="140">
        <v>2500</v>
      </c>
      <c r="G89" s="141">
        <f t="shared" si="2"/>
        <v>187249.99999999997</v>
      </c>
    </row>
    <row r="90" spans="1:974" ht="15" customHeight="1" x14ac:dyDescent="0.3">
      <c r="A90" s="116"/>
      <c r="B90" s="117"/>
      <c r="C90" s="462"/>
      <c r="D90" s="138" t="s">
        <v>3247</v>
      </c>
      <c r="E90" s="193">
        <f>(E66+E67+E68+E69)*0.7</f>
        <v>74.899999999999991</v>
      </c>
      <c r="F90" s="140">
        <v>254</v>
      </c>
      <c r="G90" s="141">
        <f t="shared" si="2"/>
        <v>19024.599999999999</v>
      </c>
    </row>
    <row r="91" spans="1:974" ht="15" customHeight="1" x14ac:dyDescent="0.3">
      <c r="A91" s="116"/>
      <c r="B91" s="117"/>
      <c r="C91" s="462"/>
      <c r="D91" s="138" t="s">
        <v>3248</v>
      </c>
      <c r="E91" s="193">
        <f>(E66+E67+E68+E69)*0.7</f>
        <v>74.899999999999991</v>
      </c>
      <c r="F91" s="140">
        <v>458</v>
      </c>
      <c r="G91" s="141">
        <f t="shared" si="2"/>
        <v>34304.199999999997</v>
      </c>
    </row>
    <row r="92" spans="1:974" ht="15" customHeight="1" x14ac:dyDescent="0.3">
      <c r="A92" s="116"/>
      <c r="B92" s="117"/>
      <c r="C92" s="462"/>
      <c r="D92" s="138" t="s">
        <v>3249</v>
      </c>
      <c r="E92" s="193">
        <f>(E66+E67+E68+E69)*0.7</f>
        <v>74.899999999999991</v>
      </c>
      <c r="F92" s="140">
        <v>250</v>
      </c>
      <c r="G92" s="141">
        <f t="shared" si="2"/>
        <v>18724.999999999996</v>
      </c>
    </row>
    <row r="93" spans="1:974" ht="15" customHeight="1" x14ac:dyDescent="0.3">
      <c r="A93" s="116"/>
      <c r="B93" s="117"/>
      <c r="C93" s="462"/>
      <c r="D93" s="138" t="s">
        <v>3250</v>
      </c>
      <c r="E93" s="193">
        <f>(E75+E76+E78+E79)*0.7</f>
        <v>147</v>
      </c>
      <c r="F93" s="140">
        <v>2500</v>
      </c>
      <c r="G93" s="141">
        <f t="shared" si="2"/>
        <v>367500</v>
      </c>
    </row>
    <row r="94" spans="1:974" ht="15" customHeight="1" x14ac:dyDescent="0.3">
      <c r="A94" s="116"/>
      <c r="B94" s="117"/>
      <c r="C94" s="462"/>
      <c r="D94" s="138" t="s">
        <v>3251</v>
      </c>
      <c r="E94" s="193">
        <f>(E75+E76+E78+E79)*0.7</f>
        <v>147</v>
      </c>
      <c r="F94" s="140">
        <v>254</v>
      </c>
      <c r="G94" s="141">
        <f t="shared" si="2"/>
        <v>37338</v>
      </c>
    </row>
    <row r="95" spans="1:974" ht="15" customHeight="1" x14ac:dyDescent="0.3">
      <c r="A95" s="116"/>
      <c r="B95" s="117"/>
      <c r="C95" s="462"/>
      <c r="D95" s="138" t="s">
        <v>3252</v>
      </c>
      <c r="E95" s="193">
        <f>(E75+E76+E78+E79)*0.7</f>
        <v>147</v>
      </c>
      <c r="F95" s="140">
        <v>458</v>
      </c>
      <c r="G95" s="141">
        <f t="shared" si="2"/>
        <v>67326</v>
      </c>
    </row>
    <row r="96" spans="1:974" ht="15" customHeight="1" x14ac:dyDescent="0.3">
      <c r="A96" s="116"/>
      <c r="B96" s="117"/>
      <c r="C96" s="462"/>
      <c r="D96" s="138" t="s">
        <v>3253</v>
      </c>
      <c r="E96" s="193">
        <f>(E75+E76+E78+E79)*0.7</f>
        <v>147</v>
      </c>
      <c r="F96" s="140">
        <v>250</v>
      </c>
      <c r="G96" s="141">
        <f t="shared" si="2"/>
        <v>36750</v>
      </c>
    </row>
    <row r="97" spans="1:974" ht="15" customHeight="1" x14ac:dyDescent="0.3">
      <c r="A97" s="158"/>
      <c r="B97" s="159"/>
      <c r="C97" s="463"/>
      <c r="D97" s="464" t="s">
        <v>2833</v>
      </c>
      <c r="E97" s="465"/>
      <c r="F97" s="466"/>
      <c r="G97" s="127">
        <f>SUM(G83:G96)</f>
        <v>3979197.8000000003</v>
      </c>
    </row>
    <row r="98" spans="1:974" s="115" customFormat="1" ht="15" customHeight="1" x14ac:dyDescent="0.3">
      <c r="A98" s="103">
        <v>8470230</v>
      </c>
      <c r="B98" s="104">
        <v>425744</v>
      </c>
      <c r="C98" s="461" t="s">
        <v>3172</v>
      </c>
      <c r="D98" s="130" t="s">
        <v>3254</v>
      </c>
      <c r="E98" s="208">
        <f>SUM(E44:E47, E50:E53, E56:E60)</f>
        <v>884</v>
      </c>
      <c r="F98" s="140">
        <v>4000</v>
      </c>
      <c r="G98" s="133">
        <f>E98*F98</f>
        <v>3536000</v>
      </c>
      <c r="H98" s="114"/>
      <c r="I98" s="114"/>
      <c r="J98" s="114"/>
      <c r="K98" s="114"/>
      <c r="L98" s="114"/>
      <c r="M98" s="114"/>
      <c r="N98" s="114"/>
      <c r="O98" s="114"/>
      <c r="P98" s="114"/>
      <c r="Q98" s="114"/>
      <c r="R98" s="114"/>
      <c r="S98" s="114"/>
      <c r="T98" s="114"/>
      <c r="U98" s="114"/>
      <c r="V98" s="114"/>
      <c r="W98" s="114"/>
      <c r="X98" s="114"/>
      <c r="Y98" s="114"/>
      <c r="Z98" s="114"/>
      <c r="AA98" s="114"/>
      <c r="AB98" s="114"/>
      <c r="AC98" s="114"/>
      <c r="AD98" s="114"/>
      <c r="AE98" s="114"/>
      <c r="AF98" s="114"/>
      <c r="AG98" s="114"/>
      <c r="AH98" s="114"/>
      <c r="AI98" s="114"/>
      <c r="AJ98" s="114"/>
      <c r="AK98" s="114"/>
      <c r="AL98" s="114"/>
      <c r="AM98" s="114"/>
      <c r="AN98" s="114"/>
      <c r="AO98" s="114"/>
      <c r="AP98" s="114"/>
      <c r="AQ98" s="114"/>
      <c r="AR98" s="114"/>
      <c r="AS98" s="114"/>
      <c r="AT98" s="114"/>
      <c r="AU98" s="114"/>
      <c r="AV98" s="114"/>
      <c r="AW98" s="114"/>
      <c r="AX98" s="114"/>
      <c r="AY98" s="114"/>
      <c r="AZ98" s="114"/>
      <c r="BA98" s="114"/>
      <c r="BB98" s="114"/>
      <c r="BC98" s="114"/>
      <c r="BD98" s="114"/>
      <c r="BE98" s="114"/>
      <c r="BF98" s="114"/>
      <c r="BG98" s="114"/>
      <c r="BH98" s="114"/>
      <c r="BI98" s="114"/>
      <c r="BJ98" s="114"/>
      <c r="BK98" s="114"/>
      <c r="BL98" s="114"/>
      <c r="BM98" s="114"/>
      <c r="BN98" s="114"/>
      <c r="BO98" s="114"/>
      <c r="BP98" s="114"/>
      <c r="BQ98" s="114"/>
      <c r="BR98" s="114"/>
      <c r="BS98" s="114"/>
      <c r="BT98" s="114"/>
      <c r="BU98" s="114"/>
      <c r="BV98" s="114"/>
      <c r="BW98" s="114"/>
      <c r="BX98" s="114"/>
      <c r="BY98" s="114"/>
      <c r="BZ98" s="114"/>
      <c r="CA98" s="114"/>
      <c r="CB98" s="114"/>
      <c r="CC98" s="114"/>
      <c r="CD98" s="114"/>
      <c r="CE98" s="114"/>
      <c r="CF98" s="114"/>
      <c r="CG98" s="114"/>
      <c r="CH98" s="114"/>
      <c r="CI98" s="114"/>
      <c r="CJ98" s="114"/>
      <c r="CK98" s="114"/>
      <c r="CL98" s="114"/>
      <c r="CM98" s="114"/>
      <c r="CN98" s="114"/>
      <c r="CO98" s="114"/>
      <c r="CP98" s="114"/>
      <c r="CQ98" s="114"/>
      <c r="CR98" s="114"/>
      <c r="CS98" s="114"/>
      <c r="CT98" s="114"/>
      <c r="CU98" s="114"/>
      <c r="CV98" s="114"/>
      <c r="CW98" s="114"/>
      <c r="CX98" s="114"/>
      <c r="CY98" s="114"/>
      <c r="CZ98" s="114"/>
      <c r="DA98" s="114"/>
      <c r="DB98" s="114"/>
      <c r="DC98" s="114"/>
      <c r="DD98" s="114"/>
      <c r="DE98" s="114"/>
      <c r="DF98" s="114"/>
      <c r="DG98" s="114"/>
      <c r="DH98" s="114"/>
      <c r="DI98" s="114"/>
      <c r="DJ98" s="114"/>
      <c r="DK98" s="114"/>
      <c r="DL98" s="114"/>
      <c r="DM98" s="114"/>
      <c r="DN98" s="114"/>
      <c r="DO98" s="114"/>
      <c r="DP98" s="114"/>
      <c r="DQ98" s="114"/>
      <c r="DR98" s="114"/>
      <c r="DS98" s="114"/>
      <c r="DT98" s="114"/>
      <c r="DU98" s="114"/>
      <c r="DV98" s="114"/>
      <c r="DW98" s="114"/>
      <c r="DX98" s="114"/>
      <c r="DY98" s="114"/>
      <c r="DZ98" s="114"/>
      <c r="EA98" s="114"/>
      <c r="EB98" s="114"/>
      <c r="EC98" s="114"/>
      <c r="ED98" s="114"/>
      <c r="EE98" s="114"/>
      <c r="EF98" s="114"/>
      <c r="EG98" s="114"/>
      <c r="EH98" s="114"/>
      <c r="EI98" s="114"/>
      <c r="EJ98" s="114"/>
      <c r="EK98" s="114"/>
      <c r="EL98" s="114"/>
      <c r="EM98" s="114"/>
      <c r="EN98" s="114"/>
      <c r="EO98" s="114"/>
      <c r="EP98" s="114"/>
      <c r="EQ98" s="114"/>
      <c r="ER98" s="114"/>
      <c r="ES98" s="114"/>
      <c r="ET98" s="114"/>
      <c r="EU98" s="114"/>
      <c r="EV98" s="114"/>
      <c r="EW98" s="114"/>
      <c r="EX98" s="114"/>
      <c r="EY98" s="114"/>
      <c r="EZ98" s="114"/>
      <c r="FA98" s="114"/>
      <c r="FB98" s="114"/>
      <c r="FC98" s="114"/>
      <c r="FD98" s="114"/>
      <c r="FE98" s="114"/>
      <c r="FF98" s="114"/>
      <c r="FG98" s="114"/>
      <c r="FH98" s="114"/>
      <c r="FI98" s="114"/>
      <c r="FJ98" s="114"/>
      <c r="FK98" s="114"/>
      <c r="FL98" s="114"/>
      <c r="FM98" s="114"/>
      <c r="FN98" s="114"/>
      <c r="FO98" s="114"/>
      <c r="FP98" s="114"/>
      <c r="FQ98" s="114"/>
      <c r="FR98" s="114"/>
      <c r="FS98" s="114"/>
      <c r="FT98" s="114"/>
      <c r="FU98" s="114"/>
      <c r="FV98" s="114"/>
      <c r="FW98" s="114"/>
      <c r="FX98" s="114"/>
      <c r="FY98" s="114"/>
      <c r="FZ98" s="114"/>
      <c r="GA98" s="114"/>
      <c r="GB98" s="114"/>
      <c r="GC98" s="114"/>
      <c r="GD98" s="114"/>
      <c r="GE98" s="114"/>
      <c r="GF98" s="114"/>
      <c r="GG98" s="114"/>
      <c r="GH98" s="114"/>
      <c r="GI98" s="114"/>
      <c r="GJ98" s="114"/>
      <c r="GK98" s="114"/>
      <c r="GL98" s="114"/>
      <c r="GM98" s="114"/>
      <c r="GN98" s="114"/>
      <c r="GO98" s="114"/>
      <c r="GP98" s="114"/>
      <c r="GQ98" s="114"/>
      <c r="GR98" s="114"/>
      <c r="GS98" s="114"/>
      <c r="GT98" s="114"/>
      <c r="GU98" s="114"/>
      <c r="GV98" s="114"/>
      <c r="GW98" s="114"/>
      <c r="GX98" s="114"/>
      <c r="GY98" s="114"/>
      <c r="GZ98" s="114"/>
      <c r="HA98" s="114"/>
      <c r="HB98" s="114"/>
      <c r="HC98" s="114"/>
      <c r="HD98" s="114"/>
      <c r="HE98" s="114"/>
      <c r="HF98" s="114"/>
      <c r="HG98" s="114"/>
      <c r="HH98" s="114"/>
      <c r="HI98" s="114"/>
      <c r="HJ98" s="114"/>
      <c r="HK98" s="114"/>
      <c r="HL98" s="114"/>
      <c r="HM98" s="114"/>
      <c r="HN98" s="114"/>
      <c r="HO98" s="114"/>
      <c r="HP98" s="114"/>
      <c r="HQ98" s="114"/>
      <c r="HR98" s="114"/>
      <c r="HS98" s="114"/>
      <c r="HT98" s="114"/>
      <c r="HU98" s="114"/>
      <c r="HV98" s="114"/>
      <c r="HW98" s="114"/>
      <c r="HX98" s="114"/>
      <c r="HY98" s="114"/>
      <c r="HZ98" s="114"/>
      <c r="IA98" s="114"/>
      <c r="IB98" s="114"/>
      <c r="IC98" s="114"/>
      <c r="ID98" s="114"/>
      <c r="IE98" s="114"/>
      <c r="IF98" s="114"/>
      <c r="IG98" s="114"/>
      <c r="IH98" s="114"/>
      <c r="II98" s="114"/>
      <c r="IJ98" s="114"/>
      <c r="IK98" s="114"/>
      <c r="IL98" s="114"/>
      <c r="IM98" s="114"/>
      <c r="IN98" s="114"/>
      <c r="IO98" s="114"/>
      <c r="IP98" s="114"/>
      <c r="IQ98" s="114"/>
      <c r="IR98" s="114"/>
      <c r="IS98" s="114"/>
      <c r="IT98" s="114"/>
      <c r="IU98" s="114"/>
      <c r="IV98" s="114"/>
      <c r="IW98" s="114"/>
      <c r="IX98" s="114"/>
      <c r="IY98" s="114"/>
      <c r="IZ98" s="114"/>
      <c r="JA98" s="114"/>
      <c r="JB98" s="114"/>
      <c r="JC98" s="114"/>
      <c r="JD98" s="114"/>
      <c r="JE98" s="114"/>
      <c r="JF98" s="114"/>
      <c r="JG98" s="114"/>
      <c r="JH98" s="114"/>
      <c r="JI98" s="114"/>
      <c r="JJ98" s="114"/>
      <c r="JK98" s="114"/>
      <c r="JL98" s="114"/>
      <c r="JM98" s="114"/>
      <c r="JN98" s="114"/>
      <c r="JO98" s="114"/>
      <c r="JP98" s="114"/>
      <c r="JQ98" s="114"/>
      <c r="JR98" s="114"/>
      <c r="JS98" s="114"/>
      <c r="JT98" s="114"/>
      <c r="JU98" s="114"/>
      <c r="JV98" s="114"/>
      <c r="JW98" s="114"/>
      <c r="JX98" s="114"/>
      <c r="JY98" s="114"/>
      <c r="JZ98" s="114"/>
      <c r="KA98" s="114"/>
      <c r="KB98" s="114"/>
      <c r="KC98" s="114"/>
      <c r="KD98" s="114"/>
      <c r="KE98" s="114"/>
      <c r="KF98" s="114"/>
      <c r="KG98" s="114"/>
      <c r="KH98" s="114"/>
      <c r="KI98" s="114"/>
      <c r="KJ98" s="114"/>
      <c r="KK98" s="114"/>
      <c r="KL98" s="114"/>
      <c r="KM98" s="114"/>
      <c r="KN98" s="114"/>
      <c r="KO98" s="114"/>
      <c r="KP98" s="114"/>
      <c r="KQ98" s="114"/>
      <c r="KR98" s="114"/>
      <c r="KS98" s="114"/>
      <c r="KT98" s="114"/>
      <c r="KU98" s="114"/>
      <c r="KV98" s="114"/>
      <c r="KW98" s="114"/>
      <c r="KX98" s="114"/>
      <c r="KY98" s="114"/>
      <c r="KZ98" s="114"/>
      <c r="LA98" s="114"/>
      <c r="LB98" s="114"/>
      <c r="LC98" s="114"/>
      <c r="LD98" s="114"/>
      <c r="LE98" s="114"/>
      <c r="LF98" s="114"/>
      <c r="LG98" s="114"/>
      <c r="LH98" s="114"/>
      <c r="LI98" s="114"/>
      <c r="LJ98" s="114"/>
      <c r="LK98" s="114"/>
      <c r="LL98" s="114"/>
      <c r="LM98" s="114"/>
      <c r="LN98" s="114"/>
      <c r="LO98" s="114"/>
      <c r="LP98" s="114"/>
      <c r="LQ98" s="114"/>
      <c r="LR98" s="114"/>
      <c r="LS98" s="114"/>
      <c r="LT98" s="114"/>
      <c r="LU98" s="114"/>
      <c r="LV98" s="114"/>
      <c r="LW98" s="114"/>
      <c r="LX98" s="114"/>
      <c r="LY98" s="114"/>
      <c r="LZ98" s="114"/>
      <c r="MA98" s="114"/>
      <c r="MB98" s="114"/>
      <c r="MC98" s="114"/>
      <c r="MD98" s="114"/>
      <c r="ME98" s="114"/>
      <c r="MF98" s="114"/>
      <c r="MG98" s="114"/>
      <c r="MH98" s="114"/>
      <c r="MI98" s="114"/>
      <c r="MJ98" s="114"/>
      <c r="MK98" s="114"/>
      <c r="ML98" s="114"/>
      <c r="MM98" s="114"/>
      <c r="MN98" s="114"/>
      <c r="MO98" s="114"/>
      <c r="MP98" s="114"/>
      <c r="MQ98" s="114"/>
      <c r="MR98" s="114"/>
      <c r="MS98" s="114"/>
      <c r="MT98" s="114"/>
      <c r="MU98" s="114"/>
      <c r="MV98" s="114"/>
      <c r="MW98" s="114"/>
      <c r="MX98" s="114"/>
      <c r="MY98" s="114"/>
      <c r="MZ98" s="114"/>
      <c r="NA98" s="114"/>
      <c r="NB98" s="114"/>
      <c r="NC98" s="114"/>
      <c r="ND98" s="114"/>
      <c r="NE98" s="114"/>
      <c r="NF98" s="114"/>
      <c r="NG98" s="114"/>
      <c r="NH98" s="114"/>
      <c r="NI98" s="114"/>
      <c r="NJ98" s="114"/>
      <c r="NK98" s="114"/>
      <c r="NL98" s="114"/>
      <c r="NM98" s="114"/>
      <c r="NN98" s="114"/>
      <c r="NO98" s="114"/>
      <c r="NP98" s="114"/>
      <c r="NQ98" s="114"/>
      <c r="NR98" s="114"/>
      <c r="NS98" s="114"/>
      <c r="NT98" s="114"/>
      <c r="NU98" s="114"/>
      <c r="NV98" s="114"/>
      <c r="NW98" s="114"/>
      <c r="NX98" s="114"/>
      <c r="NY98" s="114"/>
      <c r="NZ98" s="114"/>
      <c r="OA98" s="114"/>
      <c r="OB98" s="114"/>
      <c r="OC98" s="114"/>
      <c r="OD98" s="114"/>
      <c r="OE98" s="114"/>
      <c r="OF98" s="114"/>
      <c r="OG98" s="114"/>
      <c r="OH98" s="114"/>
      <c r="OI98" s="114"/>
      <c r="OJ98" s="114"/>
      <c r="OK98" s="114"/>
      <c r="OL98" s="114"/>
      <c r="OM98" s="114"/>
      <c r="ON98" s="114"/>
      <c r="OO98" s="114"/>
      <c r="OP98" s="114"/>
      <c r="OQ98" s="114"/>
      <c r="OR98" s="114"/>
      <c r="OS98" s="114"/>
      <c r="OT98" s="114"/>
      <c r="OU98" s="114"/>
      <c r="OV98" s="114"/>
      <c r="OW98" s="114"/>
      <c r="OX98" s="114"/>
      <c r="OY98" s="114"/>
      <c r="OZ98" s="114"/>
      <c r="PA98" s="114"/>
      <c r="PB98" s="114"/>
      <c r="PC98" s="114"/>
      <c r="PD98" s="114"/>
      <c r="PE98" s="114"/>
      <c r="PF98" s="114"/>
      <c r="PG98" s="114"/>
      <c r="PH98" s="114"/>
      <c r="PI98" s="114"/>
      <c r="PJ98" s="114"/>
      <c r="PK98" s="114"/>
      <c r="PL98" s="114"/>
      <c r="PM98" s="114"/>
      <c r="PN98" s="114"/>
      <c r="PO98" s="114"/>
      <c r="PP98" s="114"/>
      <c r="PQ98" s="114"/>
      <c r="PR98" s="114"/>
      <c r="PS98" s="114"/>
      <c r="PT98" s="114"/>
      <c r="PU98" s="114"/>
      <c r="PV98" s="114"/>
      <c r="PW98" s="114"/>
      <c r="PX98" s="114"/>
      <c r="PY98" s="114"/>
      <c r="PZ98" s="114"/>
      <c r="QA98" s="114"/>
      <c r="QB98" s="114"/>
      <c r="QC98" s="114"/>
      <c r="QD98" s="114"/>
      <c r="QE98" s="114"/>
      <c r="QF98" s="114"/>
      <c r="QG98" s="114"/>
      <c r="QH98" s="114"/>
      <c r="QI98" s="114"/>
      <c r="QJ98" s="114"/>
      <c r="QK98" s="114"/>
      <c r="QL98" s="114"/>
      <c r="QM98" s="114"/>
      <c r="QN98" s="114"/>
      <c r="QO98" s="114"/>
      <c r="QP98" s="114"/>
      <c r="QQ98" s="114"/>
      <c r="QR98" s="114"/>
      <c r="QS98" s="114"/>
      <c r="QT98" s="114"/>
      <c r="QU98" s="114"/>
      <c r="QV98" s="114"/>
      <c r="QW98" s="114"/>
      <c r="QX98" s="114"/>
      <c r="QY98" s="114"/>
      <c r="QZ98" s="114"/>
      <c r="RA98" s="114"/>
      <c r="RB98" s="114"/>
      <c r="RC98" s="114"/>
      <c r="RD98" s="114"/>
      <c r="RE98" s="114"/>
      <c r="RF98" s="114"/>
      <c r="RG98" s="114"/>
      <c r="RH98" s="114"/>
      <c r="RI98" s="114"/>
      <c r="RJ98" s="114"/>
      <c r="RK98" s="114"/>
      <c r="RL98" s="114"/>
      <c r="RM98" s="114"/>
      <c r="RN98" s="114"/>
      <c r="RO98" s="114"/>
      <c r="RP98" s="114"/>
      <c r="RQ98" s="114"/>
      <c r="RR98" s="114"/>
      <c r="RS98" s="114"/>
      <c r="RT98" s="114"/>
      <c r="RU98" s="114"/>
      <c r="RV98" s="114"/>
      <c r="RW98" s="114"/>
      <c r="RX98" s="114"/>
      <c r="RY98" s="114"/>
      <c r="RZ98" s="114"/>
      <c r="SA98" s="114"/>
      <c r="SB98" s="114"/>
      <c r="SC98" s="114"/>
      <c r="SD98" s="114"/>
      <c r="SE98" s="114"/>
      <c r="SF98" s="114"/>
      <c r="SG98" s="114"/>
      <c r="SH98" s="114"/>
      <c r="SI98" s="114"/>
      <c r="SJ98" s="114"/>
      <c r="SK98" s="114"/>
      <c r="SL98" s="114"/>
      <c r="SM98" s="114"/>
      <c r="SN98" s="114"/>
      <c r="SO98" s="114"/>
      <c r="SP98" s="114"/>
      <c r="SQ98" s="114"/>
      <c r="SR98" s="114"/>
      <c r="SS98" s="114"/>
      <c r="ST98" s="114"/>
      <c r="SU98" s="114"/>
      <c r="SV98" s="114"/>
      <c r="SW98" s="114"/>
      <c r="SX98" s="114"/>
      <c r="SY98" s="114"/>
      <c r="SZ98" s="114"/>
      <c r="TA98" s="114"/>
      <c r="TB98" s="114"/>
      <c r="TC98" s="114"/>
      <c r="TD98" s="114"/>
      <c r="TE98" s="114"/>
      <c r="TF98" s="114"/>
      <c r="TG98" s="114"/>
      <c r="TH98" s="114"/>
      <c r="TI98" s="114"/>
      <c r="TJ98" s="114"/>
      <c r="TK98" s="114"/>
      <c r="TL98" s="114"/>
      <c r="TM98" s="114"/>
      <c r="TN98" s="114"/>
      <c r="TO98" s="114"/>
      <c r="TP98" s="114"/>
      <c r="TQ98" s="114"/>
      <c r="TR98" s="114"/>
      <c r="TS98" s="114"/>
      <c r="TT98" s="114"/>
      <c r="TU98" s="114"/>
      <c r="TV98" s="114"/>
      <c r="TW98" s="114"/>
      <c r="TX98" s="114"/>
      <c r="TY98" s="114"/>
      <c r="TZ98" s="114"/>
      <c r="UA98" s="114"/>
      <c r="UB98" s="114"/>
      <c r="UC98" s="114"/>
      <c r="UD98" s="114"/>
      <c r="UE98" s="114"/>
      <c r="UF98" s="114"/>
      <c r="UG98" s="114"/>
      <c r="UH98" s="114"/>
      <c r="UI98" s="114"/>
      <c r="UJ98" s="114"/>
      <c r="UK98" s="114"/>
      <c r="UL98" s="114"/>
      <c r="UM98" s="114"/>
      <c r="UN98" s="114"/>
      <c r="UO98" s="114"/>
      <c r="UP98" s="114"/>
      <c r="UQ98" s="114"/>
      <c r="UR98" s="114"/>
      <c r="US98" s="114"/>
      <c r="UT98" s="114"/>
      <c r="UU98" s="114"/>
      <c r="UV98" s="114"/>
      <c r="UW98" s="114"/>
      <c r="UX98" s="114"/>
      <c r="UY98" s="114"/>
      <c r="UZ98" s="114"/>
      <c r="VA98" s="114"/>
      <c r="VB98" s="114"/>
      <c r="VC98" s="114"/>
      <c r="VD98" s="114"/>
      <c r="VE98" s="114"/>
      <c r="VF98" s="114"/>
      <c r="VG98" s="114"/>
      <c r="VH98" s="114"/>
      <c r="VI98" s="114"/>
      <c r="VJ98" s="114"/>
      <c r="VK98" s="114"/>
      <c r="VL98" s="114"/>
      <c r="VM98" s="114"/>
      <c r="VN98" s="114"/>
      <c r="VO98" s="114"/>
      <c r="VP98" s="114"/>
      <c r="VQ98" s="114"/>
      <c r="VR98" s="114"/>
      <c r="VS98" s="114"/>
      <c r="VT98" s="114"/>
      <c r="VU98" s="114"/>
      <c r="VV98" s="114"/>
      <c r="VW98" s="114"/>
      <c r="VX98" s="114"/>
      <c r="VY98" s="114"/>
      <c r="VZ98" s="114"/>
      <c r="WA98" s="114"/>
      <c r="WB98" s="114"/>
      <c r="WC98" s="114"/>
      <c r="WD98" s="114"/>
      <c r="WE98" s="114"/>
      <c r="WF98" s="114"/>
      <c r="WG98" s="114"/>
      <c r="WH98" s="114"/>
      <c r="WI98" s="114"/>
      <c r="WJ98" s="114"/>
      <c r="WK98" s="114"/>
      <c r="WL98" s="114"/>
      <c r="WM98" s="114"/>
      <c r="WN98" s="114"/>
      <c r="WO98" s="114"/>
      <c r="WP98" s="114"/>
      <c r="WQ98" s="114"/>
      <c r="WR98" s="114"/>
      <c r="WS98" s="114"/>
      <c r="WT98" s="114"/>
      <c r="WU98" s="114"/>
      <c r="WV98" s="114"/>
      <c r="WW98" s="114"/>
      <c r="WX98" s="114"/>
      <c r="WY98" s="114"/>
      <c r="WZ98" s="114"/>
      <c r="XA98" s="114"/>
      <c r="XB98" s="114"/>
      <c r="XC98" s="114"/>
      <c r="XD98" s="114"/>
      <c r="XE98" s="114"/>
      <c r="XF98" s="114"/>
      <c r="XG98" s="114"/>
      <c r="XH98" s="114"/>
      <c r="XI98" s="114"/>
      <c r="XJ98" s="114"/>
      <c r="XK98" s="114"/>
      <c r="XL98" s="114"/>
      <c r="XM98" s="114"/>
      <c r="XN98" s="114"/>
      <c r="XO98" s="114"/>
      <c r="XP98" s="114"/>
      <c r="XQ98" s="114"/>
      <c r="XR98" s="114"/>
      <c r="XS98" s="114"/>
      <c r="XT98" s="114"/>
      <c r="XU98" s="114"/>
      <c r="XV98" s="114"/>
      <c r="XW98" s="114"/>
      <c r="XX98" s="114"/>
      <c r="XY98" s="114"/>
      <c r="XZ98" s="114"/>
      <c r="YA98" s="114"/>
      <c r="YB98" s="114"/>
      <c r="YC98" s="114"/>
      <c r="YD98" s="114"/>
      <c r="YE98" s="114"/>
      <c r="YF98" s="114"/>
      <c r="YG98" s="114"/>
      <c r="YH98" s="114"/>
      <c r="YI98" s="114"/>
      <c r="YJ98" s="114"/>
      <c r="YK98" s="114"/>
      <c r="YL98" s="114"/>
      <c r="YM98" s="114"/>
      <c r="YN98" s="114"/>
      <c r="YO98" s="114"/>
      <c r="YP98" s="114"/>
      <c r="YQ98" s="114"/>
      <c r="YR98" s="114"/>
      <c r="YS98" s="114"/>
      <c r="YT98" s="114"/>
      <c r="YU98" s="114"/>
      <c r="YV98" s="114"/>
      <c r="YW98" s="114"/>
      <c r="YX98" s="114"/>
      <c r="YY98" s="114"/>
      <c r="YZ98" s="114"/>
      <c r="ZA98" s="114"/>
      <c r="ZB98" s="114"/>
      <c r="ZC98" s="114"/>
      <c r="ZD98" s="114"/>
      <c r="ZE98" s="114"/>
      <c r="ZF98" s="114"/>
      <c r="ZG98" s="114"/>
      <c r="ZH98" s="114"/>
      <c r="ZI98" s="114"/>
      <c r="ZJ98" s="114"/>
      <c r="ZK98" s="114"/>
      <c r="ZL98" s="114"/>
      <c r="ZM98" s="114"/>
      <c r="ZN98" s="114"/>
      <c r="ZO98" s="114"/>
      <c r="ZP98" s="114"/>
      <c r="ZQ98" s="114"/>
      <c r="ZR98" s="114"/>
      <c r="ZS98" s="114"/>
      <c r="ZT98" s="114"/>
      <c r="ZU98" s="114"/>
      <c r="ZV98" s="114"/>
      <c r="ZW98" s="114"/>
      <c r="ZX98" s="114"/>
      <c r="ZY98" s="114"/>
      <c r="ZZ98" s="114"/>
      <c r="AAA98" s="114"/>
      <c r="AAB98" s="114"/>
      <c r="AAC98" s="114"/>
      <c r="AAD98" s="114"/>
      <c r="AAE98" s="114"/>
      <c r="AAF98" s="114"/>
      <c r="AAG98" s="114"/>
      <c r="AAH98" s="114"/>
      <c r="AAI98" s="114"/>
      <c r="AAJ98" s="114"/>
      <c r="AAK98" s="114"/>
      <c r="AAL98" s="114"/>
      <c r="AAM98" s="114"/>
      <c r="AAN98" s="114"/>
      <c r="AAO98" s="114"/>
      <c r="AAP98" s="114"/>
      <c r="AAQ98" s="114"/>
      <c r="AAR98" s="114"/>
      <c r="AAS98" s="114"/>
      <c r="AAT98" s="114"/>
      <c r="AAU98" s="114"/>
      <c r="AAV98" s="114"/>
      <c r="AAW98" s="114"/>
      <c r="AAX98" s="114"/>
      <c r="AAY98" s="114"/>
      <c r="AAZ98" s="114"/>
      <c r="ABA98" s="114"/>
      <c r="ABB98" s="114"/>
      <c r="ABC98" s="114"/>
      <c r="ABD98" s="114"/>
      <c r="ABE98" s="114"/>
      <c r="ABF98" s="114"/>
      <c r="ABG98" s="114"/>
      <c r="ABH98" s="114"/>
      <c r="ABI98" s="114"/>
      <c r="ABJ98" s="114"/>
      <c r="ABK98" s="114"/>
      <c r="ABL98" s="114"/>
      <c r="ABM98" s="114"/>
      <c r="ABN98" s="114"/>
      <c r="ABO98" s="114"/>
      <c r="ABP98" s="114"/>
      <c r="ABQ98" s="114"/>
      <c r="ABR98" s="114"/>
      <c r="ABS98" s="114"/>
      <c r="ABT98" s="114"/>
      <c r="ABU98" s="114"/>
      <c r="ABV98" s="114"/>
      <c r="ABW98" s="114"/>
      <c r="ABX98" s="114"/>
      <c r="ABY98" s="114"/>
      <c r="ABZ98" s="114"/>
      <c r="ACA98" s="114"/>
      <c r="ACB98" s="114"/>
      <c r="ACC98" s="114"/>
      <c r="ACD98" s="114"/>
      <c r="ACE98" s="114"/>
      <c r="ACF98" s="114"/>
      <c r="ACG98" s="114"/>
      <c r="ACH98" s="114"/>
      <c r="ACI98" s="114"/>
      <c r="ACJ98" s="114"/>
      <c r="ACK98" s="114"/>
      <c r="ACL98" s="114"/>
      <c r="ACM98" s="114"/>
      <c r="ACN98" s="114"/>
      <c r="ACO98" s="114"/>
      <c r="ACP98" s="114"/>
      <c r="ACQ98" s="114"/>
      <c r="ACR98" s="114"/>
      <c r="ACS98" s="114"/>
      <c r="ACT98" s="114"/>
      <c r="ACU98" s="114"/>
      <c r="ACV98" s="114"/>
      <c r="ACW98" s="114"/>
      <c r="ACX98" s="114"/>
      <c r="ACY98" s="114"/>
      <c r="ACZ98" s="114"/>
      <c r="ADA98" s="114"/>
      <c r="ADB98" s="114"/>
      <c r="ADC98" s="114"/>
      <c r="ADD98" s="114"/>
      <c r="ADE98" s="114"/>
      <c r="ADF98" s="114"/>
      <c r="ADG98" s="114"/>
      <c r="ADH98" s="114"/>
      <c r="ADI98" s="114"/>
      <c r="ADJ98" s="114"/>
      <c r="ADK98" s="114"/>
      <c r="ADL98" s="114"/>
      <c r="ADM98" s="114"/>
      <c r="ADN98" s="114"/>
      <c r="ADO98" s="114"/>
      <c r="ADP98" s="114"/>
      <c r="ADQ98" s="114"/>
      <c r="ADR98" s="114"/>
      <c r="ADS98" s="114"/>
      <c r="ADT98" s="114"/>
      <c r="ADU98" s="114"/>
      <c r="ADV98" s="114"/>
      <c r="ADW98" s="114"/>
      <c r="ADX98" s="114"/>
      <c r="ADY98" s="114"/>
      <c r="ADZ98" s="114"/>
      <c r="AEA98" s="114"/>
      <c r="AEB98" s="114"/>
      <c r="AEC98" s="114"/>
      <c r="AED98" s="114"/>
      <c r="AEE98" s="114"/>
      <c r="AEF98" s="114"/>
      <c r="AEG98" s="114"/>
      <c r="AEH98" s="114"/>
      <c r="AEI98" s="114"/>
      <c r="AEJ98" s="114"/>
      <c r="AEK98" s="114"/>
      <c r="AEL98" s="114"/>
      <c r="AEM98" s="114"/>
      <c r="AEN98" s="114"/>
      <c r="AEO98" s="114"/>
      <c r="AEP98" s="114"/>
      <c r="AEQ98" s="114"/>
      <c r="AER98" s="114"/>
      <c r="AES98" s="114"/>
      <c r="AET98" s="114"/>
      <c r="AEU98" s="114"/>
      <c r="AEV98" s="114"/>
      <c r="AEW98" s="114"/>
      <c r="AEX98" s="114"/>
      <c r="AEY98" s="114"/>
      <c r="AEZ98" s="114"/>
      <c r="AFA98" s="114"/>
      <c r="AFB98" s="114"/>
      <c r="AFC98" s="114"/>
      <c r="AFD98" s="114"/>
      <c r="AFE98" s="114"/>
      <c r="AFF98" s="114"/>
      <c r="AFG98" s="114"/>
      <c r="AFH98" s="114"/>
      <c r="AFI98" s="114"/>
      <c r="AFJ98" s="114"/>
      <c r="AFK98" s="114"/>
      <c r="AFL98" s="114"/>
      <c r="AFM98" s="114"/>
      <c r="AFN98" s="114"/>
      <c r="AFO98" s="114"/>
      <c r="AFP98" s="114"/>
      <c r="AFQ98" s="114"/>
      <c r="AFR98" s="114"/>
      <c r="AFS98" s="114"/>
      <c r="AFT98" s="114"/>
      <c r="AFU98" s="114"/>
      <c r="AFV98" s="114"/>
      <c r="AFW98" s="114"/>
      <c r="AFX98" s="114"/>
      <c r="AFY98" s="114"/>
      <c r="AFZ98" s="114"/>
      <c r="AGA98" s="114"/>
      <c r="AGB98" s="114"/>
      <c r="AGC98" s="114"/>
      <c r="AGD98" s="114"/>
      <c r="AGE98" s="114"/>
      <c r="AGF98" s="114"/>
      <c r="AGG98" s="114"/>
      <c r="AGH98" s="114"/>
      <c r="AGI98" s="114"/>
      <c r="AGJ98" s="114"/>
      <c r="AGK98" s="114"/>
      <c r="AGL98" s="114"/>
      <c r="AGM98" s="114"/>
      <c r="AGN98" s="114"/>
      <c r="AGO98" s="114"/>
      <c r="AGP98" s="114"/>
      <c r="AGQ98" s="114"/>
      <c r="AGR98" s="114"/>
      <c r="AGS98" s="114"/>
      <c r="AGT98" s="114"/>
      <c r="AGU98" s="114"/>
      <c r="AGV98" s="114"/>
      <c r="AGW98" s="114"/>
      <c r="AGX98" s="114"/>
      <c r="AGY98" s="114"/>
      <c r="AGZ98" s="114"/>
      <c r="AHA98" s="114"/>
      <c r="AHB98" s="114"/>
      <c r="AHC98" s="114"/>
      <c r="AHD98" s="114"/>
      <c r="AHE98" s="114"/>
      <c r="AHF98" s="114"/>
      <c r="AHG98" s="114"/>
      <c r="AHH98" s="114"/>
      <c r="AHI98" s="114"/>
      <c r="AHJ98" s="114"/>
      <c r="AHK98" s="114"/>
      <c r="AHL98" s="114"/>
      <c r="AHM98" s="114"/>
      <c r="AHN98" s="114"/>
      <c r="AHO98" s="114"/>
      <c r="AHP98" s="114"/>
      <c r="AHQ98" s="114"/>
      <c r="AHR98" s="114"/>
      <c r="AHS98" s="114"/>
      <c r="AHT98" s="114"/>
      <c r="AHU98" s="114"/>
      <c r="AHV98" s="114"/>
      <c r="AHW98" s="114"/>
      <c r="AHX98" s="114"/>
      <c r="AHY98" s="114"/>
      <c r="AHZ98" s="114"/>
      <c r="AIA98" s="114"/>
      <c r="AIB98" s="114"/>
      <c r="AIC98" s="114"/>
      <c r="AID98" s="114"/>
      <c r="AIE98" s="114"/>
      <c r="AIF98" s="114"/>
      <c r="AIG98" s="114"/>
      <c r="AIH98" s="114"/>
      <c r="AII98" s="114"/>
      <c r="AIJ98" s="114"/>
      <c r="AIK98" s="114"/>
      <c r="AIL98" s="114"/>
      <c r="AIM98" s="114"/>
      <c r="AIN98" s="114"/>
      <c r="AIO98" s="114"/>
      <c r="AIP98" s="114"/>
      <c r="AIQ98" s="114"/>
      <c r="AIR98" s="114"/>
      <c r="AIS98" s="114"/>
      <c r="AIT98" s="114"/>
      <c r="AIU98" s="114"/>
      <c r="AIV98" s="114"/>
      <c r="AIW98" s="114"/>
      <c r="AIX98" s="114"/>
      <c r="AIY98" s="114"/>
      <c r="AIZ98" s="114"/>
      <c r="AJA98" s="114"/>
      <c r="AJB98" s="114"/>
      <c r="AJC98" s="114"/>
      <c r="AJD98" s="114"/>
      <c r="AJE98" s="114"/>
      <c r="AJF98" s="114"/>
      <c r="AJG98" s="114"/>
      <c r="AJH98" s="114"/>
      <c r="AJI98" s="114"/>
      <c r="AJJ98" s="114"/>
      <c r="AJK98" s="114"/>
      <c r="AJL98" s="114"/>
      <c r="AJM98" s="114"/>
      <c r="AJN98" s="114"/>
      <c r="AJO98" s="114"/>
      <c r="AJP98" s="114"/>
      <c r="AJQ98" s="114"/>
      <c r="AJR98" s="114"/>
      <c r="AJS98" s="114"/>
      <c r="AJT98" s="114"/>
      <c r="AJU98" s="114"/>
      <c r="AJV98" s="114"/>
      <c r="AJW98" s="114"/>
      <c r="AJX98" s="114"/>
      <c r="AJY98" s="114"/>
      <c r="AJZ98" s="114"/>
      <c r="AKA98" s="114"/>
      <c r="AKB98" s="114"/>
      <c r="AKC98" s="114"/>
      <c r="AKD98" s="114"/>
      <c r="AKE98" s="114"/>
      <c r="AKF98" s="114"/>
      <c r="AKG98" s="114"/>
      <c r="AKH98" s="114"/>
      <c r="AKI98" s="114"/>
      <c r="AKJ98" s="114"/>
      <c r="AKK98" s="114"/>
      <c r="AKL98" s="114"/>
    </row>
    <row r="99" spans="1:974" s="114" customFormat="1" ht="15" customHeight="1" x14ac:dyDescent="0.3">
      <c r="A99" s="116"/>
      <c r="B99" s="117"/>
      <c r="C99" s="462"/>
      <c r="D99" s="138" t="s">
        <v>3255</v>
      </c>
      <c r="E99" s="193">
        <f>E66+E67+E68+E69</f>
        <v>107</v>
      </c>
      <c r="F99" s="140">
        <v>4000</v>
      </c>
      <c r="G99" s="141">
        <f>E99*F99</f>
        <v>428000</v>
      </c>
    </row>
    <row r="100" spans="1:974" s="114" customFormat="1" ht="15" customHeight="1" x14ac:dyDescent="0.3">
      <c r="A100" s="116"/>
      <c r="B100" s="117"/>
      <c r="C100" s="462"/>
      <c r="D100" s="118" t="s">
        <v>3256</v>
      </c>
      <c r="E100" s="209">
        <f>E75+E76+E77+E78+E79</f>
        <v>215</v>
      </c>
      <c r="F100" s="140">
        <v>4000</v>
      </c>
      <c r="G100" s="121">
        <f>E100*F100</f>
        <v>860000</v>
      </c>
    </row>
    <row r="101" spans="1:974" s="114" customFormat="1" ht="15" customHeight="1" x14ac:dyDescent="0.3">
      <c r="A101" s="158"/>
      <c r="B101" s="159"/>
      <c r="C101" s="463"/>
      <c r="D101" s="464" t="s">
        <v>2832</v>
      </c>
      <c r="E101" s="465"/>
      <c r="F101" s="466"/>
      <c r="G101" s="127">
        <f>SUM(G98:G100)</f>
        <v>4824000</v>
      </c>
    </row>
    <row r="102" spans="1:974" s="114" customFormat="1" ht="15" customHeight="1" x14ac:dyDescent="0.3">
      <c r="A102" s="103">
        <v>8470230</v>
      </c>
      <c r="B102" s="104">
        <v>492310</v>
      </c>
      <c r="C102" s="461" t="s">
        <v>3178</v>
      </c>
      <c r="D102" s="138" t="s">
        <v>3257</v>
      </c>
      <c r="E102" s="193">
        <f>E64</f>
        <v>7</v>
      </c>
      <c r="F102" s="140">
        <v>4500</v>
      </c>
      <c r="G102" s="141">
        <f t="shared" ref="G102:G105" si="3">E102*F102</f>
        <v>31500</v>
      </c>
    </row>
    <row r="103" spans="1:974" s="114" customFormat="1" ht="15" customHeight="1" x14ac:dyDescent="0.3">
      <c r="A103" s="116"/>
      <c r="B103" s="117"/>
      <c r="C103" s="462"/>
      <c r="D103" s="138" t="s">
        <v>3258</v>
      </c>
      <c r="E103" s="193">
        <f>E66+E67</f>
        <v>60</v>
      </c>
      <c r="F103" s="140">
        <v>4500</v>
      </c>
      <c r="G103" s="141">
        <f t="shared" si="3"/>
        <v>270000</v>
      </c>
    </row>
    <row r="104" spans="1:974" s="114" customFormat="1" ht="15" customHeight="1" x14ac:dyDescent="0.3">
      <c r="A104" s="116"/>
      <c r="B104" s="117"/>
      <c r="C104" s="462"/>
      <c r="D104" s="138" t="s">
        <v>3259</v>
      </c>
      <c r="E104" s="193">
        <f>E73</f>
        <v>15</v>
      </c>
      <c r="F104" s="140">
        <v>4500</v>
      </c>
      <c r="G104" s="141">
        <f t="shared" si="3"/>
        <v>67500</v>
      </c>
    </row>
    <row r="105" spans="1:974" s="114" customFormat="1" ht="15" customHeight="1" x14ac:dyDescent="0.3">
      <c r="A105" s="116"/>
      <c r="B105" s="117"/>
      <c r="C105" s="462"/>
      <c r="D105" s="138" t="s">
        <v>3260</v>
      </c>
      <c r="E105" s="209">
        <f>E75+E76+E77</f>
        <v>125</v>
      </c>
      <c r="F105" s="120">
        <v>4500</v>
      </c>
      <c r="G105" s="121">
        <f t="shared" si="3"/>
        <v>562500</v>
      </c>
    </row>
    <row r="106" spans="1:974" s="114" customFormat="1" ht="15" customHeight="1" x14ac:dyDescent="0.3">
      <c r="A106" s="158"/>
      <c r="B106" s="159"/>
      <c r="C106" s="463"/>
      <c r="D106" s="464" t="s">
        <v>2831</v>
      </c>
      <c r="E106" s="465"/>
      <c r="F106" s="466"/>
      <c r="G106" s="127">
        <f>SUM(G102:G105)</f>
        <v>931500</v>
      </c>
    </row>
    <row r="108" spans="1:974" x14ac:dyDescent="0.3">
      <c r="D108" s="458" t="s">
        <v>3185</v>
      </c>
      <c r="E108" s="459"/>
      <c r="F108" s="460"/>
      <c r="G108" s="214">
        <f>G4+G10+G12+G14+G18+G21+G26+G29+G33+G35+G37+G82+G97+G101+G106</f>
        <v>291516697.80000001</v>
      </c>
    </row>
  </sheetData>
  <mergeCells count="31">
    <mergeCell ref="C2:C4"/>
    <mergeCell ref="D4:F4"/>
    <mergeCell ref="C5:C10"/>
    <mergeCell ref="D10:F10"/>
    <mergeCell ref="C11:C12"/>
    <mergeCell ref="D12:F12"/>
    <mergeCell ref="C13:C14"/>
    <mergeCell ref="D14:F14"/>
    <mergeCell ref="C15:C18"/>
    <mergeCell ref="D18:F18"/>
    <mergeCell ref="C19:C21"/>
    <mergeCell ref="D21:F21"/>
    <mergeCell ref="C22:C26"/>
    <mergeCell ref="D26:F26"/>
    <mergeCell ref="C27:C29"/>
    <mergeCell ref="D29:F29"/>
    <mergeCell ref="C30:C33"/>
    <mergeCell ref="D33:F33"/>
    <mergeCell ref="C34:C35"/>
    <mergeCell ref="D35:F35"/>
    <mergeCell ref="C36:C37"/>
    <mergeCell ref="D37:F37"/>
    <mergeCell ref="C38:C82"/>
    <mergeCell ref="D82:F82"/>
    <mergeCell ref="D108:F108"/>
    <mergeCell ref="C83:C97"/>
    <mergeCell ref="D97:F97"/>
    <mergeCell ref="C98:C101"/>
    <mergeCell ref="D101:F101"/>
    <mergeCell ref="C102:C106"/>
    <mergeCell ref="D106:F106"/>
  </mergeCells>
  <pageMargins left="0.23622047244094491" right="0.23622047244094491" top="0.35433070866141736" bottom="0.35433070866141736" header="0" footer="0"/>
  <pageSetup paperSize="8" orientation="landscape" horizontalDpi="1200" verticalDpi="1200" r:id="rId1"/>
  <rowBreaks count="1" manualBreakCount="1">
    <brk id="82" max="18"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6</vt:i4>
      </vt:variant>
    </vt:vector>
  </HeadingPairs>
  <TitlesOfParts>
    <vt:vector size="27" baseType="lpstr">
      <vt:lpstr>2019 - 2025 PVT Budget Chp-1 </vt:lpstr>
      <vt:lpstr>Analysis Opex</vt:lpstr>
      <vt:lpstr>Analysis Capex</vt:lpstr>
      <vt:lpstr>2019 - 2025 DB Master</vt:lpstr>
      <vt:lpstr>XXPVT 2023</vt:lpstr>
      <vt:lpstr>2019 - 2025 PVT Budget Summary</vt:lpstr>
      <vt:lpstr>2019 - 2025 PVT Budget Master</vt:lpstr>
      <vt:lpstr>UG &amp; PG Summary Table</vt:lpstr>
      <vt:lpstr>2023 Iteamized Capex and Opex</vt:lpstr>
      <vt:lpstr>2023 Detail B-01</vt:lpstr>
      <vt:lpstr>PVT 2023 DB-1 </vt:lpstr>
      <vt:lpstr>PVT 2024 DB-1</vt:lpstr>
      <vt:lpstr>PVT 2025 DB-1 </vt:lpstr>
      <vt:lpstr>2024 Detail B-01</vt:lpstr>
      <vt:lpstr>2025 Detail B-01</vt:lpstr>
      <vt:lpstr>UG &amp; PG Projections</vt:lpstr>
      <vt:lpstr>UG Stipend</vt:lpstr>
      <vt:lpstr>PG 2023 </vt:lpstr>
      <vt:lpstr>PG 2024 </vt:lpstr>
      <vt:lpstr>PG 2025</vt:lpstr>
      <vt:lpstr>Manpower</vt:lpstr>
      <vt:lpstr>'PG 2023 '!Print_Area</vt:lpstr>
      <vt:lpstr>'PG 2024 '!Print_Area</vt:lpstr>
      <vt:lpstr>'PG 2025'!Print_Area</vt:lpstr>
      <vt:lpstr>'PG 2023 '!Print_Titles</vt:lpstr>
      <vt:lpstr>'PG 2024 '!Print_Titles</vt:lpstr>
      <vt:lpstr>'PG 2025'!Print_Titles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Mohammed Sheriff</dc:creator>
  <cp:lastModifiedBy>Mushtaq Mohammed Sheriff</cp:lastModifiedBy>
  <dcterms:created xsi:type="dcterms:W3CDTF">2022-06-20T11:52:54Z</dcterms:created>
  <dcterms:modified xsi:type="dcterms:W3CDTF">2023-10-13T12:19:36Z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